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192.168.19.22\Data\Дирекция\резерв_1\Маркетинговые работы\Гостиницы\Ханты\гостиничные проекты\Кузбасс\"/>
    </mc:Choice>
  </mc:AlternateContent>
  <xr:revisionPtr revIDLastSave="0" documentId="13_ncr:1_{DF691696-BFAE-4519-BB7E-EA91282E8286}" xr6:coauthVersionLast="47" xr6:coauthVersionMax="47" xr10:uidLastSave="{00000000-0000-0000-0000-000000000000}"/>
  <bookViews>
    <workbookView xWindow="-110" yWindow="-110" windowWidth="22620" windowHeight="13500" tabRatio="935" activeTab="5" xr2:uid="{00000000-000D-0000-FFFF-FFFF00000000}"/>
  </bookViews>
  <sheets>
    <sheet name="Содержание " sheetId="1" r:id="rId1"/>
    <sheet name="Инструкция" sheetId="2" r:id="rId2"/>
    <sheet name="Assump" sheetId="3" r:id="rId3"/>
    <sheet name="Model" sheetId="4" r:id="rId4"/>
    <sheet name="Model (years)" sheetId="32" r:id="rId5"/>
    <sheet name="Model2" sheetId="39" r:id="rId6"/>
    <sheet name="sensitivity" sheetId="5" state="hidden" r:id="rId7"/>
    <sheet name="sensitivity (years)" sheetId="33" state="hidden" r:id="rId8"/>
    <sheet name="Model (years)2" sheetId="40" r:id="rId9"/>
    <sheet name="DiscRate" sheetId="6" r:id="rId10"/>
    <sheet name="Укрупненная модель" sheetId="34" state="hidden" r:id="rId11"/>
    <sheet name="Инфраструктура" sheetId="8" r:id="rId12"/>
    <sheet name="Финансирование" sheetId="7" r:id="rId13"/>
    <sheet name="график квартальный" sheetId="31" r:id="rId14"/>
    <sheet name="График годовой" sheetId="41" r:id="rId15"/>
    <sheet name="P&amp;L 1 и 2 этапы" sheetId="12" r:id="rId16"/>
    <sheet name="Итого выручка 1 этапа" sheetId="11" r:id="rId17"/>
    <sheet name="Итого выручка 2 этапа " sheetId="35" r:id="rId18"/>
    <sheet name="операционные  расходы 1 этап" sheetId="10" r:id="rId19"/>
    <sheet name="операционные расходы 2 этап" sheetId="36" r:id="rId20"/>
    <sheet name="Открытые тарифы " sheetId="13" r:id="rId21"/>
    <sheet name="скидки для типов гостей" sheetId="14" r:id="rId22"/>
    <sheet name="ADR" sheetId="16" r:id="rId23"/>
    <sheet name="выручка номеров" sheetId="17" r:id="rId24"/>
    <sheet name="&quot;Шведский стол&quot; " sheetId="18" r:id="rId25"/>
    <sheet name="СПА и развлечения в пакете" sheetId="19" r:id="rId26"/>
    <sheet name="выручка от общепита" sheetId="20" r:id="rId27"/>
    <sheet name="Выручка от прочих услуг" sheetId="22" r:id="rId28"/>
    <sheet name="ФОТ 1 этап" sheetId="37" r:id="rId29"/>
    <sheet name="ФОТ 2 этап" sheetId="38" r:id="rId30"/>
    <sheet name="2035 баз." sheetId="30" r:id="rId31"/>
  </sheets>
  <externalReferences>
    <externalReference r:id="rId32"/>
  </externalReferences>
  <definedNames>
    <definedName name="_" localSheetId="4">#REF!</definedName>
    <definedName name="_" localSheetId="8">#REF!</definedName>
    <definedName name="_" localSheetId="0">#REF!</definedName>
    <definedName name="_">#REF!</definedName>
    <definedName name="__" localSheetId="4">#REF!</definedName>
    <definedName name="__" localSheetId="8">#REF!</definedName>
    <definedName name="__" localSheetId="0">#REF!</definedName>
    <definedName name="__">#REF!</definedName>
    <definedName name="____" localSheetId="4">#REF!</definedName>
    <definedName name="____" localSheetId="8">#REF!</definedName>
    <definedName name="____" localSheetId="0">#REF!</definedName>
    <definedName name="____">#REF!</definedName>
    <definedName name="_____" localSheetId="4">#REF!</definedName>
    <definedName name="_____" localSheetId="8">#REF!</definedName>
    <definedName name="_____" localSheetId="0">#REF!</definedName>
    <definedName name="_____">#REF!</definedName>
    <definedName name="______" localSheetId="4">#REF!</definedName>
    <definedName name="______" localSheetId="8">#REF!</definedName>
    <definedName name="______" localSheetId="0">#REF!</definedName>
    <definedName name="______">#REF!</definedName>
    <definedName name="____________AS1" localSheetId="4">#REF!</definedName>
    <definedName name="____________AS1" localSheetId="8">#REF!</definedName>
    <definedName name="____________AS1">#REF!</definedName>
    <definedName name="___________n76" localSheetId="4">#REF!</definedName>
    <definedName name="___________n76" localSheetId="8">#REF!</definedName>
    <definedName name="___________n76">#REF!</definedName>
    <definedName name="__________AS1" localSheetId="4">#REF!</definedName>
    <definedName name="__________AS1" localSheetId="8">#REF!</definedName>
    <definedName name="__________AS1">#REF!</definedName>
    <definedName name="_________n76" localSheetId="4">#REF!</definedName>
    <definedName name="_________n76" localSheetId="8">#REF!</definedName>
    <definedName name="_________n76">#REF!</definedName>
    <definedName name="________AS1" localSheetId="4">#REF!</definedName>
    <definedName name="________AS1" localSheetId="8">#REF!</definedName>
    <definedName name="________AS1">#REF!</definedName>
    <definedName name="_______n76" localSheetId="4">#REF!</definedName>
    <definedName name="_______n76" localSheetId="8">#REF!</definedName>
    <definedName name="_______n76">#REF!</definedName>
    <definedName name="______AS1" localSheetId="4">#REF!</definedName>
    <definedName name="______AS1" localSheetId="8">#REF!</definedName>
    <definedName name="______AS1">#REF!</definedName>
    <definedName name="______n76" localSheetId="4">#REF!</definedName>
    <definedName name="______n76" localSheetId="8">#REF!</definedName>
    <definedName name="______n76">#REF!</definedName>
    <definedName name="_____wrn3" localSheetId="4">#REF!</definedName>
    <definedName name="_____wrn3" localSheetId="8">#REF!</definedName>
    <definedName name="_____wrn3">#REF!</definedName>
    <definedName name="____AS1" localSheetId="4">#REF!</definedName>
    <definedName name="____AS1" localSheetId="8">#REF!</definedName>
    <definedName name="____AS1">#REF!</definedName>
    <definedName name="____KEY2" localSheetId="4">#REF!</definedName>
    <definedName name="____KEY2" localSheetId="8">#REF!</definedName>
    <definedName name="____KEY2" localSheetId="0">#REF!</definedName>
    <definedName name="____KEY2">#REF!</definedName>
    <definedName name="____n76" localSheetId="4">#REF!</definedName>
    <definedName name="____n76" localSheetId="8">#REF!</definedName>
    <definedName name="____n76">#REF!</definedName>
    <definedName name="____rl2" localSheetId="4">#REF!</definedName>
    <definedName name="____rl2" localSheetId="8">#REF!</definedName>
    <definedName name="____rl2">#REF!</definedName>
    <definedName name="___2_._solv" localSheetId="4">#REF!</definedName>
    <definedName name="___2_._solv" localSheetId="8">#REF!</definedName>
    <definedName name="___2_._solv" localSheetId="0">#REF!</definedName>
    <definedName name="___2_._solv">#REF!</definedName>
    <definedName name="___AS1" localSheetId="4">#REF!</definedName>
    <definedName name="___AS1" localSheetId="8">#REF!</definedName>
    <definedName name="___AS1">#REF!</definedName>
    <definedName name="___KEY2" localSheetId="4">#REF!</definedName>
    <definedName name="___KEY2" localSheetId="8">#REF!</definedName>
    <definedName name="___KEY2" localSheetId="0">#REF!</definedName>
    <definedName name="___KEY2">#REF!</definedName>
    <definedName name="___n76" localSheetId="4">#REF!</definedName>
    <definedName name="___n76" localSheetId="8">#REF!</definedName>
    <definedName name="___n76">#REF!</definedName>
    <definedName name="___wrn2" localSheetId="4">#REF!</definedName>
    <definedName name="___wrn2" localSheetId="8">#REF!</definedName>
    <definedName name="___wrn2">#REF!</definedName>
    <definedName name="___wrn222" localSheetId="4">#REF!</definedName>
    <definedName name="___wrn222" localSheetId="8">#REF!</definedName>
    <definedName name="___wrn222">#REF!</definedName>
    <definedName name="__1__123Graph_AChart_1A" localSheetId="4">#REF!</definedName>
    <definedName name="__1__123Graph_AChart_1A" localSheetId="8">#REF!</definedName>
    <definedName name="__1__123Graph_AChart_1A" localSheetId="0">#REF!</definedName>
    <definedName name="__1__123Graph_AChart_1A">#REF!</definedName>
    <definedName name="__1__123Graph_ACHART_4" localSheetId="4">#REF!</definedName>
    <definedName name="__1__123Graph_ACHART_4" localSheetId="8">#REF!</definedName>
    <definedName name="__1__123Graph_ACHART_4" localSheetId="0">#REF!</definedName>
    <definedName name="__1__123Graph_ACHART_4">#REF!</definedName>
    <definedName name="__123Graph_AGraph1" localSheetId="4">#REF!</definedName>
    <definedName name="__123Graph_AGraph1" localSheetId="8">#REF!</definedName>
    <definedName name="__123Graph_AGraph1" localSheetId="0">#REF!</definedName>
    <definedName name="__123Graph_AGraph1">#REF!</definedName>
    <definedName name="__123Graph_BChart" localSheetId="4">#REF!</definedName>
    <definedName name="__123Graph_BChart" localSheetId="8">#REF!</definedName>
    <definedName name="__123Graph_BChart" localSheetId="0">#REF!</definedName>
    <definedName name="__123Graph_BChart">#REF!</definedName>
    <definedName name="__123Graph_C" localSheetId="4">#REF!</definedName>
    <definedName name="__123Graph_C" localSheetId="8">#REF!</definedName>
    <definedName name="__123Graph_C" localSheetId="0">#REF!</definedName>
    <definedName name="__123Graph_C">#REF!</definedName>
    <definedName name="__123Graph_D" localSheetId="4">#REF!</definedName>
    <definedName name="__123Graph_D" localSheetId="8">#REF!</definedName>
    <definedName name="__123Graph_D" localSheetId="0">#REF!</definedName>
    <definedName name="__123Graph_D">#REF!</definedName>
    <definedName name="__123Graph_F" localSheetId="4">#REF!</definedName>
    <definedName name="__123Graph_F" localSheetId="8">#REF!</definedName>
    <definedName name="__123Graph_F" localSheetId="0">#REF!</definedName>
    <definedName name="__123Graph_F">#REF!</definedName>
    <definedName name="__2_._solv" localSheetId="4">#REF!</definedName>
    <definedName name="__2_._solv" localSheetId="8">#REF!</definedName>
    <definedName name="__2_._solv" localSheetId="0">#REF!</definedName>
    <definedName name="__2_._solv">#REF!</definedName>
    <definedName name="__2__123Graph_BChart_1A" localSheetId="4">#REF!</definedName>
    <definedName name="__2__123Graph_BChart_1A" localSheetId="8">#REF!</definedName>
    <definedName name="__2__123Graph_BChart_1A" localSheetId="0">#REF!</definedName>
    <definedName name="__2__123Graph_BChart_1A">#REF!</definedName>
    <definedName name="__2__123Graph_XCHART_3" localSheetId="4">#REF!</definedName>
    <definedName name="__2__123Graph_XCHART_3" localSheetId="8">#REF!</definedName>
    <definedName name="__2__123Graph_XCHART_3" localSheetId="0">#REF!</definedName>
    <definedName name="__2__123Graph_XCHART_3">#REF!</definedName>
    <definedName name="__3__123Graph_XCHART_4" localSheetId="4">#REF!</definedName>
    <definedName name="__3__123Graph_XCHART_4" localSheetId="8">#REF!</definedName>
    <definedName name="__3__123Graph_XCHART_4" localSheetId="0">#REF!</definedName>
    <definedName name="__3__123Graph_XCHART_4">#REF!</definedName>
    <definedName name="__4__123Graph_AChart_1A" localSheetId="4">#REF!</definedName>
    <definedName name="__4__123Graph_AChart_1A" localSheetId="8">#REF!</definedName>
    <definedName name="__4__123Graph_AChart_1A" localSheetId="0">#REF!</definedName>
    <definedName name="__4__123Graph_AChart_1A">#REF!</definedName>
    <definedName name="__ab1" localSheetId="4">#REF!</definedName>
    <definedName name="__ab1" localSheetId="8">#REF!</definedName>
    <definedName name="__ab1">#REF!</definedName>
    <definedName name="__as1" localSheetId="4">#REF!</definedName>
    <definedName name="__as1" localSheetId="8">#REF!</definedName>
    <definedName name="__as1">#REF!</definedName>
    <definedName name="__as2" localSheetId="4">#REF!</definedName>
    <definedName name="__as2" localSheetId="8">#REF!</definedName>
    <definedName name="__as2">#REF!</definedName>
    <definedName name="__ccr1" localSheetId="4">#REF!</definedName>
    <definedName name="__ccr1" localSheetId="8">#REF!</definedName>
    <definedName name="__ccr1">#REF!</definedName>
    <definedName name="__hk4645" localSheetId="4">#REF!</definedName>
    <definedName name="__hk4645" localSheetId="8">#REF!</definedName>
    <definedName name="__hk4645">#REF!</definedName>
    <definedName name="__Key1" localSheetId="4">#REF!</definedName>
    <definedName name="__Key1" localSheetId="8">#REF!</definedName>
    <definedName name="__Key1" localSheetId="0">#REF!</definedName>
    <definedName name="__Key1">#REF!</definedName>
    <definedName name="__old3" localSheetId="4">#REF!</definedName>
    <definedName name="__old3" localSheetId="8">#REF!</definedName>
    <definedName name="__old3">#REF!</definedName>
    <definedName name="__old5" localSheetId="4">#REF!</definedName>
    <definedName name="__old5" localSheetId="8">#REF!</definedName>
    <definedName name="__old5">#REF!</definedName>
    <definedName name="__old7" localSheetId="4">#REF!</definedName>
    <definedName name="__old7" localSheetId="8">#REF!</definedName>
    <definedName name="__old7">#REF!</definedName>
    <definedName name="__OSM2" localSheetId="4">#REF!</definedName>
    <definedName name="__OSM2" localSheetId="8">#REF!</definedName>
    <definedName name="__OSM2">#REF!</definedName>
    <definedName name="__rl2" localSheetId="4">#REF!</definedName>
    <definedName name="__rl2" localSheetId="8">#REF!</definedName>
    <definedName name="__rl2">#REF!</definedName>
    <definedName name="__wrn2" localSheetId="4">#REF!</definedName>
    <definedName name="__wrn2" localSheetId="8">#REF!</definedName>
    <definedName name="__wrn2">#REF!</definedName>
    <definedName name="__wrn222" localSheetId="4">#REF!</definedName>
    <definedName name="__wrn222" localSheetId="8">#REF!</definedName>
    <definedName name="__wrn222">#REF!</definedName>
    <definedName name="__ZA1" localSheetId="4">#REF!</definedName>
    <definedName name="__ZA1" localSheetId="8">#REF!</definedName>
    <definedName name="__ZA1">#REF!</definedName>
    <definedName name="__ZA10" localSheetId="4">#REF!</definedName>
    <definedName name="__ZA10" localSheetId="8">#REF!</definedName>
    <definedName name="__ZA10">#REF!</definedName>
    <definedName name="__ZA11" localSheetId="4">#REF!</definedName>
    <definedName name="__ZA11" localSheetId="8">#REF!</definedName>
    <definedName name="__ZA11">#REF!</definedName>
    <definedName name="__ZA12" localSheetId="4">#REF!</definedName>
    <definedName name="__ZA12" localSheetId="8">#REF!</definedName>
    <definedName name="__ZA12">#REF!</definedName>
    <definedName name="__ZA13" localSheetId="4">#REF!</definedName>
    <definedName name="__ZA13" localSheetId="8">#REF!</definedName>
    <definedName name="__ZA13">#REF!</definedName>
    <definedName name="__ZA14" localSheetId="4">#REF!</definedName>
    <definedName name="__ZA14" localSheetId="8">#REF!</definedName>
    <definedName name="__ZA14">#REF!</definedName>
    <definedName name="__ZA15" localSheetId="4">#REF!</definedName>
    <definedName name="__ZA15" localSheetId="8">#REF!</definedName>
    <definedName name="__ZA15">#REF!</definedName>
    <definedName name="__ZA16" localSheetId="4">#REF!</definedName>
    <definedName name="__ZA16" localSheetId="8">#REF!</definedName>
    <definedName name="__ZA16">#REF!</definedName>
    <definedName name="__ZA17" localSheetId="4">#REF!</definedName>
    <definedName name="__ZA17" localSheetId="8">#REF!</definedName>
    <definedName name="__ZA17">#REF!</definedName>
    <definedName name="__ZA18" localSheetId="4">#REF!</definedName>
    <definedName name="__ZA18" localSheetId="8">#REF!</definedName>
    <definedName name="__ZA18">#REF!</definedName>
    <definedName name="__ZA19" localSheetId="4">#REF!</definedName>
    <definedName name="__ZA19" localSheetId="8">#REF!</definedName>
    <definedName name="__ZA19">#REF!</definedName>
    <definedName name="__ZA2" localSheetId="4">#REF!</definedName>
    <definedName name="__ZA2" localSheetId="8">#REF!</definedName>
    <definedName name="__ZA2">#REF!</definedName>
    <definedName name="__ZA20" localSheetId="4">#REF!</definedName>
    <definedName name="__ZA20" localSheetId="8">#REF!</definedName>
    <definedName name="__ZA20">#REF!</definedName>
    <definedName name="__ZA21" localSheetId="4">#REF!</definedName>
    <definedName name="__ZA21" localSheetId="8">#REF!</definedName>
    <definedName name="__ZA21">#REF!</definedName>
    <definedName name="__ZA22" localSheetId="4">#REF!</definedName>
    <definedName name="__ZA22" localSheetId="8">#REF!</definedName>
    <definedName name="__ZA22">#REF!</definedName>
    <definedName name="__ZA24" localSheetId="4">#REF!</definedName>
    <definedName name="__ZA24" localSheetId="8">#REF!</definedName>
    <definedName name="__ZA24">#REF!</definedName>
    <definedName name="__ZA25" localSheetId="4">#REF!</definedName>
    <definedName name="__ZA25" localSheetId="8">#REF!</definedName>
    <definedName name="__ZA25">#REF!</definedName>
    <definedName name="__ZA26" localSheetId="4">#REF!</definedName>
    <definedName name="__ZA26" localSheetId="8">#REF!</definedName>
    <definedName name="__ZA26">#REF!</definedName>
    <definedName name="__ZA28" localSheetId="4">#REF!</definedName>
    <definedName name="__ZA28" localSheetId="8">#REF!</definedName>
    <definedName name="__ZA28">#REF!</definedName>
    <definedName name="__ZA29" localSheetId="4">#REF!</definedName>
    <definedName name="__ZA29" localSheetId="8">#REF!</definedName>
    <definedName name="__ZA29">#REF!</definedName>
    <definedName name="__ZA3" localSheetId="4">#REF!</definedName>
    <definedName name="__ZA3" localSheetId="8">#REF!</definedName>
    <definedName name="__ZA3">#REF!</definedName>
    <definedName name="__ZA30" localSheetId="4">#REF!</definedName>
    <definedName name="__ZA30" localSheetId="8">#REF!</definedName>
    <definedName name="__ZA30">#REF!</definedName>
    <definedName name="__ZA31" localSheetId="4">#REF!</definedName>
    <definedName name="__ZA31" localSheetId="8">#REF!</definedName>
    <definedName name="__ZA31">#REF!</definedName>
    <definedName name="__ZA32" localSheetId="4">#REF!</definedName>
    <definedName name="__ZA32" localSheetId="8">#REF!</definedName>
    <definedName name="__ZA32">#REF!</definedName>
    <definedName name="__ZA33" localSheetId="4">#REF!</definedName>
    <definedName name="__ZA33" localSheetId="8">#REF!</definedName>
    <definedName name="__ZA33">#REF!</definedName>
    <definedName name="__ZA34" localSheetId="4">#REF!</definedName>
    <definedName name="__ZA34" localSheetId="8">#REF!</definedName>
    <definedName name="__ZA34">#REF!</definedName>
    <definedName name="__ZA35" localSheetId="4">#REF!</definedName>
    <definedName name="__ZA35" localSheetId="8">#REF!</definedName>
    <definedName name="__ZA35">#REF!</definedName>
    <definedName name="__ZA37" localSheetId="4">#REF!</definedName>
    <definedName name="__ZA37" localSheetId="8">#REF!</definedName>
    <definedName name="__ZA37">#REF!</definedName>
    <definedName name="__ZA38" localSheetId="4">#REF!</definedName>
    <definedName name="__ZA38" localSheetId="8">#REF!</definedName>
    <definedName name="__ZA38">#REF!</definedName>
    <definedName name="__ZA39" localSheetId="4">#REF!</definedName>
    <definedName name="__ZA39" localSheetId="8">#REF!</definedName>
    <definedName name="__ZA39">#REF!</definedName>
    <definedName name="__ZA4" localSheetId="4">#REF!</definedName>
    <definedName name="__ZA4" localSheetId="8">#REF!</definedName>
    <definedName name="__ZA4">#REF!</definedName>
    <definedName name="__ZA40" localSheetId="4">#REF!</definedName>
    <definedName name="__ZA40" localSheetId="8">#REF!</definedName>
    <definedName name="__ZA40">#REF!</definedName>
    <definedName name="__ZA41" localSheetId="4">#REF!</definedName>
    <definedName name="__ZA41" localSheetId="8">#REF!</definedName>
    <definedName name="__ZA41">#REF!</definedName>
    <definedName name="__ZA42" localSheetId="4">#REF!</definedName>
    <definedName name="__ZA42" localSheetId="8">#REF!</definedName>
    <definedName name="__ZA42">#REF!</definedName>
    <definedName name="__ZA43" localSheetId="4">#REF!</definedName>
    <definedName name="__ZA43" localSheetId="8">#REF!</definedName>
    <definedName name="__ZA43">#REF!</definedName>
    <definedName name="__ZA44" localSheetId="4">#REF!</definedName>
    <definedName name="__ZA44" localSheetId="8">#REF!</definedName>
    <definedName name="__ZA44">#REF!</definedName>
    <definedName name="__ZA45" localSheetId="4">#REF!</definedName>
    <definedName name="__ZA45" localSheetId="8">#REF!</definedName>
    <definedName name="__ZA45">#REF!</definedName>
    <definedName name="__ZA46" localSheetId="4">#REF!</definedName>
    <definedName name="__ZA46" localSheetId="8">#REF!</definedName>
    <definedName name="__ZA46">#REF!</definedName>
    <definedName name="__ZA47" localSheetId="4">#REF!</definedName>
    <definedName name="__ZA47" localSheetId="8">#REF!</definedName>
    <definedName name="__ZA47">#REF!</definedName>
    <definedName name="__ZA48" localSheetId="4">#REF!</definedName>
    <definedName name="__ZA48" localSheetId="8">#REF!</definedName>
    <definedName name="__ZA48">#REF!</definedName>
    <definedName name="__ZA49" localSheetId="4">#REF!</definedName>
    <definedName name="__ZA49" localSheetId="8">#REF!</definedName>
    <definedName name="__ZA49">#REF!</definedName>
    <definedName name="__ZA5" localSheetId="4">#REF!</definedName>
    <definedName name="__ZA5" localSheetId="8">#REF!</definedName>
    <definedName name="__ZA5">#REF!</definedName>
    <definedName name="__ZA50" localSheetId="4">#REF!</definedName>
    <definedName name="__ZA50" localSheetId="8">#REF!</definedName>
    <definedName name="__ZA50">#REF!</definedName>
    <definedName name="__ZA51" localSheetId="4">#REF!</definedName>
    <definedName name="__ZA51" localSheetId="8">#REF!</definedName>
    <definedName name="__ZA51">#REF!</definedName>
    <definedName name="__ZA52" localSheetId="4">#REF!</definedName>
    <definedName name="__ZA52" localSheetId="8">#REF!</definedName>
    <definedName name="__ZA52">#REF!</definedName>
    <definedName name="__ZA53" localSheetId="4">#REF!</definedName>
    <definedName name="__ZA53" localSheetId="8">#REF!</definedName>
    <definedName name="__ZA53">#REF!</definedName>
    <definedName name="__ZA54" localSheetId="4">#REF!</definedName>
    <definedName name="__ZA54" localSheetId="8">#REF!</definedName>
    <definedName name="__ZA54">#REF!</definedName>
    <definedName name="__ZA55" localSheetId="4">#REF!</definedName>
    <definedName name="__ZA55" localSheetId="8">#REF!</definedName>
    <definedName name="__ZA55">#REF!</definedName>
    <definedName name="__ZA56" localSheetId="4">#REF!</definedName>
    <definedName name="__ZA56" localSheetId="8">#REF!</definedName>
    <definedName name="__ZA56">#REF!</definedName>
    <definedName name="__ZA57" localSheetId="4">#REF!</definedName>
    <definedName name="__ZA57" localSheetId="8">#REF!</definedName>
    <definedName name="__ZA57">#REF!</definedName>
    <definedName name="__ZA58" localSheetId="4">#REF!</definedName>
    <definedName name="__ZA58" localSheetId="8">#REF!</definedName>
    <definedName name="__ZA58">#REF!</definedName>
    <definedName name="__ZA59" localSheetId="4">#REF!</definedName>
    <definedName name="__ZA59" localSheetId="8">#REF!</definedName>
    <definedName name="__ZA59">#REF!</definedName>
    <definedName name="__ZA6" localSheetId="4">#REF!</definedName>
    <definedName name="__ZA6" localSheetId="8">#REF!</definedName>
    <definedName name="__ZA6">#REF!</definedName>
    <definedName name="__ZA60" localSheetId="4">#REF!</definedName>
    <definedName name="__ZA60" localSheetId="8">#REF!</definedName>
    <definedName name="__ZA60">#REF!</definedName>
    <definedName name="__ZA61" localSheetId="4">#REF!</definedName>
    <definedName name="__ZA61" localSheetId="8">#REF!</definedName>
    <definedName name="__ZA61">#REF!</definedName>
    <definedName name="__ZA62" localSheetId="4">#REF!</definedName>
    <definedName name="__ZA62" localSheetId="8">#REF!</definedName>
    <definedName name="__ZA62">#REF!</definedName>
    <definedName name="__ZA63" localSheetId="4">#REF!</definedName>
    <definedName name="__ZA63" localSheetId="8">#REF!</definedName>
    <definedName name="__ZA63">#REF!</definedName>
    <definedName name="__ZA64" localSheetId="4">#REF!</definedName>
    <definedName name="__ZA64" localSheetId="8">#REF!</definedName>
    <definedName name="__ZA64">#REF!</definedName>
    <definedName name="__ZA65" localSheetId="4">#REF!</definedName>
    <definedName name="__ZA65" localSheetId="8">#REF!</definedName>
    <definedName name="__ZA65">#REF!</definedName>
    <definedName name="__ZA66" localSheetId="4">#REF!</definedName>
    <definedName name="__ZA66" localSheetId="8">#REF!</definedName>
    <definedName name="__ZA66">#REF!</definedName>
    <definedName name="__ZA67" localSheetId="4">#REF!</definedName>
    <definedName name="__ZA67" localSheetId="8">#REF!</definedName>
    <definedName name="__ZA67">#REF!</definedName>
    <definedName name="__ZA68" localSheetId="4">#REF!</definedName>
    <definedName name="__ZA68" localSheetId="8">#REF!</definedName>
    <definedName name="__ZA68">#REF!</definedName>
    <definedName name="__ZA69" localSheetId="4">#REF!</definedName>
    <definedName name="__ZA69" localSheetId="8">#REF!</definedName>
    <definedName name="__ZA69">#REF!</definedName>
    <definedName name="__ZA70" localSheetId="4">#REF!</definedName>
    <definedName name="__ZA70" localSheetId="8">#REF!</definedName>
    <definedName name="__ZA70">#REF!</definedName>
    <definedName name="__ZA71" localSheetId="4">#REF!</definedName>
    <definedName name="__ZA71" localSheetId="8">#REF!</definedName>
    <definedName name="__ZA71">#REF!</definedName>
    <definedName name="__ZA72" localSheetId="4">#REF!</definedName>
    <definedName name="__ZA72" localSheetId="8">#REF!</definedName>
    <definedName name="__ZA72">#REF!</definedName>
    <definedName name="__ZA73" localSheetId="4">#REF!</definedName>
    <definedName name="__ZA73" localSheetId="8">#REF!</definedName>
    <definedName name="__ZA73">#REF!</definedName>
    <definedName name="__ZA74" localSheetId="4">#REF!</definedName>
    <definedName name="__ZA74" localSheetId="8">#REF!</definedName>
    <definedName name="__ZA74">#REF!</definedName>
    <definedName name="__ZA75" localSheetId="4">#REF!</definedName>
    <definedName name="__ZA75" localSheetId="8">#REF!</definedName>
    <definedName name="__ZA75">#REF!</definedName>
    <definedName name="__ZA8" localSheetId="4">#REF!</definedName>
    <definedName name="__ZA8" localSheetId="8">#REF!</definedName>
    <definedName name="__ZA8">#REF!</definedName>
    <definedName name="__ZA9" localSheetId="4">#REF!</definedName>
    <definedName name="__ZA9" localSheetId="8">#REF!</definedName>
    <definedName name="__ZA9">#REF!</definedName>
    <definedName name="__ZATEST" localSheetId="4">#REF!</definedName>
    <definedName name="__ZATEST" localSheetId="8">#REF!</definedName>
    <definedName name="__ZATEST">#REF!</definedName>
    <definedName name="__ZAVARIATION" localSheetId="4">#REF!</definedName>
    <definedName name="__ZAVARIATION" localSheetId="8">#REF!</definedName>
    <definedName name="__ZAVARIATION">#REF!</definedName>
    <definedName name="_1" localSheetId="4">#REF!</definedName>
    <definedName name="_1" localSheetId="8">#REF!</definedName>
    <definedName name="_1" localSheetId="0">#REF!</definedName>
    <definedName name="_1">#REF!</definedName>
    <definedName name="_1_._solv" localSheetId="4">#REF!</definedName>
    <definedName name="_1_._solv" localSheetId="8">#REF!</definedName>
    <definedName name="_1_._solv" localSheetId="0">#REF!</definedName>
    <definedName name="_1_._solv">#REF!</definedName>
    <definedName name="_1__________123Graph_BChart_1A" localSheetId="4">#REF!</definedName>
    <definedName name="_1__________123Graph_BChart_1A" localSheetId="8">#REF!</definedName>
    <definedName name="_1__________123Graph_BChart_1A" localSheetId="0">#REF!</definedName>
    <definedName name="_1__________123Graph_BChart_1A">#REF!</definedName>
    <definedName name="_1__123Graph_AChart_1A" localSheetId="4">#REF!</definedName>
    <definedName name="_1__123Graph_AChart_1A" localSheetId="8">#REF!</definedName>
    <definedName name="_1__123Graph_AChart_1A" localSheetId="0">#REF!</definedName>
    <definedName name="_1__123Graph_AChart_1A">#REF!</definedName>
    <definedName name="_1__123Graph_ACHART_4" localSheetId="4">#REF!</definedName>
    <definedName name="_1__123Graph_ACHART_4" localSheetId="8">#REF!</definedName>
    <definedName name="_1__123Graph_ACHART_4" localSheetId="0">#REF!</definedName>
    <definedName name="_1__123Graph_ACHART_4">#REF!</definedName>
    <definedName name="_1_0___.0solv" localSheetId="4">#REF!</definedName>
    <definedName name="_1_0___.0solv" localSheetId="8">#REF!</definedName>
    <definedName name="_1_0___.0solv" localSheetId="0">#REF!</definedName>
    <definedName name="_1_0___.0solv">#REF!</definedName>
    <definedName name="_10__123Graph_AChart_1AJ" localSheetId="4">#REF!</definedName>
    <definedName name="_10__123Graph_AChart_1AJ" localSheetId="8">#REF!</definedName>
    <definedName name="_10__123Graph_AChart_1AJ" localSheetId="0">#REF!</definedName>
    <definedName name="_10__123Graph_AChart_1AJ">#REF!</definedName>
    <definedName name="_10__123Graph_BChart_1A" localSheetId="4">#REF!</definedName>
    <definedName name="_10__123Graph_BChart_1A" localSheetId="8">#REF!</definedName>
    <definedName name="_10__123Graph_BChart_1A" localSheetId="0">#REF!</definedName>
    <definedName name="_10__123Graph_BChart_1A">#REF!</definedName>
    <definedName name="_10_0_0K" localSheetId="4">#REF!</definedName>
    <definedName name="_10_0_0K" localSheetId="8">#REF!</definedName>
    <definedName name="_10_0_0K" localSheetId="0">#REF!</definedName>
    <definedName name="_10_0_0K">#REF!</definedName>
    <definedName name="_100__123Graph_BChart_2D" localSheetId="4">#REF!</definedName>
    <definedName name="_100__123Graph_BChart_2D" localSheetId="8">#REF!</definedName>
    <definedName name="_100__123Graph_BChart_2D" localSheetId="0">#REF!</definedName>
    <definedName name="_100__123Graph_BChart_2D">#REF!</definedName>
    <definedName name="_101__123Graph_BChart_3B" localSheetId="4">#REF!</definedName>
    <definedName name="_101__123Graph_BChart_3B" localSheetId="8">#REF!</definedName>
    <definedName name="_101__123Graph_BChart_3B" localSheetId="0">#REF!</definedName>
    <definedName name="_101__123Graph_BChart_3B">#REF!</definedName>
    <definedName name="_102__123Graph_BChart_3L" localSheetId="4">#REF!</definedName>
    <definedName name="_102__123Graph_BChart_3L" localSheetId="8">#REF!</definedName>
    <definedName name="_102__123Graph_BChart_3L" localSheetId="0">#REF!</definedName>
    <definedName name="_102__123Graph_BChart_3L">#REF!</definedName>
    <definedName name="_103__123Graph_BChart_9C" localSheetId="4">#REF!</definedName>
    <definedName name="_103__123Graph_BChart_9C" localSheetId="8">#REF!</definedName>
    <definedName name="_103__123Graph_BChart_9C" localSheetId="0">#REF!</definedName>
    <definedName name="_103__123Graph_BChart_9C">#REF!</definedName>
    <definedName name="_105__123Graph_CChart_1AA" localSheetId="4">#REF!</definedName>
    <definedName name="_105__123Graph_CChart_1AA" localSheetId="8">#REF!</definedName>
    <definedName name="_105__123Graph_CChart_1AA" localSheetId="0">#REF!</definedName>
    <definedName name="_105__123Graph_CChart_1AA">#REF!</definedName>
    <definedName name="_106__123Graph_CChart_1AB" localSheetId="4">#REF!</definedName>
    <definedName name="_106__123Graph_CChart_1AB" localSheetId="8">#REF!</definedName>
    <definedName name="_106__123Graph_CChart_1AB" localSheetId="0">#REF!</definedName>
    <definedName name="_106__123Graph_CChart_1AB">#REF!</definedName>
    <definedName name="_107__123Graph_CChart_1AE" localSheetId="4">#REF!</definedName>
    <definedName name="_107__123Graph_CChart_1AE" localSheetId="8">#REF!</definedName>
    <definedName name="_107__123Graph_CChart_1AE" localSheetId="0">#REF!</definedName>
    <definedName name="_107__123Graph_CChart_1AE">#REF!</definedName>
    <definedName name="_108__123Graph_CChart_1AF" localSheetId="4">#REF!</definedName>
    <definedName name="_108__123Graph_CChart_1AF" localSheetId="8">#REF!</definedName>
    <definedName name="_108__123Graph_CChart_1AF" localSheetId="0">#REF!</definedName>
    <definedName name="_108__123Graph_CChart_1AF">#REF!</definedName>
    <definedName name="_109__123Graph_CChart_1AM" localSheetId="4">#REF!</definedName>
    <definedName name="_109__123Graph_CChart_1AM" localSheetId="8">#REF!</definedName>
    <definedName name="_109__123Graph_CChart_1AM" localSheetId="0">#REF!</definedName>
    <definedName name="_109__123Graph_CChart_1AM">#REF!</definedName>
    <definedName name="_11__123Graph_AChart_1AK" localSheetId="4">#REF!</definedName>
    <definedName name="_11__123Graph_AChart_1AK" localSheetId="8">#REF!</definedName>
    <definedName name="_11__123Graph_AChart_1AK" localSheetId="0">#REF!</definedName>
    <definedName name="_11__123Graph_AChart_1AK">#REF!</definedName>
    <definedName name="_110__123Graph_CChart_1B" localSheetId="4">#REF!</definedName>
    <definedName name="_110__123Graph_CChart_1B" localSheetId="8">#REF!</definedName>
    <definedName name="_110__123Graph_CChart_1B" localSheetId="0">#REF!</definedName>
    <definedName name="_110__123Graph_CChart_1B">#REF!</definedName>
    <definedName name="_111__123Graph_CChart_1C" localSheetId="4">#REF!</definedName>
    <definedName name="_111__123Graph_CChart_1C" localSheetId="8">#REF!</definedName>
    <definedName name="_111__123Graph_CChart_1C" localSheetId="0">#REF!</definedName>
    <definedName name="_111__123Graph_CChart_1C">#REF!</definedName>
    <definedName name="_1111" localSheetId="4">#REF!</definedName>
    <definedName name="_1111" localSheetId="8">#REF!</definedName>
    <definedName name="_1111" localSheetId="0">#REF!</definedName>
    <definedName name="_1111">#REF!</definedName>
    <definedName name="_112__123Graph_CChart_1CA" localSheetId="4">#REF!</definedName>
    <definedName name="_112__123Graph_CChart_1CA" localSheetId="8">#REF!</definedName>
    <definedName name="_112__123Graph_CChart_1CA" localSheetId="0">#REF!</definedName>
    <definedName name="_112__123Graph_CChart_1CA">#REF!</definedName>
    <definedName name="_113__123Graph_CChart_1CD" localSheetId="4">#REF!</definedName>
    <definedName name="_113__123Graph_CChart_1CD" localSheetId="8">#REF!</definedName>
    <definedName name="_113__123Graph_CChart_1CD" localSheetId="0">#REF!</definedName>
    <definedName name="_113__123Graph_CChart_1CD">#REF!</definedName>
    <definedName name="_114__123Graph_CChart_1CE" localSheetId="4">#REF!</definedName>
    <definedName name="_114__123Graph_CChart_1CE" localSheetId="8">#REF!</definedName>
    <definedName name="_114__123Graph_CChart_1CE" localSheetId="0">#REF!</definedName>
    <definedName name="_114__123Graph_CChart_1CE">#REF!</definedName>
    <definedName name="_115__123Graph_CChart_1D" localSheetId="4">#REF!</definedName>
    <definedName name="_115__123Graph_CChart_1D" localSheetId="8">#REF!</definedName>
    <definedName name="_115__123Graph_CChart_1D" localSheetId="0">#REF!</definedName>
    <definedName name="_115__123Graph_CChart_1D">#REF!</definedName>
    <definedName name="_116__123Graph_CChart_1E" localSheetId="4">#REF!</definedName>
    <definedName name="_116__123Graph_CChart_1E" localSheetId="8">#REF!</definedName>
    <definedName name="_116__123Graph_CChart_1E" localSheetId="0">#REF!</definedName>
    <definedName name="_116__123Graph_CChart_1E">#REF!</definedName>
    <definedName name="_117__123Graph_CChart_1F" localSheetId="4">#REF!</definedName>
    <definedName name="_117__123Graph_CChart_1F" localSheetId="8">#REF!</definedName>
    <definedName name="_117__123Graph_CChart_1F" localSheetId="0">#REF!</definedName>
    <definedName name="_117__123Graph_CChart_1F">#REF!</definedName>
    <definedName name="_118__123Graph_CChart_1G" localSheetId="4">#REF!</definedName>
    <definedName name="_118__123Graph_CChart_1G" localSheetId="8">#REF!</definedName>
    <definedName name="_118__123Graph_CChart_1G" localSheetId="0">#REF!</definedName>
    <definedName name="_118__123Graph_CChart_1G">#REF!</definedName>
    <definedName name="_119__123Graph_CChart_1H" localSheetId="4">#REF!</definedName>
    <definedName name="_119__123Graph_CChart_1H" localSheetId="8">#REF!</definedName>
    <definedName name="_119__123Graph_CChart_1H" localSheetId="0">#REF!</definedName>
    <definedName name="_119__123Graph_CChart_1H">#REF!</definedName>
    <definedName name="_12_._solv" localSheetId="4">#REF!</definedName>
    <definedName name="_12_._solv" localSheetId="8">#REF!</definedName>
    <definedName name="_12_._solv" localSheetId="0">#REF!</definedName>
    <definedName name="_12_._solv">#REF!</definedName>
    <definedName name="_12__123Graph_AChart_1A" localSheetId="4">#REF!</definedName>
    <definedName name="_12__123Graph_AChart_1A" localSheetId="8">#REF!</definedName>
    <definedName name="_12__123Graph_AChart_1A" localSheetId="0">#REF!</definedName>
    <definedName name="_12__123Graph_AChart_1A">#REF!</definedName>
    <definedName name="_12__123Graph_AChart_1AL" localSheetId="4">#REF!</definedName>
    <definedName name="_12__123Graph_AChart_1AL" localSheetId="8">#REF!</definedName>
    <definedName name="_12__123Graph_AChart_1AL" localSheetId="0">#REF!</definedName>
    <definedName name="_12__123Graph_AChart_1AL">#REF!</definedName>
    <definedName name="_12_0_0SO" localSheetId="4">#REF!</definedName>
    <definedName name="_12_0_0SO" localSheetId="8">#REF!</definedName>
    <definedName name="_12_0_0SO" localSheetId="0">#REF!</definedName>
    <definedName name="_12_0_0SO">#REF!</definedName>
    <definedName name="_120__123Graph_CChart_1I" localSheetId="4">#REF!</definedName>
    <definedName name="_120__123Graph_CChart_1I" localSheetId="8">#REF!</definedName>
    <definedName name="_120__123Graph_CChart_1I" localSheetId="0">#REF!</definedName>
    <definedName name="_120__123Graph_CChart_1I">#REF!</definedName>
    <definedName name="_121__123Graph_CChart_1J" localSheetId="4">#REF!</definedName>
    <definedName name="_121__123Graph_CChart_1J" localSheetId="8">#REF!</definedName>
    <definedName name="_121__123Graph_CChart_1J" localSheetId="0">#REF!</definedName>
    <definedName name="_121__123Graph_CChart_1J">#REF!</definedName>
    <definedName name="_122__123Graph_CChart_1K" localSheetId="4">#REF!</definedName>
    <definedName name="_122__123Graph_CChart_1K" localSheetId="8">#REF!</definedName>
    <definedName name="_122__123Graph_CChart_1K" localSheetId="0">#REF!</definedName>
    <definedName name="_122__123Graph_CChart_1K">#REF!</definedName>
    <definedName name="_123__123Graph_CChart_1L" localSheetId="4">#REF!</definedName>
    <definedName name="_123__123Graph_CChart_1L" localSheetId="8">#REF!</definedName>
    <definedName name="_123__123Graph_CChart_1L" localSheetId="0">#REF!</definedName>
    <definedName name="_123__123Graph_CChart_1L">#REF!</definedName>
    <definedName name="_123Graph_BChart1A" localSheetId="4">#REF!</definedName>
    <definedName name="_123Graph_BChart1A" localSheetId="8">#REF!</definedName>
    <definedName name="_123Graph_BChart1A" localSheetId="0">#REF!</definedName>
    <definedName name="_123Graph_BChart1A">#REF!</definedName>
    <definedName name="_124__123Graph_CChart_1N" localSheetId="4">#REF!</definedName>
    <definedName name="_124__123Graph_CChart_1N" localSheetId="8">#REF!</definedName>
    <definedName name="_124__123Graph_CChart_1N" localSheetId="0">#REF!</definedName>
    <definedName name="_124__123Graph_CChart_1N">#REF!</definedName>
    <definedName name="_125__123Graph_CChart_1O" localSheetId="4">#REF!</definedName>
    <definedName name="_125__123Graph_CChart_1O" localSheetId="8">#REF!</definedName>
    <definedName name="_125__123Graph_CChart_1O" localSheetId="0">#REF!</definedName>
    <definedName name="_125__123Graph_CChart_1O">#REF!</definedName>
    <definedName name="_126__123Graph_CChart_1P" localSheetId="4">#REF!</definedName>
    <definedName name="_126__123Graph_CChart_1P" localSheetId="8">#REF!</definedName>
    <definedName name="_126__123Graph_CChart_1P" localSheetId="0">#REF!</definedName>
    <definedName name="_126__123Graph_CChart_1P">#REF!</definedName>
    <definedName name="_127__123Graph_CChart_1T" localSheetId="4">#REF!</definedName>
    <definedName name="_127__123Graph_CChart_1T" localSheetId="8">#REF!</definedName>
    <definedName name="_127__123Graph_CChart_1T" localSheetId="0">#REF!</definedName>
    <definedName name="_127__123Graph_CChart_1T">#REF!</definedName>
    <definedName name="_128__123Graph_CChart_1U" localSheetId="4">#REF!</definedName>
    <definedName name="_128__123Graph_CChart_1U" localSheetId="8">#REF!</definedName>
    <definedName name="_128__123Graph_CChart_1U" localSheetId="0">#REF!</definedName>
    <definedName name="_128__123Graph_CChart_1U">#REF!</definedName>
    <definedName name="_129__123Graph_CChart_1W" localSheetId="4">#REF!</definedName>
    <definedName name="_129__123Graph_CChart_1W" localSheetId="8">#REF!</definedName>
    <definedName name="_129__123Graph_CChart_1W" localSheetId="0">#REF!</definedName>
    <definedName name="_129__123Graph_CChart_1W">#REF!</definedName>
    <definedName name="_13__123Graph_AChart_1AM" localSheetId="4">#REF!</definedName>
    <definedName name="_13__123Graph_AChart_1AM" localSheetId="8">#REF!</definedName>
    <definedName name="_13__123Graph_AChart_1AM" localSheetId="0">#REF!</definedName>
    <definedName name="_13__123Graph_AChart_1AM">#REF!</definedName>
    <definedName name="_130__123Graph_CChart_1Y" localSheetId="4">#REF!</definedName>
    <definedName name="_130__123Graph_CChart_1Y" localSheetId="8">#REF!</definedName>
    <definedName name="_130__123Graph_CChart_1Y" localSheetId="0">#REF!</definedName>
    <definedName name="_130__123Graph_CChart_1Y">#REF!</definedName>
    <definedName name="_131__123Graph_CChart_2AE" localSheetId="4">#REF!</definedName>
    <definedName name="_131__123Graph_CChart_2AE" localSheetId="8">#REF!</definedName>
    <definedName name="_131__123Graph_CChart_2AE" localSheetId="0">#REF!</definedName>
    <definedName name="_131__123Graph_CChart_2AE">#REF!</definedName>
    <definedName name="_132__123Graph_CChart_3B" localSheetId="4">#REF!</definedName>
    <definedName name="_132__123Graph_CChart_3B" localSheetId="8">#REF!</definedName>
    <definedName name="_132__123Graph_CChart_3B" localSheetId="0">#REF!</definedName>
    <definedName name="_132__123Graph_CChart_3B">#REF!</definedName>
    <definedName name="_133__123Graph_CChart_9C" localSheetId="4">#REF!</definedName>
    <definedName name="_133__123Graph_CChart_9C" localSheetId="8">#REF!</definedName>
    <definedName name="_133__123Graph_CChart_9C" localSheetId="0">#REF!</definedName>
    <definedName name="_133__123Graph_CChart_9C">#REF!</definedName>
    <definedName name="_134__123Graph_DChart_1AB" localSheetId="4">#REF!</definedName>
    <definedName name="_134__123Graph_DChart_1AB" localSheetId="8">#REF!</definedName>
    <definedName name="_134__123Graph_DChart_1AB" localSheetId="0">#REF!</definedName>
    <definedName name="_134__123Graph_DChart_1AB">#REF!</definedName>
    <definedName name="_135__123Graph_DChart_1AM" localSheetId="4">#REF!</definedName>
    <definedName name="_135__123Graph_DChart_1AM" localSheetId="8">#REF!</definedName>
    <definedName name="_135__123Graph_DChart_1AM" localSheetId="0">#REF!</definedName>
    <definedName name="_135__123Graph_DChart_1AM">#REF!</definedName>
    <definedName name="_136__123Graph_DChart_1B" localSheetId="4">#REF!</definedName>
    <definedName name="_136__123Graph_DChart_1B" localSheetId="8">#REF!</definedName>
    <definedName name="_136__123Graph_DChart_1B" localSheetId="0">#REF!</definedName>
    <definedName name="_136__123Graph_DChart_1B">#REF!</definedName>
    <definedName name="_137__123Graph_DChart_1C" localSheetId="4">#REF!</definedName>
    <definedName name="_137__123Graph_DChart_1C" localSheetId="8">#REF!</definedName>
    <definedName name="_137__123Graph_DChart_1C" localSheetId="0">#REF!</definedName>
    <definedName name="_137__123Graph_DChart_1C">#REF!</definedName>
    <definedName name="_138__123Graph_DChart_1CE" localSheetId="4">#REF!</definedName>
    <definedName name="_138__123Graph_DChart_1CE" localSheetId="8">#REF!</definedName>
    <definedName name="_138__123Graph_DChart_1CE" localSheetId="0">#REF!</definedName>
    <definedName name="_138__123Graph_DChart_1CE">#REF!</definedName>
    <definedName name="_139__123Graph_DChart_1D" localSheetId="4">#REF!</definedName>
    <definedName name="_139__123Graph_DChart_1D" localSheetId="8">#REF!</definedName>
    <definedName name="_139__123Graph_DChart_1D" localSheetId="0">#REF!</definedName>
    <definedName name="_139__123Graph_DChart_1D">#REF!</definedName>
    <definedName name="_14__123Graph_AChart_1AN" localSheetId="4">#REF!</definedName>
    <definedName name="_14__123Graph_AChart_1AN" localSheetId="8">#REF!</definedName>
    <definedName name="_14__123Graph_AChart_1AN" localSheetId="0">#REF!</definedName>
    <definedName name="_14__123Graph_AChart_1AN">#REF!</definedName>
    <definedName name="_140__123Graph_DChart_1E" localSheetId="4">#REF!</definedName>
    <definedName name="_140__123Graph_DChart_1E" localSheetId="8">#REF!</definedName>
    <definedName name="_140__123Graph_DChart_1E" localSheetId="0">#REF!</definedName>
    <definedName name="_140__123Graph_DChart_1E">#REF!</definedName>
    <definedName name="_141__123Graph_DChart_1H" localSheetId="4">#REF!</definedName>
    <definedName name="_141__123Graph_DChart_1H" localSheetId="8">#REF!</definedName>
    <definedName name="_141__123Graph_DChart_1H" localSheetId="0">#REF!</definedName>
    <definedName name="_141__123Graph_DChart_1H">#REF!</definedName>
    <definedName name="_142__123Graph_DChart_1I" localSheetId="4">#REF!</definedName>
    <definedName name="_142__123Graph_DChart_1I" localSheetId="8">#REF!</definedName>
    <definedName name="_142__123Graph_DChart_1I" localSheetId="0">#REF!</definedName>
    <definedName name="_142__123Graph_DChart_1I">#REF!</definedName>
    <definedName name="_143__123Graph_DChart_1J" localSheetId="4">#REF!</definedName>
    <definedName name="_143__123Graph_DChart_1J" localSheetId="8">#REF!</definedName>
    <definedName name="_143__123Graph_DChart_1J" localSheetId="0">#REF!</definedName>
    <definedName name="_143__123Graph_DChart_1J">#REF!</definedName>
    <definedName name="_144__123Graph_DChart_1K" localSheetId="4">#REF!</definedName>
    <definedName name="_144__123Graph_DChart_1K" localSheetId="8">#REF!</definedName>
    <definedName name="_144__123Graph_DChart_1K" localSheetId="0">#REF!</definedName>
    <definedName name="_144__123Graph_DChart_1K">#REF!</definedName>
    <definedName name="_145__123Graph_DChart_1L" localSheetId="4">#REF!</definedName>
    <definedName name="_145__123Graph_DChart_1L" localSheetId="8">#REF!</definedName>
    <definedName name="_145__123Graph_DChart_1L" localSheetId="0">#REF!</definedName>
    <definedName name="_145__123Graph_DChart_1L">#REF!</definedName>
    <definedName name="_146__123Graph_DChart_1O" localSheetId="4">#REF!</definedName>
    <definedName name="_146__123Graph_DChart_1O" localSheetId="8">#REF!</definedName>
    <definedName name="_146__123Graph_DChart_1O" localSheetId="0">#REF!</definedName>
    <definedName name="_146__123Graph_DChart_1O">#REF!</definedName>
    <definedName name="_148__123Graph_DChart_3B" localSheetId="4">#REF!</definedName>
    <definedName name="_148__123Graph_DChart_3B" localSheetId="8">#REF!</definedName>
    <definedName name="_148__123Graph_DChart_3B" localSheetId="0">#REF!</definedName>
    <definedName name="_148__123Graph_DChart_3B">#REF!</definedName>
    <definedName name="_149__123Graph_EChart_1AB" localSheetId="4">#REF!</definedName>
    <definedName name="_149__123Graph_EChart_1AB" localSheetId="8">#REF!</definedName>
    <definedName name="_149__123Graph_EChart_1AB" localSheetId="0">#REF!</definedName>
    <definedName name="_149__123Graph_EChart_1AB">#REF!</definedName>
    <definedName name="_15__123Graph_AChart_1AO" localSheetId="4">#REF!</definedName>
    <definedName name="_15__123Graph_AChart_1AO" localSheetId="8">#REF!</definedName>
    <definedName name="_15__123Graph_AChart_1AO" localSheetId="0">#REF!</definedName>
    <definedName name="_15__123Graph_AChart_1AO">#REF!</definedName>
    <definedName name="_150__123Graph_EChart_1B" localSheetId="4">#REF!</definedName>
    <definedName name="_150__123Graph_EChart_1B" localSheetId="8">#REF!</definedName>
    <definedName name="_150__123Graph_EChart_1B" localSheetId="0">#REF!</definedName>
    <definedName name="_150__123Graph_EChart_1B">#REF!</definedName>
    <definedName name="_151__123Graph_EChart_1CE" localSheetId="4">#REF!</definedName>
    <definedName name="_151__123Graph_EChart_1CE" localSheetId="8">#REF!</definedName>
    <definedName name="_151__123Graph_EChart_1CE" localSheetId="0">#REF!</definedName>
    <definedName name="_151__123Graph_EChart_1CE">#REF!</definedName>
    <definedName name="_152__123Graph_EChart_1D" localSheetId="4">#REF!</definedName>
    <definedName name="_152__123Graph_EChart_1D" localSheetId="8">#REF!</definedName>
    <definedName name="_152__123Graph_EChart_1D" localSheetId="0">#REF!</definedName>
    <definedName name="_152__123Graph_EChart_1D">#REF!</definedName>
    <definedName name="_153__123Graph_EChart_1E" localSheetId="4">#REF!</definedName>
    <definedName name="_153__123Graph_EChart_1E" localSheetId="8">#REF!</definedName>
    <definedName name="_153__123Graph_EChart_1E" localSheetId="0">#REF!</definedName>
    <definedName name="_153__123Graph_EChart_1E">#REF!</definedName>
    <definedName name="_154__123Graph_EChart_1H" localSheetId="4">#REF!</definedName>
    <definedName name="_154__123Graph_EChart_1H" localSheetId="8">#REF!</definedName>
    <definedName name="_154__123Graph_EChart_1H" localSheetId="0">#REF!</definedName>
    <definedName name="_154__123Graph_EChart_1H">#REF!</definedName>
    <definedName name="_156__123Graph_EChart_3B" localSheetId="4">#REF!</definedName>
    <definedName name="_156__123Graph_EChart_3B" localSheetId="8">#REF!</definedName>
    <definedName name="_156__123Graph_EChart_3B" localSheetId="0">#REF!</definedName>
    <definedName name="_156__123Graph_EChart_3B">#REF!</definedName>
    <definedName name="_157__123Graph_FChart_1B" localSheetId="4">#REF!</definedName>
    <definedName name="_157__123Graph_FChart_1B" localSheetId="8">#REF!</definedName>
    <definedName name="_157__123Graph_FChart_1B" localSheetId="0">#REF!</definedName>
    <definedName name="_157__123Graph_FChart_1B">#REF!</definedName>
    <definedName name="_158__123Graph_FChart_1E" localSheetId="4">#REF!</definedName>
    <definedName name="_158__123Graph_FChart_1E" localSheetId="8">#REF!</definedName>
    <definedName name="_158__123Graph_FChart_1E" localSheetId="0">#REF!</definedName>
    <definedName name="_158__123Graph_FChart_1E">#REF!</definedName>
    <definedName name="_16__123Graph_AChart_1AP" localSheetId="4">#REF!</definedName>
    <definedName name="_16__123Graph_AChart_1AP" localSheetId="8">#REF!</definedName>
    <definedName name="_16__123Graph_AChart_1AP" localSheetId="0">#REF!</definedName>
    <definedName name="_16__123Graph_AChart_1AP">#REF!</definedName>
    <definedName name="_160__123Graph_FChart_3B" localSheetId="4">#REF!</definedName>
    <definedName name="_160__123Graph_FChart_3B" localSheetId="8">#REF!</definedName>
    <definedName name="_160__123Graph_FChart_3B" localSheetId="0">#REF!</definedName>
    <definedName name="_160__123Graph_FChart_3B">#REF!</definedName>
    <definedName name="_161__123Graph_XChart_1A" localSheetId="4">#REF!</definedName>
    <definedName name="_161__123Graph_XChart_1A" localSheetId="8">#REF!</definedName>
    <definedName name="_161__123Graph_XChart_1A" localSheetId="0">#REF!</definedName>
    <definedName name="_161__123Graph_XChart_1A">#REF!</definedName>
    <definedName name="_162__123Graph_XChart_2AC" localSheetId="4">#REF!</definedName>
    <definedName name="_162__123Graph_XChart_2AC" localSheetId="8">#REF!</definedName>
    <definedName name="_162__123Graph_XChart_2AC" localSheetId="0">#REF!</definedName>
    <definedName name="_162__123Graph_XChart_2AC">#REF!</definedName>
    <definedName name="_163__123Graph_XChart_2U" localSheetId="4">#REF!</definedName>
    <definedName name="_163__123Graph_XChart_2U" localSheetId="8">#REF!</definedName>
    <definedName name="_163__123Graph_XChart_2U" localSheetId="0">#REF!</definedName>
    <definedName name="_163__123Graph_XChart_2U">#REF!</definedName>
    <definedName name="_16K" localSheetId="4">#REF!</definedName>
    <definedName name="_16K" localSheetId="8">#REF!</definedName>
    <definedName name="_16K" localSheetId="0">#REF!</definedName>
    <definedName name="_16K">#REF!</definedName>
    <definedName name="_18__123Graph_AChart_1B" localSheetId="4">#REF!</definedName>
    <definedName name="_18__123Graph_AChart_1B" localSheetId="8">#REF!</definedName>
    <definedName name="_18__123Graph_AChart_1B" localSheetId="0">#REF!</definedName>
    <definedName name="_18__123Graph_AChart_1B">#REF!</definedName>
    <definedName name="_18SO" localSheetId="4">#REF!</definedName>
    <definedName name="_18SO" localSheetId="8">#REF!</definedName>
    <definedName name="_18SO" localSheetId="0">#REF!</definedName>
    <definedName name="_18SO">#REF!</definedName>
    <definedName name="_19__123Graph_AChart_1C" localSheetId="4">#REF!</definedName>
    <definedName name="_19__123Graph_AChart_1C" localSheetId="8">#REF!</definedName>
    <definedName name="_19__123Graph_AChart_1C" localSheetId="0">#REF!</definedName>
    <definedName name="_19__123Graph_AChart_1C">#REF!</definedName>
    <definedName name="_1K" localSheetId="4">#REF!</definedName>
    <definedName name="_1K" localSheetId="8">#REF!</definedName>
    <definedName name="_1K" localSheetId="0">#REF!</definedName>
    <definedName name="_1K">#REF!</definedName>
    <definedName name="_2_._solv" localSheetId="4">#REF!</definedName>
    <definedName name="_2_._solv" localSheetId="8">#REF!</definedName>
    <definedName name="_2_._solv" localSheetId="0">#REF!</definedName>
    <definedName name="_2_._solv">#REF!</definedName>
    <definedName name="_2________123Graph_AChart_1A" localSheetId="4">#REF!</definedName>
    <definedName name="_2________123Graph_AChart_1A" localSheetId="8">#REF!</definedName>
    <definedName name="_2________123Graph_AChart_1A" localSheetId="0">#REF!</definedName>
    <definedName name="_2________123Graph_AChart_1A">#REF!</definedName>
    <definedName name="_2__123Graph_AChart_1A" localSheetId="4">#REF!</definedName>
    <definedName name="_2__123Graph_AChart_1A" localSheetId="8">#REF!</definedName>
    <definedName name="_2__123Graph_AChart_1A" localSheetId="0">#REF!</definedName>
    <definedName name="_2__123Graph_AChart_1A">#REF!</definedName>
    <definedName name="_2__123Graph_AChart_1AA" localSheetId="4">#REF!</definedName>
    <definedName name="_2__123Graph_AChart_1AA" localSheetId="8">#REF!</definedName>
    <definedName name="_2__123Graph_AChart_1AA" localSheetId="0">#REF!</definedName>
    <definedName name="_2__123Graph_AChart_1AA">#REF!</definedName>
    <definedName name="_2__123Graph_BChart_1A" localSheetId="4">#REF!</definedName>
    <definedName name="_2__123Graph_BChart_1A" localSheetId="8">#REF!</definedName>
    <definedName name="_2__123Graph_BChart_1A" localSheetId="0">#REF!</definedName>
    <definedName name="_2__123Graph_BChart_1A">#REF!</definedName>
    <definedName name="_2__123Graph_XCHART_3" localSheetId="4">#REF!</definedName>
    <definedName name="_2__123Graph_XCHART_3" localSheetId="8">#REF!</definedName>
    <definedName name="_2__123Graph_XCHART_3" localSheetId="0">#REF!</definedName>
    <definedName name="_2__123Graph_XCHART_3">#REF!</definedName>
    <definedName name="_2_0___.0solv" localSheetId="4">#REF!</definedName>
    <definedName name="_2_0___.0solv" localSheetId="8">#REF!</definedName>
    <definedName name="_2_0___.0solv" localSheetId="0">#REF!</definedName>
    <definedName name="_2_0___.0solv">#REF!</definedName>
    <definedName name="_20__123Graph_AChart_1CA" localSheetId="4">#REF!</definedName>
    <definedName name="_20__123Graph_AChart_1CA" localSheetId="8">#REF!</definedName>
    <definedName name="_20__123Graph_AChart_1CA" localSheetId="0">#REF!</definedName>
    <definedName name="_20__123Graph_AChart_1CA">#REF!</definedName>
    <definedName name="_21__123Graph_AChart_1CD" localSheetId="4">#REF!</definedName>
    <definedName name="_21__123Graph_AChart_1CD" localSheetId="8">#REF!</definedName>
    <definedName name="_21__123Graph_AChart_1CD" localSheetId="0">#REF!</definedName>
    <definedName name="_21__123Graph_AChart_1CD">#REF!</definedName>
    <definedName name="_22__123Graph_AChart_1CE" localSheetId="4">#REF!</definedName>
    <definedName name="_22__123Graph_AChart_1CE" localSheetId="8">#REF!</definedName>
    <definedName name="_22__123Graph_AChart_1CE" localSheetId="0">#REF!</definedName>
    <definedName name="_22__123Graph_AChart_1CE">#REF!</definedName>
    <definedName name="_23__123Graph_AChart_1D" localSheetId="4">#REF!</definedName>
    <definedName name="_23__123Graph_AChart_1D" localSheetId="8">#REF!</definedName>
    <definedName name="_23__123Graph_AChart_1D" localSheetId="0">#REF!</definedName>
    <definedName name="_23__123Graph_AChart_1D">#REF!</definedName>
    <definedName name="_234Graph_B" localSheetId="4">#REF!</definedName>
    <definedName name="_234Graph_B" localSheetId="8">#REF!</definedName>
    <definedName name="_234Graph_B" localSheetId="0">#REF!</definedName>
    <definedName name="_234Graph_B">#REF!</definedName>
    <definedName name="_234Graph_E" localSheetId="4">#REF!</definedName>
    <definedName name="_234Graph_E" localSheetId="8">#REF!</definedName>
    <definedName name="_234Graph_E" localSheetId="0">#REF!</definedName>
    <definedName name="_234Graph_E">#REF!</definedName>
    <definedName name="_24__123Graph_AChart_1E" localSheetId="4">#REF!</definedName>
    <definedName name="_24__123Graph_AChart_1E" localSheetId="8">#REF!</definedName>
    <definedName name="_24__123Graph_AChart_1E" localSheetId="0">#REF!</definedName>
    <definedName name="_24__123Graph_AChart_1E">#REF!</definedName>
    <definedName name="_24__123Graph_BChart_1A" localSheetId="4">#REF!</definedName>
    <definedName name="_24__123Graph_BChart_1A" localSheetId="8">#REF!</definedName>
    <definedName name="_24__123Graph_BChart_1A" localSheetId="0">#REF!</definedName>
    <definedName name="_24__123Graph_BChart_1A">#REF!</definedName>
    <definedName name="_24_0___.0solv" localSheetId="4">#REF!</definedName>
    <definedName name="_24_0___.0solv" localSheetId="8">#REF!</definedName>
    <definedName name="_24_0___.0solv" localSheetId="0">#REF!</definedName>
    <definedName name="_24_0___.0solv">#REF!</definedName>
    <definedName name="_25__123Graph_AChart_1F" localSheetId="4">#REF!</definedName>
    <definedName name="_25__123Graph_AChart_1F" localSheetId="8">#REF!</definedName>
    <definedName name="_25__123Graph_AChart_1F" localSheetId="0">#REF!</definedName>
    <definedName name="_25__123Graph_AChart_1F">#REF!</definedName>
    <definedName name="_26__123Graph_AChart_1G" localSheetId="4">#REF!</definedName>
    <definedName name="_26__123Graph_AChart_1G" localSheetId="8">#REF!</definedName>
    <definedName name="_26__123Graph_AChart_1G" localSheetId="0">#REF!</definedName>
    <definedName name="_26__123Graph_AChart_1G">#REF!</definedName>
    <definedName name="_27__123Graph_AChart_1H" localSheetId="4">#REF!</definedName>
    <definedName name="_27__123Graph_AChart_1H" localSheetId="8">#REF!</definedName>
    <definedName name="_27__123Graph_AChart_1H" localSheetId="0">#REF!</definedName>
    <definedName name="_27__123Graph_AChart_1H">#REF!</definedName>
    <definedName name="_28__123Graph_AChart_1I" localSheetId="4">#REF!</definedName>
    <definedName name="_28__123Graph_AChart_1I" localSheetId="8">#REF!</definedName>
    <definedName name="_28__123Graph_AChart_1I" localSheetId="0">#REF!</definedName>
    <definedName name="_28__123Graph_AChart_1I">#REF!</definedName>
    <definedName name="_29__123Graph_AChart_1J" localSheetId="4">#REF!</definedName>
    <definedName name="_29__123Graph_AChart_1J" localSheetId="8">#REF!</definedName>
    <definedName name="_29__123Graph_AChart_1J" localSheetId="0">#REF!</definedName>
    <definedName name="_29__123Graph_AChart_1J">#REF!</definedName>
    <definedName name="_2K" localSheetId="4">#REF!</definedName>
    <definedName name="_2K" localSheetId="8">#REF!</definedName>
    <definedName name="_2K" localSheetId="0">#REF!</definedName>
    <definedName name="_2K">#REF!</definedName>
    <definedName name="_2S" localSheetId="4">#REF!</definedName>
    <definedName name="_2S" localSheetId="8">#REF!</definedName>
    <definedName name="_2S" localSheetId="0">#REF!</definedName>
    <definedName name="_2S">#REF!</definedName>
    <definedName name="_3_._solv" localSheetId="4">#REF!</definedName>
    <definedName name="_3_._solv" localSheetId="8">#REF!</definedName>
    <definedName name="_3_._solv" localSheetId="0">#REF!</definedName>
    <definedName name="_3_._solv">#REF!</definedName>
    <definedName name="_3____123Graph_BChart_1A" localSheetId="4">#REF!</definedName>
    <definedName name="_3____123Graph_BChart_1A" localSheetId="8">#REF!</definedName>
    <definedName name="_3____123Graph_BChart_1A" localSheetId="0">#REF!</definedName>
    <definedName name="_3____123Graph_BChart_1A">#REF!</definedName>
    <definedName name="_3__123Graph_AChart_1A" localSheetId="4">#REF!</definedName>
    <definedName name="_3__123Graph_AChart_1A" localSheetId="8">#REF!</definedName>
    <definedName name="_3__123Graph_AChart_1A" localSheetId="0">#REF!</definedName>
    <definedName name="_3__123Graph_AChart_1A">#REF!</definedName>
    <definedName name="_3__123Graph_AChart_1AB" localSheetId="4">#REF!</definedName>
    <definedName name="_3__123Graph_AChart_1AB" localSheetId="8">#REF!</definedName>
    <definedName name="_3__123Graph_AChart_1AB" localSheetId="0">#REF!</definedName>
    <definedName name="_3__123Graph_AChart_1AB">#REF!</definedName>
    <definedName name="_3__123Graph_XCHART_4" localSheetId="4">#REF!</definedName>
    <definedName name="_3__123Graph_XCHART_4" localSheetId="8">#REF!</definedName>
    <definedName name="_3__123Graph_XCHART_4" localSheetId="0">#REF!</definedName>
    <definedName name="_3__123Graph_XCHART_4">#REF!</definedName>
    <definedName name="_3_0___.0solv" localSheetId="4">#REF!</definedName>
    <definedName name="_3_0___.0solv" localSheetId="8">#REF!</definedName>
    <definedName name="_3_0___.0solv" localSheetId="0">#REF!</definedName>
    <definedName name="_3_0___.0solv">#REF!</definedName>
    <definedName name="_3_0_0_K" localSheetId="4">#REF!</definedName>
    <definedName name="_3_0_0_K" localSheetId="8">#REF!</definedName>
    <definedName name="_3_0_0_K" localSheetId="0">#REF!</definedName>
    <definedName name="_3_0_0_K">#REF!</definedName>
    <definedName name="_30__123Graph_AChart_1K" localSheetId="4">#REF!</definedName>
    <definedName name="_30__123Graph_AChart_1K" localSheetId="8">#REF!</definedName>
    <definedName name="_30__123Graph_AChart_1K" localSheetId="0">#REF!</definedName>
    <definedName name="_30__123Graph_AChart_1K">#REF!</definedName>
    <definedName name="_31__123Graph_AChart_1L" localSheetId="4">#REF!</definedName>
    <definedName name="_31__123Graph_AChart_1L" localSheetId="8">#REF!</definedName>
    <definedName name="_31__123Graph_AChart_1L" localSheetId="0">#REF!</definedName>
    <definedName name="_31__123Graph_AChart_1L">#REF!</definedName>
    <definedName name="_32__123Graph_AChart_1M" localSheetId="4">#REF!</definedName>
    <definedName name="_32__123Graph_AChart_1M" localSheetId="8">#REF!</definedName>
    <definedName name="_32__123Graph_AChart_1M" localSheetId="0">#REF!</definedName>
    <definedName name="_32__123Graph_AChart_1M">#REF!</definedName>
    <definedName name="_321" localSheetId="4">#REF!</definedName>
    <definedName name="_321" localSheetId="8">#REF!</definedName>
    <definedName name="_321" localSheetId="0">#REF!</definedName>
    <definedName name="_321">#REF!</definedName>
    <definedName name="_33__123Graph_AChart_1N" localSheetId="4">#REF!</definedName>
    <definedName name="_33__123Graph_AChart_1N" localSheetId="8">#REF!</definedName>
    <definedName name="_33__123Graph_AChart_1N" localSheetId="0">#REF!</definedName>
    <definedName name="_33__123Graph_AChart_1N">#REF!</definedName>
    <definedName name="_34__123Graph_AChart_1O" localSheetId="4">#REF!</definedName>
    <definedName name="_34__123Graph_AChart_1O" localSheetId="8">#REF!</definedName>
    <definedName name="_34__123Graph_AChart_1O" localSheetId="0">#REF!</definedName>
    <definedName name="_34__123Graph_AChart_1O">#REF!</definedName>
    <definedName name="_35__123Graph_AChart_1P" localSheetId="4">#REF!</definedName>
    <definedName name="_35__123Graph_AChart_1P" localSheetId="8">#REF!</definedName>
    <definedName name="_35__123Graph_AChart_1P" localSheetId="0">#REF!</definedName>
    <definedName name="_35__123Graph_AChart_1P">#REF!</definedName>
    <definedName name="_36__123Graph_AChart_1Q" localSheetId="4">#REF!</definedName>
    <definedName name="_36__123Graph_AChart_1Q" localSheetId="8">#REF!</definedName>
    <definedName name="_36__123Graph_AChart_1Q" localSheetId="0">#REF!</definedName>
    <definedName name="_36__123Graph_AChart_1Q">#REF!</definedName>
    <definedName name="_37__123Graph_AChart_1R" localSheetId="4">#REF!</definedName>
    <definedName name="_37__123Graph_AChart_1R" localSheetId="8">#REF!</definedName>
    <definedName name="_37__123Graph_AChart_1R" localSheetId="0">#REF!</definedName>
    <definedName name="_37__123Graph_AChart_1R">#REF!</definedName>
    <definedName name="_38__123Graph_AChart_1S" localSheetId="4">#REF!</definedName>
    <definedName name="_38__123Graph_AChart_1S" localSheetId="8">#REF!</definedName>
    <definedName name="_38__123Graph_AChart_1S" localSheetId="0">#REF!</definedName>
    <definedName name="_38__123Graph_AChart_1S">#REF!</definedName>
    <definedName name="_39__123Graph_AChart_1T" localSheetId="4">#REF!</definedName>
    <definedName name="_39__123Graph_AChart_1T" localSheetId="8">#REF!</definedName>
    <definedName name="_39__123Graph_AChart_1T" localSheetId="0">#REF!</definedName>
    <definedName name="_39__123Graph_AChart_1T">#REF!</definedName>
    <definedName name="_4__123Graph_AChart_1A" localSheetId="4">#REF!</definedName>
    <definedName name="_4__123Graph_AChart_1A" localSheetId="8">#REF!</definedName>
    <definedName name="_4__123Graph_AChart_1A" localSheetId="0">#REF!</definedName>
    <definedName name="_4__123Graph_AChart_1A">#REF!</definedName>
    <definedName name="_4__123Graph_AChart_1AC" localSheetId="4">#REF!</definedName>
    <definedName name="_4__123Graph_AChart_1AC" localSheetId="8">#REF!</definedName>
    <definedName name="_4__123Graph_AChart_1AC" localSheetId="0">#REF!</definedName>
    <definedName name="_4__123Graph_AChart_1AC">#REF!</definedName>
    <definedName name="_4__123Graph_BChart_1A" localSheetId="4">#REF!</definedName>
    <definedName name="_4__123Graph_BChart_1A" localSheetId="8">#REF!</definedName>
    <definedName name="_4__123Graph_BChart_1A" localSheetId="0">#REF!</definedName>
    <definedName name="_4__123Graph_BChart_1A">#REF!</definedName>
    <definedName name="_4_0___.0solv" localSheetId="4">#REF!</definedName>
    <definedName name="_4_0___.0solv" localSheetId="8">#REF!</definedName>
    <definedName name="_4_0___.0solv" localSheetId="0">#REF!</definedName>
    <definedName name="_4_0___.0solv">#REF!</definedName>
    <definedName name="_4_0_0_S" localSheetId="4">#REF!</definedName>
    <definedName name="_4_0_0_S" localSheetId="8">#REF!</definedName>
    <definedName name="_4_0_0_S" localSheetId="0">#REF!</definedName>
    <definedName name="_4_0_0_S">#REF!</definedName>
    <definedName name="_40__123Graph_AChart_1U" localSheetId="4">#REF!</definedName>
    <definedName name="_40__123Graph_AChart_1U" localSheetId="8">#REF!</definedName>
    <definedName name="_40__123Graph_AChart_1U" localSheetId="0">#REF!</definedName>
    <definedName name="_40__123Graph_AChart_1U">#REF!</definedName>
    <definedName name="_41__123Graph_AChart_1V" localSheetId="4">#REF!</definedName>
    <definedName name="_41__123Graph_AChart_1V" localSheetId="8">#REF!</definedName>
    <definedName name="_41__123Graph_AChart_1V" localSheetId="0">#REF!</definedName>
    <definedName name="_41__123Graph_AChart_1V">#REF!</definedName>
    <definedName name="_42__123Graph_AChart_1W" localSheetId="4">#REF!</definedName>
    <definedName name="_42__123Graph_AChart_1W" localSheetId="8">#REF!</definedName>
    <definedName name="_42__123Graph_AChart_1W" localSheetId="0">#REF!</definedName>
    <definedName name="_42__123Graph_AChart_1W">#REF!</definedName>
    <definedName name="_43__123Graph_AChart_1X" localSheetId="4">#REF!</definedName>
    <definedName name="_43__123Graph_AChart_1X" localSheetId="8">#REF!</definedName>
    <definedName name="_43__123Graph_AChart_1X" localSheetId="0">#REF!</definedName>
    <definedName name="_43__123Graph_AChart_1X">#REF!</definedName>
    <definedName name="_44__123Graph_AChart_1Y" localSheetId="4">#REF!</definedName>
    <definedName name="_44__123Graph_AChart_1Y" localSheetId="8">#REF!</definedName>
    <definedName name="_44__123Graph_AChart_1Y" localSheetId="0">#REF!</definedName>
    <definedName name="_44__123Graph_AChart_1Y">#REF!</definedName>
    <definedName name="_45__123Graph_AChart_1Z" localSheetId="4">#REF!</definedName>
    <definedName name="_45__123Graph_AChart_1Z" localSheetId="8">#REF!</definedName>
    <definedName name="_45__123Graph_AChart_1Z" localSheetId="0">#REF!</definedName>
    <definedName name="_45__123Graph_AChart_1Z">#REF!</definedName>
    <definedName name="_46__123Graph_AChart_2A" localSheetId="4">#REF!</definedName>
    <definedName name="_46__123Graph_AChart_2A" localSheetId="8">#REF!</definedName>
    <definedName name="_46__123Graph_AChart_2A" localSheetId="0">#REF!</definedName>
    <definedName name="_46__123Graph_AChart_2A">#REF!</definedName>
    <definedName name="_47__123Graph_AChart_2AC" localSheetId="4">#REF!</definedName>
    <definedName name="_47__123Graph_AChart_2AC" localSheetId="8">#REF!</definedName>
    <definedName name="_47__123Graph_AChart_2AC" localSheetId="0">#REF!</definedName>
    <definedName name="_47__123Graph_AChart_2AC">#REF!</definedName>
    <definedName name="_48__123Graph_AChart_2AE" localSheetId="4">#REF!</definedName>
    <definedName name="_48__123Graph_AChart_2AE" localSheetId="8">#REF!</definedName>
    <definedName name="_48__123Graph_AChart_2AE" localSheetId="0">#REF!</definedName>
    <definedName name="_48__123Graph_AChart_2AE">#REF!</definedName>
    <definedName name="_49__123Graph_AChart_2CC" localSheetId="4">#REF!</definedName>
    <definedName name="_49__123Graph_AChart_2CC" localSheetId="8">#REF!</definedName>
    <definedName name="_49__123Graph_AChart_2CC" localSheetId="0">#REF!</definedName>
    <definedName name="_49__123Graph_AChart_2CC">#REF!</definedName>
    <definedName name="_4S" localSheetId="4">#REF!</definedName>
    <definedName name="_4S" localSheetId="8">#REF!</definedName>
    <definedName name="_4S" localSheetId="0">#REF!</definedName>
    <definedName name="_4S">#REF!</definedName>
    <definedName name="_5__123Graph_AChart_1A" localSheetId="4">#REF!</definedName>
    <definedName name="_5__123Graph_AChart_1A" localSheetId="8">#REF!</definedName>
    <definedName name="_5__123Graph_AChart_1A" localSheetId="0">#REF!</definedName>
    <definedName name="_5__123Graph_AChart_1A">#REF!</definedName>
    <definedName name="_5__123Graph_AChart_1AD" localSheetId="4">#REF!</definedName>
    <definedName name="_5__123Graph_AChart_1AD" localSheetId="8">#REF!</definedName>
    <definedName name="_5__123Graph_AChart_1AD" localSheetId="0">#REF!</definedName>
    <definedName name="_5__123Graph_AChart_1AD">#REF!</definedName>
    <definedName name="_5__123Graph_BChart_1A" localSheetId="4">#REF!</definedName>
    <definedName name="_5__123Graph_BChart_1A" localSheetId="8">#REF!</definedName>
    <definedName name="_5__123Graph_BChart_1A" localSheetId="0">#REF!</definedName>
    <definedName name="_5__123Graph_BChart_1A">#REF!</definedName>
    <definedName name="_5_0_0K" localSheetId="4">#REF!</definedName>
    <definedName name="_5_0_0K" localSheetId="8">#REF!</definedName>
    <definedName name="_5_0_0K" localSheetId="0">#REF!</definedName>
    <definedName name="_5_0_0K">#REF!</definedName>
    <definedName name="_50__123Graph_AChart_2D" localSheetId="4">#REF!</definedName>
    <definedName name="_50__123Graph_AChart_2D" localSheetId="8">#REF!</definedName>
    <definedName name="_50__123Graph_AChart_2D" localSheetId="0">#REF!</definedName>
    <definedName name="_50__123Graph_AChart_2D">#REF!</definedName>
    <definedName name="_51__123Graph_AChart_2E" localSheetId="4">#REF!</definedName>
    <definedName name="_51__123Graph_AChart_2E" localSheetId="8">#REF!</definedName>
    <definedName name="_51__123Graph_AChart_2E" localSheetId="0">#REF!</definedName>
    <definedName name="_51__123Graph_AChart_2E">#REF!</definedName>
    <definedName name="_52__123Graph_AChart_2J" localSheetId="4">#REF!</definedName>
    <definedName name="_52__123Graph_AChart_2J" localSheetId="8">#REF!</definedName>
    <definedName name="_52__123Graph_AChart_2J" localSheetId="0">#REF!</definedName>
    <definedName name="_52__123Graph_AChart_2J">#REF!</definedName>
    <definedName name="_53__123Graph_AChart_2T" localSheetId="4">#REF!</definedName>
    <definedName name="_53__123Graph_AChart_2T" localSheetId="8">#REF!</definedName>
    <definedName name="_53__123Graph_AChart_2T" localSheetId="0">#REF!</definedName>
    <definedName name="_53__123Graph_AChart_2T">#REF!</definedName>
    <definedName name="_54__123Graph_AChart_2U" localSheetId="4">#REF!</definedName>
    <definedName name="_54__123Graph_AChart_2U" localSheetId="8">#REF!</definedName>
    <definedName name="_54__123Graph_AChart_2U" localSheetId="0">#REF!</definedName>
    <definedName name="_54__123Graph_AChart_2U">#REF!</definedName>
    <definedName name="_55__123Graph_AChart_3B" localSheetId="4">#REF!</definedName>
    <definedName name="_55__123Graph_AChart_3B" localSheetId="8">#REF!</definedName>
    <definedName name="_55__123Graph_AChart_3B" localSheetId="0">#REF!</definedName>
    <definedName name="_55__123Graph_AChart_3B">#REF!</definedName>
    <definedName name="_56__123Graph_AChart_3D" localSheetId="4">#REF!</definedName>
    <definedName name="_56__123Graph_AChart_3D" localSheetId="8">#REF!</definedName>
    <definedName name="_56__123Graph_AChart_3D" localSheetId="0">#REF!</definedName>
    <definedName name="_56__123Graph_AChart_3D">#REF!</definedName>
    <definedName name="_57__123Graph_AChart_3L" localSheetId="4">#REF!</definedName>
    <definedName name="_57__123Graph_AChart_3L" localSheetId="8">#REF!</definedName>
    <definedName name="_57__123Graph_AChart_3L" localSheetId="0">#REF!</definedName>
    <definedName name="_57__123Graph_AChart_3L">#REF!</definedName>
    <definedName name="_58__123Graph_AChart_3X" localSheetId="4">#REF!</definedName>
    <definedName name="_58__123Graph_AChart_3X" localSheetId="8">#REF!</definedName>
    <definedName name="_58__123Graph_AChart_3X" localSheetId="0">#REF!</definedName>
    <definedName name="_58__123Graph_AChart_3X">#REF!</definedName>
    <definedName name="_59__123Graph_AChart_9C" localSheetId="4">#REF!</definedName>
    <definedName name="_59__123Graph_AChart_9C" localSheetId="8">#REF!</definedName>
    <definedName name="_59__123Graph_AChart_9C" localSheetId="0">#REF!</definedName>
    <definedName name="_59__123Graph_AChart_9C">#REF!</definedName>
    <definedName name="_6__123Graph_AChart_1AE" localSheetId="4">#REF!</definedName>
    <definedName name="_6__123Graph_AChart_1AE" localSheetId="8">#REF!</definedName>
    <definedName name="_6__123Graph_AChart_1AE" localSheetId="0">#REF!</definedName>
    <definedName name="_6__123Graph_AChart_1AE">#REF!</definedName>
    <definedName name="_6__123Graph_BChart_1A" localSheetId="4">#REF!</definedName>
    <definedName name="_6__123Graph_BChart_1A" localSheetId="8">#REF!</definedName>
    <definedName name="_6__123Graph_BChart_1A" localSheetId="0">#REF!</definedName>
    <definedName name="_6__123Graph_BChart_1A">#REF!</definedName>
    <definedName name="_6_0_0_K" localSheetId="4">#REF!</definedName>
    <definedName name="_6_0_0_K" localSheetId="8">#REF!</definedName>
    <definedName name="_6_0_0_K" localSheetId="0">#REF!</definedName>
    <definedName name="_6_0_0_K">#REF!</definedName>
    <definedName name="_6_0_0SO" localSheetId="4">#REF!</definedName>
    <definedName name="_6_0_0SO" localSheetId="8">#REF!</definedName>
    <definedName name="_6_0_0SO" localSheetId="0">#REF!</definedName>
    <definedName name="_6_0_0SO">#REF!</definedName>
    <definedName name="_60__123Graph_BChart_1A" localSheetId="4">#REF!</definedName>
    <definedName name="_60__123Graph_BChart_1A" localSheetId="8">#REF!</definedName>
    <definedName name="_60__123Graph_BChart_1A" localSheetId="0">#REF!</definedName>
    <definedName name="_60__123Graph_BChart_1A">#REF!</definedName>
    <definedName name="_6005___SALARIE" localSheetId="4">#REF!</definedName>
    <definedName name="_6005___SALARIE" localSheetId="8">#REF!</definedName>
    <definedName name="_6005___SALARIE" localSheetId="0">#REF!</definedName>
    <definedName name="_6005___SALARIE">#REF!</definedName>
    <definedName name="_6010___VACATIO" localSheetId="4">#REF!</definedName>
    <definedName name="_6010___VACATIO" localSheetId="8">#REF!</definedName>
    <definedName name="_6010___VACATIO" localSheetId="0">#REF!</definedName>
    <definedName name="_6010___VACATIO">#REF!</definedName>
    <definedName name="_6015___PAYROLL" localSheetId="4">#REF!</definedName>
    <definedName name="_6015___PAYROLL" localSheetId="8">#REF!</definedName>
    <definedName name="_6015___PAYROLL" localSheetId="0">#REF!</definedName>
    <definedName name="_6015___PAYROLL">#REF!</definedName>
    <definedName name="_6020___CONTRAC" localSheetId="4">#REF!</definedName>
    <definedName name="_6020___CONTRAC" localSheetId="8">#REF!</definedName>
    <definedName name="_6020___CONTRAC" localSheetId="0">#REF!</definedName>
    <definedName name="_6020___CONTRAC">#REF!</definedName>
    <definedName name="_6025___PERSONN" localSheetId="4">#REF!</definedName>
    <definedName name="_6025___PERSONN" localSheetId="8">#REF!</definedName>
    <definedName name="_6025___PERSONN" localSheetId="0">#REF!</definedName>
    <definedName name="_6025___PERSONN">#REF!</definedName>
    <definedName name="_6030___TRANSFE" localSheetId="4">#REF!</definedName>
    <definedName name="_6030___TRANSFE" localSheetId="8">#REF!</definedName>
    <definedName name="_6030___TRANSFE" localSheetId="0">#REF!</definedName>
    <definedName name="_6030___TRANSFE">#REF!</definedName>
    <definedName name="_6035___PARKING" localSheetId="4">#REF!</definedName>
    <definedName name="_6035___PARKING" localSheetId="8">#REF!</definedName>
    <definedName name="_6035___PARKING" localSheetId="0">#REF!</definedName>
    <definedName name="_6035___PARKING">#REF!</definedName>
    <definedName name="_6040___AUTOMOB" localSheetId="4">#REF!</definedName>
    <definedName name="_6040___AUTOMOB" localSheetId="8">#REF!</definedName>
    <definedName name="_6040___AUTOMOB" localSheetId="0">#REF!</definedName>
    <definedName name="_6040___AUTOMOB">#REF!</definedName>
    <definedName name="_6045___TELEPHO" localSheetId="4">#REF!</definedName>
    <definedName name="_6045___TELEPHO" localSheetId="8">#REF!</definedName>
    <definedName name="_6045___TELEPHO" localSheetId="0">#REF!</definedName>
    <definedName name="_6045___TELEPHO">#REF!</definedName>
    <definedName name="_6055___TRAVEL_" localSheetId="4">#REF!</definedName>
    <definedName name="_6055___TRAVEL_" localSheetId="8">#REF!</definedName>
    <definedName name="_6055___TRAVEL_" localSheetId="0">#REF!</definedName>
    <definedName name="_6055___TRAVEL_">#REF!</definedName>
    <definedName name="_6060___BUSINES" localSheetId="4">#REF!</definedName>
    <definedName name="_6060___BUSINES" localSheetId="8">#REF!</definedName>
    <definedName name="_6060___BUSINES" localSheetId="0">#REF!</definedName>
    <definedName name="_6060___BUSINES">#REF!</definedName>
    <definedName name="_6065___ASSOCIA" localSheetId="4">#REF!</definedName>
    <definedName name="_6065___ASSOCIA" localSheetId="8">#REF!</definedName>
    <definedName name="_6065___ASSOCIA" localSheetId="0">#REF!</definedName>
    <definedName name="_6065___ASSOCIA">#REF!</definedName>
    <definedName name="_6070___TRADE_P" localSheetId="4">#REF!</definedName>
    <definedName name="_6070___TRADE_P" localSheetId="8">#REF!</definedName>
    <definedName name="_6070___TRADE_P" localSheetId="0">#REF!</definedName>
    <definedName name="_6070___TRADE_P">#REF!</definedName>
    <definedName name="_6075___OFFICE_" localSheetId="4">#REF!</definedName>
    <definedName name="_6075___OFFICE_" localSheetId="8">#REF!</definedName>
    <definedName name="_6075___OFFICE_" localSheetId="0">#REF!</definedName>
    <definedName name="_6075___OFFICE_">#REF!</definedName>
    <definedName name="_6080___INTERNA" localSheetId="4">#REF!</definedName>
    <definedName name="_6080___INTERNA" localSheetId="8">#REF!</definedName>
    <definedName name="_6080___INTERNA" localSheetId="0">#REF!</definedName>
    <definedName name="_6080___INTERNA">#REF!</definedName>
    <definedName name="_6085___NATIONA" localSheetId="4">#REF!</definedName>
    <definedName name="_6085___NATIONA" localSheetId="8">#REF!</definedName>
    <definedName name="_6085___NATIONA" localSheetId="0">#REF!</definedName>
    <definedName name="_6085___NATIONA">#REF!</definedName>
    <definedName name="_6095___PROMOTI" localSheetId="4">#REF!</definedName>
    <definedName name="_6095___PROMOTI" localSheetId="8">#REF!</definedName>
    <definedName name="_6095___PROMOTI" localSheetId="0">#REF!</definedName>
    <definedName name="_6095___PROMOTI">#REF!</definedName>
    <definedName name="_61__123Graph_BChart_1AA" localSheetId="4">#REF!</definedName>
    <definedName name="_61__123Graph_BChart_1AA" localSheetId="8">#REF!</definedName>
    <definedName name="_61__123Graph_BChart_1AA" localSheetId="0">#REF!</definedName>
    <definedName name="_61__123Graph_BChart_1AA">#REF!</definedName>
    <definedName name="_6105___BROCHUR" localSheetId="4">#REF!</definedName>
    <definedName name="_6105___BROCHUR" localSheetId="8">#REF!</definedName>
    <definedName name="_6105___BROCHUR" localSheetId="0">#REF!</definedName>
    <definedName name="_6105___BROCHUR">#REF!</definedName>
    <definedName name="_6110___AUDIO_V" localSheetId="4">#REF!</definedName>
    <definedName name="_6110___AUDIO_V" localSheetId="8">#REF!</definedName>
    <definedName name="_6110___AUDIO_V" localSheetId="0">#REF!</definedName>
    <definedName name="_6110___AUDIO_V">#REF!</definedName>
    <definedName name="_6115___PUBLIC_" localSheetId="4">#REF!</definedName>
    <definedName name="_6115___PUBLIC_" localSheetId="8">#REF!</definedName>
    <definedName name="_6115___PUBLIC_" localSheetId="0">#REF!</definedName>
    <definedName name="_6115___PUBLIC_">#REF!</definedName>
    <definedName name="_6120___OPENING" localSheetId="4">#REF!</definedName>
    <definedName name="_6120___OPENING" localSheetId="8">#REF!</definedName>
    <definedName name="_6120___OPENING" localSheetId="0">#REF!</definedName>
    <definedName name="_6120___OPENING">#REF!</definedName>
    <definedName name="_6125___TRAININ" localSheetId="4">#REF!</definedName>
    <definedName name="_6125___TRAININ" localSheetId="8">#REF!</definedName>
    <definedName name="_6125___TRAININ" localSheetId="0">#REF!</definedName>
    <definedName name="_6125___TRAININ">#REF!</definedName>
    <definedName name="_6130___EMPLOYE" localSheetId="4">#REF!</definedName>
    <definedName name="_6130___EMPLOYE" localSheetId="8">#REF!</definedName>
    <definedName name="_6130___EMPLOYE" localSheetId="0">#REF!</definedName>
    <definedName name="_6130___EMPLOYE">#REF!</definedName>
    <definedName name="_6135___OFFICE_" localSheetId="4">#REF!</definedName>
    <definedName name="_6135___OFFICE_" localSheetId="8">#REF!</definedName>
    <definedName name="_6135___OFFICE_" localSheetId="0">#REF!</definedName>
    <definedName name="_6135___OFFICE_">#REF!</definedName>
    <definedName name="_6140___OFFICE_" localSheetId="4">#REF!</definedName>
    <definedName name="_6140___OFFICE_" localSheetId="8">#REF!</definedName>
    <definedName name="_6140___OFFICE_" localSheetId="0">#REF!</definedName>
    <definedName name="_6140___OFFICE_">#REF!</definedName>
    <definedName name="_6145___LICENSE" localSheetId="4">#REF!</definedName>
    <definedName name="_6145___LICENSE" localSheetId="8">#REF!</definedName>
    <definedName name="_6145___LICENSE" localSheetId="0">#REF!</definedName>
    <definedName name="_6145___LICENSE">#REF!</definedName>
    <definedName name="_6150___PROFESS" localSheetId="4">#REF!</definedName>
    <definedName name="_6150___PROFESS" localSheetId="8">#REF!</definedName>
    <definedName name="_6150___PROFESS" localSheetId="0">#REF!</definedName>
    <definedName name="_6150___PROFESS">#REF!</definedName>
    <definedName name="_6155___OPENING" localSheetId="4">#REF!</definedName>
    <definedName name="_6155___OPENING" localSheetId="8">#REF!</definedName>
    <definedName name="_6155___OPENING" localSheetId="0">#REF!</definedName>
    <definedName name="_6155___OPENING">#REF!</definedName>
    <definedName name="_6165___UTILITI" localSheetId="4">#REF!</definedName>
    <definedName name="_6165___UTILITI" localSheetId="8">#REF!</definedName>
    <definedName name="_6165___UTILITI" localSheetId="0">#REF!</definedName>
    <definedName name="_6165___UTILITI">#REF!</definedName>
    <definedName name="_6170___SECURIT" localSheetId="4">#REF!</definedName>
    <definedName name="_6170___SECURIT" localSheetId="8">#REF!</definedName>
    <definedName name="_6170___SECURIT" localSheetId="0">#REF!</definedName>
    <definedName name="_6170___SECURIT">#REF!</definedName>
    <definedName name="_6175___MISCELL" localSheetId="4">#REF!</definedName>
    <definedName name="_6175___MISCELL" localSheetId="8">#REF!</definedName>
    <definedName name="_6175___MISCELL" localSheetId="0">#REF!</definedName>
    <definedName name="_6175___MISCELL">#REF!</definedName>
    <definedName name="_62__123Graph_BChart_1AB" localSheetId="4">#REF!</definedName>
    <definedName name="_62__123Graph_BChart_1AB" localSheetId="8">#REF!</definedName>
    <definedName name="_62__123Graph_BChart_1AB" localSheetId="0">#REF!</definedName>
    <definedName name="_62__123Graph_BChart_1AB">#REF!</definedName>
    <definedName name="_63__123Graph_BChart_1AC" localSheetId="4">#REF!</definedName>
    <definedName name="_63__123Graph_BChart_1AC" localSheetId="8">#REF!</definedName>
    <definedName name="_63__123Graph_BChart_1AC" localSheetId="0">#REF!</definedName>
    <definedName name="_63__123Graph_BChart_1AC">#REF!</definedName>
    <definedName name="_64__123Graph_BChart_1AD" localSheetId="4">#REF!</definedName>
    <definedName name="_64__123Graph_BChart_1AD" localSheetId="8">#REF!</definedName>
    <definedName name="_64__123Graph_BChart_1AD" localSheetId="0">#REF!</definedName>
    <definedName name="_64__123Graph_BChart_1AD">#REF!</definedName>
    <definedName name="_65__123Graph_BChart_1AE" localSheetId="4">#REF!</definedName>
    <definedName name="_65__123Graph_BChart_1AE" localSheetId="8">#REF!</definedName>
    <definedName name="_65__123Graph_BChart_1AE" localSheetId="0">#REF!</definedName>
    <definedName name="_65__123Graph_BChart_1AE">#REF!</definedName>
    <definedName name="_66__123Graph_BChart_1AF" localSheetId="4">#REF!</definedName>
    <definedName name="_66__123Graph_BChart_1AF" localSheetId="8">#REF!</definedName>
    <definedName name="_66__123Graph_BChart_1AF" localSheetId="0">#REF!</definedName>
    <definedName name="_66__123Graph_BChart_1AF">#REF!</definedName>
    <definedName name="_67__123Graph_BChart_1AG" localSheetId="4">#REF!</definedName>
    <definedName name="_67__123Graph_BChart_1AG" localSheetId="8">#REF!</definedName>
    <definedName name="_67__123Graph_BChart_1AG" localSheetId="0">#REF!</definedName>
    <definedName name="_67__123Graph_BChart_1AG">#REF!</definedName>
    <definedName name="_68__123Graph_BChart_1AM" localSheetId="4">#REF!</definedName>
    <definedName name="_68__123Graph_BChart_1AM" localSheetId="8">#REF!</definedName>
    <definedName name="_68__123Graph_BChart_1AM" localSheetId="0">#REF!</definedName>
    <definedName name="_68__123Graph_BChart_1AM">#REF!</definedName>
    <definedName name="_69__123Graph_BChart_1AO" localSheetId="4">#REF!</definedName>
    <definedName name="_69__123Graph_BChart_1AO" localSheetId="8">#REF!</definedName>
    <definedName name="_69__123Graph_BChart_1AO" localSheetId="0">#REF!</definedName>
    <definedName name="_69__123Graph_BChart_1AO">#REF!</definedName>
    <definedName name="_7__123Graph_AChart_1AF" localSheetId="4">#REF!</definedName>
    <definedName name="_7__123Graph_AChart_1AF" localSheetId="8">#REF!</definedName>
    <definedName name="_7__123Graph_AChart_1AF" localSheetId="0">#REF!</definedName>
    <definedName name="_7__123Graph_AChart_1AF">#REF!</definedName>
    <definedName name="_71__123Graph_BChart_1B" localSheetId="4">#REF!</definedName>
    <definedName name="_71__123Graph_BChart_1B" localSheetId="8">#REF!</definedName>
    <definedName name="_71__123Graph_BChart_1B" localSheetId="0">#REF!</definedName>
    <definedName name="_71__123Graph_BChart_1B">#REF!</definedName>
    <definedName name="_72__123Graph_BChart_1C" localSheetId="4">#REF!</definedName>
    <definedName name="_72__123Graph_BChart_1C" localSheetId="8">#REF!</definedName>
    <definedName name="_72__123Graph_BChart_1C" localSheetId="0">#REF!</definedName>
    <definedName name="_72__123Graph_BChart_1C">#REF!</definedName>
    <definedName name="_73__123Graph_BChart_1CA" localSheetId="4">#REF!</definedName>
    <definedName name="_73__123Graph_BChart_1CA" localSheetId="8">#REF!</definedName>
    <definedName name="_73__123Graph_BChart_1CA" localSheetId="0">#REF!</definedName>
    <definedName name="_73__123Graph_BChart_1CA">#REF!</definedName>
    <definedName name="_74__123Graph_BChart_1CD" localSheetId="4">#REF!</definedName>
    <definedName name="_74__123Graph_BChart_1CD" localSheetId="8">#REF!</definedName>
    <definedName name="_74__123Graph_BChart_1CD" localSheetId="0">#REF!</definedName>
    <definedName name="_74__123Graph_BChart_1CD">#REF!</definedName>
    <definedName name="_75__123Graph_BChart_1CE" localSheetId="4">#REF!</definedName>
    <definedName name="_75__123Graph_BChart_1CE" localSheetId="8">#REF!</definedName>
    <definedName name="_75__123Graph_BChart_1CE" localSheetId="0">#REF!</definedName>
    <definedName name="_75__123Graph_BChart_1CE">#REF!</definedName>
    <definedName name="_76__123Graph_BChart_1D" localSheetId="4">#REF!</definedName>
    <definedName name="_76__123Graph_BChart_1D" localSheetId="8">#REF!</definedName>
    <definedName name="_76__123Graph_BChart_1D" localSheetId="0">#REF!</definedName>
    <definedName name="_76__123Graph_BChart_1D">#REF!</definedName>
    <definedName name="_77__123Graph_BChart_1E" localSheetId="4">#REF!</definedName>
    <definedName name="_77__123Graph_BChart_1E" localSheetId="8">#REF!</definedName>
    <definedName name="_77__123Graph_BChart_1E" localSheetId="0">#REF!</definedName>
    <definedName name="_77__123Graph_BChart_1E">#REF!</definedName>
    <definedName name="_78__123Graph_BChart_1F" localSheetId="4">#REF!</definedName>
    <definedName name="_78__123Graph_BChart_1F" localSheetId="8">#REF!</definedName>
    <definedName name="_78__123Graph_BChart_1F" localSheetId="0">#REF!</definedName>
    <definedName name="_78__123Graph_BChart_1F">#REF!</definedName>
    <definedName name="_79__123Graph_BChart_1G" localSheetId="4">#REF!</definedName>
    <definedName name="_79__123Graph_BChart_1G" localSheetId="8">#REF!</definedName>
    <definedName name="_79__123Graph_BChart_1G" localSheetId="0">#REF!</definedName>
    <definedName name="_79__123Graph_BChart_1G">#REF!</definedName>
    <definedName name="_8__123Graph_AChart_1AG" localSheetId="4">#REF!</definedName>
    <definedName name="_8__123Graph_AChart_1AG" localSheetId="8">#REF!</definedName>
    <definedName name="_8__123Graph_AChart_1AG" localSheetId="0">#REF!</definedName>
    <definedName name="_8__123Graph_AChart_1AG">#REF!</definedName>
    <definedName name="_8__123Graph_BChart_1A" localSheetId="4">#REF!</definedName>
    <definedName name="_8__123Graph_BChart_1A" localSheetId="8">#REF!</definedName>
    <definedName name="_8__123Graph_BChart_1A" localSheetId="0">#REF!</definedName>
    <definedName name="_8__123Graph_BChart_1A">#REF!</definedName>
    <definedName name="_8_0_0_S" localSheetId="4">#REF!</definedName>
    <definedName name="_8_0_0_S" localSheetId="8">#REF!</definedName>
    <definedName name="_8_0_0_S" localSheetId="0">#REF!</definedName>
    <definedName name="_8_0_0_S">#REF!</definedName>
    <definedName name="_80__123Graph_BChart_1H" localSheetId="4">#REF!</definedName>
    <definedName name="_80__123Graph_BChart_1H" localSheetId="8">#REF!</definedName>
    <definedName name="_80__123Graph_BChart_1H" localSheetId="0">#REF!</definedName>
    <definedName name="_80__123Graph_BChart_1H">#REF!</definedName>
    <definedName name="_81__123Graph_BChart_1I" localSheetId="4">#REF!</definedName>
    <definedName name="_81__123Graph_BChart_1I" localSheetId="8">#REF!</definedName>
    <definedName name="_81__123Graph_BChart_1I" localSheetId="0">#REF!</definedName>
    <definedName name="_81__123Graph_BChart_1I">#REF!</definedName>
    <definedName name="_82__123Graph_BChart_1J" localSheetId="4">#REF!</definedName>
    <definedName name="_82__123Graph_BChart_1J" localSheetId="8">#REF!</definedName>
    <definedName name="_82__123Graph_BChart_1J" localSheetId="0">#REF!</definedName>
    <definedName name="_82__123Graph_BChart_1J">#REF!</definedName>
    <definedName name="_83__123Graph_BChart_1K" localSheetId="4">#REF!</definedName>
    <definedName name="_83__123Graph_BChart_1K" localSheetId="8">#REF!</definedName>
    <definedName name="_83__123Graph_BChart_1K" localSheetId="0">#REF!</definedName>
    <definedName name="_83__123Graph_BChart_1K">#REF!</definedName>
    <definedName name="_84__123Graph_BChart_1L" localSheetId="4">#REF!</definedName>
    <definedName name="_84__123Graph_BChart_1L" localSheetId="8">#REF!</definedName>
    <definedName name="_84__123Graph_BChart_1L" localSheetId="0">#REF!</definedName>
    <definedName name="_84__123Graph_BChart_1L">#REF!</definedName>
    <definedName name="_85__123Graph_BChart_1M" localSheetId="4">#REF!</definedName>
    <definedName name="_85__123Graph_BChart_1M" localSheetId="8">#REF!</definedName>
    <definedName name="_85__123Graph_BChart_1M" localSheetId="0">#REF!</definedName>
    <definedName name="_85__123Graph_BChart_1M">#REF!</definedName>
    <definedName name="_86__123Graph_BChart_1N" localSheetId="4">#REF!</definedName>
    <definedName name="_86__123Graph_BChart_1N" localSheetId="8">#REF!</definedName>
    <definedName name="_86__123Graph_BChart_1N" localSheetId="0">#REF!</definedName>
    <definedName name="_86__123Graph_BChart_1N">#REF!</definedName>
    <definedName name="_87__123Graph_BChart_1O" localSheetId="4">#REF!</definedName>
    <definedName name="_87__123Graph_BChart_1O" localSheetId="8">#REF!</definedName>
    <definedName name="_87__123Graph_BChart_1O" localSheetId="0">#REF!</definedName>
    <definedName name="_87__123Graph_BChart_1O">#REF!</definedName>
    <definedName name="_88__123Graph_BChart_1P" localSheetId="4">#REF!</definedName>
    <definedName name="_88__123Graph_BChart_1P" localSheetId="8">#REF!</definedName>
    <definedName name="_88__123Graph_BChart_1P" localSheetId="0">#REF!</definedName>
    <definedName name="_88__123Graph_BChart_1P">#REF!</definedName>
    <definedName name="_89__123Graph_BChart_1Q" localSheetId="4">#REF!</definedName>
    <definedName name="_89__123Graph_BChart_1Q" localSheetId="8">#REF!</definedName>
    <definedName name="_89__123Graph_BChart_1Q" localSheetId="0">#REF!</definedName>
    <definedName name="_89__123Graph_BChart_1Q">#REF!</definedName>
    <definedName name="_8K" localSheetId="4">#REF!</definedName>
    <definedName name="_8K" localSheetId="8">#REF!</definedName>
    <definedName name="_8K" localSheetId="0">#REF!</definedName>
    <definedName name="_8K">#REF!</definedName>
    <definedName name="_9__123Graph_AChart_1AI" localSheetId="4">#REF!</definedName>
    <definedName name="_9__123Graph_AChart_1AI" localSheetId="8">#REF!</definedName>
    <definedName name="_9__123Graph_AChart_1AI" localSheetId="0">#REF!</definedName>
    <definedName name="_9__123Graph_AChart_1AI">#REF!</definedName>
    <definedName name="_90__123Graph_BChart_1R" localSheetId="4">#REF!</definedName>
    <definedName name="_90__123Graph_BChart_1R" localSheetId="8">#REF!</definedName>
    <definedName name="_90__123Graph_BChart_1R" localSheetId="0">#REF!</definedName>
    <definedName name="_90__123Graph_BChart_1R">#REF!</definedName>
    <definedName name="_91__123Graph_BChart_1T" localSheetId="4">#REF!</definedName>
    <definedName name="_91__123Graph_BChart_1T" localSheetId="8">#REF!</definedName>
    <definedName name="_91__123Graph_BChart_1T" localSheetId="0">#REF!</definedName>
    <definedName name="_91__123Graph_BChart_1T">#REF!</definedName>
    <definedName name="_92__123Graph_BChart_1U" localSheetId="4">#REF!</definedName>
    <definedName name="_92__123Graph_BChart_1U" localSheetId="8">#REF!</definedName>
    <definedName name="_92__123Graph_BChart_1U" localSheetId="0">#REF!</definedName>
    <definedName name="_92__123Graph_BChart_1U">#REF!</definedName>
    <definedName name="_93__123Graph_BChart_1W" localSheetId="4">#REF!</definedName>
    <definedName name="_93__123Graph_BChart_1W" localSheetId="8">#REF!</definedName>
    <definedName name="_93__123Graph_BChart_1W" localSheetId="0">#REF!</definedName>
    <definedName name="_93__123Graph_BChart_1W">#REF!</definedName>
    <definedName name="_94__123Graph_BChart_1X" localSheetId="4">#REF!</definedName>
    <definedName name="_94__123Graph_BChart_1X" localSheetId="8">#REF!</definedName>
    <definedName name="_94__123Graph_BChart_1X" localSheetId="0">#REF!</definedName>
    <definedName name="_94__123Graph_BChart_1X">#REF!</definedName>
    <definedName name="_95__123Graph_BChart_1Y" localSheetId="4">#REF!</definedName>
    <definedName name="_95__123Graph_BChart_1Y" localSheetId="8">#REF!</definedName>
    <definedName name="_95__123Graph_BChart_1Y" localSheetId="0">#REF!</definedName>
    <definedName name="_95__123Graph_BChart_1Y">#REF!</definedName>
    <definedName name="_96__123Graph_BChart_1Z" localSheetId="4">#REF!</definedName>
    <definedName name="_96__123Graph_BChart_1Z" localSheetId="8">#REF!</definedName>
    <definedName name="_96__123Graph_BChart_1Z" localSheetId="0">#REF!</definedName>
    <definedName name="_96__123Graph_BChart_1Z">#REF!</definedName>
    <definedName name="_97__123Graph_BChart_2AC" localSheetId="4">#REF!</definedName>
    <definedName name="_97__123Graph_BChart_2AC" localSheetId="8">#REF!</definedName>
    <definedName name="_97__123Graph_BChart_2AC" localSheetId="0">#REF!</definedName>
    <definedName name="_97__123Graph_BChart_2AC">#REF!</definedName>
    <definedName name="_98__123Graph_BChart_2AE" localSheetId="4">#REF!</definedName>
    <definedName name="_98__123Graph_BChart_2AE" localSheetId="8">#REF!</definedName>
    <definedName name="_98__123Graph_BChart_2AE" localSheetId="0">#REF!</definedName>
    <definedName name="_98__123Graph_BChart_2AE">#REF!</definedName>
    <definedName name="_99__123Graph_BChart_2CC" localSheetId="4">#REF!</definedName>
    <definedName name="_99__123Graph_BChart_2CC" localSheetId="8">#REF!</definedName>
    <definedName name="_99__123Graph_BChart_2CC" localSheetId="0">#REF!</definedName>
    <definedName name="_99__123Graph_BChart_2CC">#REF!</definedName>
    <definedName name="_9SO" localSheetId="4">#REF!</definedName>
    <definedName name="_9SO" localSheetId="8">#REF!</definedName>
    <definedName name="_9SO" localSheetId="0">#REF!</definedName>
    <definedName name="_9SO">#REF!</definedName>
    <definedName name="_a2" localSheetId="4">#REF!</definedName>
    <definedName name="_a2" localSheetId="8">#REF!</definedName>
    <definedName name="_a2">#REF!</definedName>
    <definedName name="_a3" localSheetId="4">#REF!</definedName>
    <definedName name="_a3" localSheetId="8">#REF!</definedName>
    <definedName name="_a3">#REF!</definedName>
    <definedName name="_aa2" localSheetId="4">#REF!</definedName>
    <definedName name="_aa2" localSheetId="8">#REF!</definedName>
    <definedName name="_aa2">#REF!</definedName>
    <definedName name="_aa3" localSheetId="4">#REF!</definedName>
    <definedName name="_aa3" localSheetId="8">#REF!</definedName>
    <definedName name="_aa3">#REF!</definedName>
    <definedName name="_aa4" localSheetId="4">#REF!</definedName>
    <definedName name="_aa4" localSheetId="8">#REF!</definedName>
    <definedName name="_aa4">#REF!</definedName>
    <definedName name="_aa5" localSheetId="4">#REF!</definedName>
    <definedName name="_aa5" localSheetId="8">#REF!</definedName>
    <definedName name="_aa5">#REF!</definedName>
    <definedName name="_aa8" localSheetId="4">#REF!</definedName>
    <definedName name="_aa8" localSheetId="8">#REF!</definedName>
    <definedName name="_aa8">#REF!</definedName>
    <definedName name="_ab1" localSheetId="4">#REF!</definedName>
    <definedName name="_ab1" localSheetId="8">#REF!</definedName>
    <definedName name="_ab1">#REF!</definedName>
    <definedName name="_abc" localSheetId="4">#REF!</definedName>
    <definedName name="_abc" localSheetId="8">#REF!</definedName>
    <definedName name="_abc" localSheetId="0">#REF!</definedName>
    <definedName name="_abc">#REF!</definedName>
    <definedName name="_ag1" localSheetId="4">#REF!</definedName>
    <definedName name="_ag1" localSheetId="8">#REF!</definedName>
    <definedName name="_ag1">#REF!</definedName>
    <definedName name="_AS1" localSheetId="4">#REF!</definedName>
    <definedName name="_AS1" localSheetId="8">#REF!</definedName>
    <definedName name="_AS1">#REF!</definedName>
    <definedName name="_as2" localSheetId="4">#REF!</definedName>
    <definedName name="_as2" localSheetId="8">#REF!</definedName>
    <definedName name="_as2">#REF!</definedName>
    <definedName name="_b2" localSheetId="4">#REF!</definedName>
    <definedName name="_b2" localSheetId="8">#REF!</definedName>
    <definedName name="_b2">#REF!</definedName>
    <definedName name="_bb2" localSheetId="4">#REF!</definedName>
    <definedName name="_bb2" localSheetId="8">#REF!</definedName>
    <definedName name="_bb2">#REF!</definedName>
    <definedName name="_bb3" localSheetId="4">#REF!</definedName>
    <definedName name="_bb3" localSheetId="8">#REF!</definedName>
    <definedName name="_bb3">#REF!</definedName>
    <definedName name="_cc2" localSheetId="4">#REF!</definedName>
    <definedName name="_cc2" localSheetId="8">#REF!</definedName>
    <definedName name="_cc2">#REF!</definedName>
    <definedName name="_cc3" localSheetId="4">#REF!</definedName>
    <definedName name="_cc3" localSheetId="8">#REF!</definedName>
    <definedName name="_cc3">#REF!</definedName>
    <definedName name="_ccr1" localSheetId="4">#REF!</definedName>
    <definedName name="_ccr1" localSheetId="8">#REF!</definedName>
    <definedName name="_ccr1">#REF!</definedName>
    <definedName name="_Fill" localSheetId="4">#REF!</definedName>
    <definedName name="_Fill" localSheetId="8">#REF!</definedName>
    <definedName name="_Fill" localSheetId="0">#REF!</definedName>
    <definedName name="_Fill">#REF!</definedName>
    <definedName name="_hk4645" localSheetId="4">#REF!</definedName>
    <definedName name="_hk4645" localSheetId="8">#REF!</definedName>
    <definedName name="_hk4645">#REF!</definedName>
    <definedName name="_inf2007" localSheetId="4">#REF!</definedName>
    <definedName name="_inf2007" localSheetId="8">#REF!</definedName>
    <definedName name="_inf2007">#REF!</definedName>
    <definedName name="_inf2008" localSheetId="4">#REF!</definedName>
    <definedName name="_inf2008" localSheetId="8">#REF!</definedName>
    <definedName name="_inf2008">#REF!</definedName>
    <definedName name="_inf2009" localSheetId="4">#REF!</definedName>
    <definedName name="_inf2009" localSheetId="8">#REF!</definedName>
    <definedName name="_inf2009">#REF!</definedName>
    <definedName name="_inf2010" localSheetId="4">#REF!</definedName>
    <definedName name="_inf2010" localSheetId="8">#REF!</definedName>
    <definedName name="_inf2010">#REF!</definedName>
    <definedName name="_inf2011" localSheetId="4">#REF!</definedName>
    <definedName name="_inf2011" localSheetId="8">#REF!</definedName>
    <definedName name="_inf2011">#REF!</definedName>
    <definedName name="_inf2012" localSheetId="4">#REF!</definedName>
    <definedName name="_inf2012" localSheetId="8">#REF!</definedName>
    <definedName name="_inf2012">#REF!</definedName>
    <definedName name="_inf2013" localSheetId="4">#REF!</definedName>
    <definedName name="_inf2013" localSheetId="8">#REF!</definedName>
    <definedName name="_inf2013">#REF!</definedName>
    <definedName name="_inf2014" localSheetId="4">#REF!</definedName>
    <definedName name="_inf2014" localSheetId="8">#REF!</definedName>
    <definedName name="_inf2014">#REF!</definedName>
    <definedName name="_inf2015" localSheetId="4">#REF!</definedName>
    <definedName name="_inf2015" localSheetId="8">#REF!</definedName>
    <definedName name="_inf2015">#REF!</definedName>
    <definedName name="_Key1" localSheetId="4">#REF!</definedName>
    <definedName name="_Key1" localSheetId="8">#REF!</definedName>
    <definedName name="_Key1" localSheetId="0">#REF!</definedName>
    <definedName name="_Key1">#REF!</definedName>
    <definedName name="_KEY2" localSheetId="4">#REF!</definedName>
    <definedName name="_KEY2" localSheetId="8">#REF!</definedName>
    <definedName name="_KEY2" localSheetId="0">#REF!</definedName>
    <definedName name="_KEY2">#REF!</definedName>
    <definedName name="_n76" localSheetId="4">#REF!</definedName>
    <definedName name="_n76" localSheetId="8">#REF!</definedName>
    <definedName name="_n76">#REF!</definedName>
    <definedName name="_old3" localSheetId="4">#REF!</definedName>
    <definedName name="_old3" localSheetId="8">#REF!</definedName>
    <definedName name="_old3">#REF!</definedName>
    <definedName name="_old5" localSheetId="4">#REF!</definedName>
    <definedName name="_old5" localSheetId="8">#REF!</definedName>
    <definedName name="_old5">#REF!</definedName>
    <definedName name="_old7" localSheetId="4">#REF!</definedName>
    <definedName name="_old7" localSheetId="8">#REF!</definedName>
    <definedName name="_old7">#REF!</definedName>
    <definedName name="_OSM2" localSheetId="4">#REF!</definedName>
    <definedName name="_OSM2" localSheetId="8">#REF!</definedName>
    <definedName name="_OSM2">#REF!</definedName>
    <definedName name="_Parse_In" localSheetId="4">#REF!</definedName>
    <definedName name="_Parse_In" localSheetId="8">#REF!</definedName>
    <definedName name="_Parse_In" localSheetId="0">#REF!</definedName>
    <definedName name="_Parse_In">#REF!</definedName>
    <definedName name="_Regression_Y" localSheetId="4">#REF!</definedName>
    <definedName name="_Regression_Y" localSheetId="8">#REF!</definedName>
    <definedName name="_Regression_Y" localSheetId="0">#REF!</definedName>
    <definedName name="_Regression_Y">#REF!</definedName>
    <definedName name="_rl2" localSheetId="4">#REF!</definedName>
    <definedName name="_rl2" localSheetId="8">#REF!</definedName>
    <definedName name="_rl2">#REF!</definedName>
    <definedName name="_Sort" localSheetId="4">#REF!</definedName>
    <definedName name="_Sort" localSheetId="8">#REF!</definedName>
    <definedName name="_Sort" localSheetId="0">#REF!</definedName>
    <definedName name="_Sort">#REF!</definedName>
    <definedName name="_sss3" localSheetId="4">#REF!</definedName>
    <definedName name="_sss3" localSheetId="8">#REF!</definedName>
    <definedName name="_sss3">#REF!</definedName>
    <definedName name="_Table1_In1" localSheetId="4">#REF!</definedName>
    <definedName name="_Table1_In1" localSheetId="8">#REF!</definedName>
    <definedName name="_Table1_In1" localSheetId="0">#REF!</definedName>
    <definedName name="_Table1_In1">#REF!</definedName>
    <definedName name="_Table2_In1" localSheetId="4">#REF!</definedName>
    <definedName name="_Table2_In1" localSheetId="8">#REF!</definedName>
    <definedName name="_Table2_In1" localSheetId="0">#REF!</definedName>
    <definedName name="_Table2_In1">#REF!</definedName>
    <definedName name="_Table2_In2" localSheetId="4">#REF!</definedName>
    <definedName name="_Table2_In2" localSheetId="8">#REF!</definedName>
    <definedName name="_Table2_In2" localSheetId="0">#REF!</definedName>
    <definedName name="_Table2_In2">#REF!</definedName>
    <definedName name="_Table2_Out" localSheetId="4">#REF!</definedName>
    <definedName name="_Table2_Out" localSheetId="8">#REF!</definedName>
    <definedName name="_Table2_Out" localSheetId="0">#REF!</definedName>
    <definedName name="_Table2_Out">#REF!</definedName>
    <definedName name="_Table3_In2" localSheetId="4">#REF!</definedName>
    <definedName name="_Table3_In2" localSheetId="8">#REF!</definedName>
    <definedName name="_Table3_In2" localSheetId="0">#REF!</definedName>
    <definedName name="_Table3_In2">#REF!</definedName>
    <definedName name="_TBL12" localSheetId="4">#REF!</definedName>
    <definedName name="_TBL12" localSheetId="8">#REF!</definedName>
    <definedName name="_TBL12">#REF!</definedName>
    <definedName name="_ttt1" localSheetId="4">#REF!</definedName>
    <definedName name="_ttt1" localSheetId="8">#REF!</definedName>
    <definedName name="_ttt1">#REF!</definedName>
    <definedName name="_w1" localSheetId="4">#REF!</definedName>
    <definedName name="_w1" localSheetId="8">#REF!</definedName>
    <definedName name="_w1">#REF!</definedName>
    <definedName name="_wrn222" localSheetId="4">#REF!</definedName>
    <definedName name="_wrn222" localSheetId="8">#REF!</definedName>
    <definedName name="_wrn222">#REF!</definedName>
    <definedName name="_wrn3" localSheetId="4">#REF!</definedName>
    <definedName name="_wrn3" localSheetId="8">#REF!</definedName>
    <definedName name="_wrn3">#REF!</definedName>
    <definedName name="_x1" localSheetId="4">#REF!</definedName>
    <definedName name="_x1" localSheetId="8">#REF!</definedName>
    <definedName name="_x1">#REF!</definedName>
    <definedName name="a" localSheetId="4">#REF!</definedName>
    <definedName name="a" localSheetId="8">#REF!</definedName>
    <definedName name="a">#REF!</definedName>
    <definedName name="AA" localSheetId="4">#REF!</definedName>
    <definedName name="AA" localSheetId="8">#REF!</definedName>
    <definedName name="AA">#REF!</definedName>
    <definedName name="aaa" localSheetId="4">#REF!</definedName>
    <definedName name="aaa" localSheetId="8">#REF!</definedName>
    <definedName name="aaa" localSheetId="0">#REF!</definedName>
    <definedName name="aaa">#REF!</definedName>
    <definedName name="aaaa" localSheetId="4">#REF!</definedName>
    <definedName name="aaaa" localSheetId="8">#REF!</definedName>
    <definedName name="aaaa">#REF!</definedName>
    <definedName name="aaaaaa" localSheetId="4">#REF!</definedName>
    <definedName name="aaaaaa" localSheetId="8">#REF!</definedName>
    <definedName name="aaaaaa">#REF!</definedName>
    <definedName name="aaaaaaaa" localSheetId="4">#REF!</definedName>
    <definedName name="aaaaaaaa" localSheetId="8">#REF!</definedName>
    <definedName name="aaaaaaaa">#REF!</definedName>
    <definedName name="AAAAAAAAA" localSheetId="4">#REF!</definedName>
    <definedName name="AAAAAAAAA" localSheetId="8">#REF!</definedName>
    <definedName name="AAAAAAAAA">#REF!</definedName>
    <definedName name="AAAAAAAAAAAA" localSheetId="4">#REF!</definedName>
    <definedName name="AAAAAAAAAAAA" localSheetId="8">#REF!</definedName>
    <definedName name="AAAAAAAAAAAA">#REF!</definedName>
    <definedName name="AAAAAAAAAAAAAAAAA" localSheetId="4">#REF!</definedName>
    <definedName name="AAAAAAAAAAAAAAAAA" localSheetId="8">#REF!</definedName>
    <definedName name="AAAAAAAAAAAAAAAAA" localSheetId="0">#REF!</definedName>
    <definedName name="AAAAAAAAAAAAAAAAA">#REF!</definedName>
    <definedName name="aaea" localSheetId="4">#REF!</definedName>
    <definedName name="aaea" localSheetId="8">#REF!</definedName>
    <definedName name="aaea">#REF!</definedName>
    <definedName name="aasdf" localSheetId="4">#REF!</definedName>
    <definedName name="aasdf" localSheetId="8">#REF!</definedName>
    <definedName name="aasdf" localSheetId="0">#REF!</definedName>
    <definedName name="aasdf">#REF!</definedName>
    <definedName name="AAZAZER" localSheetId="4">#REF!</definedName>
    <definedName name="AAZAZER" localSheetId="8">#REF!</definedName>
    <definedName name="AAZAZER">#REF!</definedName>
    <definedName name="ab" localSheetId="4">#REF!</definedName>
    <definedName name="ab" localSheetId="8">#REF!</definedName>
    <definedName name="ab">#REF!</definedName>
    <definedName name="ABABA" localSheetId="4">#REF!</definedName>
    <definedName name="ABABA" localSheetId="8">#REF!</definedName>
    <definedName name="ABABA">#REF!</definedName>
    <definedName name="ABADB" localSheetId="4">#REF!</definedName>
    <definedName name="ABADB" localSheetId="8">#REF!</definedName>
    <definedName name="ABADB">#REF!</definedName>
    <definedName name="abc" localSheetId="4">#REF!</definedName>
    <definedName name="abc" localSheetId="8">#REF!</definedName>
    <definedName name="abc">#REF!</definedName>
    <definedName name="ABN" localSheetId="4">#REF!</definedName>
    <definedName name="ABN" localSheetId="8">#REF!</definedName>
    <definedName name="ABN">#REF!</definedName>
    <definedName name="ac" localSheetId="4">#REF!</definedName>
    <definedName name="ac" localSheetId="8">#REF!</definedName>
    <definedName name="ac">#REF!</definedName>
    <definedName name="acd" localSheetId="4">#REF!</definedName>
    <definedName name="acd" localSheetId="8">#REF!</definedName>
    <definedName name="acd">#REF!</definedName>
    <definedName name="ADBA" localSheetId="4">#REF!</definedName>
    <definedName name="ADBA" localSheetId="8">#REF!</definedName>
    <definedName name="ADBA">#REF!</definedName>
    <definedName name="adem" localSheetId="4">#REF!</definedName>
    <definedName name="adem" localSheetId="8">#REF!</definedName>
    <definedName name="adem">#REF!</definedName>
    <definedName name="adf" localSheetId="4">#REF!</definedName>
    <definedName name="adf" localSheetId="8">#REF!</definedName>
    <definedName name="adf">#REF!</definedName>
    <definedName name="adffg" localSheetId="4">#REF!</definedName>
    <definedName name="adffg" localSheetId="8">#REF!</definedName>
    <definedName name="adffg" localSheetId="0">#REF!</definedName>
    <definedName name="adffg">#REF!</definedName>
    <definedName name="adsf" localSheetId="4">#REF!</definedName>
    <definedName name="adsf" localSheetId="8">#REF!</definedName>
    <definedName name="adsf">#REF!</definedName>
    <definedName name="ae" localSheetId="4">#REF!</definedName>
    <definedName name="ae" localSheetId="8">#REF!</definedName>
    <definedName name="ae">#REF!</definedName>
    <definedName name="afAF" localSheetId="4">#REF!</definedName>
    <definedName name="afAF" localSheetId="8">#REF!</definedName>
    <definedName name="afAF">#REF!</definedName>
    <definedName name="AFECLKZE" localSheetId="4">#REF!</definedName>
    <definedName name="AFECLKZE" localSheetId="8">#REF!</definedName>
    <definedName name="AFECLKZE">#REF!</definedName>
    <definedName name="AFGGF" localSheetId="4">#REF!</definedName>
    <definedName name="AFGGF" localSheetId="8">#REF!</definedName>
    <definedName name="AFGGF">#REF!</definedName>
    <definedName name="afSF" localSheetId="4">#REF!</definedName>
    <definedName name="afSF" localSheetId="8">#REF!</definedName>
    <definedName name="afSF">#REF!</definedName>
    <definedName name="agAG" localSheetId="4">#REF!</definedName>
    <definedName name="agAG" localSheetId="8">#REF!</definedName>
    <definedName name="agAG">#REF!</definedName>
    <definedName name="AGFD" localSheetId="4">#REF!</definedName>
    <definedName name="AGFD" localSheetId="8">#REF!</definedName>
    <definedName name="AGFD">#REF!</definedName>
    <definedName name="Aging2" localSheetId="4">#REF!</definedName>
    <definedName name="Aging2" localSheetId="8">#REF!</definedName>
    <definedName name="Aging2">#REF!</definedName>
    <definedName name="aging3" localSheetId="4">#REF!</definedName>
    <definedName name="aging3" localSheetId="8">#REF!</definedName>
    <definedName name="aging3">#REF!</definedName>
    <definedName name="aging5" localSheetId="4">#REF!</definedName>
    <definedName name="aging5" localSheetId="8">#REF!</definedName>
    <definedName name="aging5">#REF!</definedName>
    <definedName name="aging6" localSheetId="4">#REF!</definedName>
    <definedName name="aging6" localSheetId="8">#REF!</definedName>
    <definedName name="aging6">#REF!</definedName>
    <definedName name="ahm" localSheetId="4">#REF!</definedName>
    <definedName name="ahm" localSheetId="8">#REF!</definedName>
    <definedName name="ahm">#REF!</definedName>
    <definedName name="Ahmet" localSheetId="4">#REF!</definedName>
    <definedName name="Ahmet" localSheetId="8">#REF!</definedName>
    <definedName name="Ahmet">#REF!</definedName>
    <definedName name="aieaü" localSheetId="4">#REF!</definedName>
    <definedName name="aieaü" localSheetId="8">#REF!</definedName>
    <definedName name="aieaü">#REF!</definedName>
    <definedName name="aky" localSheetId="4">#REF!</definedName>
    <definedName name="aky" localSheetId="8">#REF!</definedName>
    <definedName name="aky">#REF!</definedName>
    <definedName name="al" localSheetId="4">#REF!</definedName>
    <definedName name="al" localSheetId="8">#REF!</definedName>
    <definedName name="al" localSheetId="0">#REF!</definedName>
    <definedName name="al">#REF!</definedName>
    <definedName name="allah" localSheetId="4">#REF!</definedName>
    <definedName name="allah" localSheetId="8">#REF!</definedName>
    <definedName name="allah" localSheetId="0">#REF!</definedName>
    <definedName name="allah">#REF!</definedName>
    <definedName name="antonio" localSheetId="4">#REF!</definedName>
    <definedName name="antonio" localSheetId="8">#REF!</definedName>
    <definedName name="antonio">#REF!</definedName>
    <definedName name="appraisal" localSheetId="4">#REF!</definedName>
    <definedName name="appraisal" localSheetId="8">#REF!</definedName>
    <definedName name="appraisal">#REF!</definedName>
    <definedName name="aqw" localSheetId="4">#REF!</definedName>
    <definedName name="aqw" localSheetId="8">#REF!</definedName>
    <definedName name="aqw">#REF!</definedName>
    <definedName name="aqww" localSheetId="4">#REF!</definedName>
    <definedName name="aqww" localSheetId="8">#REF!</definedName>
    <definedName name="aqww">#REF!</definedName>
    <definedName name="ARGARG" localSheetId="4">#REF!</definedName>
    <definedName name="ARGARG" localSheetId="8">#REF!</definedName>
    <definedName name="ARGARG">#REF!</definedName>
    <definedName name="arrg" localSheetId="4">#REF!</definedName>
    <definedName name="arrg" localSheetId="8">#REF!</definedName>
    <definedName name="arrg">#REF!</definedName>
    <definedName name="as" localSheetId="4">#REF!</definedName>
    <definedName name="as" localSheetId="8">#REF!</definedName>
    <definedName name="as">#REF!</definedName>
    <definedName name="ASAS" localSheetId="4">#REF!</definedName>
    <definedName name="ASAS" localSheetId="8">#REF!</definedName>
    <definedName name="ASAS">#REF!</definedName>
    <definedName name="asasa" localSheetId="4">#REF!</definedName>
    <definedName name="asasa" localSheetId="8">#REF!</definedName>
    <definedName name="asasa">#REF!</definedName>
    <definedName name="asasas" localSheetId="4">#REF!</definedName>
    <definedName name="asasas" localSheetId="8">#REF!</definedName>
    <definedName name="asasas">#REF!</definedName>
    <definedName name="asasasa" localSheetId="4">#REF!</definedName>
    <definedName name="asasasa" localSheetId="8">#REF!</definedName>
    <definedName name="asasasa">#REF!</definedName>
    <definedName name="asasdaef" localSheetId="4">#REF!</definedName>
    <definedName name="asasdaef" localSheetId="8">#REF!</definedName>
    <definedName name="asasdaef" localSheetId="0">#REF!</definedName>
    <definedName name="asasdaef">#REF!</definedName>
    <definedName name="ASCVBN" localSheetId="4">#REF!</definedName>
    <definedName name="ASCVBN" localSheetId="8">#REF!</definedName>
    <definedName name="ASCVBN">#REF!</definedName>
    <definedName name="asd" localSheetId="4">#REF!</definedName>
    <definedName name="asd" localSheetId="8">#REF!</definedName>
    <definedName name="asd">#REF!</definedName>
    <definedName name="asdadsasdasd" localSheetId="4">#REF!</definedName>
    <definedName name="asdadsasdasd" localSheetId="8">#REF!</definedName>
    <definedName name="asdadsasdasd" localSheetId="0">#REF!</definedName>
    <definedName name="asdadsasdasd">#REF!</definedName>
    <definedName name="asdasd" localSheetId="4">#REF!</definedName>
    <definedName name="asdasd" localSheetId="8">#REF!</definedName>
    <definedName name="asdasd">#REF!</definedName>
    <definedName name="asdf" localSheetId="4">#REF!</definedName>
    <definedName name="asdf" localSheetId="8">#REF!</definedName>
    <definedName name="asdf">#REF!</definedName>
    <definedName name="asdfadf" localSheetId="4">#REF!</definedName>
    <definedName name="asdfadf" localSheetId="8">#REF!</definedName>
    <definedName name="asdfadf">#REF!</definedName>
    <definedName name="asdfasdf" localSheetId="4">#REF!</definedName>
    <definedName name="asdfasdf" localSheetId="8">#REF!</definedName>
    <definedName name="asdfasdf">#REF!</definedName>
    <definedName name="asdff" localSheetId="4">#REF!</definedName>
    <definedName name="asdff" localSheetId="8">#REF!</definedName>
    <definedName name="asdff">#REF!</definedName>
    <definedName name="ase" localSheetId="4">#REF!</definedName>
    <definedName name="ase" localSheetId="8">#REF!</definedName>
    <definedName name="ase">#REF!</definedName>
    <definedName name="askin" localSheetId="4">#REF!</definedName>
    <definedName name="askin" localSheetId="8">#REF!</definedName>
    <definedName name="askin">#REF!</definedName>
    <definedName name="ASS" localSheetId="4">#REF!</definedName>
    <definedName name="ASS" localSheetId="8">#REF!</definedName>
    <definedName name="ASS">#REF!</definedName>
    <definedName name="assaa" localSheetId="4">#REF!</definedName>
    <definedName name="assaa" localSheetId="8">#REF!</definedName>
    <definedName name="assaa" localSheetId="0">#REF!</definedName>
    <definedName name="assaa">#REF!</definedName>
    <definedName name="aşsajfkasjfalsdjflkasdjflşaksjdflşkasjfşiajsdşflkajsdşlfkjasşlkfjşalskfdjşlaksjfşlaskjdfşlaksjdşfl" localSheetId="4">#REF!</definedName>
    <definedName name="aşsajfkasjfalsdjflkasdjflşaksjdflşkasjfşiajsdşflkajsdşlfkjasşlkfjşalskfdjşlaksjfşlaskjdfşlaksjdşfl" localSheetId="8">#REF!</definedName>
    <definedName name="aşsajfkasjfalsdjflkasdjflşaksjdflşkasjfşiajsdşflkajsdşlfkjasşlkfjşalskfdjşlaksjfşlaskjdfşlaksjdşfl">#REF!</definedName>
    <definedName name="ASSSS" localSheetId="4">#REF!</definedName>
    <definedName name="ASSSS" localSheetId="8">#REF!</definedName>
    <definedName name="ASSSS">#REF!</definedName>
    <definedName name="atdh" localSheetId="4">#REF!</definedName>
    <definedName name="atdh" localSheetId="8">#REF!</definedName>
    <definedName name="atdh">#REF!</definedName>
    <definedName name="aüilüz" localSheetId="4">#REF!</definedName>
    <definedName name="aüilüz" localSheetId="8">#REF!</definedName>
    <definedName name="aüilüz">#REF!</definedName>
    <definedName name="AXCHUT" localSheetId="4">#REF!</definedName>
    <definedName name="AXCHUT" localSheetId="8">#REF!</definedName>
    <definedName name="AXCHUT">#REF!</definedName>
    <definedName name="axdrth" localSheetId="4">#REF!</definedName>
    <definedName name="axdrth" localSheetId="8">#REF!</definedName>
    <definedName name="axdrth">#REF!</definedName>
    <definedName name="axsdfgf" localSheetId="4">#REF!</definedName>
    <definedName name="axsdfgf" localSheetId="8">#REF!</definedName>
    <definedName name="axsdfgf">#REF!</definedName>
    <definedName name="AZXC" localSheetId="4">#REF!</definedName>
    <definedName name="AZXC" localSheetId="8">#REF!</definedName>
    <definedName name="AZXC">#REF!</definedName>
    <definedName name="b" localSheetId="4">#REF!</definedName>
    <definedName name="b" localSheetId="8">#REF!</definedName>
    <definedName name="b">#REF!</definedName>
    <definedName name="B.F.İŞL." localSheetId="4">#REF!</definedName>
    <definedName name="B.F.İŞL." localSheetId="8">#REF!</definedName>
    <definedName name="B.F.İŞL.">#REF!</definedName>
    <definedName name="B.F.İŞL.İHZARAT" localSheetId="4">#REF!</definedName>
    <definedName name="B.F.İŞL.İHZARAT" localSheetId="8">#REF!</definedName>
    <definedName name="B.F.İŞL.İHZARAT">#REF!</definedName>
    <definedName name="BacklogEentity" localSheetId="4">#REF!</definedName>
    <definedName name="BacklogEentity" localSheetId="8">#REF!</definedName>
    <definedName name="BacklogEentity">#REF!</definedName>
    <definedName name="BacklogEntity_new" localSheetId="4">#REF!</definedName>
    <definedName name="BacklogEntity_new" localSheetId="8">#REF!</definedName>
    <definedName name="BacklogEntity_new">#REF!</definedName>
    <definedName name="bb" localSheetId="4">#REF!</definedName>
    <definedName name="bb" localSheetId="8">#REF!</definedName>
    <definedName name="bb">#REF!</definedName>
    <definedName name="bbb" localSheetId="4">#REF!</definedName>
    <definedName name="bbb" localSheetId="8">#REF!</definedName>
    <definedName name="bbb">#REF!</definedName>
    <definedName name="BERK" localSheetId="4">#REF!</definedName>
    <definedName name="BERK" localSheetId="8">#REF!</definedName>
    <definedName name="BERK" localSheetId="0">#REF!</definedName>
    <definedName name="BERK">#REF!</definedName>
    <definedName name="bf" localSheetId="4">#REF!</definedName>
    <definedName name="bf" localSheetId="8">#REF!</definedName>
    <definedName name="bf">#REF!</definedName>
    <definedName name="bfai" localSheetId="4">#REF!</definedName>
    <definedName name="bfai" localSheetId="8">#REF!</definedName>
    <definedName name="bfai">#REF!</definedName>
    <definedName name="bfd" localSheetId="4">#REF!</definedName>
    <definedName name="bfd" localSheetId="8">#REF!</definedName>
    <definedName name="bfd">#REF!</definedName>
    <definedName name="bh" localSheetId="4">#REF!</definedName>
    <definedName name="bh" localSheetId="8">#REF!</definedName>
    <definedName name="bh">#REF!</definedName>
    <definedName name="bhg" localSheetId="4">#REF!</definedName>
    <definedName name="bhg" localSheetId="8">#REF!</definedName>
    <definedName name="bhg">#REF!</definedName>
    <definedName name="Biju" localSheetId="4">#REF!</definedName>
    <definedName name="Biju" localSheetId="8">#REF!</definedName>
    <definedName name="Biju">#REF!</definedName>
    <definedName name="bil" localSheetId="4">#REF!</definedName>
    <definedName name="bil" localSheetId="8">#REF!</definedName>
    <definedName name="bil">#REF!</definedName>
    <definedName name="BisDescr" localSheetId="4">#REF!</definedName>
    <definedName name="BisDescr" localSheetId="8">#REF!</definedName>
    <definedName name="BisDescr" localSheetId="0">#REF!</definedName>
    <definedName name="BisDescr">#REF!</definedName>
    <definedName name="blabla" localSheetId="4">#REF!</definedName>
    <definedName name="blabla" localSheetId="8">#REF!</definedName>
    <definedName name="blabla">#REF!</definedName>
    <definedName name="Blokaj" localSheetId="4">#REF!</definedName>
    <definedName name="Blokaj" localSheetId="8">#REF!</definedName>
    <definedName name="Blokaj">#REF!</definedName>
    <definedName name="BLPH1" localSheetId="4">#REF!</definedName>
    <definedName name="BLPH1" localSheetId="8">#REF!</definedName>
    <definedName name="BLPH1" localSheetId="0">#REF!</definedName>
    <definedName name="BLPH1">#REF!</definedName>
    <definedName name="BLPH2" localSheetId="4">#REF!</definedName>
    <definedName name="BLPH2" localSheetId="8">#REF!</definedName>
    <definedName name="BLPH2" localSheetId="0">#REF!</definedName>
    <definedName name="BLPH2">#REF!</definedName>
    <definedName name="BNBNBNV" localSheetId="4">#REF!</definedName>
    <definedName name="BNBNBNV" localSheetId="8">#REF!</definedName>
    <definedName name="BNBNBNV">#REF!</definedName>
    <definedName name="BTGB" localSheetId="4">#REF!</definedName>
    <definedName name="BTGB" localSheetId="8">#REF!</definedName>
    <definedName name="BTGB">#REF!</definedName>
    <definedName name="BTOI" localSheetId="4">#REF!</definedName>
    <definedName name="BTOI" localSheetId="8">#REF!</definedName>
    <definedName name="BTOI">#REF!</definedName>
    <definedName name="budget" localSheetId="4">#REF!</definedName>
    <definedName name="budget" localSheetId="8">#REF!</definedName>
    <definedName name="budget" localSheetId="0">#REF!</definedName>
    <definedName name="budget">#REF!</definedName>
    <definedName name="büz" localSheetId="4">#REF!</definedName>
    <definedName name="büz" localSheetId="8">#REF!</definedName>
    <definedName name="büz" localSheetId="0">#REF!</definedName>
    <definedName name="büz">#REF!</definedName>
    <definedName name="BV" localSheetId="4">#REF!</definedName>
    <definedName name="BV" localSheetId="8">#REF!</definedName>
    <definedName name="BV" localSheetId="0">#REF!</definedName>
    <definedName name="BV">#REF!</definedName>
    <definedName name="ç" localSheetId="4">#REF!</definedName>
    <definedName name="ç" localSheetId="8">#REF!</definedName>
    <definedName name="ç">#REF!</definedName>
    <definedName name="carlos" localSheetId="4">#REF!</definedName>
    <definedName name="carlos" localSheetId="8">#REF!</definedName>
    <definedName name="carlos">#REF!</definedName>
    <definedName name="cashfl" localSheetId="4">#REF!</definedName>
    <definedName name="cashfl" localSheetId="8">#REF!</definedName>
    <definedName name="cashfl">#REF!</definedName>
    <definedName name="çatı" localSheetId="4">#REF!</definedName>
    <definedName name="çatı" localSheetId="8">#REF!</definedName>
    <definedName name="çatı">#REF!</definedName>
    <definedName name="çç" localSheetId="4">#REF!</definedName>
    <definedName name="çç" localSheetId="8">#REF!</definedName>
    <definedName name="çç">#REF!</definedName>
    <definedName name="ccbv" localSheetId="4">#REF!</definedName>
    <definedName name="ccbv" localSheetId="8">#REF!</definedName>
    <definedName name="ccbv" localSheetId="0">#REF!</definedName>
    <definedName name="ccbv">#REF!</definedName>
    <definedName name="ccc" localSheetId="4">#REF!</definedName>
    <definedName name="ccc" localSheetId="8">#REF!</definedName>
    <definedName name="ccc">#REF!</definedName>
    <definedName name="ÇÇÇ" localSheetId="4">#REF!</definedName>
    <definedName name="ÇÇÇ" localSheetId="8">#REF!</definedName>
    <definedName name="ÇÇÇ">#REF!</definedName>
    <definedName name="ÇÇÇÇ" localSheetId="4">#REF!</definedName>
    <definedName name="ÇÇÇÇ" localSheetId="8">#REF!</definedName>
    <definedName name="ÇÇÇÇ">#REF!</definedName>
    <definedName name="CCL" localSheetId="4">#REF!</definedName>
    <definedName name="CCL" localSheetId="8">#REF!</definedName>
    <definedName name="CCL">#REF!</definedName>
    <definedName name="ccla" localSheetId="4">#REF!</definedName>
    <definedName name="ccla" localSheetId="8">#REF!</definedName>
    <definedName name="ccla">#REF!</definedName>
    <definedName name="CCR" localSheetId="4">#REF!</definedName>
    <definedName name="CCR" localSheetId="8">#REF!</definedName>
    <definedName name="CCR">#REF!</definedName>
    <definedName name="cd" localSheetId="4">#REF!</definedName>
    <definedName name="cd" localSheetId="8">#REF!</definedName>
    <definedName name="cd">#REF!</definedName>
    <definedName name="CDH" localSheetId="4">#REF!</definedName>
    <definedName name="CDH" localSheetId="8">#REF!</definedName>
    <definedName name="CDH">#REF!</definedName>
    <definedName name="cds" localSheetId="4">#REF!</definedName>
    <definedName name="cds" localSheetId="8">#REF!</definedName>
    <definedName name="cds">#REF!</definedName>
    <definedName name="celine" localSheetId="4">#REF!</definedName>
    <definedName name="celine" localSheetId="8">#REF!</definedName>
    <definedName name="celine">#REF!</definedName>
    <definedName name="cf" localSheetId="4">#REF!</definedName>
    <definedName name="cf" localSheetId="8">#REF!</definedName>
    <definedName name="cf">#REF!</definedName>
    <definedName name="ch" localSheetId="4">#REF!</definedName>
    <definedName name="ch" localSheetId="8">#REF!</definedName>
    <definedName name="ch">#REF!</definedName>
    <definedName name="CHU" localSheetId="4">#REF!</definedName>
    <definedName name="CHU" localSheetId="8">#REF!</definedName>
    <definedName name="CHU">#REF!</definedName>
    <definedName name="claudia" localSheetId="4">#REF!</definedName>
    <definedName name="claudia" localSheetId="8">#REF!</definedName>
    <definedName name="claudia">#REF!</definedName>
    <definedName name="cmntDeliv" localSheetId="4">#REF!</definedName>
    <definedName name="cmntDeliv" localSheetId="8">#REF!</definedName>
    <definedName name="cmntDeliv" localSheetId="0">#REF!</definedName>
    <definedName name="cmntDeliv">#REF!</definedName>
    <definedName name="COMPARE" localSheetId="4">#REF!</definedName>
    <definedName name="COMPARE" localSheetId="8">#REF!</definedName>
    <definedName name="COMPARE">#REF!</definedName>
    <definedName name="CONTINGENCY" localSheetId="4">#REF!</definedName>
    <definedName name="CONTINGENCY" localSheetId="8">#REF!</definedName>
    <definedName name="CONTINGENCY" localSheetId="0">#REF!</definedName>
    <definedName name="CONTINGENCY">#REF!</definedName>
    <definedName name="COVER1" localSheetId="4">#REF!</definedName>
    <definedName name="COVER1" localSheetId="8">#REF!</definedName>
    <definedName name="COVER1">#REF!</definedName>
    <definedName name="cu" localSheetId="4">#REF!</definedName>
    <definedName name="cu" localSheetId="8">#REF!</definedName>
    <definedName name="cu">#REF!</definedName>
    <definedName name="cxz" localSheetId="4">#REF!</definedName>
    <definedName name="cxz" localSheetId="8">#REF!</definedName>
    <definedName name="cxz" localSheetId="0">#REF!</definedName>
    <definedName name="cxz">#REF!</definedName>
    <definedName name="d" localSheetId="4">#REF!</definedName>
    <definedName name="d" localSheetId="8">#REF!</definedName>
    <definedName name="d">#REF!</definedName>
    <definedName name="dafdf" localSheetId="4">#REF!</definedName>
    <definedName name="dafdf" localSheetId="8">#REF!</definedName>
    <definedName name="dafdf">#REF!</definedName>
    <definedName name="dasdasd" localSheetId="4">#REF!</definedName>
    <definedName name="dasdasd" localSheetId="8">#REF!</definedName>
    <definedName name="dasdasd">#REF!</definedName>
    <definedName name="dasf" localSheetId="4">#REF!</definedName>
    <definedName name="dasf" localSheetId="8">#REF!</definedName>
    <definedName name="dasf">#REF!</definedName>
    <definedName name="DATA" localSheetId="4">#REF!</definedName>
    <definedName name="DATA" localSheetId="8">#REF!</definedName>
    <definedName name="DATA" localSheetId="0">#REF!</definedName>
    <definedName name="DATA">#REF!</definedName>
    <definedName name="DATA_01" localSheetId="4">#REF!</definedName>
    <definedName name="DATA_01" localSheetId="8">#REF!</definedName>
    <definedName name="DATA_01" localSheetId="0">#REF!</definedName>
    <definedName name="DATA_01">#REF!</definedName>
    <definedName name="DATA_02" localSheetId="4">#REF!</definedName>
    <definedName name="DATA_02" localSheetId="8">#REF!</definedName>
    <definedName name="DATA_02" localSheetId="0">#REF!</definedName>
    <definedName name="DATA_02">#REF!</definedName>
    <definedName name="DATA_03" localSheetId="4">#REF!</definedName>
    <definedName name="DATA_03" localSheetId="8">#REF!</definedName>
    <definedName name="DATA_03" localSheetId="0">#REF!</definedName>
    <definedName name="DATA_03">#REF!</definedName>
    <definedName name="DATA_04" localSheetId="4">#REF!</definedName>
    <definedName name="DATA_04" localSheetId="8">#REF!</definedName>
    <definedName name="DATA_04" localSheetId="0">#REF!</definedName>
    <definedName name="DATA_04">#REF!</definedName>
    <definedName name="DATA_05" localSheetId="4">#REF!</definedName>
    <definedName name="DATA_05" localSheetId="8">#REF!</definedName>
    <definedName name="DATA_05" localSheetId="0">#REF!</definedName>
    <definedName name="DATA_05">#REF!</definedName>
    <definedName name="DATA_06" localSheetId="4">#REF!</definedName>
    <definedName name="DATA_06" localSheetId="8">#REF!</definedName>
    <definedName name="DATA_06" localSheetId="0">#REF!</definedName>
    <definedName name="DATA_06">#REF!</definedName>
    <definedName name="DATA_07" localSheetId="4">#REF!</definedName>
    <definedName name="DATA_07" localSheetId="8">#REF!</definedName>
    <definedName name="DATA_07" localSheetId="0">#REF!</definedName>
    <definedName name="DATA_07">#REF!</definedName>
    <definedName name="DATA_08" localSheetId="4">#REF!</definedName>
    <definedName name="DATA_08" localSheetId="8">#REF!</definedName>
    <definedName name="DATA_08" localSheetId="0">#REF!</definedName>
    <definedName name="DATA_08">#REF!</definedName>
    <definedName name="DCBDFHF" localSheetId="4">#REF!</definedName>
    <definedName name="DCBDFHF" localSheetId="8">#REF!</definedName>
    <definedName name="DCBDFHF">#REF!</definedName>
    <definedName name="DCF" localSheetId="4">#REF!</definedName>
    <definedName name="DCF" localSheetId="8">#REF!</definedName>
    <definedName name="DCF" localSheetId="0">#REF!</definedName>
    <definedName name="DCF">#REF!</definedName>
    <definedName name="DCF_rus" localSheetId="4">#REF!</definedName>
    <definedName name="DCF_rus" localSheetId="8">#REF!</definedName>
    <definedName name="DCF_rus">#REF!</definedName>
    <definedName name="dd" localSheetId="4">#REF!</definedName>
    <definedName name="dd" localSheetId="8">#REF!</definedName>
    <definedName name="dd">#REF!</definedName>
    <definedName name="ddd" localSheetId="4">#REF!</definedName>
    <definedName name="ddd" localSheetId="8">#REF!</definedName>
    <definedName name="ddd">#REF!</definedName>
    <definedName name="DDDD" localSheetId="4">#REF!</definedName>
    <definedName name="DDDD" localSheetId="8">#REF!</definedName>
    <definedName name="DDDD">#REF!</definedName>
    <definedName name="ddddd" localSheetId="4">#REF!</definedName>
    <definedName name="ddddd" localSheetId="8">#REF!</definedName>
    <definedName name="ddddd">#REF!</definedName>
    <definedName name="ddf" localSheetId="4">#REF!</definedName>
    <definedName name="ddf" localSheetId="8">#REF!</definedName>
    <definedName name="ddf">#REF!</definedName>
    <definedName name="DDGDFGDFG" localSheetId="4">#REF!</definedName>
    <definedName name="DDGDFGDFG" localSheetId="8">#REF!</definedName>
    <definedName name="DDGDFGDFG">#REF!</definedName>
    <definedName name="de" localSheetId="4">#REF!</definedName>
    <definedName name="de" localSheetId="8">#REF!</definedName>
    <definedName name="de">#REF!</definedName>
    <definedName name="deee" localSheetId="4">#REF!</definedName>
    <definedName name="deee" localSheetId="8">#REF!</definedName>
    <definedName name="deee">#REF!</definedName>
    <definedName name="def" localSheetId="4">#REF!</definedName>
    <definedName name="def" localSheetId="8">#REF!</definedName>
    <definedName name="def">#REF!</definedName>
    <definedName name="dfdfdf" localSheetId="4">#REF!</definedName>
    <definedName name="dfdfdf" localSheetId="8">#REF!</definedName>
    <definedName name="dfdfdf">#REF!</definedName>
    <definedName name="dfds" localSheetId="4">#REF!</definedName>
    <definedName name="dfds" localSheetId="8">#REF!</definedName>
    <definedName name="dfds">#REF!</definedName>
    <definedName name="dfdsf" localSheetId="4">#REF!</definedName>
    <definedName name="dfdsf" localSheetId="8">#REF!</definedName>
    <definedName name="dfdsf">#REF!</definedName>
    <definedName name="DFF" localSheetId="4">#REF!</definedName>
    <definedName name="DFF" localSheetId="8">#REF!</definedName>
    <definedName name="DFF">#REF!</definedName>
    <definedName name="dffef" localSheetId="4">#REF!</definedName>
    <definedName name="dffef" localSheetId="8">#REF!</definedName>
    <definedName name="dffef">#REF!</definedName>
    <definedName name="dfffff" localSheetId="4">#REF!</definedName>
    <definedName name="dfffff" localSheetId="8">#REF!</definedName>
    <definedName name="dfffff">#REF!</definedName>
    <definedName name="dfg" localSheetId="4">#REF!</definedName>
    <definedName name="dfg" localSheetId="8">#REF!</definedName>
    <definedName name="dfg">#REF!</definedName>
    <definedName name="dfgasgv" localSheetId="4">#REF!</definedName>
    <definedName name="dfgasgv" localSheetId="8">#REF!</definedName>
    <definedName name="dfgasgv">#REF!</definedName>
    <definedName name="dfgh" localSheetId="4">#REF!</definedName>
    <definedName name="dfgh" localSheetId="8">#REF!</definedName>
    <definedName name="dfgh">#REF!</definedName>
    <definedName name="dfsdfsdf" localSheetId="4">#REF!</definedName>
    <definedName name="dfsdfsdf" localSheetId="8">#REF!</definedName>
    <definedName name="dfsdfsdf">#REF!</definedName>
    <definedName name="dfv" localSheetId="4">#REF!</definedName>
    <definedName name="dfv" localSheetId="8">#REF!</definedName>
    <definedName name="dfv">#REF!</definedName>
    <definedName name="dgfd" localSheetId="4">#REF!</definedName>
    <definedName name="dgfd" localSheetId="8">#REF!</definedName>
    <definedName name="dgfd">#REF!</definedName>
    <definedName name="dgfsdg" localSheetId="4">#REF!</definedName>
    <definedName name="dgfsdg" localSheetId="8">#REF!</definedName>
    <definedName name="dgfsdg">#REF!</definedName>
    <definedName name="dimac" localSheetId="4">#REF!</definedName>
    <definedName name="dimac" localSheetId="8">#REF!</definedName>
    <definedName name="dimac">#REF!</definedName>
    <definedName name="Doncaster" localSheetId="4">#REF!</definedName>
    <definedName name="Doncaster" localSheetId="8">#REF!</definedName>
    <definedName name="Doncaster">#REF!</definedName>
    <definedName name="Doncaster1" localSheetId="4">#REF!</definedName>
    <definedName name="Doncaster1" localSheetId="8">#REF!</definedName>
    <definedName name="Doncaster1">#REF!</definedName>
    <definedName name="dren" localSheetId="4">#REF!</definedName>
    <definedName name="dren" localSheetId="8">#REF!</definedName>
    <definedName name="dren">#REF!</definedName>
    <definedName name="dsadasd" localSheetId="4">#REF!</definedName>
    <definedName name="dsadasd" localSheetId="8">#REF!</definedName>
    <definedName name="dsadasd">#REF!</definedName>
    <definedName name="dsdsd" localSheetId="4">#REF!</definedName>
    <definedName name="dsdsd" localSheetId="8">#REF!</definedName>
    <definedName name="dsdsd">#REF!</definedName>
    <definedName name="DSDSDS" localSheetId="4">#REF!</definedName>
    <definedName name="DSDSDS" localSheetId="8">#REF!</definedName>
    <definedName name="DSDSDS">#REF!</definedName>
    <definedName name="dsfd" localSheetId="4">#REF!</definedName>
    <definedName name="dsfd" localSheetId="8">#REF!</definedName>
    <definedName name="dsfd">#REF!</definedName>
    <definedName name="dsfsdfdf" localSheetId="4">#REF!</definedName>
    <definedName name="dsfsdfdf" localSheetId="8">#REF!</definedName>
    <definedName name="dsfsdfdf">#REF!</definedName>
    <definedName name="dsfsdfsdf" localSheetId="4">#REF!</definedName>
    <definedName name="dsfsdfsdf" localSheetId="8">#REF!</definedName>
    <definedName name="dsfsdfsdf">#REF!</definedName>
    <definedName name="du" localSheetId="4">#REF!</definedName>
    <definedName name="du" localSheetId="8">#REF!</definedName>
    <definedName name="du">#REF!</definedName>
    <definedName name="dvbgf" localSheetId="4">#REF!</definedName>
    <definedName name="dvbgf" localSheetId="8">#REF!</definedName>
    <definedName name="dvbgf">#REF!</definedName>
    <definedName name="dvfasdf" localSheetId="4">#REF!</definedName>
    <definedName name="dvfasdf" localSheetId="8">#REF!</definedName>
    <definedName name="dvfasdf">#REF!</definedName>
    <definedName name="é" localSheetId="4">#REF!</definedName>
    <definedName name="é" localSheetId="8">#REF!</definedName>
    <definedName name="é">#REF!</definedName>
    <definedName name="ea" localSheetId="4">#REF!</definedName>
    <definedName name="ea" localSheetId="8">#REF!</definedName>
    <definedName name="ea">#REF!</definedName>
    <definedName name="eai" localSheetId="4">#REF!</definedName>
    <definedName name="eai" localSheetId="8">#REF!</definedName>
    <definedName name="eai">#REF!</definedName>
    <definedName name="eatüa" localSheetId="4">#REF!</definedName>
    <definedName name="eatüa" localSheetId="8">#REF!</definedName>
    <definedName name="eatüa">#REF!</definedName>
    <definedName name="eaüaü.l" localSheetId="4">#REF!</definedName>
    <definedName name="eaüaü.l" localSheetId="8">#REF!</definedName>
    <definedName name="eaüaü.l">#REF!</definedName>
    <definedName name="ED" localSheetId="4">#REF!</definedName>
    <definedName name="ED" localSheetId="8">#REF!</definedName>
    <definedName name="ED">#REF!</definedName>
    <definedName name="edcvfr" localSheetId="4">#REF!</definedName>
    <definedName name="edcvfr" localSheetId="8">#REF!</definedName>
    <definedName name="edcvfr">#REF!</definedName>
    <definedName name="edcxsw" localSheetId="4">#REF!</definedName>
    <definedName name="edcxsw" localSheetId="8">#REF!</definedName>
    <definedName name="edcxsw">#REF!</definedName>
    <definedName name="edf" localSheetId="4">#REF!</definedName>
    <definedName name="edf" localSheetId="8">#REF!</definedName>
    <definedName name="edf">#REF!</definedName>
    <definedName name="edsc" localSheetId="4">#REF!</definedName>
    <definedName name="edsc" localSheetId="8">#REF!</definedName>
    <definedName name="edsc">#REF!</definedName>
    <definedName name="ee" localSheetId="4">#REF!</definedName>
    <definedName name="ee" localSheetId="8">#REF!</definedName>
    <definedName name="ee">#REF!</definedName>
    <definedName name="eee" localSheetId="4">#REF!</definedName>
    <definedName name="eee" localSheetId="8">#REF!</definedName>
    <definedName name="eee">#REF!</definedName>
    <definedName name="eefedf" localSheetId="4">#REF!</definedName>
    <definedName name="eefedf" localSheetId="8">#REF!</definedName>
    <definedName name="eefedf">#REF!</definedName>
    <definedName name="eertry" localSheetId="4">#REF!</definedName>
    <definedName name="eertry" localSheetId="8">#REF!</definedName>
    <definedName name="eertry">#REF!</definedName>
    <definedName name="eeuyte" localSheetId="4">#REF!</definedName>
    <definedName name="eeuyte" localSheetId="8">#REF!</definedName>
    <definedName name="eeuyte">#REF!</definedName>
    <definedName name="efwef" localSheetId="4">#REF!</definedName>
    <definedName name="efwef" localSheetId="8">#REF!</definedName>
    <definedName name="efwef" localSheetId="0">#REF!</definedName>
    <definedName name="efwef">#REF!</definedName>
    <definedName name="Eltes" localSheetId="4">#REF!</definedName>
    <definedName name="Eltes" localSheetId="8">#REF!</definedName>
    <definedName name="Eltes">#REF!</definedName>
    <definedName name="emir" localSheetId="4">#REF!</definedName>
    <definedName name="emir" localSheetId="8">#REF!</definedName>
    <definedName name="emir">#REF!</definedName>
    <definedName name="EPR" localSheetId="4">#REF!</definedName>
    <definedName name="EPR" localSheetId="8">#REF!</definedName>
    <definedName name="EPR">#REF!</definedName>
    <definedName name="er" localSheetId="4">#REF!</definedName>
    <definedName name="er" localSheetId="8">#REF!</definedName>
    <definedName name="er">#REF!</definedName>
    <definedName name="ercan" localSheetId="4">#REF!</definedName>
    <definedName name="ercan" localSheetId="8">#REF!</definedName>
    <definedName name="ercan" localSheetId="0">#REF!</definedName>
    <definedName name="ercan">#REF!</definedName>
    <definedName name="erere" localSheetId="4">#REF!</definedName>
    <definedName name="erere" localSheetId="8">#REF!</definedName>
    <definedName name="erere">#REF!</definedName>
    <definedName name="erfer" localSheetId="4">#REF!</definedName>
    <definedName name="erfer" localSheetId="8">#REF!</definedName>
    <definedName name="erfer">#REF!</definedName>
    <definedName name="ERR" localSheetId="4">#REF!</definedName>
    <definedName name="ERR" localSheetId="8">#REF!</definedName>
    <definedName name="ERR" localSheetId="0">#REF!</definedName>
    <definedName name="ERR">#REF!</definedName>
    <definedName name="ers" localSheetId="4">#REF!</definedName>
    <definedName name="ers" localSheetId="8">#REF!</definedName>
    <definedName name="ers" localSheetId="0">#REF!</definedName>
    <definedName name="ers">#REF!</definedName>
    <definedName name="ert" localSheetId="4">#REF!</definedName>
    <definedName name="ert" localSheetId="8">#REF!</definedName>
    <definedName name="ert">#REF!</definedName>
    <definedName name="ertre" localSheetId="4">#REF!</definedName>
    <definedName name="ertre" localSheetId="8">#REF!</definedName>
    <definedName name="ertre">#REF!</definedName>
    <definedName name="erty" localSheetId="4">#REF!</definedName>
    <definedName name="erty" localSheetId="8">#REF!</definedName>
    <definedName name="erty">#REF!</definedName>
    <definedName name="erw" localSheetId="4">#REF!</definedName>
    <definedName name="erw" localSheetId="8">#REF!</definedName>
    <definedName name="erw">#REF!</definedName>
    <definedName name="erwerwere" localSheetId="4">#REF!</definedName>
    <definedName name="erwerwere" localSheetId="8">#REF!</definedName>
    <definedName name="erwerwere">#REF!</definedName>
    <definedName name="estimateb" localSheetId="4">#REF!</definedName>
    <definedName name="estimateb" localSheetId="8">#REF!</definedName>
    <definedName name="estimateb">#REF!</definedName>
    <definedName name="etry" localSheetId="4">#REF!</definedName>
    <definedName name="etry" localSheetId="8">#REF!</definedName>
    <definedName name="etry">#REF!</definedName>
    <definedName name="Evans1" localSheetId="4">#REF!</definedName>
    <definedName name="Evans1" localSheetId="8">#REF!</definedName>
    <definedName name="Evans1">#REF!</definedName>
    <definedName name="ew" localSheetId="4">#REF!</definedName>
    <definedName name="ew" localSheetId="8">#REF!</definedName>
    <definedName name="ew">#REF!</definedName>
    <definedName name="ewew" localSheetId="4">#REF!</definedName>
    <definedName name="ewew" localSheetId="8">#REF!</definedName>
    <definedName name="ewew">#REF!</definedName>
    <definedName name="ewewew" localSheetId="4">#REF!</definedName>
    <definedName name="ewewew" localSheetId="8">#REF!</definedName>
    <definedName name="ewewew">#REF!</definedName>
    <definedName name="EWRWERE" localSheetId="4">#REF!</definedName>
    <definedName name="EWRWERE" localSheetId="8">#REF!</definedName>
    <definedName name="EWRWERE">#REF!</definedName>
    <definedName name="ewrwerq" localSheetId="4">#REF!</definedName>
    <definedName name="ewrwerq" localSheetId="8">#REF!</definedName>
    <definedName name="ewrwerq">#REF!</definedName>
    <definedName name="ewww" localSheetId="4">#REF!</definedName>
    <definedName name="ewww" localSheetId="8">#REF!</definedName>
    <definedName name="ewww">#REF!</definedName>
    <definedName name="EXCLUSIONS" localSheetId="4">#REF!</definedName>
    <definedName name="EXCLUSIONS" localSheetId="8">#REF!</definedName>
    <definedName name="EXCLUSIONS" localSheetId="0">#REF!</definedName>
    <definedName name="EXCLUSIONS">#REF!</definedName>
    <definedName name="eyu" localSheetId="4">#REF!</definedName>
    <definedName name="eyu" localSheetId="8">#REF!</definedName>
    <definedName name="eyu">#REF!</definedName>
    <definedName name="F" localSheetId="4">#REF!</definedName>
    <definedName name="F" localSheetId="8">#REF!</definedName>
    <definedName name="F" localSheetId="0">#REF!</definedName>
    <definedName name="F">#REF!</definedName>
    <definedName name="fad" localSheetId="4">#REF!</definedName>
    <definedName name="fad" localSheetId="8">#REF!</definedName>
    <definedName name="fad">#REF!</definedName>
    <definedName name="faerrsegersg" localSheetId="4">#REF!</definedName>
    <definedName name="faerrsegersg" localSheetId="8">#REF!</definedName>
    <definedName name="faerrsegersg">#REF!</definedName>
    <definedName name="Farlington" localSheetId="4">#REF!</definedName>
    <definedName name="Farlington" localSheetId="8">#REF!</definedName>
    <definedName name="Farlington">#REF!</definedName>
    <definedName name="fddfdfdf" localSheetId="4">#REF!</definedName>
    <definedName name="fddfdfdf" localSheetId="8">#REF!</definedName>
    <definedName name="fddfdfdf">#REF!</definedName>
    <definedName name="fdff" localSheetId="4">#REF!</definedName>
    <definedName name="fdff" localSheetId="8">#REF!</definedName>
    <definedName name="fdff">#REF!</definedName>
    <definedName name="fdffffffff" localSheetId="4">#REF!</definedName>
    <definedName name="fdffffffff" localSheetId="8">#REF!</definedName>
    <definedName name="fdffffffff">#REF!</definedName>
    <definedName name="ff" localSheetId="4">#REF!</definedName>
    <definedName name="ff" localSheetId="8">#REF!</definedName>
    <definedName name="ff" localSheetId="0">#REF!</definedName>
    <definedName name="ff">#REF!</definedName>
    <definedName name="fff" localSheetId="4">#REF!</definedName>
    <definedName name="fff" localSheetId="8">#REF!</definedName>
    <definedName name="fff">#REF!</definedName>
    <definedName name="fg" localSheetId="4">#REF!</definedName>
    <definedName name="fg" localSheetId="8">#REF!</definedName>
    <definedName name="fg">#REF!</definedName>
    <definedName name="fgdfg" localSheetId="4">#REF!</definedName>
    <definedName name="fgdfg" localSheetId="8">#REF!</definedName>
    <definedName name="fgdfg">#REF!</definedName>
    <definedName name="fgfdg" localSheetId="4">#REF!</definedName>
    <definedName name="fgfdg" localSheetId="8">#REF!</definedName>
    <definedName name="fgfdg">#REF!</definedName>
    <definedName name="fgfg" localSheetId="4">#REF!</definedName>
    <definedName name="fgfg" localSheetId="8">#REF!</definedName>
    <definedName name="fgfg">#REF!</definedName>
    <definedName name="fgh" localSheetId="4">#REF!</definedName>
    <definedName name="fgh" localSheetId="8">#REF!</definedName>
    <definedName name="fgh">#REF!</definedName>
    <definedName name="fghfg" localSheetId="4">#REF!</definedName>
    <definedName name="fghfg" localSheetId="8">#REF!</definedName>
    <definedName name="fghfg">#REF!</definedName>
    <definedName name="FGHH" localSheetId="4">#REF!</definedName>
    <definedName name="FGHH" localSheetId="8">#REF!</definedName>
    <definedName name="FGHH">#REF!</definedName>
    <definedName name="fghj" localSheetId="4">#REF!</definedName>
    <definedName name="fghj" localSheetId="8">#REF!</definedName>
    <definedName name="fghj">#REF!</definedName>
    <definedName name="fgvgvb" localSheetId="4">#REF!</definedName>
    <definedName name="fgvgvb" localSheetId="8">#REF!</definedName>
    <definedName name="fgvgvb">#REF!</definedName>
    <definedName name="fgy" localSheetId="4">#REF!</definedName>
    <definedName name="fgy" localSheetId="8">#REF!</definedName>
    <definedName name="fgy">#REF!</definedName>
    <definedName name="fgyj" localSheetId="4">#REF!</definedName>
    <definedName name="fgyj" localSheetId="8">#REF!</definedName>
    <definedName name="fgyj" localSheetId="0">#REF!</definedName>
    <definedName name="fgyj">#REF!</definedName>
    <definedName name="fhgj" localSheetId="4">#REF!</definedName>
    <definedName name="fhgj" localSheetId="8">#REF!</definedName>
    <definedName name="fhgj">#REF!</definedName>
    <definedName name="FirstCred42" localSheetId="4">#REF!</definedName>
    <definedName name="FirstCred42" localSheetId="8">#REF!</definedName>
    <definedName name="FirstCred42" localSheetId="0">#REF!</definedName>
    <definedName name="FirstCred42">#REF!</definedName>
    <definedName name="FirstCred43" localSheetId="4">#REF!</definedName>
    <definedName name="FirstCred43" localSheetId="8">#REF!</definedName>
    <definedName name="FirstCred43" localSheetId="0">#REF!</definedName>
    <definedName name="FirstCred43">#REF!</definedName>
    <definedName name="FirstCred44" localSheetId="4">#REF!</definedName>
    <definedName name="FirstCred44" localSheetId="8">#REF!</definedName>
    <definedName name="FirstCred44" localSheetId="0">#REF!</definedName>
    <definedName name="FirstCred44">#REF!</definedName>
    <definedName name="FirstCred45" localSheetId="4">#REF!</definedName>
    <definedName name="FirstCred45" localSheetId="8">#REF!</definedName>
    <definedName name="FirstCred45" localSheetId="0">#REF!</definedName>
    <definedName name="FirstCred45">#REF!</definedName>
    <definedName name="FirstCred82" localSheetId="4">#REF!</definedName>
    <definedName name="FirstCred82" localSheetId="8">#REF!</definedName>
    <definedName name="FirstCred82" localSheetId="0">#REF!</definedName>
    <definedName name="FirstCred82">#REF!</definedName>
    <definedName name="FirstCred83" localSheetId="4">#REF!</definedName>
    <definedName name="FirstCred83" localSheetId="8">#REF!</definedName>
    <definedName name="FirstCred83" localSheetId="0">#REF!</definedName>
    <definedName name="FirstCred83">#REF!</definedName>
    <definedName name="FirstCred84" localSheetId="4">#REF!</definedName>
    <definedName name="FirstCred84" localSheetId="8">#REF!</definedName>
    <definedName name="FirstCred84" localSheetId="0">#REF!</definedName>
    <definedName name="FirstCred84">#REF!</definedName>
    <definedName name="FirstCred85" localSheetId="4">#REF!</definedName>
    <definedName name="FirstCred85" localSheetId="8">#REF!</definedName>
    <definedName name="FirstCred85" localSheetId="0">#REF!</definedName>
    <definedName name="FirstCred85">#REF!</definedName>
    <definedName name="FirstGuarant" localSheetId="4">#REF!</definedName>
    <definedName name="FirstGuarant" localSheetId="8">#REF!</definedName>
    <definedName name="FirstGuarant" localSheetId="0">#REF!</definedName>
    <definedName name="FirstGuarant">#REF!</definedName>
    <definedName name="FirstWarranty" localSheetId="4">#REF!</definedName>
    <definedName name="FirstWarranty" localSheetId="8">#REF!</definedName>
    <definedName name="FirstWarranty" localSheetId="0">#REF!</definedName>
    <definedName name="FirstWarranty">#REF!</definedName>
    <definedName name="fngfn" localSheetId="4">#REF!</definedName>
    <definedName name="fngfn" localSheetId="8">#REF!</definedName>
    <definedName name="fngfn">#REF!</definedName>
    <definedName name="ForestHill" localSheetId="4">#REF!</definedName>
    <definedName name="ForestHill" localSheetId="8">#REF!</definedName>
    <definedName name="ForestHill">#REF!</definedName>
    <definedName name="foresthilll" localSheetId="4">#REF!</definedName>
    <definedName name="foresthilll" localSheetId="8">#REF!</definedName>
    <definedName name="foresthilll">#REF!</definedName>
    <definedName name="fransızca" localSheetId="4">#REF!</definedName>
    <definedName name="fransızca" localSheetId="8">#REF!</definedName>
    <definedName name="fransızca">#REF!</definedName>
    <definedName name="fre" localSheetId="4">#REF!</definedName>
    <definedName name="fre" localSheetId="8">#REF!</definedName>
    <definedName name="fre">#REF!</definedName>
    <definedName name="fvcasdv" localSheetId="4">#REF!</definedName>
    <definedName name="fvcasdv" localSheetId="8">#REF!</definedName>
    <definedName name="fvcasdv">#REF!</definedName>
    <definedName name="ğ" localSheetId="4">#REF!</definedName>
    <definedName name="ğ" localSheetId="8">#REF!</definedName>
    <definedName name="ğ">#REF!</definedName>
    <definedName name="G2G2G" localSheetId="4">#REF!</definedName>
    <definedName name="G2G2G" localSheetId="8">#REF!</definedName>
    <definedName name="G2G2G">#REF!</definedName>
    <definedName name="gdsf" localSheetId="4">#REF!</definedName>
    <definedName name="gdsf" localSheetId="8">#REF!</definedName>
    <definedName name="gdsf">#REF!</definedName>
    <definedName name="general_exp." localSheetId="4">#REF!</definedName>
    <definedName name="general_exp." localSheetId="8">#REF!</definedName>
    <definedName name="general_exp.">#REF!</definedName>
    <definedName name="georges" localSheetId="4">#REF!</definedName>
    <definedName name="georges" localSheetId="8">#REF!</definedName>
    <definedName name="georges">#REF!</definedName>
    <definedName name="gfdgfdg" localSheetId="4">#REF!</definedName>
    <definedName name="gfdgfdg" localSheetId="8">#REF!</definedName>
    <definedName name="gfdgfdg">#REF!</definedName>
    <definedName name="gfgf" localSheetId="4">#REF!</definedName>
    <definedName name="gfgf" localSheetId="8">#REF!</definedName>
    <definedName name="gfgf">#REF!</definedName>
    <definedName name="gfgfgfgfg" localSheetId="4">#REF!</definedName>
    <definedName name="gfgfgfgfg" localSheetId="8">#REF!</definedName>
    <definedName name="gfgfgfgfg">#REF!</definedName>
    <definedName name="gfgfgfgss" localSheetId="4">#REF!</definedName>
    <definedName name="gfgfgfgss" localSheetId="8">#REF!</definedName>
    <definedName name="gfgfgfgss">#REF!</definedName>
    <definedName name="gg" localSheetId="4">#REF!</definedName>
    <definedName name="gg" localSheetId="8">#REF!</definedName>
    <definedName name="gg">#REF!</definedName>
    <definedName name="ggg" localSheetId="4">#REF!</definedName>
    <definedName name="ggg" localSheetId="8">#REF!</definedName>
    <definedName name="ggg">#REF!</definedName>
    <definedName name="gggg" localSheetId="4">#REF!</definedName>
    <definedName name="gggg" localSheetId="8">#REF!</definedName>
    <definedName name="gggg" localSheetId="0">#REF!</definedName>
    <definedName name="gggg">#REF!</definedName>
    <definedName name="gğıieau" localSheetId="4">#REF!</definedName>
    <definedName name="gğıieau" localSheetId="8">#REF!</definedName>
    <definedName name="gğıieau">#REF!</definedName>
    <definedName name="ggreen" localSheetId="4">#REF!</definedName>
    <definedName name="ggreen" localSheetId="8">#REF!</definedName>
    <definedName name="ggreen">#REF!</definedName>
    <definedName name="gh" localSheetId="4">#REF!</definedName>
    <definedName name="gh" localSheetId="8">#REF!</definedName>
    <definedName name="gh">#REF!</definedName>
    <definedName name="ghd" localSheetId="4">#REF!</definedName>
    <definedName name="ghd" localSheetId="8">#REF!</definedName>
    <definedName name="ghd">#REF!</definedName>
    <definedName name="ghfghfgh" localSheetId="4">#REF!</definedName>
    <definedName name="ghfghfgh" localSheetId="8">#REF!</definedName>
    <definedName name="ghfghfgh">#REF!</definedName>
    <definedName name="GHGFHGFH" localSheetId="4">#REF!</definedName>
    <definedName name="GHGFHGFH" localSheetId="8">#REF!</definedName>
    <definedName name="GHGFHGFH">#REF!</definedName>
    <definedName name="ghggg" localSheetId="4">#REF!</definedName>
    <definedName name="ghggg" localSheetId="8">#REF!</definedName>
    <definedName name="ghggg">#REF!</definedName>
    <definedName name="ghhjkjh" localSheetId="4">#REF!</definedName>
    <definedName name="ghhjkjh" localSheetId="8">#REF!</definedName>
    <definedName name="ghhjkjh" localSheetId="0">#REF!</definedName>
    <definedName name="ghhjkjh">#REF!</definedName>
    <definedName name="ghi" localSheetId="4">#REF!</definedName>
    <definedName name="ghi" localSheetId="8">#REF!</definedName>
    <definedName name="ghi">#REF!</definedName>
    <definedName name="ghj" localSheetId="4">#REF!</definedName>
    <definedName name="ghj" localSheetId="8">#REF!</definedName>
    <definedName name="ghj" localSheetId="0">#REF!</definedName>
    <definedName name="ghj">#REF!</definedName>
    <definedName name="ghngfn" localSheetId="4">#REF!</definedName>
    <definedName name="ghngfn" localSheetId="8">#REF!</definedName>
    <definedName name="ghngfn">#REF!</definedName>
    <definedName name="ghyt" localSheetId="4">#REF!</definedName>
    <definedName name="ghyt" localSheetId="8">#REF!</definedName>
    <definedName name="ghyt">#REF!</definedName>
    <definedName name="ğı" localSheetId="4">#REF!</definedName>
    <definedName name="ğı" localSheetId="8">#REF!</definedName>
    <definedName name="ğı">#REF!</definedName>
    <definedName name="gk" localSheetId="4">#REF!</definedName>
    <definedName name="gk" localSheetId="8">#REF!</definedName>
    <definedName name="gk">#REF!</definedName>
    <definedName name="gmo" localSheetId="4">#REF!</definedName>
    <definedName name="gmo" localSheetId="8">#REF!</definedName>
    <definedName name="gmo">#REF!</definedName>
    <definedName name="gregr" localSheetId="4">#REF!</definedName>
    <definedName name="gregr" localSheetId="8">#REF!</definedName>
    <definedName name="gregr">#REF!</definedName>
    <definedName name="GRWG" localSheetId="4">#REF!</definedName>
    <definedName name="GRWG" localSheetId="8">#REF!</definedName>
    <definedName name="GRWG">#REF!</definedName>
    <definedName name="ğşç" localSheetId="4">#REF!</definedName>
    <definedName name="ğşç" localSheetId="8">#REF!</definedName>
    <definedName name="ğşç">#REF!</definedName>
    <definedName name="gsdgsg" localSheetId="4">#REF!</definedName>
    <definedName name="gsdgsg" localSheetId="8">#REF!</definedName>
    <definedName name="gsdgsg">#REF!</definedName>
    <definedName name="ğüğopğp" localSheetId="4">#REF!</definedName>
    <definedName name="ğüğopğp" localSheetId="8">#REF!</definedName>
    <definedName name="ğüğopğp">#REF!</definedName>
    <definedName name="GUILLAU" localSheetId="4">#REF!</definedName>
    <definedName name="GUILLAU" localSheetId="8">#REF!</definedName>
    <definedName name="GUILLAU">#REF!</definedName>
    <definedName name="h" localSheetId="4">#REF!</definedName>
    <definedName name="h" localSheetId="8">#REF!</definedName>
    <definedName name="h">#REF!</definedName>
    <definedName name="hans" localSheetId="4">#REF!</definedName>
    <definedName name="hans" localSheetId="8">#REF!</definedName>
    <definedName name="hans">#REF!</definedName>
    <definedName name="harlow" localSheetId="4">#REF!</definedName>
    <definedName name="harlow" localSheetId="8">#REF!</definedName>
    <definedName name="harlow">#REF!</definedName>
    <definedName name="Harpenden" localSheetId="4">#REF!</definedName>
    <definedName name="Harpenden" localSheetId="8">#REF!</definedName>
    <definedName name="Harpenden">#REF!</definedName>
    <definedName name="Hayes" localSheetId="4">#REF!</definedName>
    <definedName name="Hayes" localSheetId="8">#REF!</definedName>
    <definedName name="Hayes">#REF!</definedName>
    <definedName name="HEADER" localSheetId="4">#REF!</definedName>
    <definedName name="HEADER" localSheetId="8">#REF!</definedName>
    <definedName name="HEADER" localSheetId="0">#REF!</definedName>
    <definedName name="HEADER">#REF!</definedName>
    <definedName name="HEKIE?." localSheetId="4">#REF!</definedName>
    <definedName name="HEKIE?." localSheetId="8">#REF!</definedName>
    <definedName name="HEKIE?.">#REF!</definedName>
    <definedName name="hgf" localSheetId="4">#REF!</definedName>
    <definedName name="hgf" localSheetId="8">#REF!</definedName>
    <definedName name="hgf">#REF!</definedName>
    <definedName name="hgfhfgh" localSheetId="4">#REF!</definedName>
    <definedName name="hgfhfgh" localSheetId="8">#REF!</definedName>
    <definedName name="hgfhfgh">#REF!</definedName>
    <definedName name="hh" localSheetId="4">#REF!</definedName>
    <definedName name="hh" localSheetId="8">#REF!</definedName>
    <definedName name="hh">#REF!</definedName>
    <definedName name="hi" localSheetId="4">#REF!</definedName>
    <definedName name="hi" localSheetId="8">#REF!</definedName>
    <definedName name="hi">#REF!</definedName>
    <definedName name="hilmi" localSheetId="4">#REF!</definedName>
    <definedName name="hilmi" localSheetId="8">#REF!</definedName>
    <definedName name="hilmi">#REF!</definedName>
    <definedName name="hj" localSheetId="4">#REF!</definedName>
    <definedName name="hj" localSheetId="8">#REF!</definedName>
    <definedName name="hj">#REF!</definedName>
    <definedName name="HJGHJFG" localSheetId="4">#REF!</definedName>
    <definedName name="HJGHJFG" localSheetId="8">#REF!</definedName>
    <definedName name="HJGHJFG">#REF!</definedName>
    <definedName name="HJGHJHJ" localSheetId="4">#REF!</definedName>
    <definedName name="HJGHJHJ" localSheetId="8">#REF!</definedName>
    <definedName name="HJGHJHJ">#REF!</definedName>
    <definedName name="hjhjjhk" localSheetId="4">#REF!</definedName>
    <definedName name="hjhjjhk" localSheetId="8">#REF!</definedName>
    <definedName name="hjhjjhk">#REF!</definedName>
    <definedName name="hjuu" localSheetId="4">#REF!</definedName>
    <definedName name="hjuu" localSheetId="8">#REF!</definedName>
    <definedName name="hjuu">#REF!</definedName>
    <definedName name="hkjhkj" localSheetId="4">#REF!</definedName>
    <definedName name="hkjhkj" localSheetId="8">#REF!</definedName>
    <definedName name="hkjhkj">#REF!</definedName>
    <definedName name="HÖ" localSheetId="4">#REF!</definedName>
    <definedName name="HÖ" localSheetId="8">#REF!</definedName>
    <definedName name="HÖ">#REF!</definedName>
    <definedName name="Horsham" localSheetId="4">#REF!</definedName>
    <definedName name="Horsham" localSheetId="8">#REF!</definedName>
    <definedName name="Horsham">#REF!</definedName>
    <definedName name="hy" localSheetId="4">#REF!</definedName>
    <definedName name="hy" localSheetId="8">#REF!</definedName>
    <definedName name="hy">#REF!</definedName>
    <definedName name="Hyperion" localSheetId="4">#REF!</definedName>
    <definedName name="Hyperion" localSheetId="8">#REF!</definedName>
    <definedName name="Hyperion">#REF!</definedName>
    <definedName name="ı" localSheetId="4">#REF!</definedName>
    <definedName name="ı" localSheetId="8">#REF!</definedName>
    <definedName name="ı">#REF!</definedName>
    <definedName name="ieatkakieaie" localSheetId="4">#REF!</definedName>
    <definedName name="ieatkakieaie" localSheetId="8">#REF!</definedName>
    <definedName name="ieatkakieaie">#REF!</definedName>
    <definedName name="ieaueai" localSheetId="4">#REF!</definedName>
    <definedName name="ieaueai" localSheetId="8">#REF!</definedName>
    <definedName name="ieaueai">#REF!</definedName>
    <definedName name="ieaüieaüüı" localSheetId="4">#REF!</definedName>
    <definedName name="ieaüieaüüı" localSheetId="8">#REF!</definedName>
    <definedName name="ieaüieaüüı">#REF!</definedName>
    <definedName name="iğ" localSheetId="4">#REF!</definedName>
    <definedName name="iğ" localSheetId="8">#REF!</definedName>
    <definedName name="iğ">#REF!</definedName>
    <definedName name="ih" localSheetId="4">#REF!</definedName>
    <definedName name="ih" localSheetId="8">#REF!</definedName>
    <definedName name="ih">#REF!</definedName>
    <definedName name="ihb" localSheetId="4">#REF!</definedName>
    <definedName name="ihb" localSheetId="8">#REF!</definedName>
    <definedName name="ihb">#REF!</definedName>
    <definedName name="iii" localSheetId="4">#REF!</definedName>
    <definedName name="iii" localSheetId="8">#REF!</definedName>
    <definedName name="iii">#REF!</definedName>
    <definedName name="iiii" localSheetId="4">#REF!</definedName>
    <definedName name="iiii" localSheetId="8">#REF!</definedName>
    <definedName name="iiii" localSheetId="0">#REF!</definedName>
    <definedName name="iiii">#REF!</definedName>
    <definedName name="ııuu" localSheetId="4">#REF!</definedName>
    <definedName name="ııuu" localSheetId="8">#REF!</definedName>
    <definedName name="ııuu">#REF!</definedName>
    <definedName name="ıjn" localSheetId="4">#REF!</definedName>
    <definedName name="ıjn" localSheetId="8">#REF!</definedName>
    <definedName name="ıjn">#REF!</definedName>
    <definedName name="ıkö" localSheetId="4">#REF!</definedName>
    <definedName name="ıkö" localSheetId="8">#REF!</definedName>
    <definedName name="ıkö">#REF!</definedName>
    <definedName name="İMTA" localSheetId="4">#REF!</definedName>
    <definedName name="İMTA" localSheetId="8">#REF!</definedName>
    <definedName name="İMTA">#REF!</definedName>
    <definedName name="İNCE" localSheetId="4">#REF!</definedName>
    <definedName name="İNCE" localSheetId="8">#REF!</definedName>
    <definedName name="İNCE">#REF!</definedName>
    <definedName name="inv" localSheetId="4">#REF!</definedName>
    <definedName name="inv" localSheetId="8">#REF!</definedName>
    <definedName name="inv">#REF!</definedName>
    <definedName name="io" localSheetId="4">#REF!</definedName>
    <definedName name="io" localSheetId="8">#REF!</definedName>
    <definedName name="io">#REF!</definedName>
    <definedName name="ıolıkjh" localSheetId="4">#REF!</definedName>
    <definedName name="ıolıkjh" localSheetId="8">#REF!</definedName>
    <definedName name="ıolıkjh">#REF!</definedName>
    <definedName name="iop" localSheetId="4">#REF!</definedName>
    <definedName name="iop" localSheetId="8">#REF!</definedName>
    <definedName name="iop">#REF!</definedName>
    <definedName name="IOPIOPOPO" localSheetId="4">#REF!</definedName>
    <definedName name="IOPIOPOPO" localSheetId="8">#REF!</definedName>
    <definedName name="IOPIOPOPO">#REF!</definedName>
    <definedName name="işçilik" localSheetId="4">#REF!</definedName>
    <definedName name="işçilik" localSheetId="8">#REF!</definedName>
    <definedName name="işçilik">#REF!</definedName>
    <definedName name="ıu" localSheetId="4">#REF!</definedName>
    <definedName name="ıu" localSheetId="8">#REF!</definedName>
    <definedName name="ıu">#REF!</definedName>
    <definedName name="ıuıı" localSheetId="4">#REF!</definedName>
    <definedName name="ıuıı" localSheetId="8">#REF!</definedName>
    <definedName name="ıuıı">#REF!</definedName>
    <definedName name="ıuıuı" localSheetId="4">#REF!</definedName>
    <definedName name="ıuıuı" localSheetId="8">#REF!</definedName>
    <definedName name="ıuıuı">#REF!</definedName>
    <definedName name="ıuu" localSheetId="4">#REF!</definedName>
    <definedName name="ıuu" localSheetId="8">#REF!</definedName>
    <definedName name="ıuu">#REF!</definedName>
    <definedName name="ıuuı" localSheetId="4">#REF!</definedName>
    <definedName name="ıuuı" localSheetId="8">#REF!</definedName>
    <definedName name="ıuuı">#REF!</definedName>
    <definedName name="ıuuuıuı" localSheetId="4">#REF!</definedName>
    <definedName name="ıuuuıuı" localSheetId="8">#REF!</definedName>
    <definedName name="ıuuuıuı">#REF!</definedName>
    <definedName name="ıuuyı" localSheetId="4">#REF!</definedName>
    <definedName name="ıuuyı" localSheetId="8">#REF!</definedName>
    <definedName name="ıuuyı">#REF!</definedName>
    <definedName name="IUUYUIUIUY" localSheetId="4">#REF!</definedName>
    <definedName name="IUUYUIUIUY" localSheetId="8">#REF!</definedName>
    <definedName name="IUUYUIUIUY">#REF!</definedName>
    <definedName name="ıuuyy" localSheetId="4">#REF!</definedName>
    <definedName name="ıuuyy" localSheetId="8">#REF!</definedName>
    <definedName name="ıuuyy">#REF!</definedName>
    <definedName name="ıuyıu" localSheetId="4">#REF!</definedName>
    <definedName name="ıuyıu" localSheetId="8">#REF!</definedName>
    <definedName name="ıuyıu">#REF!</definedName>
    <definedName name="ıuyyu" localSheetId="4">#REF!</definedName>
    <definedName name="ıuyyu" localSheetId="8">#REF!</definedName>
    <definedName name="ıuyyu">#REF!</definedName>
    <definedName name="ıuyyuı" localSheetId="4">#REF!</definedName>
    <definedName name="ıuyyuı" localSheetId="8">#REF!</definedName>
    <definedName name="ıuyyuı">#REF!</definedName>
    <definedName name="ıyıı" localSheetId="4">#REF!</definedName>
    <definedName name="ıyıı" localSheetId="8">#REF!</definedName>
    <definedName name="ıyıı">#REF!</definedName>
    <definedName name="ıytyutyu" localSheetId="4">#REF!</definedName>
    <definedName name="ıytyutyu" localSheetId="8">#REF!</definedName>
    <definedName name="ıytyutyu">#REF!</definedName>
    <definedName name="ıyuuo" localSheetId="4">#REF!</definedName>
    <definedName name="ıyuuo" localSheetId="8">#REF!</definedName>
    <definedName name="ıyuuo">#REF!</definedName>
    <definedName name="ıyyıu" localSheetId="4">#REF!</definedName>
    <definedName name="ıyyıu" localSheetId="8">#REF!</definedName>
    <definedName name="ıyyıu">#REF!</definedName>
    <definedName name="ıyyuo" localSheetId="4">#REF!</definedName>
    <definedName name="ıyyuo" localSheetId="8">#REF!</definedName>
    <definedName name="ıyyuo">#REF!</definedName>
    <definedName name="j" localSheetId="4">#REF!</definedName>
    <definedName name="j" localSheetId="8">#REF!</definedName>
    <definedName name="j">#REF!</definedName>
    <definedName name="jad" localSheetId="4">#REF!</definedName>
    <definedName name="jad" localSheetId="8">#REF!</definedName>
    <definedName name="jad">#REF!</definedName>
    <definedName name="JANV" localSheetId="4">#REF!</definedName>
    <definedName name="JANV" localSheetId="8">#REF!</definedName>
    <definedName name="JANV">#REF!</definedName>
    <definedName name="jeudi" localSheetId="4">#REF!</definedName>
    <definedName name="jeudi" localSheetId="8">#REF!</definedName>
    <definedName name="jeudi">#REF!</definedName>
    <definedName name="jgjhg" localSheetId="4">#REF!</definedName>
    <definedName name="jgjhg" localSheetId="8">#REF!</definedName>
    <definedName name="jgjhg" localSheetId="0">#REF!</definedName>
    <definedName name="jgjhg">#REF!</definedName>
    <definedName name="jh" localSheetId="4">#REF!</definedName>
    <definedName name="jh" localSheetId="8">#REF!</definedName>
    <definedName name="jh">#REF!</definedName>
    <definedName name="JHGF" localSheetId="4">#REF!</definedName>
    <definedName name="JHGF" localSheetId="8">#REF!</definedName>
    <definedName name="JHGF">#REF!</definedName>
    <definedName name="JHGFDS" localSheetId="4">#REF!</definedName>
    <definedName name="JHGFDS" localSheetId="8">#REF!</definedName>
    <definedName name="JHGFDS">#REF!</definedName>
    <definedName name="jj" localSheetId="4">#REF!</definedName>
    <definedName name="jj" localSheetId="8">#REF!</definedName>
    <definedName name="jj">#REF!</definedName>
    <definedName name="jjjj" localSheetId="4">#REF!</definedName>
    <definedName name="jjjj" localSheetId="8">#REF!</definedName>
    <definedName name="jjjj">#REF!</definedName>
    <definedName name="jjjjj" localSheetId="4">#REF!</definedName>
    <definedName name="jjjjj" localSheetId="8">#REF!</definedName>
    <definedName name="jjjjj">#REF!</definedName>
    <definedName name="jjjjjj" localSheetId="4">#REF!</definedName>
    <definedName name="jjjjjj" localSheetId="8">#REF!</definedName>
    <definedName name="jjjjjj">#REF!</definedName>
    <definedName name="JK" localSheetId="4">#REF!</definedName>
    <definedName name="JK" localSheetId="8">#REF!</definedName>
    <definedName name="JK">#REF!</definedName>
    <definedName name="JKF" localSheetId="4">#REF!</definedName>
    <definedName name="JKF" localSheetId="8">#REF!</definedName>
    <definedName name="JKF">#REF!</definedName>
    <definedName name="jkhjkhkj" localSheetId="4">#REF!</definedName>
    <definedName name="jkhjkhkj" localSheetId="8">#REF!</definedName>
    <definedName name="jkhjkhkj">#REF!</definedName>
    <definedName name="jkjkhjhkj" localSheetId="4">#REF!</definedName>
    <definedName name="jkjkhjhkj" localSheetId="8">#REF!</definedName>
    <definedName name="jkjkhjhkj" localSheetId="0">#REF!</definedName>
    <definedName name="jkjkhjhkj">#REF!</definedName>
    <definedName name="jkl" localSheetId="4">#REF!</definedName>
    <definedName name="jkl" localSheetId="8">#REF!</definedName>
    <definedName name="jkl">#REF!</definedName>
    <definedName name="JKLKJLJK" localSheetId="4">#REF!</definedName>
    <definedName name="JKLKJLJK" localSheetId="8">#REF!</definedName>
    <definedName name="JKLKJLJK">#REF!</definedName>
    <definedName name="joaquim" localSheetId="4">#REF!</definedName>
    <definedName name="joaquim" localSheetId="8">#REF!</definedName>
    <definedName name="joaquim">#REF!</definedName>
    <definedName name="john" localSheetId="4">#REF!</definedName>
    <definedName name="john" localSheetId="8">#REF!</definedName>
    <definedName name="john">#REF!</definedName>
    <definedName name="JRN" localSheetId="4">#REF!</definedName>
    <definedName name="JRN" localSheetId="8">#REF!</definedName>
    <definedName name="JRN">#REF!</definedName>
    <definedName name="ju" localSheetId="4">#REF!</definedName>
    <definedName name="ju" localSheetId="8">#REF!</definedName>
    <definedName name="ju">#REF!</definedName>
    <definedName name="juj" localSheetId="4">#REF!</definedName>
    <definedName name="juj" localSheetId="8">#REF!</definedName>
    <definedName name="juj">#REF!</definedName>
    <definedName name="juuu" localSheetId="4">#REF!</definedName>
    <definedName name="juuu" localSheetId="8">#REF!</definedName>
    <definedName name="juuu">#REF!</definedName>
    <definedName name="KALIP2" localSheetId="4">#REF!</definedName>
    <definedName name="KALIP2" localSheetId="8">#REF!</definedName>
    <definedName name="KALIP2">#REF!</definedName>
    <definedName name="KASE" localSheetId="4">#REF!</definedName>
    <definedName name="KASE" localSheetId="8">#REF!</definedName>
    <definedName name="KASE">#REF!</definedName>
    <definedName name="kay" localSheetId="4">#REF!</definedName>
    <definedName name="kay" localSheetId="8">#REF!</definedName>
    <definedName name="kay">#REF!</definedName>
    <definedName name="Keith" localSheetId="4">#REF!</definedName>
    <definedName name="Keith" localSheetId="8">#REF!</definedName>
    <definedName name="Keith">#REF!</definedName>
    <definedName name="Kempshott" localSheetId="4">#REF!</definedName>
    <definedName name="Kempshott" localSheetId="8">#REF!</definedName>
    <definedName name="Kempshott">#REF!</definedName>
    <definedName name="KFGS" localSheetId="4">#REF!</definedName>
    <definedName name="KFGS" localSheetId="8">#REF!</definedName>
    <definedName name="KFGS">#REF!</definedName>
    <definedName name="kı" localSheetId="4">#REF!</definedName>
    <definedName name="kı" localSheetId="8">#REF!</definedName>
    <definedName name="kı">#REF!</definedName>
    <definedName name="KJH" localSheetId="4">#REF!</definedName>
    <definedName name="KJH" localSheetId="8">#REF!</definedName>
    <definedName name="KJH">#REF!</definedName>
    <definedName name="kjhkhjkhjkjk" localSheetId="4">#REF!</definedName>
    <definedName name="kjhkhjkhjkjk" localSheetId="8">#REF!</definedName>
    <definedName name="kjhkhjkhjkjk">#REF!</definedName>
    <definedName name="kjhkj" localSheetId="4">#REF!</definedName>
    <definedName name="kjhkj" localSheetId="8">#REF!</definedName>
    <definedName name="kjhkj">#REF!</definedName>
    <definedName name="KJKLJH" localSheetId="4">#REF!</definedName>
    <definedName name="KJKLJH" localSheetId="8">#REF!</definedName>
    <definedName name="KJKLJH">#REF!</definedName>
    <definedName name="kk" localSheetId="4">#REF!</definedName>
    <definedName name="kk" localSheetId="8">#REF!</definedName>
    <definedName name="kk">#REF!</definedName>
    <definedName name="kkck" localSheetId="4">#REF!</definedName>
    <definedName name="kkck" localSheetId="8">#REF!</definedName>
    <definedName name="kkck">#REF!</definedName>
    <definedName name="kkkj" localSheetId="4">#REF!</definedName>
    <definedName name="kkkj" localSheetId="8">#REF!</definedName>
    <definedName name="kkkj">#REF!</definedName>
    <definedName name="kkkk" localSheetId="4">#REF!</definedName>
    <definedName name="kkkk" localSheetId="8">#REF!</definedName>
    <definedName name="kkkk">#REF!</definedName>
    <definedName name="kkkkk" localSheetId="4">#REF!</definedName>
    <definedName name="kkkkk" localSheetId="8">#REF!</definedName>
    <definedName name="kkkkk">#REF!</definedName>
    <definedName name="KKKKKKKK" localSheetId="4">#REF!</definedName>
    <definedName name="KKKKKKKK" localSheetId="8">#REF!</definedName>
    <definedName name="KKKKKKKK">#REF!</definedName>
    <definedName name="kknjklnk" localSheetId="4">#REF!</definedName>
    <definedName name="kknjklnk" localSheetId="8">#REF!</definedName>
    <definedName name="kknjklnk" localSheetId="0">#REF!</definedName>
    <definedName name="kknjklnk">#REF!</definedName>
    <definedName name="kl" localSheetId="4">#REF!</definedName>
    <definedName name="kl" localSheetId="8">#REF!</definedName>
    <definedName name="kl">#REF!</definedName>
    <definedName name="KLD" localSheetId="4">#REF!</definedName>
    <definedName name="KLD" localSheetId="8">#REF!</definedName>
    <definedName name="KLD">#REF!</definedName>
    <definedName name="KLE" localSheetId="4">#REF!</definedName>
    <definedName name="KLE" localSheetId="8">#REF!</definedName>
    <definedName name="KLE">#REF!</definedName>
    <definedName name="klhjkjkkgj" localSheetId="4">#REF!</definedName>
    <definedName name="klhjkjkkgj" localSheetId="8">#REF!</definedName>
    <definedName name="klhjkjkkgj">#REF!</definedName>
    <definedName name="klinlane" localSheetId="4">#REF!</definedName>
    <definedName name="klinlane" localSheetId="8">#REF!</definedName>
    <definedName name="klinlane">#REF!</definedName>
    <definedName name="ktzuk" localSheetId="4">#REF!</definedName>
    <definedName name="ktzuk" localSheetId="8">#REF!</definedName>
    <definedName name="ktzuk">#REF!</definedName>
    <definedName name="kuıkuk" localSheetId="4">#REF!</definedName>
    <definedName name="kuıkuk" localSheetId="8">#REF!</definedName>
    <definedName name="kuıkuk">#REF!</definedName>
    <definedName name="kukuku" localSheetId="4">#REF!</definedName>
    <definedName name="kukuku" localSheetId="8">#REF!</definedName>
    <definedName name="kukuku">#REF!</definedName>
    <definedName name="L" localSheetId="4">#REF!</definedName>
    <definedName name="L" localSheetId="8">#REF!</definedName>
    <definedName name="L">#REF!</definedName>
    <definedName name="LastCred42" localSheetId="4">#REF!</definedName>
    <definedName name="LastCred42" localSheetId="8">#REF!</definedName>
    <definedName name="LastCred42" localSheetId="0">#REF!</definedName>
    <definedName name="LastCred42">#REF!</definedName>
    <definedName name="LastCred43" localSheetId="4">#REF!</definedName>
    <definedName name="LastCred43" localSheetId="8">#REF!</definedName>
    <definedName name="LastCred43" localSheetId="0">#REF!</definedName>
    <definedName name="LastCred43">#REF!</definedName>
    <definedName name="LastCred44" localSheetId="4">#REF!</definedName>
    <definedName name="LastCred44" localSheetId="8">#REF!</definedName>
    <definedName name="LastCred44" localSheetId="0">#REF!</definedName>
    <definedName name="LastCred44">#REF!</definedName>
    <definedName name="LastCred45" localSheetId="4">#REF!</definedName>
    <definedName name="LastCred45" localSheetId="8">#REF!</definedName>
    <definedName name="LastCred45" localSheetId="0">#REF!</definedName>
    <definedName name="LastCred45">#REF!</definedName>
    <definedName name="LastCred82" localSheetId="4">#REF!</definedName>
    <definedName name="LastCred82" localSheetId="8">#REF!</definedName>
    <definedName name="LastCred82" localSheetId="0">#REF!</definedName>
    <definedName name="LastCred82">#REF!</definedName>
    <definedName name="LastCred83" localSheetId="4">#REF!</definedName>
    <definedName name="LastCred83" localSheetId="8">#REF!</definedName>
    <definedName name="LastCred83" localSheetId="0">#REF!</definedName>
    <definedName name="LastCred83">#REF!</definedName>
    <definedName name="LastCred84" localSheetId="4">#REF!</definedName>
    <definedName name="LastCred84" localSheetId="8">#REF!</definedName>
    <definedName name="LastCred84" localSheetId="0">#REF!</definedName>
    <definedName name="LastCred84">#REF!</definedName>
    <definedName name="LastCred85" localSheetId="4">#REF!</definedName>
    <definedName name="LastCred85" localSheetId="8">#REF!</definedName>
    <definedName name="LastCred85" localSheetId="0">#REF!</definedName>
    <definedName name="LastCred85">#REF!</definedName>
    <definedName name="LastGuarant" localSheetId="4">#REF!</definedName>
    <definedName name="LastGuarant" localSheetId="8">#REF!</definedName>
    <definedName name="LastGuarant" localSheetId="0">#REF!</definedName>
    <definedName name="LastGuarant">#REF!</definedName>
    <definedName name="LastWarranty" localSheetId="4">#REF!</definedName>
    <definedName name="LastWarranty" localSheetId="8">#REF!</definedName>
    <definedName name="LastWarranty" localSheetId="0">#REF!</definedName>
    <definedName name="LastWarranty">#REF!</definedName>
    <definedName name="LGD" localSheetId="4">#REF!</definedName>
    <definedName name="LGD" localSheetId="8">#REF!</definedName>
    <definedName name="LGD">#REF!</definedName>
    <definedName name="lhill" localSheetId="4">#REF!</definedName>
    <definedName name="lhill" localSheetId="8">#REF!</definedName>
    <definedName name="lhill">#REF!</definedName>
    <definedName name="lıljkghjghj" localSheetId="4">#REF!</definedName>
    <definedName name="lıljkghjghj" localSheetId="8">#REF!</definedName>
    <definedName name="lıljkghjghj">#REF!</definedName>
    <definedName name="Liphook" localSheetId="4">#REF!</definedName>
    <definedName name="Liphook" localSheetId="8">#REF!</definedName>
    <definedName name="Liphook">#REF!</definedName>
    <definedName name="LK" localSheetId="4">#REF!</definedName>
    <definedName name="LK" localSheetId="8">#REF!</definedName>
    <definedName name="LK">#REF!</definedName>
    <definedName name="LKG" localSheetId="4">#REF!</definedName>
    <definedName name="LKG" localSheetId="8">#REF!</definedName>
    <definedName name="LKG">#REF!</definedName>
    <definedName name="lkj" localSheetId="4">#REF!</definedName>
    <definedName name="lkj" localSheetId="8">#REF!</definedName>
    <definedName name="lkj">#REF!</definedName>
    <definedName name="lkjljkljkl" localSheetId="4">#REF!</definedName>
    <definedName name="lkjljkljkl" localSheetId="8">#REF!</definedName>
    <definedName name="lkjljkljkl">#REF!</definedName>
    <definedName name="lkkkk" localSheetId="4">#REF!</definedName>
    <definedName name="lkkkk" localSheetId="8">#REF!</definedName>
    <definedName name="lkkkk">#REF!</definedName>
    <definedName name="LKL" localSheetId="4">#REF!</definedName>
    <definedName name="LKL" localSheetId="8">#REF!</definedName>
    <definedName name="LKL">#REF!</definedName>
    <definedName name="ll" localSheetId="4">#REF!</definedName>
    <definedName name="ll" localSheetId="8">#REF!</definedName>
    <definedName name="ll">#REF!</definedName>
    <definedName name="lll" localSheetId="4">#REF!</definedName>
    <definedName name="lll" localSheetId="8">#REF!</definedName>
    <definedName name="lll">#REF!</definedName>
    <definedName name="lllll" localSheetId="4">#REF!</definedName>
    <definedName name="lllll" localSheetId="8">#REF!</definedName>
    <definedName name="lllll">#REF!</definedName>
    <definedName name="LNKJLKM" localSheetId="4">#REF!</definedName>
    <definedName name="LNKJLKM" localSheetId="8">#REF!</definedName>
    <definedName name="LNKJLKM">#REF!</definedName>
    <definedName name="lo" localSheetId="4">#REF!</definedName>
    <definedName name="lo" localSheetId="8">#REF!</definedName>
    <definedName name="lo">#REF!</definedName>
    <definedName name="Lordshill" localSheetId="4">#REF!</definedName>
    <definedName name="Lordshill" localSheetId="8">#REF!</definedName>
    <definedName name="Lordshill">#REF!</definedName>
    <definedName name="lundi" localSheetId="4">#REF!</definedName>
    <definedName name="lundi" localSheetId="8">#REF!</definedName>
    <definedName name="lundi">#REF!</definedName>
    <definedName name="MAL.F.F.HESAP2" localSheetId="4">#REF!</definedName>
    <definedName name="MAL.F.F.HESAP2" localSheetId="8">#REF!</definedName>
    <definedName name="MAL.F.F.HESAP2">#REF!</definedName>
    <definedName name="MAL.F.F.HESAP3" localSheetId="4">#REF!</definedName>
    <definedName name="MAL.F.F.HESAP3" localSheetId="8">#REF!</definedName>
    <definedName name="MAL.F.F.HESAP3">#REF!</definedName>
    <definedName name="MAL.F.F3" localSheetId="4">#REF!</definedName>
    <definedName name="MAL.F.F3" localSheetId="8">#REF!</definedName>
    <definedName name="MAL.F.F3">#REF!</definedName>
    <definedName name="MAL.F.F4" localSheetId="4">#REF!</definedName>
    <definedName name="MAL.F.F4" localSheetId="8">#REF!</definedName>
    <definedName name="MAL.F.F4">#REF!</definedName>
    <definedName name="MANNN" localSheetId="4">#REF!</definedName>
    <definedName name="MANNN" localSheetId="8">#REF!</definedName>
    <definedName name="MANNN" localSheetId="0">#REF!</definedName>
    <definedName name="MANNN">#REF!</definedName>
    <definedName name="mardi" localSheetId="4">#REF!</definedName>
    <definedName name="mardi" localSheetId="8">#REF!</definedName>
    <definedName name="mardi">#REF!</definedName>
    <definedName name="market" localSheetId="4">#REF!</definedName>
    <definedName name="market" localSheetId="8">#REF!</definedName>
    <definedName name="market">#REF!</definedName>
    <definedName name="MEHMET" localSheetId="4">#REF!</definedName>
    <definedName name="MEHMET" localSheetId="8">#REF!</definedName>
    <definedName name="MEHMET">#REF!</definedName>
    <definedName name="Mekanik900" localSheetId="4">#REF!</definedName>
    <definedName name="Mekanik900" localSheetId="8">#REF!</definedName>
    <definedName name="Mekanik900" localSheetId="0">#REF!</definedName>
    <definedName name="Mekanik900">#REF!</definedName>
    <definedName name="MereGreen" localSheetId="4">#REF!</definedName>
    <definedName name="MereGreen" localSheetId="8">#REF!</definedName>
    <definedName name="MereGreen">#REF!</definedName>
    <definedName name="METRAJ" localSheetId="4">#REF!</definedName>
    <definedName name="METRAJ" localSheetId="8">#REF!</definedName>
    <definedName name="METRAJ">#REF!</definedName>
    <definedName name="metrajlar" localSheetId="4">#REF!</definedName>
    <definedName name="metrajlar" localSheetId="8">#REF!</definedName>
    <definedName name="metrajlar">#REF!</definedName>
    <definedName name="MICHELE" localSheetId="4">#REF!</definedName>
    <definedName name="MICHELE" localSheetId="8">#REF!</definedName>
    <definedName name="MICHELE">#REF!</definedName>
    <definedName name="MLKJH" localSheetId="4">#REF!</definedName>
    <definedName name="MLKJH" localSheetId="8">#REF!</definedName>
    <definedName name="MLKJH">#REF!</definedName>
    <definedName name="mm" localSheetId="4">#REF!</definedName>
    <definedName name="mm" localSheetId="8">#REF!</definedName>
    <definedName name="mm">#REF!</definedName>
    <definedName name="mmm" localSheetId="4">#REF!</definedName>
    <definedName name="mmm" localSheetId="8">#REF!</definedName>
    <definedName name="mmm">#REF!</definedName>
    <definedName name="mno" localSheetId="4">#REF!</definedName>
    <definedName name="mno" localSheetId="8">#REF!</definedName>
    <definedName name="mno">#REF!</definedName>
    <definedName name="MÖMMMMM" localSheetId="4">#REF!</definedName>
    <definedName name="MÖMMMMM" localSheetId="8">#REF!</definedName>
    <definedName name="MÖMMMMM">#REF!</definedName>
    <definedName name="mqg" localSheetId="4">#REF!</definedName>
    <definedName name="mqg" localSheetId="8">#REF!</definedName>
    <definedName name="mqg">#REF!</definedName>
    <definedName name="MRT" localSheetId="4">#REF!</definedName>
    <definedName name="MRT" localSheetId="8">#REF!</definedName>
    <definedName name="MRT">#REF!</definedName>
    <definedName name="mtk" localSheetId="4">#REF!</definedName>
    <definedName name="mtk" localSheetId="8">#REF!</definedName>
    <definedName name="mtk">#REF!</definedName>
    <definedName name="mtrk" localSheetId="4">#REF!</definedName>
    <definedName name="mtrk" localSheetId="8">#REF!</definedName>
    <definedName name="mtrk">#REF!</definedName>
    <definedName name="mzb" localSheetId="4">#REF!</definedName>
    <definedName name="mzb" localSheetId="8">#REF!</definedName>
    <definedName name="mzb">#REF!</definedName>
    <definedName name="n" localSheetId="4">#REF!</definedName>
    <definedName name="n" localSheetId="8">#REF!</definedName>
    <definedName name="n">#REF!</definedName>
    <definedName name="nakits" localSheetId="4">#REF!</definedName>
    <definedName name="nakits" localSheetId="8">#REF!</definedName>
    <definedName name="nakits" localSheetId="0">#REF!</definedName>
    <definedName name="nakits">#REF!</definedName>
    <definedName name="NAME" localSheetId="4">#REF!</definedName>
    <definedName name="NAME" localSheetId="8">#REF!</definedName>
    <definedName name="NAME" localSheetId="0">#REF!</definedName>
    <definedName name="NAME">#REF!</definedName>
    <definedName name="ncheam" localSheetId="4">#REF!</definedName>
    <definedName name="ncheam" localSheetId="8">#REF!</definedName>
    <definedName name="ncheam">#REF!</definedName>
    <definedName name="Neels" localSheetId="4">#REF!</definedName>
    <definedName name="Neels" localSheetId="8">#REF!</definedName>
    <definedName name="Neels">#REF!</definedName>
    <definedName name="NewSheet" localSheetId="4">#REF!</definedName>
    <definedName name="NewSheet" localSheetId="8">#REF!</definedName>
    <definedName name="NewSheet">#REF!</definedName>
    <definedName name="nh" localSheetId="4">#REF!</definedName>
    <definedName name="nh" localSheetId="8">#REF!</definedName>
    <definedName name="nh">#REF!</definedName>
    <definedName name="nhytgbfr" localSheetId="4">#REF!</definedName>
    <definedName name="nhytgbfr" localSheetId="8">#REF!</definedName>
    <definedName name="nhytgbfr">#REF!</definedName>
    <definedName name="NİL" localSheetId="4">#REF!</definedName>
    <definedName name="NİL" localSheetId="8">#REF!</definedName>
    <definedName name="NİL">#REF!</definedName>
    <definedName name="nit" localSheetId="4">#REF!</definedName>
    <definedName name="nit" localSheetId="8">#REF!</definedName>
    <definedName name="nit">#REF!</definedName>
    <definedName name="nitru" localSheetId="4">#REF!</definedName>
    <definedName name="nitru" localSheetId="8">#REF!</definedName>
    <definedName name="nitru">#REF!</definedName>
    <definedName name="nnn" localSheetId="4">#REF!</definedName>
    <definedName name="nnn" localSheetId="8">#REF!</definedName>
    <definedName name="nnn">#REF!</definedName>
    <definedName name="nnnnn" localSheetId="4">#REF!</definedName>
    <definedName name="nnnnn" localSheetId="8">#REF!</definedName>
    <definedName name="nnnnn">#REF!</definedName>
    <definedName name="nnnnnnnn" localSheetId="4">#REF!</definedName>
    <definedName name="nnnnnnnn" localSheetId="8">#REF!</definedName>
    <definedName name="nnnnnnnn" localSheetId="0">#REF!</definedName>
    <definedName name="nnnnnnnn">#REF!</definedName>
    <definedName name="nogmaals" localSheetId="4">#REF!</definedName>
    <definedName name="nogmaals" localSheetId="8">#REF!</definedName>
    <definedName name="nogmaals">#REF!</definedName>
    <definedName name="noName" localSheetId="4">#REF!</definedName>
    <definedName name="noName" localSheetId="8">#REF!</definedName>
    <definedName name="noName">#REF!</definedName>
    <definedName name="NorthCheam" localSheetId="4">#REF!</definedName>
    <definedName name="NorthCheam" localSheetId="8">#REF!</definedName>
    <definedName name="NorthCheam">#REF!</definedName>
    <definedName name="nrnr7" localSheetId="4">#REF!</definedName>
    <definedName name="nrnr7" localSheetId="8">#REF!</definedName>
    <definedName name="nrnr7">#REF!</definedName>
    <definedName name="NVBNBNVBN" localSheetId="4">#REF!</definedName>
    <definedName name="NVBNBNVBN" localSheetId="8">#REF!</definedName>
    <definedName name="NVBNBNVBN">#REF!</definedName>
    <definedName name="ö" localSheetId="4">#REF!</definedName>
    <definedName name="ö" localSheetId="8">#REF!</definedName>
    <definedName name="ö">#REF!</definedName>
    <definedName name="Ø900" localSheetId="4">#REF!</definedName>
    <definedName name="Ø900" localSheetId="8">#REF!</definedName>
    <definedName name="Ø900" localSheetId="0">#REF!</definedName>
    <definedName name="Ø900">#REF!</definedName>
    <definedName name="öççç" localSheetId="4">#REF!</definedName>
    <definedName name="öççç" localSheetId="8">#REF!</definedName>
    <definedName name="öççç">#REF!</definedName>
    <definedName name="oi" localSheetId="4">#REF!</definedName>
    <definedName name="oi" localSheetId="8">#REF!</definedName>
    <definedName name="oi">#REF!</definedName>
    <definedName name="oıı" localSheetId="4">#REF!</definedName>
    <definedName name="oıı" localSheetId="8">#REF!</definedName>
    <definedName name="oıı">#REF!</definedName>
    <definedName name="okm" localSheetId="4">#REF!</definedName>
    <definedName name="okm" localSheetId="8">#REF!</definedName>
    <definedName name="okm">#REF!</definedName>
    <definedName name="oks" localSheetId="4">#REF!</definedName>
    <definedName name="oks" localSheetId="8">#REF!</definedName>
    <definedName name="oks" localSheetId="0">#REF!</definedName>
    <definedName name="oks">#REF!</definedName>
    <definedName name="Oktober" localSheetId="4">#REF!</definedName>
    <definedName name="Oktober" localSheetId="8">#REF!</definedName>
    <definedName name="Oktober">#REF!</definedName>
    <definedName name="olç" localSheetId="4">#REF!</definedName>
    <definedName name="olç" localSheetId="8">#REF!</definedName>
    <definedName name="olç">#REF!</definedName>
    <definedName name="olo" localSheetId="4">#REF!</definedName>
    <definedName name="olo" localSheetId="8">#REF!</definedName>
    <definedName name="olo" localSheetId="0">#REF!</definedName>
    <definedName name="olo">#REF!</definedName>
    <definedName name="oo" localSheetId="4">#REF!</definedName>
    <definedName name="oo" localSheetId="8">#REF!</definedName>
    <definedName name="oo">#REF!</definedName>
    <definedName name="ööö" localSheetId="4">#REF!</definedName>
    <definedName name="ööö" localSheetId="8">#REF!</definedName>
    <definedName name="ööö">#REF!</definedName>
    <definedName name="opohkjhkhk" localSheetId="4">#REF!</definedName>
    <definedName name="opohkjhkhk" localSheetId="8">#REF!</definedName>
    <definedName name="opohkjhkhk">#REF!</definedName>
    <definedName name="OSM" localSheetId="4">#REF!</definedName>
    <definedName name="OSM" localSheetId="8">#REF!</definedName>
    <definedName name="OSM">#REF!</definedName>
    <definedName name="Osmaston" localSheetId="4">#REF!</definedName>
    <definedName name="Osmaston" localSheetId="8">#REF!</definedName>
    <definedName name="Osmaston">#REF!</definedName>
    <definedName name="öz" localSheetId="4">#REF!</definedName>
    <definedName name="öz" localSheetId="8">#REF!</definedName>
    <definedName name="öz">#REF!</definedName>
    <definedName name="ÖZGÜL" localSheetId="4">#REF!</definedName>
    <definedName name="ÖZGÜL" localSheetId="8">#REF!</definedName>
    <definedName name="ÖZGÜL">#REF!</definedName>
    <definedName name="P" localSheetId="4">#REF!</definedName>
    <definedName name="P" localSheetId="8">#REF!</definedName>
    <definedName name="P">#REF!</definedName>
    <definedName name="P?HG" localSheetId="4">#REF!</definedName>
    <definedName name="P?HG" localSheetId="8">#REF!</definedName>
    <definedName name="P?HG">#REF!</definedName>
    <definedName name="paratonersiz" localSheetId="4">#REF!</definedName>
    <definedName name="paratonersiz" localSheetId="8">#REF!</definedName>
    <definedName name="paratonersiz">#REF!</definedName>
    <definedName name="Passages" localSheetId="4">#REF!</definedName>
    <definedName name="Passages" localSheetId="8">#REF!</definedName>
    <definedName name="Passages">#REF!</definedName>
    <definedName name="pc" localSheetId="4">#REF!</definedName>
    <definedName name="pc" localSheetId="8">#REF!</definedName>
    <definedName name="pc">#REF!</definedName>
    <definedName name="pedro" localSheetId="4">#REF!</definedName>
    <definedName name="pedro" localSheetId="8">#REF!</definedName>
    <definedName name="pedro">#REF!</definedName>
    <definedName name="pğ" localSheetId="4">#REF!</definedName>
    <definedName name="pğ" localSheetId="8">#REF!</definedName>
    <definedName name="pğ">#REF!</definedName>
    <definedName name="PKSM" localSheetId="4">#REF!</definedName>
    <definedName name="PKSM" localSheetId="8">#REF!</definedName>
    <definedName name="PKSM">#REF!</definedName>
    <definedName name="plö" localSheetId="4">#REF!</definedName>
    <definedName name="plö" localSheetId="8">#REF!</definedName>
    <definedName name="plö">#REF!</definedName>
    <definedName name="PO" localSheetId="4">#REF!</definedName>
    <definedName name="PO" localSheetId="8">#REF!</definedName>
    <definedName name="PO">#REF!</definedName>
    <definedName name="poging" localSheetId="4">#REF!</definedName>
    <definedName name="poging" localSheetId="8">#REF!</definedName>
    <definedName name="poging">#REF!</definedName>
    <definedName name="poıutyrera" localSheetId="4">#REF!</definedName>
    <definedName name="poıutyrera" localSheetId="8">#REF!</definedName>
    <definedName name="poıutyrera">#REF!</definedName>
    <definedName name="POK?ZEFIFVXVW" localSheetId="4">#REF!</definedName>
    <definedName name="POK?ZEFIFVXVW" localSheetId="8">#REF!</definedName>
    <definedName name="POK?ZEFIFVXVW">#REF!</definedName>
    <definedName name="pokaz" localSheetId="4">#REF!</definedName>
    <definedName name="pokaz" localSheetId="8">#REF!</definedName>
    <definedName name="pokaz">#REF!</definedName>
    <definedName name="pololo" localSheetId="4">#REF!</definedName>
    <definedName name="pololo" localSheetId="8">#REF!</definedName>
    <definedName name="pololo" localSheetId="0">#REF!</definedName>
    <definedName name="pololo">#REF!</definedName>
    <definedName name="PP6FIRE_DEC" localSheetId="4">#REF!</definedName>
    <definedName name="PP6FIRE_DEC" localSheetId="8">#REF!</definedName>
    <definedName name="PP6FIRE_DEC">#REF!</definedName>
    <definedName name="pqr" localSheetId="4">#REF!</definedName>
    <definedName name="pqr" localSheetId="8">#REF!</definedName>
    <definedName name="pqr">#REF!</definedName>
    <definedName name="Pr" localSheetId="4">#REF!</definedName>
    <definedName name="Pr" localSheetId="8">#REF!</definedName>
    <definedName name="Pr">#REF!</definedName>
    <definedName name="PR00BG01" localSheetId="4">#REF!</definedName>
    <definedName name="PR00BG01" localSheetId="8">#REF!</definedName>
    <definedName name="PR00BG01">#REF!</definedName>
    <definedName name="Print_Area_0" localSheetId="13">'график квартальный'!#REF!</definedName>
    <definedName name="print_out" localSheetId="4">#REF!</definedName>
    <definedName name="print_out" localSheetId="8">#REF!</definedName>
    <definedName name="print_out">#REF!</definedName>
    <definedName name="Print_Titles_0" localSheetId="13">'график квартальный'!#REF!</definedName>
    <definedName name="PRINT1" localSheetId="4">#REF!</definedName>
    <definedName name="PRINT1" localSheetId="8">#REF!</definedName>
    <definedName name="PRINT1" localSheetId="0">#REF!</definedName>
    <definedName name="PRINT1">#REF!</definedName>
    <definedName name="PRINT1.1" localSheetId="4">#REF!</definedName>
    <definedName name="PRINT1.1" localSheetId="8">#REF!</definedName>
    <definedName name="PRINT1.1" localSheetId="0">#REF!</definedName>
    <definedName name="PRINT1.1">#REF!</definedName>
    <definedName name="PROJECTS" localSheetId="4">#REF!</definedName>
    <definedName name="PROJECTS" localSheetId="8">#REF!</definedName>
    <definedName name="PROJECTS">#REF!</definedName>
    <definedName name="pş." localSheetId="4">#REF!</definedName>
    <definedName name="pş." localSheetId="8">#REF!</definedName>
    <definedName name="pş.">#REF!</definedName>
    <definedName name="PT" localSheetId="4">#REF!</definedName>
    <definedName name="PT" localSheetId="8">#REF!</definedName>
    <definedName name="PT">#REF!</definedName>
    <definedName name="PZO" localSheetId="4">#REF!</definedName>
    <definedName name="PZO" localSheetId="8">#REF!</definedName>
    <definedName name="PZO">#REF!</definedName>
    <definedName name="q" localSheetId="4">#REF!</definedName>
    <definedName name="q" localSheetId="8">#REF!</definedName>
    <definedName name="q">#REF!</definedName>
    <definedName name="qa" localSheetId="4">#REF!</definedName>
    <definedName name="qa" localSheetId="8">#REF!</definedName>
    <definedName name="qa">#REF!</definedName>
    <definedName name="qazxssw" localSheetId="4">#REF!</definedName>
    <definedName name="qazxssw" localSheetId="8">#REF!</definedName>
    <definedName name="qazxssw">#REF!</definedName>
    <definedName name="qegqrg" localSheetId="4">#REF!</definedName>
    <definedName name="qegqrg" localSheetId="8">#REF!</definedName>
    <definedName name="qegqrg">#REF!</definedName>
    <definedName name="qgqg" localSheetId="4">#REF!</definedName>
    <definedName name="qgqg" localSheetId="8">#REF!</definedName>
    <definedName name="qgqg">#REF!</definedName>
    <definedName name="qq" localSheetId="4">#REF!</definedName>
    <definedName name="qq" localSheetId="8">#REF!</definedName>
    <definedName name="qq">#REF!</definedName>
    <definedName name="qqq" localSheetId="4">#REF!</definedName>
    <definedName name="qqq" localSheetId="8">#REF!</definedName>
    <definedName name="qqq">#REF!</definedName>
    <definedName name="qqqqqq" localSheetId="4">#REF!</definedName>
    <definedName name="qqqqqq" localSheetId="8">#REF!</definedName>
    <definedName name="qqqqqq">#REF!</definedName>
    <definedName name="QS" localSheetId="4">#REF!</definedName>
    <definedName name="QS" localSheetId="8">#REF!</definedName>
    <definedName name="QS">#REF!</definedName>
    <definedName name="qw" localSheetId="4">#REF!</definedName>
    <definedName name="qw" localSheetId="8">#REF!</definedName>
    <definedName name="qw">#REF!</definedName>
    <definedName name="qwqw" localSheetId="4">#REF!</definedName>
    <definedName name="qwqw" localSheetId="8">#REF!</definedName>
    <definedName name="qwqw">#REF!</definedName>
    <definedName name="QXC" localSheetId="4">#REF!</definedName>
    <definedName name="QXC" localSheetId="8">#REF!</definedName>
    <definedName name="QXC">#REF!</definedName>
    <definedName name="RBG" localSheetId="4">#REF!</definedName>
    <definedName name="RBG" localSheetId="8">#REF!</definedName>
    <definedName name="RBG">#REF!</definedName>
    <definedName name="RDN" localSheetId="4">#REF!</definedName>
    <definedName name="RDN" localSheetId="8">#REF!</definedName>
    <definedName name="RDN" localSheetId="0">#REF!</definedName>
    <definedName name="RDN">#REF!</definedName>
    <definedName name="RE" localSheetId="4">#REF!</definedName>
    <definedName name="RE" localSheetId="8">#REF!</definedName>
    <definedName name="RE">#REF!</definedName>
    <definedName name="reporting" localSheetId="4">#REF!</definedName>
    <definedName name="reporting" localSheetId="8">#REF!</definedName>
    <definedName name="reporting">#REF!</definedName>
    <definedName name="res" localSheetId="4">#REF!</definedName>
    <definedName name="res" localSheetId="8">#REF!</definedName>
    <definedName name="res">#REF!</definedName>
    <definedName name="result" localSheetId="4">#REF!</definedName>
    <definedName name="result" localSheetId="8">#REF!</definedName>
    <definedName name="result">#REF!</definedName>
    <definedName name="rgqg" localSheetId="4">#REF!</definedName>
    <definedName name="rgqg" localSheetId="8">#REF!</definedName>
    <definedName name="rgqg">#REF!</definedName>
    <definedName name="rgrg" localSheetId="4">#REF!</definedName>
    <definedName name="rgrg" localSheetId="8">#REF!</definedName>
    <definedName name="rgrg">#REF!</definedName>
    <definedName name="rgwg" localSheetId="4">#REF!</definedName>
    <definedName name="rgwg" localSheetId="8">#REF!</definedName>
    <definedName name="rgwg">#REF!</definedName>
    <definedName name="Ripley" localSheetId="4">#REF!</definedName>
    <definedName name="Ripley" localSheetId="8">#REF!</definedName>
    <definedName name="Ripley">#REF!</definedName>
    <definedName name="rkt" localSheetId="4">#REF!</definedName>
    <definedName name="rkt" localSheetId="8">#REF!</definedName>
    <definedName name="rkt">#REF!</definedName>
    <definedName name="rl" localSheetId="4">#REF!</definedName>
    <definedName name="rl" localSheetId="8">#REF!</definedName>
    <definedName name="rl">#REF!</definedName>
    <definedName name="RL2B" localSheetId="4">#REF!</definedName>
    <definedName name="RL2B" localSheetId="8">#REF!</definedName>
    <definedName name="RL2B" localSheetId="0">#REF!</definedName>
    <definedName name="RL2B">#REF!</definedName>
    <definedName name="RL2D" localSheetId="4">#REF!</definedName>
    <definedName name="RL2D" localSheetId="8">#REF!</definedName>
    <definedName name="RL2D" localSheetId="0">#REF!</definedName>
    <definedName name="RL2D">#REF!</definedName>
    <definedName name="RL2F" localSheetId="4">#REF!</definedName>
    <definedName name="RL2F" localSheetId="8">#REF!</definedName>
    <definedName name="RL2F" localSheetId="0">#REF!</definedName>
    <definedName name="RL2F">#REF!</definedName>
    <definedName name="RL2G" localSheetId="4">#REF!</definedName>
    <definedName name="RL2G" localSheetId="8">#REF!</definedName>
    <definedName name="RL2G" localSheetId="0">#REF!</definedName>
    <definedName name="RL2G">#REF!</definedName>
    <definedName name="RL2J" localSheetId="4">#REF!</definedName>
    <definedName name="RL2J" localSheetId="8">#REF!</definedName>
    <definedName name="RL2J">#REF!</definedName>
    <definedName name="RL2K" localSheetId="4">#REF!</definedName>
    <definedName name="RL2K" localSheetId="8">#REF!</definedName>
    <definedName name="RL2K">#REF!</definedName>
    <definedName name="RL2M" localSheetId="4">#REF!</definedName>
    <definedName name="RL2M" localSheetId="8">#REF!</definedName>
    <definedName name="RL2M">#REF!</definedName>
    <definedName name="RL2N" localSheetId="4">#REF!</definedName>
    <definedName name="RL2N" localSheetId="8">#REF!</definedName>
    <definedName name="RL2N">#REF!</definedName>
    <definedName name="RL2O" localSheetId="4">#REF!</definedName>
    <definedName name="RL2O" localSheetId="8">#REF!</definedName>
    <definedName name="RL2O">#REF!</definedName>
    <definedName name="rnh" localSheetId="4">#REF!</definedName>
    <definedName name="rnh" localSheetId="8">#REF!</definedName>
    <definedName name="rnh">#REF!</definedName>
    <definedName name="RO" localSheetId="4">#REF!</definedName>
    <definedName name="RO" localSheetId="8">#REF!</definedName>
    <definedName name="RO" localSheetId="0">#REF!</definedName>
    <definedName name="RO">#REF!</definedName>
    <definedName name="rouble3" localSheetId="4">#REF!</definedName>
    <definedName name="rouble3" localSheetId="8">#REF!</definedName>
    <definedName name="rouble3" localSheetId="0">#REF!</definedName>
    <definedName name="rouble3">#REF!</definedName>
    <definedName name="rouble5" localSheetId="4">#REF!</definedName>
    <definedName name="rouble5" localSheetId="8">#REF!</definedName>
    <definedName name="rouble5" localSheetId="0">#REF!</definedName>
    <definedName name="rouble5">#REF!</definedName>
    <definedName name="rr" localSheetId="4">#REF!</definedName>
    <definedName name="rr" localSheetId="8">#REF!</definedName>
    <definedName name="rr">#REF!</definedName>
    <definedName name="rrrr" localSheetId="4">#REF!</definedName>
    <definedName name="rrrr" localSheetId="8">#REF!</definedName>
    <definedName name="rrrr">#REF!</definedName>
    <definedName name="rrrrrrrr" localSheetId="4">#REF!</definedName>
    <definedName name="rrrrrrrr" localSheetId="8">#REF!</definedName>
    <definedName name="rrrrrrrr">#REF!</definedName>
    <definedName name="rrrrrrrrrrrr" localSheetId="4">#REF!</definedName>
    <definedName name="rrrrrrrrrrrr" localSheetId="8">#REF!</definedName>
    <definedName name="rrrrrrrrrrrr" localSheetId="0">#REF!</definedName>
    <definedName name="rrrrrrrrrrrr">#REF!</definedName>
    <definedName name="rrrrrrrrrrrrrrrrrrrrrrrrrrr" localSheetId="4">#REF!</definedName>
    <definedName name="rrrrrrrrrrrrrrrrrrrrrrrrrrr" localSheetId="8">#REF!</definedName>
    <definedName name="rrrrrrrrrrrrrrrrrrrrrrrrrrr" localSheetId="0">#REF!</definedName>
    <definedName name="rrrrrrrrrrrrrrrrrrrrrrrrrrr">#REF!</definedName>
    <definedName name="rrrrrrrrrrrrrrrrrrrrrrrrrrrrrrrrrrrrrrrrr" localSheetId="4">#REF!</definedName>
    <definedName name="rrrrrrrrrrrrrrrrrrrrrrrrrrrrrrrrrrrrrrrrr" localSheetId="8">#REF!</definedName>
    <definedName name="rrrrrrrrrrrrrrrrrrrrrrrrrrrrrrrrrrrrrrrrr" localSheetId="0">#REF!</definedName>
    <definedName name="rrrrrrrrrrrrrrrrrrrrrrrrrrrrrrrrrrrrrrrrr">#REF!</definedName>
    <definedName name="rt" localSheetId="4">#REF!</definedName>
    <definedName name="rt" localSheetId="8">#REF!</definedName>
    <definedName name="rt" localSheetId="0">#REF!</definedName>
    <definedName name="rt">#REF!</definedName>
    <definedName name="RTA" localSheetId="4">#REF!</definedName>
    <definedName name="RTA" localSheetId="8">#REF!</definedName>
    <definedName name="RTA">#REF!</definedName>
    <definedName name="RTERTRET" localSheetId="4">#REF!</definedName>
    <definedName name="RTERTRET" localSheetId="8">#REF!</definedName>
    <definedName name="RTERTRET">#REF!</definedName>
    <definedName name="rtre" localSheetId="4">#REF!</definedName>
    <definedName name="rtre" localSheetId="8">#REF!</definedName>
    <definedName name="rtre">#REF!</definedName>
    <definedName name="RTRETRETRET" localSheetId="4">#REF!</definedName>
    <definedName name="RTRETRETRET" localSheetId="8">#REF!</definedName>
    <definedName name="RTRETRETRET">#REF!</definedName>
    <definedName name="RTRTERTRT" localSheetId="4">#REF!</definedName>
    <definedName name="RTRTERTRT" localSheetId="8">#REF!</definedName>
    <definedName name="RTRTERTRT">#REF!</definedName>
    <definedName name="rtrtretrt" localSheetId="4">#REF!</definedName>
    <definedName name="rtrtretrt" localSheetId="8">#REF!</definedName>
    <definedName name="rtrtretrt">#REF!</definedName>
    <definedName name="RTWERTEWRWER" localSheetId="4">#REF!</definedName>
    <definedName name="RTWERTEWRWER" localSheetId="8">#REF!</definedName>
    <definedName name="RTWERTEWRWER">#REF!</definedName>
    <definedName name="rty" localSheetId="4">#REF!</definedName>
    <definedName name="rty" localSheetId="8">#REF!</definedName>
    <definedName name="rty">#REF!</definedName>
    <definedName name="rwgWEG" localSheetId="4">#REF!</definedName>
    <definedName name="rwgWEG" localSheetId="8">#REF!</definedName>
    <definedName name="rwgWEG">#REF!</definedName>
    <definedName name="S" localSheetId="4">#REF!</definedName>
    <definedName name="S" localSheetId="8">#REF!</definedName>
    <definedName name="S">#REF!</definedName>
    <definedName name="Ş" localSheetId="4">#REF!</definedName>
    <definedName name="Ş" localSheetId="8">#REF!</definedName>
    <definedName name="Ş">#REF!</definedName>
    <definedName name="S.Alacan" localSheetId="4">#REF!</definedName>
    <definedName name="S.Alacan" localSheetId="8">#REF!</definedName>
    <definedName name="S.Alacan">#REF!</definedName>
    <definedName name="S.HAKAN" localSheetId="4">#REF!</definedName>
    <definedName name="S.HAKAN" localSheetId="8">#REF!</definedName>
    <definedName name="S.HAKAN">#REF!</definedName>
    <definedName name="sadsd" localSheetId="4">#REF!</definedName>
    <definedName name="sadsd" localSheetId="8">#REF!</definedName>
    <definedName name="sadsd">#REF!</definedName>
    <definedName name="sadsds" localSheetId="4">#REF!</definedName>
    <definedName name="sadsds" localSheetId="8">#REF!</definedName>
    <definedName name="sadsds">#REF!</definedName>
    <definedName name="sadsdsd" localSheetId="4">#REF!</definedName>
    <definedName name="sadsdsd" localSheetId="8">#REF!</definedName>
    <definedName name="sadsdsd">#REF!</definedName>
    <definedName name="samedi" localSheetId="4">#REF!</definedName>
    <definedName name="samedi" localSheetId="8">#REF!</definedName>
    <definedName name="samedi">#REF!</definedName>
    <definedName name="ŞAN.DIŞ.İHZ.TUT." localSheetId="4">#REF!</definedName>
    <definedName name="ŞAN.DIŞ.İHZ.TUT." localSheetId="8">#REF!</definedName>
    <definedName name="ŞAN.DIŞ.İHZ.TUT.">#REF!</definedName>
    <definedName name="SASASAS" localSheetId="4">#REF!</definedName>
    <definedName name="SASASAS" localSheetId="8">#REF!</definedName>
    <definedName name="SASASAS" localSheetId="0">#REF!</definedName>
    <definedName name="SASASAS">#REF!</definedName>
    <definedName name="sasasasas" localSheetId="4">#REF!</definedName>
    <definedName name="sasasasas" localSheetId="8">#REF!</definedName>
    <definedName name="sasasasas">#REF!</definedName>
    <definedName name="sasda" localSheetId="4">#REF!</definedName>
    <definedName name="sasda" localSheetId="8">#REF!</definedName>
    <definedName name="sasda">#REF!</definedName>
    <definedName name="scarce" localSheetId="4">#REF!</definedName>
    <definedName name="scarce" localSheetId="8">#REF!</definedName>
    <definedName name="scarce">#REF!</definedName>
    <definedName name="scascda" localSheetId="4">#REF!</definedName>
    <definedName name="scascda" localSheetId="8">#REF!</definedName>
    <definedName name="scascda">#REF!</definedName>
    <definedName name="SCG" localSheetId="4">#REF!</definedName>
    <definedName name="SCG" localSheetId="8">#REF!</definedName>
    <definedName name="SCG">#REF!</definedName>
    <definedName name="SD" localSheetId="4">#REF!</definedName>
    <definedName name="SD" localSheetId="8">#REF!</definedName>
    <definedName name="SD">#REF!</definedName>
    <definedName name="SDAWEZD" localSheetId="4">#REF!</definedName>
    <definedName name="SDAWEZD" localSheetId="8">#REF!</definedName>
    <definedName name="SDAWEZD">#REF!</definedName>
    <definedName name="sdddddddddddddddd" localSheetId="4">#REF!</definedName>
    <definedName name="sdddddddddddddddd" localSheetId="8">#REF!</definedName>
    <definedName name="sdddddddddddddddd" localSheetId="0">#REF!</definedName>
    <definedName name="sdddddddddddddddd">#REF!</definedName>
    <definedName name="SDF" localSheetId="4">#REF!</definedName>
    <definedName name="SDF" localSheetId="8">#REF!</definedName>
    <definedName name="SDF">#REF!</definedName>
    <definedName name="sdfd" localSheetId="4">#REF!</definedName>
    <definedName name="sdfd" localSheetId="8">#REF!</definedName>
    <definedName name="sdfd">#REF!</definedName>
    <definedName name="sdfds" localSheetId="4">#REF!</definedName>
    <definedName name="sdfds" localSheetId="8">#REF!</definedName>
    <definedName name="sdfds">#REF!</definedName>
    <definedName name="sdfdsf" localSheetId="4">#REF!</definedName>
    <definedName name="sdfdsf" localSheetId="8">#REF!</definedName>
    <definedName name="sdfdsf">#REF!</definedName>
    <definedName name="sdfsdf" localSheetId="4">#REF!</definedName>
    <definedName name="sdfsdf" localSheetId="8">#REF!</definedName>
    <definedName name="sdfsdf">#REF!</definedName>
    <definedName name="SDFSDFSDFD" localSheetId="4">#REF!</definedName>
    <definedName name="SDFSDFSDFD" localSheetId="8">#REF!</definedName>
    <definedName name="SDFSDFSDFD">#REF!</definedName>
    <definedName name="sdit" localSheetId="4">#REF!</definedName>
    <definedName name="sdit" localSheetId="8">#REF!</definedName>
    <definedName name="sdit">#REF!</definedName>
    <definedName name="sdsds" localSheetId="4">#REF!</definedName>
    <definedName name="sdsds" localSheetId="8">#REF!</definedName>
    <definedName name="sdsds">#REF!</definedName>
    <definedName name="sdsdsd" localSheetId="4">#REF!</definedName>
    <definedName name="sdsdsd" localSheetId="8">#REF!</definedName>
    <definedName name="sdsdsd" localSheetId="0">#REF!</definedName>
    <definedName name="sdsdsd">#REF!</definedName>
    <definedName name="sdsss" localSheetId="4">#REF!</definedName>
    <definedName name="sdsss" localSheetId="8">#REF!</definedName>
    <definedName name="sdsss" localSheetId="0">#REF!</definedName>
    <definedName name="sdsss">#REF!</definedName>
    <definedName name="se" localSheetId="4">#REF!</definedName>
    <definedName name="se" localSheetId="8">#REF!</definedName>
    <definedName name="se">#REF!</definedName>
    <definedName name="sed" localSheetId="4">#REF!</definedName>
    <definedName name="sed" localSheetId="8">#REF!</definedName>
    <definedName name="sed">#REF!</definedName>
    <definedName name="SEDA" localSheetId="4">#REF!</definedName>
    <definedName name="SEDA" localSheetId="8">#REF!</definedName>
    <definedName name="SEDA">#REF!</definedName>
    <definedName name="sef" localSheetId="4">#REF!</definedName>
    <definedName name="sef" localSheetId="8">#REF!</definedName>
    <definedName name="sef">#REF!</definedName>
    <definedName name="segdaf" localSheetId="4">#REF!</definedName>
    <definedName name="segdaf" localSheetId="8">#REF!</definedName>
    <definedName name="segdaf">#REF!</definedName>
    <definedName name="Services2" localSheetId="4">#REF!</definedName>
    <definedName name="Services2" localSheetId="8">#REF!</definedName>
    <definedName name="Services2">#REF!</definedName>
    <definedName name="sfdg" localSheetId="4">#REF!</definedName>
    <definedName name="sfdg" localSheetId="8">#REF!</definedName>
    <definedName name="sfdg">#REF!</definedName>
    <definedName name="sffff" localSheetId="4">#REF!</definedName>
    <definedName name="sffff" localSheetId="8">#REF!</definedName>
    <definedName name="sffff">#REF!</definedName>
    <definedName name="SGWg" localSheetId="4">#REF!</definedName>
    <definedName name="SGWg" localSheetId="8">#REF!</definedName>
    <definedName name="SGWg">#REF!</definedName>
    <definedName name="si" localSheetId="4">#REF!</definedName>
    <definedName name="si" localSheetId="8">#REF!</definedName>
    <definedName name="si">#REF!</definedName>
    <definedName name="solver_adj" localSheetId="4">#REF!</definedName>
    <definedName name="solver_adj" localSheetId="8">#REF!</definedName>
    <definedName name="solver_adj" localSheetId="0">#REF!</definedName>
    <definedName name="solver_adj">#REF!</definedName>
    <definedName name="solver_tmp" localSheetId="4">#REF!</definedName>
    <definedName name="solver_tmp" localSheetId="8">#REF!</definedName>
    <definedName name="solver_tmp" localSheetId="0">#REF!</definedName>
    <definedName name="solver_tmp">#REF!</definedName>
    <definedName name="SORT1" localSheetId="4">#REF!</definedName>
    <definedName name="SORT1" localSheetId="8">#REF!</definedName>
    <definedName name="SORT1" localSheetId="0">#REF!</definedName>
    <definedName name="SORT1">#REF!</definedName>
    <definedName name="şp" localSheetId="4">#REF!</definedName>
    <definedName name="şp" localSheetId="8">#REF!</definedName>
    <definedName name="şp">#REF!</definedName>
    <definedName name="SPELL" localSheetId="4">#REF!</definedName>
    <definedName name="SPELL" localSheetId="8">#REF!</definedName>
    <definedName name="SPELL" localSheetId="0">#REF!</definedName>
    <definedName name="SPELL">#REF!</definedName>
    <definedName name="sr" localSheetId="4">#REF!</definedName>
    <definedName name="sr" localSheetId="8">#REF!</definedName>
    <definedName name="sr" localSheetId="0">#REF!</definedName>
    <definedName name="sr">#REF!</definedName>
    <definedName name="SRGAWG" localSheetId="4">#REF!</definedName>
    <definedName name="SRGAWG" localSheetId="8">#REF!</definedName>
    <definedName name="SRGAWG">#REF!</definedName>
    <definedName name="ss" localSheetId="4">#REF!</definedName>
    <definedName name="ss" localSheetId="8">#REF!</definedName>
    <definedName name="ss">#REF!</definedName>
    <definedName name="sssa" localSheetId="4">#REF!</definedName>
    <definedName name="sssa" localSheetId="8">#REF!</definedName>
    <definedName name="sssa">#REF!</definedName>
    <definedName name="ssshhh" localSheetId="4">#REF!</definedName>
    <definedName name="ssshhh" localSheetId="8">#REF!</definedName>
    <definedName name="ssshhh">#REF!</definedName>
    <definedName name="ssss" localSheetId="4">#REF!</definedName>
    <definedName name="ssss" localSheetId="8">#REF!</definedName>
    <definedName name="ssss">#REF!</definedName>
    <definedName name="şşşş" localSheetId="4">#REF!</definedName>
    <definedName name="şşşş" localSheetId="8">#REF!</definedName>
    <definedName name="şşşş">#REF!</definedName>
    <definedName name="sssss" localSheetId="4">#REF!</definedName>
    <definedName name="sssss" localSheetId="8">#REF!</definedName>
    <definedName name="sssss">#REF!</definedName>
    <definedName name="ssssss" localSheetId="4">#REF!</definedName>
    <definedName name="ssssss" localSheetId="8">#REF!</definedName>
    <definedName name="ssssss">#REF!</definedName>
    <definedName name="SSSSSSSS" localSheetId="4">#REF!</definedName>
    <definedName name="SSSSSSSS" localSheetId="8">#REF!</definedName>
    <definedName name="SSSSSSSS">#REF!</definedName>
    <definedName name="START_LINE" localSheetId="4">#REF!</definedName>
    <definedName name="START_LINE" localSheetId="8">#REF!</definedName>
    <definedName name="START_LINE" localSheetId="0">#REF!</definedName>
    <definedName name="START_LINE">#REF!</definedName>
    <definedName name="stu" localSheetId="4">#REF!</definedName>
    <definedName name="stu" localSheetId="8">#REF!</definedName>
    <definedName name="stu">#REF!</definedName>
    <definedName name="summary2" localSheetId="4">#REF!</definedName>
    <definedName name="summary2" localSheetId="8">#REF!</definedName>
    <definedName name="summary2">#REF!</definedName>
    <definedName name="susan" localSheetId="4">#REF!</definedName>
    <definedName name="susan" localSheetId="8">#REF!</definedName>
    <definedName name="susan" localSheetId="0">#REF!</definedName>
    <definedName name="susan">#REF!</definedName>
    <definedName name="Swadlincote" localSheetId="4">#REF!</definedName>
    <definedName name="Swadlincote" localSheetId="8">#REF!</definedName>
    <definedName name="Swadlincote">#REF!</definedName>
    <definedName name="swe" localSheetId="4">#REF!</definedName>
    <definedName name="swe" localSheetId="8">#REF!</definedName>
    <definedName name="swe">#REF!</definedName>
    <definedName name="sww" localSheetId="4">#REF!</definedName>
    <definedName name="sww" localSheetId="8">#REF!</definedName>
    <definedName name="sww">#REF!</definedName>
    <definedName name="t" localSheetId="4">#REF!</definedName>
    <definedName name="t" localSheetId="8">#REF!</definedName>
    <definedName name="t">#REF!</definedName>
    <definedName name="taa" localSheetId="4">#REF!</definedName>
    <definedName name="taa" localSheetId="8">#REF!</definedName>
    <definedName name="taa">#REF!</definedName>
    <definedName name="tabl" localSheetId="4">#REF!</definedName>
    <definedName name="tabl" localSheetId="8">#REF!</definedName>
    <definedName name="tabl">#REF!</definedName>
    <definedName name="tabla12" localSheetId="4">#REF!</definedName>
    <definedName name="tabla12" localSheetId="8">#REF!</definedName>
    <definedName name="tabla12">#REF!</definedName>
    <definedName name="table12" localSheetId="4">#REF!</definedName>
    <definedName name="table12" localSheetId="8">#REF!</definedName>
    <definedName name="table12">#REF!</definedName>
    <definedName name="Table9" localSheetId="4">#REF!</definedName>
    <definedName name="Table9" localSheetId="8">#REF!</definedName>
    <definedName name="Table9">#REF!</definedName>
    <definedName name="Table9A" localSheetId="4">#REF!</definedName>
    <definedName name="Table9A" localSheetId="8">#REF!</definedName>
    <definedName name="Table9A">#REF!</definedName>
    <definedName name="tableau" localSheetId="4">#REF!</definedName>
    <definedName name="tableau" localSheetId="8">#REF!</definedName>
    <definedName name="tableau">#REF!</definedName>
    <definedName name="taN" localSheetId="4">#REF!</definedName>
    <definedName name="taN" localSheetId="8">#REF!</definedName>
    <definedName name="taN">#REF!</definedName>
    <definedName name="taNJU" localSheetId="4">#REF!</definedName>
    <definedName name="taNJU" localSheetId="8">#REF!</definedName>
    <definedName name="taNJU">#REF!</definedName>
    <definedName name="tanya" localSheetId="4">#REF!</definedName>
    <definedName name="tanya" localSheetId="8">#REF!</definedName>
    <definedName name="tanya">#REF!</definedName>
    <definedName name="tbg" localSheetId="4">#REF!</definedName>
    <definedName name="tbg" localSheetId="8">#REF!</definedName>
    <definedName name="tbg">#REF!</definedName>
    <definedName name="TBL_12" localSheetId="4">#REF!</definedName>
    <definedName name="TBL_12" localSheetId="8">#REF!</definedName>
    <definedName name="TBL_12">#REF!</definedName>
    <definedName name="Tbl14a" localSheetId="4">#REF!</definedName>
    <definedName name="Tbl14a" localSheetId="8">#REF!</definedName>
    <definedName name="Tbl14a">#REF!</definedName>
    <definedName name="Template" localSheetId="4">#REF!</definedName>
    <definedName name="Template" localSheetId="8">#REF!</definedName>
    <definedName name="Template" localSheetId="0">#REF!</definedName>
    <definedName name="Template">#REF!</definedName>
    <definedName name="tertw" localSheetId="4">#REF!</definedName>
    <definedName name="tertw" localSheetId="8">#REF!</definedName>
    <definedName name="tertw">#REF!</definedName>
    <definedName name="test" localSheetId="4">#REF!</definedName>
    <definedName name="test" localSheetId="8">#REF!</definedName>
    <definedName name="test">#REF!</definedName>
    <definedName name="tg" localSheetId="4">#REF!</definedName>
    <definedName name="tg" localSheetId="8">#REF!</definedName>
    <definedName name="tg">#REF!</definedName>
    <definedName name="tgb" localSheetId="4">#REF!</definedName>
    <definedName name="tgb" localSheetId="8">#REF!</definedName>
    <definedName name="tgb">#REF!</definedName>
    <definedName name="tgvvcxsd" localSheetId="4">#REF!</definedName>
    <definedName name="tgvvcxsd" localSheetId="8">#REF!</definedName>
    <definedName name="tgvvcxsd">#REF!</definedName>
    <definedName name="Therion" localSheetId="4">#REF!</definedName>
    <definedName name="Therion" localSheetId="8">#REF!</definedName>
    <definedName name="Therion">#REF!</definedName>
    <definedName name="THNEN" localSheetId="4">#REF!</definedName>
    <definedName name="THNEN" localSheetId="8">#REF!</definedName>
    <definedName name="THNEN">#REF!</definedName>
    <definedName name="Topaz2_PL" localSheetId="4">#REF!</definedName>
    <definedName name="Topaz2_PL" localSheetId="8">#REF!</definedName>
    <definedName name="Topaz2_PL">#REF!</definedName>
    <definedName name="TOTAL_PREOPENIN" localSheetId="4">#REF!</definedName>
    <definedName name="TOTAL_PREOPENIN" localSheetId="8">#REF!</definedName>
    <definedName name="TOTAL_PREOPENIN" localSheetId="0">#REF!</definedName>
    <definedName name="TOTAL_PREOPENIN">#REF!</definedName>
    <definedName name="tr" localSheetId="4">#REF!</definedName>
    <definedName name="tr" localSheetId="8">#REF!</definedName>
    <definedName name="tr">#REF!</definedName>
    <definedName name="trurtgf" localSheetId="4">#REF!</definedName>
    <definedName name="trurtgf" localSheetId="8">#REF!</definedName>
    <definedName name="trurtgf">#REF!</definedName>
    <definedName name="trwtewer" localSheetId="4">#REF!</definedName>
    <definedName name="trwtewer" localSheetId="8">#REF!</definedName>
    <definedName name="trwtewer">#REF!</definedName>
    <definedName name="tryu" localSheetId="4">#REF!</definedName>
    <definedName name="tryu" localSheetId="8">#REF!</definedName>
    <definedName name="tryu">#REF!</definedName>
    <definedName name="tt" localSheetId="4">#REF!</definedName>
    <definedName name="tt" localSheetId="8">#REF!</definedName>
    <definedName name="tt">#REF!</definedName>
    <definedName name="tttt" localSheetId="4">#REF!</definedName>
    <definedName name="tttt" localSheetId="8">#REF!</definedName>
    <definedName name="tttt">#REF!</definedName>
    <definedName name="tuiop" localSheetId="4">#REF!</definedName>
    <definedName name="tuiop" localSheetId="8">#REF!</definedName>
    <definedName name="tuiop">#REF!</definedName>
    <definedName name="TURGUT" localSheetId="4">#REF!</definedName>
    <definedName name="TURGUT" localSheetId="8">#REF!</definedName>
    <definedName name="TURGUT">#REF!</definedName>
    <definedName name="turgutac" localSheetId="4">#REF!</definedName>
    <definedName name="turgutac" localSheetId="8">#REF!</definedName>
    <definedName name="turgutac">#REF!</definedName>
    <definedName name="tüt" localSheetId="4">#REF!</definedName>
    <definedName name="tüt" localSheetId="8">#REF!</definedName>
    <definedName name="tüt">#REF!</definedName>
    <definedName name="ty" localSheetId="4">#REF!</definedName>
    <definedName name="ty" localSheetId="8">#REF!</definedName>
    <definedName name="ty">#REF!</definedName>
    <definedName name="tyu" localSheetId="4">#REF!</definedName>
    <definedName name="tyu" localSheetId="8">#REF!</definedName>
    <definedName name="tyu">#REF!</definedName>
    <definedName name="u" localSheetId="4">#REF!</definedName>
    <definedName name="u" localSheetId="8">#REF!</definedName>
    <definedName name="u" localSheetId="0">#REF!</definedName>
    <definedName name="u">#REF!</definedName>
    <definedName name="üa" localSheetId="4">#REF!</definedName>
    <definedName name="üa" localSheetId="8">#REF!</definedName>
    <definedName name="üa">#REF!</definedName>
    <definedName name="üaa" localSheetId="4">#REF!</definedName>
    <definedName name="üaa" localSheetId="8">#REF!</definedName>
    <definedName name="üaa">#REF!</definedName>
    <definedName name="uhb" localSheetId="4">#REF!</definedName>
    <definedName name="uhb" localSheetId="8">#REF!</definedName>
    <definedName name="uhb">#REF!</definedName>
    <definedName name="uhfurhgjuhk" localSheetId="4">#REF!</definedName>
    <definedName name="uhfurhgjuhk" localSheetId="8">#REF!</definedName>
    <definedName name="uhfurhgjuhk" localSheetId="0">#REF!</definedName>
    <definedName name="uhfurhgjuhk">#REF!</definedName>
    <definedName name="UHJ" localSheetId="4">#REF!</definedName>
    <definedName name="UHJ" localSheetId="8">#REF!</definedName>
    <definedName name="UHJ">#REF!</definedName>
    <definedName name="ui" localSheetId="4">#REF!</definedName>
    <definedName name="ui" localSheetId="8">#REF!</definedName>
    <definedName name="ui" localSheetId="0">#REF!</definedName>
    <definedName name="ui">#REF!</definedName>
    <definedName name="uııı" localSheetId="4">#REF!</definedName>
    <definedName name="uııı" localSheetId="8">#REF!</definedName>
    <definedName name="uııı">#REF!</definedName>
    <definedName name="uııııı" localSheetId="4">#REF!</definedName>
    <definedName name="uııııı" localSheetId="8">#REF!</definedName>
    <definedName name="uııııı">#REF!</definedName>
    <definedName name="uıııuı" localSheetId="4">#REF!</definedName>
    <definedName name="uıııuı" localSheetId="8">#REF!</definedName>
    <definedName name="uıııuı">#REF!</definedName>
    <definedName name="uııuıu" localSheetId="4">#REF!</definedName>
    <definedName name="uııuıu" localSheetId="8">#REF!</definedName>
    <definedName name="uııuıu">#REF!</definedName>
    <definedName name="uiop" localSheetId="4">#REF!</definedName>
    <definedName name="uiop" localSheetId="8">#REF!</definedName>
    <definedName name="uiop">#REF!</definedName>
    <definedName name="uiopbn" localSheetId="4">#REF!</definedName>
    <definedName name="uiopbn" localSheetId="8">#REF!</definedName>
    <definedName name="uiopbn">#REF!</definedName>
    <definedName name="uiopl" localSheetId="4">#REF!</definedName>
    <definedName name="uiopl" localSheetId="8">#REF!</definedName>
    <definedName name="uiopl">#REF!</definedName>
    <definedName name="uıuı" localSheetId="4">#REF!</definedName>
    <definedName name="uıuı" localSheetId="8">#REF!</definedName>
    <definedName name="uıuı">#REF!</definedName>
    <definedName name="uıuıuıuı" localSheetId="4">#REF!</definedName>
    <definedName name="uıuıuıuı" localSheetId="8">#REF!</definedName>
    <definedName name="uıuıuıuı">#REF!</definedName>
    <definedName name="uj" localSheetId="4">#REF!</definedName>
    <definedName name="uj" localSheetId="8">#REF!</definedName>
    <definedName name="uj">#REF!</definedName>
    <definedName name="UJDH" localSheetId="4">#REF!</definedName>
    <definedName name="UJDH" localSheetId="8">#REF!</definedName>
    <definedName name="UJDH">#REF!</definedName>
    <definedName name="ujm" localSheetId="4">#REF!</definedName>
    <definedName name="ujm" localSheetId="8">#REF!</definedName>
    <definedName name="ujm">#REF!</definedName>
    <definedName name="uk" localSheetId="4">#REF!</definedName>
    <definedName name="uk" localSheetId="8">#REF!</definedName>
    <definedName name="uk" localSheetId="0">#REF!</definedName>
    <definedName name="uk">#REF!</definedName>
    <definedName name="Units" localSheetId="4">#REF!</definedName>
    <definedName name="Units" localSheetId="8">#REF!</definedName>
    <definedName name="Units" localSheetId="0">#REF!</definedName>
    <definedName name="Units">#REF!</definedName>
    <definedName name="ünsal" localSheetId="4">#REF!</definedName>
    <definedName name="ünsal" localSheetId="8">#REF!</definedName>
    <definedName name="ünsal">#REF!</definedName>
    <definedName name="utg" localSheetId="4">#REF!</definedName>
    <definedName name="utg" localSheetId="8">#REF!</definedName>
    <definedName name="utg">#REF!</definedName>
    <definedName name="ütk" localSheetId="4">#REF!</definedName>
    <definedName name="ütk" localSheetId="8">#REF!</definedName>
    <definedName name="ütk">#REF!</definedName>
    <definedName name="ütkm" localSheetId="4">#REF!</definedName>
    <definedName name="ütkm" localSheetId="8">#REF!</definedName>
    <definedName name="ütkm">#REF!</definedName>
    <definedName name="uuı" localSheetId="4">#REF!</definedName>
    <definedName name="uuı" localSheetId="8">#REF!</definedName>
    <definedName name="uuı">#REF!</definedName>
    <definedName name="uuııı" localSheetId="4">#REF!</definedName>
    <definedName name="uuııı" localSheetId="8">#REF!</definedName>
    <definedName name="uuııı">#REF!</definedName>
    <definedName name="uuıyy" localSheetId="4">#REF!</definedName>
    <definedName name="uuıyy" localSheetId="8">#REF!</definedName>
    <definedName name="uuıyy">#REF!</definedName>
    <definedName name="UUJNN?JNJ" localSheetId="4">#REF!</definedName>
    <definedName name="UUJNN?JNJ" localSheetId="8">#REF!</definedName>
    <definedName name="UUJNN?JNJ">#REF!</definedName>
    <definedName name="uuu" localSheetId="4">#REF!</definedName>
    <definedName name="uuu" localSheetId="8">#REF!</definedName>
    <definedName name="uuu">#REF!</definedName>
    <definedName name="uuuı" localSheetId="4">#REF!</definedName>
    <definedName name="uuuı" localSheetId="8">#REF!</definedName>
    <definedName name="uuuı">#REF!</definedName>
    <definedName name="uuuııu" localSheetId="4">#REF!</definedName>
    <definedName name="uuuııu" localSheetId="8">#REF!</definedName>
    <definedName name="uuuııu">#REF!</definedName>
    <definedName name="uuuuııuıı" localSheetId="4">#REF!</definedName>
    <definedName name="uuuuııuıı" localSheetId="8">#REF!</definedName>
    <definedName name="uuuuııuıı">#REF!</definedName>
    <definedName name="UUYYYYYYYY" localSheetId="4">#REF!</definedName>
    <definedName name="UUYYYYYYYY" localSheetId="8">#REF!</definedName>
    <definedName name="UUYYYYYYYY">#REF!</definedName>
    <definedName name="uy" localSheetId="4">#REF!</definedName>
    <definedName name="uy" localSheetId="8">#REF!</definedName>
    <definedName name="uy">#REF!</definedName>
    <definedName name="UYB" localSheetId="4">#REF!</definedName>
    <definedName name="UYB" localSheetId="8">#REF!</definedName>
    <definedName name="UYB">#REF!</definedName>
    <definedName name="UYI" localSheetId="4">#REF!</definedName>
    <definedName name="UYI" localSheetId="8">#REF!</definedName>
    <definedName name="UYI">#REF!</definedName>
    <definedName name="uyıııı" localSheetId="4">#REF!</definedName>
    <definedName name="uyıııı" localSheetId="8">#REF!</definedName>
    <definedName name="uyıııı">#REF!</definedName>
    <definedName name="uyyuı" localSheetId="4">#REF!</definedName>
    <definedName name="uyyuı" localSheetId="8">#REF!</definedName>
    <definedName name="uyyuı">#REF!</definedName>
    <definedName name="v" localSheetId="4">#REF!</definedName>
    <definedName name="v" localSheetId="8">#REF!</definedName>
    <definedName name="v">#REF!</definedName>
    <definedName name="Variation" localSheetId="4">#REF!</definedName>
    <definedName name="Variation" localSheetId="8">#REF!</definedName>
    <definedName name="Variation">#REF!</definedName>
    <definedName name="vbcvbv" localSheetId="4">#REF!</definedName>
    <definedName name="vbcvbv" localSheetId="8">#REF!</definedName>
    <definedName name="vbcvbv">#REF!</definedName>
    <definedName name="vfhbyf" localSheetId="4">#REF!</definedName>
    <definedName name="vfhbyf" localSheetId="8">#REF!</definedName>
    <definedName name="vfhbyf" localSheetId="0">#REF!</definedName>
    <definedName name="vfhbyf">#REF!</definedName>
    <definedName name="vfvfv" localSheetId="4">#REF!</definedName>
    <definedName name="vfvfv" localSheetId="8">#REF!</definedName>
    <definedName name="vfvfv">#REF!</definedName>
    <definedName name="Vntz" localSheetId="4">#REF!</definedName>
    <definedName name="Vntz" localSheetId="8">#REF!</definedName>
    <definedName name="Vntz" localSheetId="0">#REF!</definedName>
    <definedName name="Vntz">#REF!</definedName>
    <definedName name="Vostr11" localSheetId="4">#REF!</definedName>
    <definedName name="Vostr11" localSheetId="8">#REF!</definedName>
    <definedName name="Vostr11" localSheetId="0">#REF!</definedName>
    <definedName name="Vostr11">#REF!</definedName>
    <definedName name="Vostr12" localSheetId="4">#REF!</definedName>
    <definedName name="Vostr12" localSheetId="8">#REF!</definedName>
    <definedName name="Vostr12" localSheetId="0">#REF!</definedName>
    <definedName name="Vostr12">#REF!</definedName>
    <definedName name="Vostr13" localSheetId="4">#REF!</definedName>
    <definedName name="Vostr13" localSheetId="8">#REF!</definedName>
    <definedName name="Vostr13" localSheetId="0">#REF!</definedName>
    <definedName name="Vostr13">#REF!</definedName>
    <definedName name="Vostr14" localSheetId="4">#REF!</definedName>
    <definedName name="Vostr14" localSheetId="8">#REF!</definedName>
    <definedName name="Vostr14" localSheetId="0">#REF!</definedName>
    <definedName name="Vostr14">#REF!</definedName>
    <definedName name="Vostr21" localSheetId="4">#REF!</definedName>
    <definedName name="Vostr21" localSheetId="8">#REF!</definedName>
    <definedName name="Vostr21" localSheetId="0">#REF!</definedName>
    <definedName name="Vostr21">#REF!</definedName>
    <definedName name="Vostr22" localSheetId="4">#REF!</definedName>
    <definedName name="Vostr22" localSheetId="8">#REF!</definedName>
    <definedName name="Vostr22" localSheetId="0">#REF!</definedName>
    <definedName name="Vostr22">#REF!</definedName>
    <definedName name="Vostr23" localSheetId="4">#REF!</definedName>
    <definedName name="Vostr23" localSheetId="8">#REF!</definedName>
    <definedName name="Vostr23" localSheetId="0">#REF!</definedName>
    <definedName name="Vostr23">#REF!</definedName>
    <definedName name="Vostr24" localSheetId="4">#REF!</definedName>
    <definedName name="Vostr24" localSheetId="8">#REF!</definedName>
    <definedName name="Vostr24" localSheetId="0">#REF!</definedName>
    <definedName name="Vostr24">#REF!</definedName>
    <definedName name="VostrTitle2" localSheetId="4">#REF!</definedName>
    <definedName name="VostrTitle2" localSheetId="8">#REF!</definedName>
    <definedName name="VostrTitle2" localSheetId="0">#REF!</definedName>
    <definedName name="VostrTitle2">#REF!</definedName>
    <definedName name="vur" localSheetId="4">#REF!</definedName>
    <definedName name="vur" localSheetId="8">#REF!</definedName>
    <definedName name="vur" localSheetId="0">#REF!</definedName>
    <definedName name="vur">#REF!</definedName>
    <definedName name="vural" localSheetId="4">#REF!</definedName>
    <definedName name="vural" localSheetId="8">#REF!</definedName>
    <definedName name="vural" localSheetId="0">#REF!</definedName>
    <definedName name="vural">#REF!</definedName>
    <definedName name="vv" localSheetId="4">#REF!</definedName>
    <definedName name="vv" localSheetId="8">#REF!</definedName>
    <definedName name="vv">#REF!</definedName>
    <definedName name="VWER" localSheetId="4">#REF!</definedName>
    <definedName name="VWER" localSheetId="8">#REF!</definedName>
    <definedName name="VWER">#REF!</definedName>
    <definedName name="vwx" localSheetId="4">#REF!</definedName>
    <definedName name="vwx" localSheetId="8">#REF!</definedName>
    <definedName name="vwx">#REF!</definedName>
    <definedName name="w" localSheetId="4">#REF!</definedName>
    <definedName name="w" localSheetId="8">#REF!</definedName>
    <definedName name="w">#REF!</definedName>
    <definedName name="W4TF" localSheetId="4">#REF!</definedName>
    <definedName name="W4TF" localSheetId="8">#REF!</definedName>
    <definedName name="W4TF">#REF!</definedName>
    <definedName name="wat" localSheetId="4">#REF!</definedName>
    <definedName name="wat" localSheetId="8">#REF!</definedName>
    <definedName name="wat">#REF!</definedName>
    <definedName name="we" localSheetId="4">#REF!</definedName>
    <definedName name="we" localSheetId="8">#REF!</definedName>
    <definedName name="we">#REF!</definedName>
    <definedName name="wefwef" localSheetId="4">#REF!</definedName>
    <definedName name="wefwef" localSheetId="8">#REF!</definedName>
    <definedName name="wefwef" localSheetId="0">#REF!</definedName>
    <definedName name="wefwef">#REF!</definedName>
    <definedName name="weq" localSheetId="4">#REF!</definedName>
    <definedName name="weq" localSheetId="8">#REF!</definedName>
    <definedName name="weq">#REF!</definedName>
    <definedName name="wer" localSheetId="4">#REF!</definedName>
    <definedName name="wer" localSheetId="8">#REF!</definedName>
    <definedName name="wer">#REF!</definedName>
    <definedName name="WERERWQEWE" localSheetId="4">#REF!</definedName>
    <definedName name="WERERWQEWE" localSheetId="8">#REF!</definedName>
    <definedName name="WERERWQEWE">#REF!</definedName>
    <definedName name="wert" localSheetId="4">#REF!</definedName>
    <definedName name="wert" localSheetId="8">#REF!</definedName>
    <definedName name="wert">#REF!</definedName>
    <definedName name="wETGWT" localSheetId="4">#REF!</definedName>
    <definedName name="wETGWT" localSheetId="8">#REF!</definedName>
    <definedName name="wETGWT">#REF!</definedName>
    <definedName name="WEWEWEWE" localSheetId="4">#REF!</definedName>
    <definedName name="WEWEWEWE" localSheetId="8">#REF!</definedName>
    <definedName name="WEWEWEWE">#REF!</definedName>
    <definedName name="WEWEWEWEWE" localSheetId="4">#REF!</definedName>
    <definedName name="WEWEWEWEWE" localSheetId="8">#REF!</definedName>
    <definedName name="WEWEWEWEWE">#REF!</definedName>
    <definedName name="Whitechapel" localSheetId="4">#REF!</definedName>
    <definedName name="Whitechapel" localSheetId="8">#REF!</definedName>
    <definedName name="Whitechapel">#REF!</definedName>
    <definedName name="WİN.ED" localSheetId="4">#REF!</definedName>
    <definedName name="WİN.ED" localSheetId="8">#REF!</definedName>
    <definedName name="WİN.ED">#REF!</definedName>
    <definedName name="wq" localSheetId="4">#REF!</definedName>
    <definedName name="wq" localSheetId="8">#REF!</definedName>
    <definedName name="wq">#REF!</definedName>
    <definedName name="wqq" localSheetId="4">#REF!</definedName>
    <definedName name="wqq" localSheetId="8">#REF!</definedName>
    <definedName name="wqq">#REF!</definedName>
    <definedName name="wqwqw" localSheetId="4">#REF!</definedName>
    <definedName name="wqwqw" localSheetId="8">#REF!</definedName>
    <definedName name="wqwqw">#REF!</definedName>
    <definedName name="wqwqwq" localSheetId="4">#REF!</definedName>
    <definedName name="wqwqwq" localSheetId="8">#REF!</definedName>
    <definedName name="wqwqwq">#REF!</definedName>
    <definedName name="Wrexham" localSheetId="4">#REF!</definedName>
    <definedName name="Wrexham" localSheetId="8">#REF!</definedName>
    <definedName name="Wrexham">#REF!</definedName>
    <definedName name="wrn" localSheetId="4">#REF!</definedName>
    <definedName name="wrn" localSheetId="8">#REF!</definedName>
    <definedName name="wrn">#REF!</definedName>
    <definedName name="wrn.1." localSheetId="4">#REF!</definedName>
    <definedName name="wrn.1." localSheetId="8">#REF!</definedName>
    <definedName name="wrn.1.">#REF!</definedName>
    <definedName name="wrn.10._.Per._.Cent._.Success." localSheetId="4">#REF!</definedName>
    <definedName name="wrn.10._.Per._.Cent._.Success." localSheetId="8">#REF!</definedName>
    <definedName name="wrn.10._.Per._.Cent._.Success.">#REF!</definedName>
    <definedName name="wrn.100._.Per._.Cent._.Success." localSheetId="4">#REF!</definedName>
    <definedName name="wrn.100._.Per._.Cent._.Success." localSheetId="8">#REF!</definedName>
    <definedName name="wrn.100._.Per._.Cent._.Success.">#REF!</definedName>
    <definedName name="wrn.2" localSheetId="4">#REF!</definedName>
    <definedName name="wrn.2" localSheetId="8">#REF!</definedName>
    <definedName name="wrn.2">#REF!</definedName>
    <definedName name="wrn.30._.Per._.Cent." localSheetId="4">#REF!</definedName>
    <definedName name="wrn.30._.Per._.Cent." localSheetId="8">#REF!</definedName>
    <definedName name="wrn.30._.Per._.Cent.">#REF!</definedName>
    <definedName name="wrn.70._.Per._.Cent._.Success." localSheetId="4">#REF!</definedName>
    <definedName name="wrn.70._.Per._.Cent._.Success." localSheetId="8">#REF!</definedName>
    <definedName name="wrn.70._.Per._.Cent._.Success.">#REF!</definedName>
    <definedName name="wrn.A." localSheetId="4">#REF!</definedName>
    <definedName name="wrn.A." localSheetId="8">#REF!</definedName>
    <definedName name="wrn.A.">#REF!</definedName>
    <definedName name="wrn.age._.ihzarat." localSheetId="4">#REF!</definedName>
    <definedName name="wrn.age._.ihzarat." localSheetId="8">#REF!</definedName>
    <definedName name="wrn.age._.ihzarat.">#REF!</definedName>
    <definedName name="wrn.age._.imalat." localSheetId="4">#REF!</definedName>
    <definedName name="wrn.age._.imalat." localSheetId="8">#REF!</definedName>
    <definedName name="wrn.age._.imalat.">#REF!</definedName>
    <definedName name="wrn.Aging" localSheetId="4">#REF!</definedName>
    <definedName name="wrn.Aging" localSheetId="8">#REF!</definedName>
    <definedName name="wrn.Aging">#REF!</definedName>
    <definedName name="wrn.Aging._.and._.Trend._.Analysis." localSheetId="4">#REF!</definedName>
    <definedName name="wrn.Aging._.and._.Trend._.Analysis." localSheetId="8">#REF!</definedName>
    <definedName name="wrn.Aging._.and._.Trend._.Analysis.">#REF!</definedName>
    <definedName name="wrn.Aging.and._Trend._.Analysis.2" localSheetId="4">#REF!</definedName>
    <definedName name="wrn.Aging.and._Trend._.Analysis.2" localSheetId="8">#REF!</definedName>
    <definedName name="wrn.Aging.and._Trend._.Analysis.2">#REF!</definedName>
    <definedName name="wrn.AHMET." localSheetId="4">#REF!</definedName>
    <definedName name="wrn.AHMET." localSheetId="8">#REF!</definedName>
    <definedName name="wrn.AHMET.">#REF!</definedName>
    <definedName name="wrn.akyuz_hakedis." localSheetId="4">#REF!</definedName>
    <definedName name="wrn.akyuz_hakedis." localSheetId="8">#REF!</definedName>
    <definedName name="wrn.akyuz_hakedis.">#REF!</definedName>
    <definedName name="wrn.ALL." localSheetId="4">#REF!</definedName>
    <definedName name="wrn.ALL." localSheetId="8">#REF!</definedName>
    <definedName name="wrn.ALL.">#REF!</definedName>
    <definedName name="wrn.all._.lines." localSheetId="4">#REF!</definedName>
    <definedName name="wrn.all._.lines." localSheetId="8">#REF!</definedName>
    <definedName name="wrn.all._.lines.">#REF!</definedName>
    <definedName name="wrn.ap." localSheetId="4">#REF!</definedName>
    <definedName name="wrn.ap." localSheetId="8">#REF!</definedName>
    <definedName name="wrn.ap.">#REF!</definedName>
    <definedName name="wrn.atıksu_hat." localSheetId="4">#REF!</definedName>
    <definedName name="wrn.atıksu_hat." localSheetId="8">#REF!</definedName>
    <definedName name="wrn.atıksu_hat.">#REF!</definedName>
    <definedName name="wrn.atıksu_parsel_baca." localSheetId="4">#REF!</definedName>
    <definedName name="wrn.atıksu_parsel_baca." localSheetId="8">#REF!</definedName>
    <definedName name="wrn.atıksu_parsel_baca.">#REF!</definedName>
    <definedName name="wrn.ayrap." localSheetId="4">#REF!</definedName>
    <definedName name="wrn.ayrap." localSheetId="8">#REF!</definedName>
    <definedName name="wrn.ayrap.">#REF!</definedName>
    <definedName name="wrn.Backup." localSheetId="4">#REF!</definedName>
    <definedName name="wrn.Backup." localSheetId="8">#REF!</definedName>
    <definedName name="wrn.Backup.">#REF!</definedName>
    <definedName name="wrn.backup1" localSheetId="4">#REF!</definedName>
    <definedName name="wrn.backup1" localSheetId="8">#REF!</definedName>
    <definedName name="wrn.backup1">#REF!</definedName>
    <definedName name="wrn.Barbara._.Modular._.Indirects." localSheetId="4">#REF!</definedName>
    <definedName name="wrn.Barbara._.Modular._.Indirects." localSheetId="8">#REF!</definedName>
    <definedName name="wrn.Barbara._.Modular._.Indirects.">#REF!</definedName>
    <definedName name="wrn.basicfin." localSheetId="4">#REF!</definedName>
    <definedName name="wrn.basicfin." localSheetId="8">#REF!</definedName>
    <definedName name="wrn.basicfin.">#REF!</definedName>
    <definedName name="wrn.basicfin.2" localSheetId="4">#REF!</definedName>
    <definedName name="wrn.basicfin.2" localSheetId="8">#REF!</definedName>
    <definedName name="wrn.basicfin.2">#REF!</definedName>
    <definedName name="wrn.başyazıcıoğlu." localSheetId="4">#REF!</definedName>
    <definedName name="wrn.başyazıcıoğlu." localSheetId="8">#REF!</definedName>
    <definedName name="wrn.başyazıcıoğlu.">#REF!</definedName>
    <definedName name="wrn.bauma_f." localSheetId="4">#REF!</definedName>
    <definedName name="wrn.bauma_f." localSheetId="8">#REF!</definedName>
    <definedName name="wrn.bauma_f.">#REF!</definedName>
    <definedName name="wrn.bh." localSheetId="4">#REF!</definedName>
    <definedName name="wrn.bh." localSheetId="8">#REF!</definedName>
    <definedName name="wrn.bh.">#REF!</definedName>
    <definedName name="wrn.bh1." localSheetId="4">#REF!</definedName>
    <definedName name="wrn.bh1." localSheetId="8">#REF!</definedName>
    <definedName name="wrn.bh1.">#REF!</definedName>
    <definedName name="wrn.BIMAL." localSheetId="4">#REF!</definedName>
    <definedName name="wrn.BIMAL." localSheetId="8">#REF!</definedName>
    <definedName name="wrn.BIMAL.">#REF!</definedName>
    <definedName name="wrn.canon." localSheetId="4">#REF!</definedName>
    <definedName name="wrn.canon." localSheetId="8">#REF!</definedName>
    <definedName name="wrn.canon.">#REF!</definedName>
    <definedName name="wrn.CF._.Print." localSheetId="4">#REF!</definedName>
    <definedName name="wrn.CF._.Print." localSheetId="8">#REF!</definedName>
    <definedName name="wrn.CF._.Print.">#REF!</definedName>
    <definedName name="wrn.cfpa." localSheetId="4">#REF!</definedName>
    <definedName name="wrn.cfpa." localSheetId="8">#REF!</definedName>
    <definedName name="wrn.cfpa.">#REF!</definedName>
    <definedName name="wrn.CHIEF._.REVIEW." localSheetId="4">#REF!</definedName>
    <definedName name="wrn.CHIEF._.REVIEW." localSheetId="8">#REF!</definedName>
    <definedName name="wrn.CHIEF._.REVIEW.">#REF!</definedName>
    <definedName name="wrn.CIRCUITS." localSheetId="4">#REF!</definedName>
    <definedName name="wrn.CIRCUITS." localSheetId="8">#REF!</definedName>
    <definedName name="wrn.CIRCUITS.">#REF!</definedName>
    <definedName name="wrn.Coded._.IAS._.FS." localSheetId="4">#REF!</definedName>
    <definedName name="wrn.Coded._.IAS._.FS." localSheetId="8">#REF!</definedName>
    <definedName name="wrn.Coded._.IAS._.FS.">#REF!</definedName>
    <definedName name="wrn.Cost._.Report." localSheetId="4">#REF!</definedName>
    <definedName name="wrn.Cost._.Report." localSheetId="8">#REF!</definedName>
    <definedName name="wrn.Cost._.Report.">#REF!</definedName>
    <definedName name="wrn.COST_SHEETS." localSheetId="4">#REF!</definedName>
    <definedName name="wrn.COST_SHEETS." localSheetId="8">#REF!</definedName>
    <definedName name="wrn.COST_SHEETS.">#REF!</definedName>
    <definedName name="wrn.DCFEpervier." localSheetId="4">#REF!</definedName>
    <definedName name="wrn.DCFEpervier." localSheetId="8">#REF!</definedName>
    <definedName name="wrn.DCFEpervier.">#REF!</definedName>
    <definedName name="wrn.dış." localSheetId="4">#REF!</definedName>
    <definedName name="wrn.dış." localSheetId="8">#REF!</definedName>
    <definedName name="wrn.dış.">#REF!</definedName>
    <definedName name="wrn.dx." localSheetId="4">#REF!</definedName>
    <definedName name="wrn.dx." localSheetId="8">#REF!</definedName>
    <definedName name="wrn.dx.">#REF!</definedName>
    <definedName name="wrn.ekinci._.imalat." localSheetId="4">#REF!</definedName>
    <definedName name="wrn.ekinci._.imalat." localSheetId="8">#REF!</definedName>
    <definedName name="wrn.ekinci._.imalat.">#REF!</definedName>
    <definedName name="wrn.elektirk._.hakediş." localSheetId="4">#REF!</definedName>
    <definedName name="wrn.elektirk._.hakediş." localSheetId="8">#REF!</definedName>
    <definedName name="wrn.elektirk._.hakediş.">#REF!</definedName>
    <definedName name="wrn.elektrik_iç." localSheetId="4">#REF!</definedName>
    <definedName name="wrn.elektrik_iç." localSheetId="8">#REF!</definedName>
    <definedName name="wrn.elektrik_iç.">#REF!</definedName>
    <definedName name="wrn.ENERJI._.TEMİNİ." localSheetId="4">#REF!</definedName>
    <definedName name="wrn.ENERJI._.TEMİNİ." localSheetId="8">#REF!</definedName>
    <definedName name="wrn.ENERJI._.TEMİNİ.">#REF!</definedName>
    <definedName name="wrn.Executive." localSheetId="4">#REF!</definedName>
    <definedName name="wrn.Executive." localSheetId="8">#REF!</definedName>
    <definedName name="wrn.Executive.">#REF!</definedName>
    <definedName name="wrn.ffrv." localSheetId="4">#REF!</definedName>
    <definedName name="wrn.ffrv." localSheetId="8">#REF!</definedName>
    <definedName name="wrn.ffrv.">#REF!</definedName>
    <definedName name="wrn.FINAL._.ESTIMATE." localSheetId="4">#REF!</definedName>
    <definedName name="wrn.FINAL._.ESTIMATE." localSheetId="8">#REF!</definedName>
    <definedName name="wrn.FINAL._.ESTIMATE.">#REF!</definedName>
    <definedName name="wrn.Fixed._.Assets._.Note._.and._.Depreciation." localSheetId="4">#REF!</definedName>
    <definedName name="wrn.Fixed._.Assets._.Note._.and._.Depreciation." localSheetId="8">#REF!</definedName>
    <definedName name="wrn.Fixed._.Assets._.Note._.and._.Depreciation.">#REF!</definedName>
    <definedName name="wrn.fiyatçewre." localSheetId="4">#REF!</definedName>
    <definedName name="wrn.fiyatçewre." localSheetId="8">#REF!</definedName>
    <definedName name="wrn.fiyatçewre.">#REF!</definedName>
    <definedName name="wrn.fiyatelektrik." localSheetId="4">#REF!</definedName>
    <definedName name="wrn.fiyatelektrik." localSheetId="8">#REF!</definedName>
    <definedName name="wrn.fiyatelektrik.">#REF!</definedName>
    <definedName name="wrn.fiyatisalehattı." localSheetId="4">#REF!</definedName>
    <definedName name="wrn.fiyatisalehattı." localSheetId="8">#REF!</definedName>
    <definedName name="wrn.fiyatisalehattı.">#REF!</definedName>
    <definedName name="wrn.fiyatmekanik." localSheetId="4">#REF!</definedName>
    <definedName name="wrn.fiyatmekanik." localSheetId="8">#REF!</definedName>
    <definedName name="wrn.fiyatmekanik.">#REF!</definedName>
    <definedName name="wrn.fiyatsuhaznesi." localSheetId="4">#REF!</definedName>
    <definedName name="wrn.fiyatsuhaznesi." localSheetId="8">#REF!</definedName>
    <definedName name="wrn.fiyatsuhaznesi.">#REF!</definedName>
    <definedName name="wrn.fiyattaşkınsuyu." localSheetId="4">#REF!</definedName>
    <definedName name="wrn.fiyattaşkınsuyu." localSheetId="8">#REF!</definedName>
    <definedName name="wrn.fiyattaşkınsuyu.">#REF!</definedName>
    <definedName name="wrn.fiyatterfi." localSheetId="4">#REF!</definedName>
    <definedName name="wrn.fiyatterfi." localSheetId="8">#REF!</definedName>
    <definedName name="wrn.fiyatterfi.">#REF!</definedName>
    <definedName name="wrn.fiyattrafo." localSheetId="4">#REF!</definedName>
    <definedName name="wrn.fiyattrafo." localSheetId="8">#REF!</definedName>
    <definedName name="wrn.fiyattrafo.">#REF!</definedName>
    <definedName name="wrn.FIZIB." localSheetId="4">#REF!</definedName>
    <definedName name="wrn.FIZIB." localSheetId="8">#REF!</definedName>
    <definedName name="wrn.FIZIB.">#REF!</definedName>
    <definedName name="wrn.forecast." localSheetId="4">#REF!</definedName>
    <definedName name="wrn.forecast." localSheetId="8">#REF!</definedName>
    <definedName name="wrn.forecast.">#REF!</definedName>
    <definedName name="wrn.forecastassumptions." localSheetId="4">#REF!</definedName>
    <definedName name="wrn.forecastassumptions." localSheetId="8">#REF!</definedName>
    <definedName name="wrn.forecastassumptions.">#REF!</definedName>
    <definedName name="wrn.forecastROIC." localSheetId="4">#REF!</definedName>
    <definedName name="wrn.forecastROIC." localSheetId="8">#REF!</definedName>
    <definedName name="wrn.forecastROIC.">#REF!</definedName>
    <definedName name="wrn.Fuel._.oil._.option." localSheetId="4">#REF!</definedName>
    <definedName name="wrn.Fuel._.oil._.option." localSheetId="8">#REF!</definedName>
    <definedName name="wrn.Fuel._.oil._.option.">#REF!</definedName>
    <definedName name="wrn.Full._.IAS._.STATEMENTS." localSheetId="4">#REF!</definedName>
    <definedName name="wrn.Full._.IAS._.STATEMENTS." localSheetId="8">#REF!</definedName>
    <definedName name="wrn.Full._.IAS._.STATEMENTS.">#REF!</definedName>
    <definedName name="wrn.Full._.TRAIL." localSheetId="4">#REF!</definedName>
    <definedName name="wrn.Full._.TRAIL." localSheetId="8">#REF!</definedName>
    <definedName name="wrn.Full._.TRAIL.">#REF!</definedName>
    <definedName name="wrn.Full._.without._.data." localSheetId="4">#REF!</definedName>
    <definedName name="wrn.Full._.without._.data." localSheetId="8">#REF!</definedName>
    <definedName name="wrn.Full._.without._.data.">#REF!</definedName>
    <definedName name="wrn.G." localSheetId="4">#REF!</definedName>
    <definedName name="wrn.G." localSheetId="8">#REF!</definedName>
    <definedName name="wrn.G.">#REF!</definedName>
    <definedName name="wrn.gecici." localSheetId="4">#REF!</definedName>
    <definedName name="wrn.gecici." localSheetId="8">#REF!</definedName>
    <definedName name="wrn.gecici.">#REF!</definedName>
    <definedName name="wrn.glc." localSheetId="4">#REF!</definedName>
    <definedName name="wrn.glc." localSheetId="8">#REF!</definedName>
    <definedName name="wrn.glc.">#REF!</definedName>
    <definedName name="wrn.glcpromonte." localSheetId="4">#REF!</definedName>
    <definedName name="wrn.glcpromonte." localSheetId="8">#REF!</definedName>
    <definedName name="wrn.glcpromonte.">#REF!</definedName>
    <definedName name="wrn.gunal_REPORT." localSheetId="4">#REF!</definedName>
    <definedName name="wrn.gunal_REPORT." localSheetId="8">#REF!</definedName>
    <definedName name="wrn.gunal_REPORT.">#REF!</definedName>
    <definedName name="wrn.HAK1." localSheetId="4">#REF!</definedName>
    <definedName name="wrn.HAK1." localSheetId="8">#REF!</definedName>
    <definedName name="wrn.HAK1.">#REF!</definedName>
    <definedName name="wrn.hak10" localSheetId="4">#REF!</definedName>
    <definedName name="wrn.hak10" localSheetId="8">#REF!</definedName>
    <definedName name="wrn.hak10">#REF!</definedName>
    <definedName name="wrn.HAK14." localSheetId="4">#REF!</definedName>
    <definedName name="wrn.HAK14." localSheetId="8">#REF!</definedName>
    <definedName name="wrn.HAK14.">#REF!</definedName>
    <definedName name="wrn.HAK2." localSheetId="4">#REF!</definedName>
    <definedName name="wrn.HAK2." localSheetId="8">#REF!</definedName>
    <definedName name="wrn.HAK2.">#REF!</definedName>
    <definedName name="wrn.hak4." localSheetId="4">#REF!</definedName>
    <definedName name="wrn.hak4." localSheetId="8">#REF!</definedName>
    <definedName name="wrn.hak4.">#REF!</definedName>
    <definedName name="wrn.hak5." localSheetId="4">#REF!</definedName>
    <definedName name="wrn.hak5." localSheetId="8">#REF!</definedName>
    <definedName name="wrn.hak5.">#REF!</definedName>
    <definedName name="wrn.hak7." localSheetId="4">#REF!</definedName>
    <definedName name="wrn.hak7." localSheetId="8">#REF!</definedName>
    <definedName name="wrn.hak7.">#REF!</definedName>
    <definedName name="wrn.hak8." localSheetId="4">#REF!</definedName>
    <definedName name="wrn.hak8." localSheetId="8">#REF!</definedName>
    <definedName name="wrn.hak8.">#REF!</definedName>
    <definedName name="wrn.hakkari._.imalat." localSheetId="4">#REF!</definedName>
    <definedName name="wrn.hakkari._.imalat." localSheetId="8">#REF!</definedName>
    <definedName name="wrn.hakkari._.imalat.">#REF!</definedName>
    <definedName name="wrn.Help." localSheetId="4">#REF!</definedName>
    <definedName name="wrn.Help." localSheetId="8">#REF!</definedName>
    <definedName name="wrn.Help.">#REF!</definedName>
    <definedName name="wrn.history." localSheetId="4">#REF!</definedName>
    <definedName name="wrn.history." localSheetId="8">#REF!</definedName>
    <definedName name="wrn.history.">#REF!</definedName>
    <definedName name="wrn.histROIC." localSheetId="4">#REF!</definedName>
    <definedName name="wrn.histROIC." localSheetId="8">#REF!</definedName>
    <definedName name="wrn.histROIC.">#REF!</definedName>
    <definedName name="wrn.IAS._.BS._.PL._.CF._.and._.Notes." localSheetId="4">#REF!</definedName>
    <definedName name="wrn.IAS._.BS._.PL._.CF._.and._.Notes." localSheetId="8">#REF!</definedName>
    <definedName name="wrn.IAS._.BS._.PL._.CF._.and._.Notes.">#REF!</definedName>
    <definedName name="wrn.IAS._.FS._.ZOOMED._.IN._.Forms." localSheetId="4">#REF!</definedName>
    <definedName name="wrn.IAS._.FS._.ZOOMED._.IN._.Forms." localSheetId="8">#REF!</definedName>
    <definedName name="wrn.IAS._.FS._.ZOOMED._.IN._.Forms.">#REF!</definedName>
    <definedName name="wrn.IAS._.Mapping." localSheetId="4">#REF!</definedName>
    <definedName name="wrn.IAS._.Mapping." localSheetId="8">#REF!</definedName>
    <definedName name="wrn.IAS._.Mapping.">#REF!</definedName>
    <definedName name="wrn.icmalçewre." localSheetId="4">#REF!</definedName>
    <definedName name="wrn.icmalçewre." localSheetId="8">#REF!</definedName>
    <definedName name="wrn.icmalçewre.">#REF!</definedName>
    <definedName name="wrn.icmalelektrik." localSheetId="4">#REF!</definedName>
    <definedName name="wrn.icmalelektrik." localSheetId="8">#REF!</definedName>
    <definedName name="wrn.icmalelektrik.">#REF!</definedName>
    <definedName name="wrn.icmalisalehattı." localSheetId="4">#REF!</definedName>
    <definedName name="wrn.icmalisalehattı." localSheetId="8">#REF!</definedName>
    <definedName name="wrn.icmalisalehattı.">#REF!</definedName>
    <definedName name="wrn.icmalmekanik." localSheetId="4">#REF!</definedName>
    <definedName name="wrn.icmalmekanik." localSheetId="8">#REF!</definedName>
    <definedName name="wrn.icmalmekanik.">#REF!</definedName>
    <definedName name="wrn.icmalsuhaznesi." localSheetId="4">#REF!</definedName>
    <definedName name="wrn.icmalsuhaznesi." localSheetId="8">#REF!</definedName>
    <definedName name="wrn.icmalsuhaznesi.">#REF!</definedName>
    <definedName name="wrn.icmaltaşkınsuyu." localSheetId="4">#REF!</definedName>
    <definedName name="wrn.icmaltaşkınsuyu." localSheetId="8">#REF!</definedName>
    <definedName name="wrn.icmaltaşkınsuyu.">#REF!</definedName>
    <definedName name="wrn.icmalterfi." localSheetId="4">#REF!</definedName>
    <definedName name="wrn.icmalterfi." localSheetId="8">#REF!</definedName>
    <definedName name="wrn.icmalterfi.">#REF!</definedName>
    <definedName name="wrn.icmaltrafo." localSheetId="4">#REF!</definedName>
    <definedName name="wrn.icmaltrafo." localSheetId="8">#REF!</definedName>
    <definedName name="wrn.icmaltrafo.">#REF!</definedName>
    <definedName name="wrn.İHZAR." localSheetId="4">#REF!</definedName>
    <definedName name="wrn.İHZAR." localSheetId="8">#REF!</definedName>
    <definedName name="wrn.İHZAR.">#REF!</definedName>
    <definedName name="wrn.ihzar1." localSheetId="4">#REF!</definedName>
    <definedName name="wrn.ihzar1." localSheetId="8">#REF!</definedName>
    <definedName name="wrn.ihzar1.">#REF!</definedName>
    <definedName name="wrn.ihzarat." localSheetId="4">#REF!</definedName>
    <definedName name="wrn.ihzarat." localSheetId="8">#REF!</definedName>
    <definedName name="wrn.ihzarat.">#REF!</definedName>
    <definedName name="wrn.Inflation._.factors._.used." localSheetId="4">#REF!</definedName>
    <definedName name="wrn.Inflation._.factors._.used." localSheetId="8">#REF!</definedName>
    <definedName name="wrn.Inflation._.factors._.used.">#REF!</definedName>
    <definedName name="wrn.Inputs." localSheetId="4">#REF!</definedName>
    <definedName name="wrn.Inputs." localSheetId="8">#REF!</definedName>
    <definedName name="wrn.Inputs.">#REF!</definedName>
    <definedName name="wrn.insaat_ic." localSheetId="4">#REF!</definedName>
    <definedName name="wrn.insaat_ic." localSheetId="8">#REF!</definedName>
    <definedName name="wrn.insaat_ic.">#REF!</definedName>
    <definedName name="wrn.kalorifer_ic." localSheetId="4">#REF!</definedName>
    <definedName name="wrn.kalorifer_ic." localSheetId="8">#REF!</definedName>
    <definedName name="wrn.kalorifer_ic.">#REF!</definedName>
    <definedName name="wrn.kapak._.ıcmal." localSheetId="4">#REF!</definedName>
    <definedName name="wrn.kapak._.ıcmal." localSheetId="8">#REF!</definedName>
    <definedName name="wrn.kapak._.ıcmal.">#REF!</definedName>
    <definedName name="wrn.KOC." localSheetId="4">#REF!</definedName>
    <definedName name="wrn.KOC." localSheetId="8">#REF!</definedName>
    <definedName name="wrn.KOC.">#REF!</definedName>
    <definedName name="wrn.kocoglu._.ihzarat." localSheetId="4">#REF!</definedName>
    <definedName name="wrn.kocoglu._.ihzarat." localSheetId="8">#REF!</definedName>
    <definedName name="wrn.kocoglu._.ihzarat.">#REF!</definedName>
    <definedName name="wrn.kocoglu._.imalat." localSheetId="4">#REF!</definedName>
    <definedName name="wrn.kocoglu._.imalat." localSheetId="8">#REF!</definedName>
    <definedName name="wrn.kocoglu._.imalat.">#REF!</definedName>
    <definedName name="wrn.koren." localSheetId="4">#REF!</definedName>
    <definedName name="wrn.koren." localSheetId="8">#REF!</definedName>
    <definedName name="wrn.koren.">#REF!</definedName>
    <definedName name="wrn.Leasing._.Variance." localSheetId="4">#REF!</definedName>
    <definedName name="wrn.Leasing._.Variance." localSheetId="8">#REF!</definedName>
    <definedName name="wrn.Leasing._.Variance.">#REF!</definedName>
    <definedName name="wrn.maff_report." localSheetId="4">#REF!</definedName>
    <definedName name="wrn.maff_report." localSheetId="8">#REF!</definedName>
    <definedName name="wrn.maff_report.">#REF!</definedName>
    <definedName name="wrn.March._.99._.Report." localSheetId="4">#REF!</definedName>
    <definedName name="wrn.March._.99._.Report." localSheetId="8">#REF!</definedName>
    <definedName name="wrn.March._.99._.Report.">#REF!</definedName>
    <definedName name="wrn.MEL." localSheetId="4">#REF!</definedName>
    <definedName name="wrn.MEL." localSheetId="8">#REF!</definedName>
    <definedName name="wrn.MEL.">#REF!</definedName>
    <definedName name="wrn.met1." localSheetId="4">#REF!</definedName>
    <definedName name="wrn.met1." localSheetId="8">#REF!</definedName>
    <definedName name="wrn.met1.">#REF!</definedName>
    <definedName name="wrn.MET2." localSheetId="4">#REF!</definedName>
    <definedName name="wrn.MET2." localSheetId="8">#REF!</definedName>
    <definedName name="wrn.MET2.">#REF!</definedName>
    <definedName name="wrn.monthly._.financia2" localSheetId="4">#REF!</definedName>
    <definedName name="wrn.monthly._.financia2" localSheetId="8">#REF!</definedName>
    <definedName name="wrn.monthly._.financia2">#REF!</definedName>
    <definedName name="wrn.monthly._.financial." localSheetId="4">#REF!</definedName>
    <definedName name="wrn.monthly._.financial." localSheetId="8">#REF!</definedName>
    <definedName name="wrn.monthly._.financial.">#REF!</definedName>
    <definedName name="wrn.müşterek." localSheetId="4">#REF!</definedName>
    <definedName name="wrn.müşterek." localSheetId="8">#REF!</definedName>
    <definedName name="wrn.müşterek.">#REF!</definedName>
    <definedName name="wrn.musterek_ic." localSheetId="4">#REF!</definedName>
    <definedName name="wrn.musterek_ic." localSheetId="8">#REF!</definedName>
    <definedName name="wrn.musterek_ic.">#REF!</definedName>
    <definedName name="wrn.ontario." localSheetId="4">#REF!</definedName>
    <definedName name="wrn.ontario." localSheetId="8">#REF!</definedName>
    <definedName name="wrn.ontario.">#REF!</definedName>
    <definedName name="wrn.orhan_kose." localSheetId="4">#REF!</definedName>
    <definedName name="wrn.orhan_kose." localSheetId="8">#REF!</definedName>
    <definedName name="wrn.orhan_kose.">#REF!</definedName>
    <definedName name="wrn.Output3Column." localSheetId="4">#REF!</definedName>
    <definedName name="wrn.Output3Column." localSheetId="8">#REF!</definedName>
    <definedName name="wrn.Output3Column.">#REF!</definedName>
    <definedName name="wrn.OutputAll." localSheetId="4">#REF!</definedName>
    <definedName name="wrn.OutputAll." localSheetId="8">#REF!</definedName>
    <definedName name="wrn.OutputAll.">#REF!</definedName>
    <definedName name="wrn.OutputBaseYear." localSheetId="4">#REF!</definedName>
    <definedName name="wrn.OutputBaseYear." localSheetId="8">#REF!</definedName>
    <definedName name="wrn.OutputBaseYear.">#REF!</definedName>
    <definedName name="wrn.OutputMin." localSheetId="4">#REF!</definedName>
    <definedName name="wrn.OutputMin." localSheetId="8">#REF!</definedName>
    <definedName name="wrn.OutputMin.">#REF!</definedName>
    <definedName name="wrn.OutputPercent." localSheetId="4">#REF!</definedName>
    <definedName name="wrn.OutputPercent." localSheetId="8">#REF!</definedName>
    <definedName name="wrn.OutputPercent.">#REF!</definedName>
    <definedName name="wrn.oztas._.imalat." localSheetId="4">#REF!</definedName>
    <definedName name="wrn.oztas._.imalat." localSheetId="8">#REF!</definedName>
    <definedName name="wrn.oztas._.imalat.">#REF!</definedName>
    <definedName name="wrn.PL." localSheetId="4">#REF!</definedName>
    <definedName name="wrn.PL." localSheetId="8">#REF!</definedName>
    <definedName name="wrn.PL.">#REF!</definedName>
    <definedName name="wrn.PL._.Analysis." localSheetId="4">#REF!</definedName>
    <definedName name="wrn.PL._.Analysis." localSheetId="8">#REF!</definedName>
    <definedName name="wrn.PL._.Analysis.">#REF!</definedName>
    <definedName name="wrn.PLNCS." localSheetId="4">#REF!</definedName>
    <definedName name="wrn.PLNCS." localSheetId="8">#REF!</definedName>
    <definedName name="wrn.PLNCS.">#REF!</definedName>
    <definedName name="wrn.prazske._.pivovary." localSheetId="4">#REF!</definedName>
    <definedName name="wrn.prazske._.pivovary." localSheetId="8">#REF!</definedName>
    <definedName name="wrn.prazske._.pivovary.">#REF!</definedName>
    <definedName name="wrn.print." localSheetId="4">#REF!</definedName>
    <definedName name="wrn.print." localSheetId="8">#REF!</definedName>
    <definedName name="wrn.print.">#REF!</definedName>
    <definedName name="wrn.PrintAll." localSheetId="4">#REF!</definedName>
    <definedName name="wrn.PrintAll." localSheetId="8">#REF!</definedName>
    <definedName name="wrn.PrintAll.">#REF!</definedName>
    <definedName name="wrn.PrintallD." localSheetId="4">#REF!</definedName>
    <definedName name="wrn.PrintallD." localSheetId="8">#REF!</definedName>
    <definedName name="wrn.PrintallD.">#REF!</definedName>
    <definedName name="wrn.PrintallG." localSheetId="4">#REF!</definedName>
    <definedName name="wrn.PrintallG." localSheetId="8">#REF!</definedName>
    <definedName name="wrn.PrintallG.">#REF!</definedName>
    <definedName name="wrn.RDProject." localSheetId="4">#REF!</definedName>
    <definedName name="wrn.RDProject." localSheetId="8">#REF!</definedName>
    <definedName name="wrn.RDProject.">#REF!</definedName>
    <definedName name="wrn.RDProject1" localSheetId="4">#REF!</definedName>
    <definedName name="wrn.RDProject1" localSheetId="8">#REF!</definedName>
    <definedName name="wrn.RDProject1">#REF!</definedName>
    <definedName name="wrn.Redundant._.Equipment._.Option." localSheetId="4">#REF!</definedName>
    <definedName name="wrn.Redundant._.Equipment._.Option." localSheetId="8">#REF!</definedName>
    <definedName name="wrn.Redundant._.Equipment._.Option.">#REF!</definedName>
    <definedName name="wrn.REP501." localSheetId="4">#REF!</definedName>
    <definedName name="wrn.REP501." localSheetId="8">#REF!</definedName>
    <definedName name="wrn.REP501.">#REF!</definedName>
    <definedName name="wrn.REP502." localSheetId="4">#REF!</definedName>
    <definedName name="wrn.REP502." localSheetId="8">#REF!</definedName>
    <definedName name="wrn.REP502.">#REF!</definedName>
    <definedName name="wrn.REP502.1" localSheetId="4">#REF!</definedName>
    <definedName name="wrn.REP502.1" localSheetId="8">#REF!</definedName>
    <definedName name="wrn.REP502.1">#REF!</definedName>
    <definedName name="wrn.REP503." localSheetId="4">#REF!</definedName>
    <definedName name="wrn.REP503." localSheetId="8">#REF!</definedName>
    <definedName name="wrn.REP503.">#REF!</definedName>
    <definedName name="wrn.REPORT1." localSheetId="4">#REF!</definedName>
    <definedName name="wrn.REPORT1." localSheetId="8">#REF!</definedName>
    <definedName name="wrn.REPORT1.">#REF!</definedName>
    <definedName name="wrn.Residential." localSheetId="4">#REF!</definedName>
    <definedName name="wrn.Residential." localSheetId="8">#REF!</definedName>
    <definedName name="wrn.Residential.">#REF!</definedName>
    <definedName name="wrn.RSA._.BS._.and._.PL." localSheetId="4">#REF!</definedName>
    <definedName name="wrn.RSA._.BS._.and._.PL." localSheetId="8">#REF!</definedName>
    <definedName name="wrn.RSA._.BS._.and._.PL.">#REF!</definedName>
    <definedName name="wrn.S." localSheetId="4">#REF!</definedName>
    <definedName name="wrn.S." localSheetId="8">#REF!</definedName>
    <definedName name="wrn.S.">#REF!</definedName>
    <definedName name="wrn.sihhi_ic." localSheetId="4">#REF!</definedName>
    <definedName name="wrn.sihhi_ic." localSheetId="8">#REF!</definedName>
    <definedName name="wrn.sihhi_ic.">#REF!</definedName>
    <definedName name="wrn.sirnak._.imalat." localSheetId="4">#REF!</definedName>
    <definedName name="wrn.sirnak._.imalat." localSheetId="8">#REF!</definedName>
    <definedName name="wrn.sirnak._.imalat.">#REF!</definedName>
    <definedName name="wrn.Site._.Report." localSheetId="4">#REF!</definedName>
    <definedName name="wrn.Site._.Report." localSheetId="8">#REF!</definedName>
    <definedName name="wrn.Site._.Report.">#REF!</definedName>
    <definedName name="WRN.ŞLKDFS" localSheetId="4">#REF!</definedName>
    <definedName name="WRN.ŞLKDFS" localSheetId="8">#REF!</definedName>
    <definedName name="WRN.ŞLKDFS">#REF!</definedName>
    <definedName name="wrn.STG._.BLDG._.ENCLOSURE." localSheetId="4">#REF!</definedName>
    <definedName name="wrn.STG._.BLDG._.ENCLOSURE." localSheetId="8">#REF!</definedName>
    <definedName name="wrn.STG._.BLDG._.ENCLOSURE.">#REF!</definedName>
    <definedName name="wrn.struckgi." localSheetId="4">#REF!</definedName>
    <definedName name="wrn.struckgi." localSheetId="8">#REF!</definedName>
    <definedName name="wrn.struckgi.">#REF!</definedName>
    <definedName name="wrn.Summary._.Report." localSheetId="4">#REF!</definedName>
    <definedName name="wrn.Summary._.Report." localSheetId="8">#REF!</definedName>
    <definedName name="wrn.Summary._.Report.">#REF!</definedName>
    <definedName name="wrn.SUN1." localSheetId="4">#REF!</definedName>
    <definedName name="wrn.SUN1." localSheetId="8">#REF!</definedName>
    <definedName name="wrn.SUN1.">#REF!</definedName>
    <definedName name="wrn.Super._.Executive." localSheetId="4">#REF!</definedName>
    <definedName name="wrn.Super._.Executive." localSheetId="8">#REF!</definedName>
    <definedName name="wrn.Super._.Executive.">#REF!</definedName>
    <definedName name="wrn.Table._.A." localSheetId="4">#REF!</definedName>
    <definedName name="wrn.Table._.A." localSheetId="8">#REF!</definedName>
    <definedName name="wrn.Table._.A.">#REF!</definedName>
    <definedName name="wrn.Table._.A1." localSheetId="4">#REF!</definedName>
    <definedName name="wrn.Table._.A1." localSheetId="8">#REF!</definedName>
    <definedName name="wrn.Table._.A1.">#REF!</definedName>
    <definedName name="wrn.Table._.A1RU." localSheetId="4">#REF!</definedName>
    <definedName name="wrn.Table._.A1RU." localSheetId="8">#REF!</definedName>
    <definedName name="wrn.Table._.A1RU.">#REF!</definedName>
    <definedName name="wrn.Tableaux._.A." localSheetId="4">#REF!</definedName>
    <definedName name="wrn.Tableaux._.A." localSheetId="8">#REF!</definedName>
    <definedName name="wrn.Tableaux._.A.">#REF!</definedName>
    <definedName name="wrn.Tableaux._.D." localSheetId="4">#REF!</definedName>
    <definedName name="wrn.Tableaux._.D." localSheetId="8">#REF!</definedName>
    <definedName name="wrn.Tableaux._.D.">#REF!</definedName>
    <definedName name="wrn.Tableaux._.F." localSheetId="4">#REF!</definedName>
    <definedName name="wrn.Tableaux._.F." localSheetId="8">#REF!</definedName>
    <definedName name="wrn.Tableaux._.F.">#REF!</definedName>
    <definedName name="wrn.Tableaux._.G." localSheetId="4">#REF!</definedName>
    <definedName name="wrn.Tableaux._.G." localSheetId="8">#REF!</definedName>
    <definedName name="wrn.Tableaux._.G.">#REF!</definedName>
    <definedName name="wrn.Tableaux._.H." localSheetId="4">#REF!</definedName>
    <definedName name="wrn.Tableaux._.H." localSheetId="8">#REF!</definedName>
    <definedName name="wrn.Tableaux._.H.">#REF!</definedName>
    <definedName name="wrn.Template." localSheetId="4">#REF!</definedName>
    <definedName name="wrn.Template." localSheetId="8">#REF!</definedName>
    <definedName name="wrn.Template.">#REF!</definedName>
    <definedName name="wrn.Things." localSheetId="4">#REF!</definedName>
    <definedName name="wrn.Things." localSheetId="8">#REF!</definedName>
    <definedName name="wrn.Things.">#REF!</definedName>
    <definedName name="wrn.Warrington._.Widnes._.QS._.Costs." localSheetId="4">#REF!</definedName>
    <definedName name="wrn.Warrington._.Widnes._.QS._.Costs." localSheetId="8">#REF!</definedName>
    <definedName name="wrn.Warrington._.Widnes._.QS._.Costs.">#REF!</definedName>
    <definedName name="wrn.WHOUSE._.CT." localSheetId="4">#REF!</definedName>
    <definedName name="wrn.WHOUSE._.CT." localSheetId="8">#REF!</definedName>
    <definedName name="wrn.WHOUSE._.CT.">#REF!</definedName>
    <definedName name="wrn.yağmursu_şebeke." localSheetId="4">#REF!</definedName>
    <definedName name="wrn.yağmursu_şebeke." localSheetId="8">#REF!</definedName>
    <definedName name="wrn.yağmursu_şebeke.">#REF!</definedName>
    <definedName name="wrn.YAZ1." localSheetId="4">#REF!</definedName>
    <definedName name="wrn.YAZ1." localSheetId="8">#REF!</definedName>
    <definedName name="wrn.YAZ1.">#REF!</definedName>
    <definedName name="wrn.YAZICI." localSheetId="4">#REF!</definedName>
    <definedName name="wrn.YAZICI." localSheetId="8">#REF!</definedName>
    <definedName name="wrn.YAZICI.">#REF!</definedName>
    <definedName name="wrn.ку." localSheetId="4">#REF!</definedName>
    <definedName name="wrn.ку." localSheetId="8">#REF!</definedName>
    <definedName name="wrn.ку.">#REF!</definedName>
    <definedName name="wrn.Отчет." localSheetId="4">#REF!</definedName>
    <definedName name="wrn.Отчет." localSheetId="8">#REF!</definedName>
    <definedName name="wrn.Отчет.">#REF!</definedName>
    <definedName name="ws" localSheetId="4">#REF!</definedName>
    <definedName name="ws" localSheetId="8">#REF!</definedName>
    <definedName name="ws">#REF!</definedName>
    <definedName name="wtre" localSheetId="4">#REF!</definedName>
    <definedName name="wtre" localSheetId="8">#REF!</definedName>
    <definedName name="wtre">#REF!</definedName>
    <definedName name="ww" localSheetId="4">#REF!</definedName>
    <definedName name="ww" localSheetId="8">#REF!</definedName>
    <definedName name="ww">#REF!</definedName>
    <definedName name="www" localSheetId="4">#REF!</definedName>
    <definedName name="www" localSheetId="8">#REF!</definedName>
    <definedName name="www">#REF!</definedName>
    <definedName name="wwwww" localSheetId="4">#REF!</definedName>
    <definedName name="wwwww" localSheetId="8">#REF!</definedName>
    <definedName name="wwwww">#REF!</definedName>
    <definedName name="wwwwwww" localSheetId="4">#REF!</definedName>
    <definedName name="wwwwwww" localSheetId="8">#REF!</definedName>
    <definedName name="wwwwwww" localSheetId="0">#REF!</definedName>
    <definedName name="wwwwwww">#REF!</definedName>
    <definedName name="wwwwwwwww" localSheetId="4">#REF!</definedName>
    <definedName name="wwwwwwwww" localSheetId="8">#REF!</definedName>
    <definedName name="wwwwwwwww">#REF!</definedName>
    <definedName name="xc" localSheetId="4">#REF!</definedName>
    <definedName name="xc" localSheetId="8">#REF!</definedName>
    <definedName name="xc">#REF!</definedName>
    <definedName name="XCVBN" localSheetId="4">#REF!</definedName>
    <definedName name="XCVBN" localSheetId="8">#REF!</definedName>
    <definedName name="XCVBN">#REF!</definedName>
    <definedName name="xls" localSheetId="4">#REF!</definedName>
    <definedName name="xls" localSheetId="8">#REF!</definedName>
    <definedName name="xls">#REF!</definedName>
    <definedName name="xx" localSheetId="4">#REF!</definedName>
    <definedName name="xx" localSheetId="8">#REF!</definedName>
    <definedName name="xx">#REF!</definedName>
    <definedName name="xxx" localSheetId="4">#REF!</definedName>
    <definedName name="xxx" localSheetId="8">#REF!</definedName>
    <definedName name="xxx" localSheetId="0">#REF!</definedName>
    <definedName name="xxx">#REF!</definedName>
    <definedName name="xxxaa" localSheetId="4">#REF!</definedName>
    <definedName name="xxxaa" localSheetId="8">#REF!</definedName>
    <definedName name="xxxaa">#REF!</definedName>
    <definedName name="xxxxx" localSheetId="4">#REF!</definedName>
    <definedName name="xxxxx" localSheetId="8">#REF!</definedName>
    <definedName name="xxxxx">#REF!</definedName>
    <definedName name="XXXXXXXXXX" localSheetId="4">#REF!</definedName>
    <definedName name="XXXXXXXXXX" localSheetId="8">#REF!</definedName>
    <definedName name="XXXXXXXXXX" localSheetId="0">#REF!</definedName>
    <definedName name="XXXXXXXXXX">#REF!</definedName>
    <definedName name="XXXXXXXXXXXXX" localSheetId="4">#REF!</definedName>
    <definedName name="XXXXXXXXXXXXX" localSheetId="8">#REF!</definedName>
    <definedName name="XXXXXXXXXXXXX" localSheetId="0">#REF!</definedName>
    <definedName name="XXXXXXXXXXXXX">#REF!</definedName>
    <definedName name="xyz" localSheetId="4">#REF!</definedName>
    <definedName name="xyz" localSheetId="8">#REF!</definedName>
    <definedName name="xyz">#REF!</definedName>
    <definedName name="yapiimar" localSheetId="4">#REF!</definedName>
    <definedName name="yapiimar" localSheetId="8">#REF!</definedName>
    <definedName name="yapiimar">#REF!</definedName>
    <definedName name="yas" localSheetId="4">#REF!</definedName>
    <definedName name="yas" localSheetId="8">#REF!</definedName>
    <definedName name="yas" localSheetId="0">#REF!</definedName>
    <definedName name="yas">#REF!</definedName>
    <definedName name="yasin" localSheetId="4">#REF!</definedName>
    <definedName name="yasin" localSheetId="8">#REF!</definedName>
    <definedName name="yasin" localSheetId="0">#REF!</definedName>
    <definedName name="yasin">#REF!</definedName>
    <definedName name="yat" localSheetId="4">#REF!</definedName>
    <definedName name="yat" localSheetId="8">#REF!</definedName>
    <definedName name="yat">#REF!</definedName>
    <definedName name="YBN" localSheetId="4">#REF!</definedName>
    <definedName name="YBN" localSheetId="8">#REF!</definedName>
    <definedName name="YBN">#REF!</definedName>
    <definedName name="Yeni" localSheetId="4">#REF!</definedName>
    <definedName name="Yeni" localSheetId="8">#REF!</definedName>
    <definedName name="Yeni">#REF!</definedName>
    <definedName name="YETYTY" localSheetId="4">#REF!</definedName>
    <definedName name="YETYTY" localSheetId="8">#REF!</definedName>
    <definedName name="YETYTY">#REF!</definedName>
    <definedName name="yhn" localSheetId="4">#REF!</definedName>
    <definedName name="yhn" localSheetId="8">#REF!</definedName>
    <definedName name="yhn">#REF!</definedName>
    <definedName name="yhyhy" localSheetId="4">#REF!</definedName>
    <definedName name="yhyhy" localSheetId="8">#REF!</definedName>
    <definedName name="yhyhy" localSheetId="0">#REF!</definedName>
    <definedName name="yhyhy">#REF!</definedName>
    <definedName name="yıu" localSheetId="4">#REF!</definedName>
    <definedName name="yıu" localSheetId="8">#REF!</definedName>
    <definedName name="yıu">#REF!</definedName>
    <definedName name="YRE" localSheetId="4">#REF!</definedName>
    <definedName name="YRE" localSheetId="8">#REF!</definedName>
    <definedName name="YRE">#REF!</definedName>
    <definedName name="YRWS" localSheetId="4">#REF!</definedName>
    <definedName name="YRWS" localSheetId="8">#REF!</definedName>
    <definedName name="YRWS">#REF!</definedName>
    <definedName name="YTHBVFR" localSheetId="4">#REF!</definedName>
    <definedName name="YTHBVFR" localSheetId="8">#REF!</definedName>
    <definedName name="YTHBVFR">#REF!</definedName>
    <definedName name="ytu" localSheetId="4">#REF!</definedName>
    <definedName name="ytu" localSheetId="8">#REF!</definedName>
    <definedName name="ytu">#REF!</definedName>
    <definedName name="ytuity" localSheetId="4">#REF!</definedName>
    <definedName name="ytuity" localSheetId="8">#REF!</definedName>
    <definedName name="ytuity">#REF!</definedName>
    <definedName name="yu" localSheetId="4">#REF!</definedName>
    <definedName name="yu" localSheetId="8">#REF!</definedName>
    <definedName name="yu">#REF!</definedName>
    <definedName name="YU87N" localSheetId="4">#REF!</definedName>
    <definedName name="YU87N" localSheetId="8">#REF!</definedName>
    <definedName name="YU87N">#REF!</definedName>
    <definedName name="YUC" localSheetId="4">#REF!</definedName>
    <definedName name="YUC" localSheetId="8">#REF!</definedName>
    <definedName name="YUC">#REF!</definedName>
    <definedName name="yuı" localSheetId="4">#REF!</definedName>
    <definedName name="yuı" localSheetId="8">#REF!</definedName>
    <definedName name="yuı">#REF!</definedName>
    <definedName name="yuıı" localSheetId="4">#REF!</definedName>
    <definedName name="yuıı" localSheetId="8">#REF!</definedName>
    <definedName name="yuıı">#REF!</definedName>
    <definedName name="yuıu" localSheetId="4">#REF!</definedName>
    <definedName name="yuıu" localSheetId="8">#REF!</definedName>
    <definedName name="yuıu">#REF!</definedName>
    <definedName name="yutyuyuıyu" localSheetId="4">#REF!</definedName>
    <definedName name="yutyuyuıyu" localSheetId="8">#REF!</definedName>
    <definedName name="yutyuyuıyu">#REF!</definedName>
    <definedName name="yuu" localSheetId="4">#REF!</definedName>
    <definedName name="yuu" localSheetId="8">#REF!</definedName>
    <definedName name="yuu">#REF!</definedName>
    <definedName name="yuuıı" localSheetId="4">#REF!</definedName>
    <definedName name="yuuıı" localSheetId="8">#REF!</definedName>
    <definedName name="yuuıı">#REF!</definedName>
    <definedName name="yuuy" localSheetId="4">#REF!</definedName>
    <definedName name="yuuy" localSheetId="8">#REF!</definedName>
    <definedName name="yuuy">#REF!</definedName>
    <definedName name="yy" localSheetId="4">#REF!</definedName>
    <definedName name="yy" localSheetId="8">#REF!</definedName>
    <definedName name="yy">#REF!</definedName>
    <definedName name="yyu" localSheetId="4">#REF!</definedName>
    <definedName name="yyu" localSheetId="8">#REF!</definedName>
    <definedName name="yyu">#REF!</definedName>
    <definedName name="yyuı" localSheetId="4">#REF!</definedName>
    <definedName name="yyuı" localSheetId="8">#REF!</definedName>
    <definedName name="yyuı">#REF!</definedName>
    <definedName name="z" localSheetId="4">#REF!</definedName>
    <definedName name="z" localSheetId="8">#REF!</definedName>
    <definedName name="z">#REF!</definedName>
    <definedName name="Z_00F33AC1_9115_11D7_827F_00104BBA10B0_.wvu.Cols" localSheetId="4">#REF!</definedName>
    <definedName name="Z_00F33AC1_9115_11D7_827F_00104BBA10B0_.wvu.Cols" localSheetId="8">#REF!</definedName>
    <definedName name="Z_00F33AC1_9115_11D7_827F_00104BBA10B0_.wvu.Cols" localSheetId="0">#REF!</definedName>
    <definedName name="Z_00F33AC1_9115_11D7_827F_00104BBA10B0_.wvu.Cols">#REF!</definedName>
    <definedName name="Z_0DD4EB58_0647_11D5_A6F7_00508B654A95_.wvu.Cols" localSheetId="4">#REF!</definedName>
    <definedName name="Z_0DD4EB58_0647_11D5_A6F7_00508B654A95_.wvu.Cols" localSheetId="8">#REF!</definedName>
    <definedName name="Z_0DD4EB58_0647_11D5_A6F7_00508B654A95_.wvu.Cols" localSheetId="0">#REF!</definedName>
    <definedName name="Z_0DD4EB58_0647_11D5_A6F7_00508B654A95_.wvu.Cols">#REF!</definedName>
    <definedName name="Z_10435A81_C305_11D5_A6F8_009027BEE0E0_.wvu.Cols" localSheetId="4">#REF!</definedName>
    <definedName name="Z_10435A81_C305_11D5_A6F8_009027BEE0E0_.wvu.Cols" localSheetId="8">#REF!</definedName>
    <definedName name="Z_10435A81_C305_11D5_A6F8_009027BEE0E0_.wvu.Cols" localSheetId="0">#REF!</definedName>
    <definedName name="Z_10435A81_C305_11D5_A6F8_009027BEE0E0_.wvu.Cols">#REF!</definedName>
    <definedName name="Z_10435A81_C305_11D5_A6F8_009027BEE0E0_.wvu.PrintArea" localSheetId="4">#REF!</definedName>
    <definedName name="Z_10435A81_C305_11D5_A6F8_009027BEE0E0_.wvu.PrintArea" localSheetId="8">#REF!</definedName>
    <definedName name="Z_10435A81_C305_11D5_A6F8_009027BEE0E0_.wvu.PrintArea" localSheetId="0">#REF!</definedName>
    <definedName name="Z_10435A81_C305_11D5_A6F8_009027BEE0E0_.wvu.PrintArea">#REF!</definedName>
    <definedName name="Z_10435A81_C305_11D5_A6F8_009027BEE0E0_.wvu.PrintTitles" localSheetId="4">#REF!</definedName>
    <definedName name="Z_10435A81_C305_11D5_A6F8_009027BEE0E0_.wvu.PrintTitles" localSheetId="8">#REF!</definedName>
    <definedName name="Z_10435A81_C305_11D5_A6F8_009027BEE0E0_.wvu.PrintTitles" localSheetId="0">#REF!</definedName>
    <definedName name="Z_10435A81_C305_11D5_A6F8_009027BEE0E0_.wvu.PrintTitles">#REF!</definedName>
    <definedName name="Z_10435A81_C305_11D5_A6F8_009027BEE0E0_.wvu.Rows" localSheetId="4">#REF!</definedName>
    <definedName name="Z_10435A81_C305_11D5_A6F8_009027BEE0E0_.wvu.Rows" localSheetId="8">#REF!</definedName>
    <definedName name="Z_10435A81_C305_11D5_A6F8_009027BEE0E0_.wvu.Rows" localSheetId="0">#REF!</definedName>
    <definedName name="Z_10435A81_C305_11D5_A6F8_009027BEE0E0_.wvu.Rows">#REF!</definedName>
    <definedName name="Z_1FA0F3A0_9A3E_11D6_8FF0_00D0B7BABD9F_.wvu.Rows" localSheetId="4">#REF!</definedName>
    <definedName name="Z_1FA0F3A0_9A3E_11D6_8FF0_00D0B7BABD9F_.wvu.Rows" localSheetId="8">#REF!</definedName>
    <definedName name="Z_1FA0F3A0_9A3E_11D6_8FF0_00D0B7BABD9F_.wvu.Rows" localSheetId="0">#REF!</definedName>
    <definedName name="Z_1FA0F3A0_9A3E_11D6_8FF0_00D0B7BABD9F_.wvu.Rows">#REF!</definedName>
    <definedName name="Z_2804E4BB_ED21_11D4_A6F8_00508B654B8B_.wvu.Cols" localSheetId="4">#REF!</definedName>
    <definedName name="Z_2804E4BB_ED21_11D4_A6F8_00508B654B8B_.wvu.Cols" localSheetId="8">#REF!</definedName>
    <definedName name="Z_2804E4BB_ED21_11D4_A6F8_00508B654B8B_.wvu.Cols" localSheetId="0">#REF!</definedName>
    <definedName name="Z_2804E4BB_ED21_11D4_A6F8_00508B654B8B_.wvu.Cols">#REF!</definedName>
    <definedName name="Z_2804E4BB_ED21_11D4_A6F8_00508B654B8B_.wvu.PrintArea" localSheetId="4">#REF!</definedName>
    <definedName name="Z_2804E4BB_ED21_11D4_A6F8_00508B654B8B_.wvu.PrintArea" localSheetId="8">#REF!</definedName>
    <definedName name="Z_2804E4BB_ED21_11D4_A6F8_00508B654B8B_.wvu.PrintArea" localSheetId="0">#REF!</definedName>
    <definedName name="Z_2804E4BB_ED21_11D4_A6F8_00508B654B8B_.wvu.PrintArea">#REF!</definedName>
    <definedName name="Z_2804E4BB_ED21_11D4_A6F8_00508B654B8B_.wvu.Rows" localSheetId="4">#REF!</definedName>
    <definedName name="Z_2804E4BB_ED21_11D4_A6F8_00508B654B8B_.wvu.Rows" localSheetId="8">#REF!</definedName>
    <definedName name="Z_2804E4BB_ED21_11D4_A6F8_00508B654B8B_.wvu.Rows" localSheetId="0">#REF!</definedName>
    <definedName name="Z_2804E4BB_ED21_11D4_A6F8_00508B654B8B_.wvu.Rows">#REF!</definedName>
    <definedName name="Z_30FEE15E_D26F_11D4_A6F7_00508B6A7686_.wvu.PrintArea" localSheetId="4">#REF!</definedName>
    <definedName name="Z_30FEE15E_D26F_11D4_A6F7_00508B6A7686_.wvu.PrintArea" localSheetId="8">#REF!</definedName>
    <definedName name="Z_30FEE15E_D26F_11D4_A6F7_00508B6A7686_.wvu.PrintArea" localSheetId="0">#REF!</definedName>
    <definedName name="Z_30FEE15E_D26F_11D4_A6F7_00508B6A7686_.wvu.PrintArea">#REF!</definedName>
    <definedName name="Z_30FEE15E_D26F_11D4_A6F7_00508B6A7686_.wvu.PrintTitles" localSheetId="4">#REF!</definedName>
    <definedName name="Z_30FEE15E_D26F_11D4_A6F7_00508B6A7686_.wvu.PrintTitles" localSheetId="8">#REF!</definedName>
    <definedName name="Z_30FEE15E_D26F_11D4_A6F7_00508B6A7686_.wvu.PrintTitles" localSheetId="0">#REF!</definedName>
    <definedName name="Z_30FEE15E_D26F_11D4_A6F7_00508B6A7686_.wvu.PrintTitles">#REF!</definedName>
    <definedName name="Z_30FEE15E_D26F_11D4_A6F7_00508B6A7686_.wvu.Rows" localSheetId="4">#REF!</definedName>
    <definedName name="Z_30FEE15E_D26F_11D4_A6F7_00508B6A7686_.wvu.Rows" localSheetId="8">#REF!</definedName>
    <definedName name="Z_30FEE15E_D26F_11D4_A6F7_00508B6A7686_.wvu.Rows" localSheetId="0">#REF!</definedName>
    <definedName name="Z_30FEE15E_D26F_11D4_A6F7_00508B6A7686_.wvu.Rows">#REF!</definedName>
    <definedName name="Z_37A59B27_C76D_4E84_8164_B3D5C7AFADBB_.wvu.Cols" localSheetId="4">#REF!</definedName>
    <definedName name="Z_37A59B27_C76D_4E84_8164_B3D5C7AFADBB_.wvu.Cols" localSheetId="8">#REF!</definedName>
    <definedName name="Z_37A59B27_C76D_4E84_8164_B3D5C7AFADBB_.wvu.Cols" localSheetId="0">#REF!</definedName>
    <definedName name="Z_37A59B27_C76D_4E84_8164_B3D5C7AFADBB_.wvu.Cols">#REF!</definedName>
    <definedName name="Z_3F2D3702_5C5D_4EF2_A404_F2A88AB2D490_.wvu.Cols" localSheetId="4">#REF!</definedName>
    <definedName name="Z_3F2D3702_5C5D_4EF2_A404_F2A88AB2D490_.wvu.Cols" localSheetId="8">#REF!</definedName>
    <definedName name="Z_3F2D3702_5C5D_4EF2_A404_F2A88AB2D490_.wvu.Cols" localSheetId="0">#REF!</definedName>
    <definedName name="Z_3F2D3702_5C5D_4EF2_A404_F2A88AB2D490_.wvu.Cols">#REF!</definedName>
    <definedName name="Z_5A868EA0_ED63_11D4_A6F8_009027BEE0E0_.wvu.Cols" localSheetId="4">#REF!</definedName>
    <definedName name="Z_5A868EA0_ED63_11D4_A6F8_009027BEE0E0_.wvu.Cols" localSheetId="8">#REF!</definedName>
    <definedName name="Z_5A868EA0_ED63_11D4_A6F8_009027BEE0E0_.wvu.Cols" localSheetId="0">#REF!</definedName>
    <definedName name="Z_5A868EA0_ED63_11D4_A6F8_009027BEE0E0_.wvu.Cols">#REF!</definedName>
    <definedName name="Z_5A868EA0_ED63_11D4_A6F8_009027BEE0E0_.wvu.PrintArea" localSheetId="4">#REF!</definedName>
    <definedName name="Z_5A868EA0_ED63_11D4_A6F8_009027BEE0E0_.wvu.PrintArea" localSheetId="8">#REF!</definedName>
    <definedName name="Z_5A868EA0_ED63_11D4_A6F8_009027BEE0E0_.wvu.PrintArea" localSheetId="0">#REF!</definedName>
    <definedName name="Z_5A868EA0_ED63_11D4_A6F8_009027BEE0E0_.wvu.PrintArea">#REF!</definedName>
    <definedName name="Z_5A868EA0_ED63_11D4_A6F8_009027BEE0E0_.wvu.Rows" localSheetId="4">#REF!</definedName>
    <definedName name="Z_5A868EA0_ED63_11D4_A6F8_009027BEE0E0_.wvu.Rows" localSheetId="8">#REF!</definedName>
    <definedName name="Z_5A868EA0_ED63_11D4_A6F8_009027BEE0E0_.wvu.Rows" localSheetId="0">#REF!</definedName>
    <definedName name="Z_5A868EA0_ED63_11D4_A6F8_009027BEE0E0_.wvu.Rows">#REF!</definedName>
    <definedName name="Z_6E40955B_C2F5_11D5_A6F7_009027BEE7F1_.wvu.Cols" localSheetId="4">#REF!</definedName>
    <definedName name="Z_6E40955B_C2F5_11D5_A6F7_009027BEE7F1_.wvu.Cols" localSheetId="8">#REF!</definedName>
    <definedName name="Z_6E40955B_C2F5_11D5_A6F7_009027BEE7F1_.wvu.Cols" localSheetId="0">#REF!</definedName>
    <definedName name="Z_6E40955B_C2F5_11D5_A6F7_009027BEE7F1_.wvu.Cols">#REF!</definedName>
    <definedName name="Z_6E40955B_C2F5_11D5_A6F7_009027BEE7F1_.wvu.PrintArea" localSheetId="4">#REF!</definedName>
    <definedName name="Z_6E40955B_C2F5_11D5_A6F7_009027BEE7F1_.wvu.PrintArea" localSheetId="8">#REF!</definedName>
    <definedName name="Z_6E40955B_C2F5_11D5_A6F7_009027BEE7F1_.wvu.PrintArea" localSheetId="0">#REF!</definedName>
    <definedName name="Z_6E40955B_C2F5_11D5_A6F7_009027BEE7F1_.wvu.PrintArea">#REF!</definedName>
    <definedName name="Z_6E40955B_C2F5_11D5_A6F7_009027BEE7F1_.wvu.PrintTitles" localSheetId="4">#REF!</definedName>
    <definedName name="Z_6E40955B_C2F5_11D5_A6F7_009027BEE7F1_.wvu.PrintTitles" localSheetId="8">#REF!</definedName>
    <definedName name="Z_6E40955B_C2F5_11D5_A6F7_009027BEE7F1_.wvu.PrintTitles" localSheetId="0">#REF!</definedName>
    <definedName name="Z_6E40955B_C2F5_11D5_A6F7_009027BEE7F1_.wvu.PrintTitles">#REF!</definedName>
    <definedName name="Z_6E40955B_C2F5_11D5_A6F7_009027BEE7F1_.wvu.Rows" localSheetId="4">#REF!</definedName>
    <definedName name="Z_6E40955B_C2F5_11D5_A6F7_009027BEE7F1_.wvu.Rows" localSheetId="8">#REF!</definedName>
    <definedName name="Z_6E40955B_C2F5_11D5_A6F7_009027BEE7F1_.wvu.Rows" localSheetId="0">#REF!</definedName>
    <definedName name="Z_6E40955B_C2F5_11D5_A6F7_009027BEE7F1_.wvu.Rows">#REF!</definedName>
    <definedName name="Z_901DD601_3312_11D5_8F89_00010215A1CA_.wvu.Rows" localSheetId="4">#REF!</definedName>
    <definedName name="Z_901DD601_3312_11D5_8F89_00010215A1CA_.wvu.Rows" localSheetId="8">#REF!</definedName>
    <definedName name="Z_901DD601_3312_11D5_8F89_00010215A1CA_.wvu.Rows" localSheetId="0">#REF!</definedName>
    <definedName name="Z_901DD601_3312_11D5_8F89_00010215A1CA_.wvu.Rows">#REF!</definedName>
    <definedName name="Z_A158D6E1_ED44_11D4_A6F7_00508B654028_.wvu.Cols" localSheetId="4">#REF!</definedName>
    <definedName name="Z_A158D6E1_ED44_11D4_A6F7_00508B654028_.wvu.Cols" localSheetId="8">#REF!</definedName>
    <definedName name="Z_A158D6E1_ED44_11D4_A6F7_00508B654028_.wvu.Cols" localSheetId="0">#REF!</definedName>
    <definedName name="Z_A158D6E1_ED44_11D4_A6F7_00508B654028_.wvu.Cols">#REF!</definedName>
    <definedName name="Z_A158D6E1_ED44_11D4_A6F7_00508B654028_.wvu.PrintArea" localSheetId="4">#REF!</definedName>
    <definedName name="Z_A158D6E1_ED44_11D4_A6F7_00508B654028_.wvu.PrintArea" localSheetId="8">#REF!</definedName>
    <definedName name="Z_A158D6E1_ED44_11D4_A6F7_00508B654028_.wvu.PrintArea" localSheetId="0">#REF!</definedName>
    <definedName name="Z_A158D6E1_ED44_11D4_A6F7_00508B654028_.wvu.PrintArea">#REF!</definedName>
    <definedName name="Z_A158D6E1_ED44_11D4_A6F7_00508B654028_.wvu.Rows" localSheetId="4">#REF!</definedName>
    <definedName name="Z_A158D6E1_ED44_11D4_A6F7_00508B654028_.wvu.Rows" localSheetId="8">#REF!</definedName>
    <definedName name="Z_A158D6E1_ED44_11D4_A6F7_00508B654028_.wvu.Rows" localSheetId="0">#REF!</definedName>
    <definedName name="Z_A158D6E1_ED44_11D4_A6F7_00508B654028_.wvu.Rows">#REF!</definedName>
    <definedName name="Z_A6168485_6886_4592_BB13_07B9E683E6FB_.wvu.Cols" localSheetId="4">#REF!</definedName>
    <definedName name="Z_A6168485_6886_4592_BB13_07B9E683E6FB_.wvu.Cols" localSheetId="8">#REF!</definedName>
    <definedName name="Z_A6168485_6886_4592_BB13_07B9E683E6FB_.wvu.Cols" localSheetId="0">#REF!</definedName>
    <definedName name="Z_A6168485_6886_4592_BB13_07B9E683E6FB_.wvu.Cols">#REF!</definedName>
    <definedName name="Z_A6168485_6886_4592_BB13_07B9E683E6FB_.wvu.PrintArea" localSheetId="4">#REF!</definedName>
    <definedName name="Z_A6168485_6886_4592_BB13_07B9E683E6FB_.wvu.PrintArea" localSheetId="8">#REF!</definedName>
    <definedName name="Z_A6168485_6886_4592_BB13_07B9E683E6FB_.wvu.PrintArea" localSheetId="0">#REF!</definedName>
    <definedName name="Z_A6168485_6886_4592_BB13_07B9E683E6FB_.wvu.PrintArea">#REF!</definedName>
    <definedName name="Z_A6168485_6886_4592_BB13_07B9E683E6FB_.wvu.PrintTitles" localSheetId="4">#REF!</definedName>
    <definedName name="Z_A6168485_6886_4592_BB13_07B9E683E6FB_.wvu.PrintTitles" localSheetId="8">#REF!</definedName>
    <definedName name="Z_A6168485_6886_4592_BB13_07B9E683E6FB_.wvu.PrintTitles" localSheetId="0">#REF!</definedName>
    <definedName name="Z_A6168485_6886_4592_BB13_07B9E683E6FB_.wvu.PrintTitles">#REF!</definedName>
    <definedName name="Z_A6168485_6886_4592_BB13_07B9E683E6FB_.wvu.Rows" localSheetId="4">#REF!</definedName>
    <definedName name="Z_A6168485_6886_4592_BB13_07B9E683E6FB_.wvu.Rows" localSheetId="8">#REF!</definedName>
    <definedName name="Z_A6168485_6886_4592_BB13_07B9E683E6FB_.wvu.Rows" localSheetId="0">#REF!</definedName>
    <definedName name="Z_A6168485_6886_4592_BB13_07B9E683E6FB_.wvu.Rows">#REF!</definedName>
    <definedName name="Z_AB45FFAE_19AD_47F2_A68A_497CFA02F912_.wvu.Rows" localSheetId="4">#REF!</definedName>
    <definedName name="Z_AB45FFAE_19AD_47F2_A68A_497CFA02F912_.wvu.Rows" localSheetId="8">#REF!</definedName>
    <definedName name="Z_AB45FFAE_19AD_47F2_A68A_497CFA02F912_.wvu.Rows" localSheetId="0">#REF!</definedName>
    <definedName name="Z_AB45FFAE_19AD_47F2_A68A_497CFA02F912_.wvu.Rows">#REF!</definedName>
    <definedName name="Z_ADA92181_C3E4_11D5_A6F7_00508B6A7686_.wvu.Cols" localSheetId="4">#REF!</definedName>
    <definedName name="Z_ADA92181_C3E4_11D5_A6F7_00508B6A7686_.wvu.Cols" localSheetId="8">#REF!</definedName>
    <definedName name="Z_ADA92181_C3E4_11D5_A6F7_00508B6A7686_.wvu.Cols" localSheetId="0">#REF!</definedName>
    <definedName name="Z_ADA92181_C3E4_11D5_A6F7_00508B6A7686_.wvu.Cols">#REF!</definedName>
    <definedName name="Z_ADA92181_C3E4_11D5_A6F7_00508B6A7686_.wvu.PrintArea" localSheetId="4">#REF!</definedName>
    <definedName name="Z_ADA92181_C3E4_11D5_A6F7_00508B6A7686_.wvu.PrintArea" localSheetId="8">#REF!</definedName>
    <definedName name="Z_ADA92181_C3E4_11D5_A6F7_00508B6A7686_.wvu.PrintArea" localSheetId="0">#REF!</definedName>
    <definedName name="Z_ADA92181_C3E4_11D5_A6F7_00508B6A7686_.wvu.PrintArea">#REF!</definedName>
    <definedName name="Z_ADA92181_C3E4_11D5_A6F7_00508B6A7686_.wvu.PrintTitles" localSheetId="4">#REF!</definedName>
    <definedName name="Z_ADA92181_C3E4_11D5_A6F7_00508B6A7686_.wvu.PrintTitles" localSheetId="8">#REF!</definedName>
    <definedName name="Z_ADA92181_C3E4_11D5_A6F7_00508B6A7686_.wvu.PrintTitles" localSheetId="0">#REF!</definedName>
    <definedName name="Z_ADA92181_C3E4_11D5_A6F7_00508B6A7686_.wvu.PrintTitles">#REF!</definedName>
    <definedName name="Z_ADA92181_C3E4_11D5_A6F7_00508B6A7686_.wvu.Rows" localSheetId="4">#REF!</definedName>
    <definedName name="Z_ADA92181_C3E4_11D5_A6F7_00508B6A7686_.wvu.Rows" localSheetId="8">#REF!</definedName>
    <definedName name="Z_ADA92181_C3E4_11D5_A6F7_00508B6A7686_.wvu.Rows" localSheetId="0">#REF!</definedName>
    <definedName name="Z_ADA92181_C3E4_11D5_A6F7_00508B6A7686_.wvu.Rows">#REF!</definedName>
    <definedName name="Z_D0FC81D9_872A_11D6_B808_0010DC239F6A_.wvu.Cols" localSheetId="4">#REF!</definedName>
    <definedName name="Z_D0FC81D9_872A_11D6_B808_0010DC239F6A_.wvu.Cols" localSheetId="8">#REF!</definedName>
    <definedName name="Z_D0FC81D9_872A_11D6_B808_0010DC239F6A_.wvu.Cols" localSheetId="0">#REF!</definedName>
    <definedName name="Z_D0FC81D9_872A_11D6_B808_0010DC239F6A_.wvu.Cols">#REF!</definedName>
    <definedName name="Z_D0FC81D9_872A_11D6_B808_0010DC239F6A_.wvu.PrintArea" localSheetId="4">#REF!</definedName>
    <definedName name="Z_D0FC81D9_872A_11D6_B808_0010DC239F6A_.wvu.PrintArea" localSheetId="8">#REF!</definedName>
    <definedName name="Z_D0FC81D9_872A_11D6_B808_0010DC239F6A_.wvu.PrintArea" localSheetId="0">#REF!</definedName>
    <definedName name="Z_D0FC81D9_872A_11D6_B808_0010DC239F6A_.wvu.PrintArea">#REF!</definedName>
    <definedName name="Z_D0FC81D9_872A_11D6_B808_0010DC239F6A_.wvu.PrintTitles" localSheetId="4">#REF!</definedName>
    <definedName name="Z_D0FC81D9_872A_11D6_B808_0010DC239F6A_.wvu.PrintTitles" localSheetId="8">#REF!</definedName>
    <definedName name="Z_D0FC81D9_872A_11D6_B808_0010DC239F6A_.wvu.PrintTitles" localSheetId="0">#REF!</definedName>
    <definedName name="Z_D0FC81D9_872A_11D6_B808_0010DC239F6A_.wvu.PrintTitles">#REF!</definedName>
    <definedName name="Z_D0FC81D9_872A_11D6_B808_0010DC239F6A_.wvu.Rows" localSheetId="4">#REF!</definedName>
    <definedName name="Z_D0FC81D9_872A_11D6_B808_0010DC239F6A_.wvu.Rows" localSheetId="8">#REF!</definedName>
    <definedName name="Z_D0FC81D9_872A_11D6_B808_0010DC239F6A_.wvu.Rows" localSheetId="0">#REF!</definedName>
    <definedName name="Z_D0FC81D9_872A_11D6_B808_0010DC239F6A_.wvu.Rows">#REF!</definedName>
    <definedName name="Z_D1F2B56D_1E58_4BCA_92CD_48826E79E65F_.wvu.Cols" localSheetId="4">#REF!</definedName>
    <definedName name="Z_D1F2B56D_1E58_4BCA_92CD_48826E79E65F_.wvu.Cols" localSheetId="8">#REF!</definedName>
    <definedName name="Z_D1F2B56D_1E58_4BCA_92CD_48826E79E65F_.wvu.Cols" localSheetId="0">#REF!</definedName>
    <definedName name="Z_D1F2B56D_1E58_4BCA_92CD_48826E79E65F_.wvu.Cols">#REF!</definedName>
    <definedName name="Z_D9E68341_C2F0_11D5_A6F7_00508B6540C5_.wvu.Cols" localSheetId="4">#REF!</definedName>
    <definedName name="Z_D9E68341_C2F0_11D5_A6F7_00508B6540C5_.wvu.Cols" localSheetId="8">#REF!</definedName>
    <definedName name="Z_D9E68341_C2F0_11D5_A6F7_00508B6540C5_.wvu.Cols" localSheetId="0">#REF!</definedName>
    <definedName name="Z_D9E68341_C2F0_11D5_A6F7_00508B6540C5_.wvu.Cols">#REF!</definedName>
    <definedName name="Z_D9E68341_C2F0_11D5_A6F7_00508B6540C5_.wvu.PrintArea" localSheetId="4">#REF!</definedName>
    <definedName name="Z_D9E68341_C2F0_11D5_A6F7_00508B6540C5_.wvu.PrintArea" localSheetId="8">#REF!</definedName>
    <definedName name="Z_D9E68341_C2F0_11D5_A6F7_00508B6540C5_.wvu.PrintArea" localSheetId="0">#REF!</definedName>
    <definedName name="Z_D9E68341_C2F0_11D5_A6F7_00508B6540C5_.wvu.PrintArea">#REF!</definedName>
    <definedName name="Z_D9E68341_C2F0_11D5_A6F7_00508B6540C5_.wvu.PrintTitles" localSheetId="4">#REF!</definedName>
    <definedName name="Z_D9E68341_C2F0_11D5_A6F7_00508B6540C5_.wvu.PrintTitles" localSheetId="8">#REF!</definedName>
    <definedName name="Z_D9E68341_C2F0_11D5_A6F7_00508B6540C5_.wvu.PrintTitles" localSheetId="0">#REF!</definedName>
    <definedName name="Z_D9E68341_C2F0_11D5_A6F7_00508B6540C5_.wvu.PrintTitles">#REF!</definedName>
    <definedName name="Z_D9E68341_C2F0_11D5_A6F7_00508B6540C5_.wvu.Rows" localSheetId="4">#REF!</definedName>
    <definedName name="Z_D9E68341_C2F0_11D5_A6F7_00508B6540C5_.wvu.Rows" localSheetId="8">#REF!</definedName>
    <definedName name="Z_D9E68341_C2F0_11D5_A6F7_00508B6540C5_.wvu.Rows" localSheetId="0">#REF!</definedName>
    <definedName name="Z_D9E68341_C2F0_11D5_A6F7_00508B6540C5_.wvu.Rows">#REF!</definedName>
    <definedName name="Z_F555932C_CC75_42D3_B754_FE5E25B3BD19_.wvu.Cols" localSheetId="30">'2035 баз.'!$B:$E</definedName>
    <definedName name="Z_F555932C_CC75_42D3_B754_FE5E25B3BD19_.wvu.PrintArea" localSheetId="30">'2035 баз.'!$A$1:$T$31</definedName>
    <definedName name="Z_F555932C_CC75_42D3_B754_FE5E25B3BD19_.wvu.PrintTitles" localSheetId="30">'2035 баз.'!$1:$2</definedName>
    <definedName name="Z_F555932C_CC75_42D3_B754_FE5E25B3BD19_.wvu.Rows" localSheetId="30">#REF!</definedName>
    <definedName name="Z_F9F3694A_8D99_11D6_96BF_00D0B7BD143A_.wvu.Rows" localSheetId="4">#REF!</definedName>
    <definedName name="Z_F9F3694A_8D99_11D6_96BF_00D0B7BD143A_.wvu.Rows" localSheetId="8">#REF!</definedName>
    <definedName name="Z_F9F3694A_8D99_11D6_96BF_00D0B7BD143A_.wvu.Rows" localSheetId="0">#REF!</definedName>
    <definedName name="Z_F9F3694A_8D99_11D6_96BF_00D0B7BD143A_.wvu.Rows">#REF!</definedName>
    <definedName name="zkm" localSheetId="4">#REF!</definedName>
    <definedName name="zkm" localSheetId="8">#REF!</definedName>
    <definedName name="zkm">#REF!</definedName>
    <definedName name="zsd" localSheetId="4">#REF!</definedName>
    <definedName name="zsd" localSheetId="8">#REF!</definedName>
    <definedName name="zsd">#REF!</definedName>
    <definedName name="zse" localSheetId="4">#REF!</definedName>
    <definedName name="zse" localSheetId="8">#REF!</definedName>
    <definedName name="zse">#REF!</definedName>
    <definedName name="ZWX" localSheetId="4">#REF!</definedName>
    <definedName name="ZWX" localSheetId="8">#REF!</definedName>
    <definedName name="ZWX">#REF!</definedName>
    <definedName name="ZX" localSheetId="4">#REF!</definedName>
    <definedName name="ZX" localSheetId="8">#REF!</definedName>
    <definedName name="ZX">#REF!</definedName>
    <definedName name="zxc" localSheetId="4">#REF!</definedName>
    <definedName name="zxc" localSheetId="8">#REF!</definedName>
    <definedName name="zxc">#REF!</definedName>
    <definedName name="zz" localSheetId="4">#REF!</definedName>
    <definedName name="zz" localSheetId="8">#REF!</definedName>
    <definedName name="zz">#REF!</definedName>
    <definedName name="zzz" localSheetId="4">#REF!</definedName>
    <definedName name="zzz" localSheetId="8">#REF!</definedName>
    <definedName name="zzz">#REF!</definedName>
    <definedName name="zzzz" localSheetId="4">#REF!</definedName>
    <definedName name="zzzz" localSheetId="8">#REF!</definedName>
    <definedName name="zzzz" localSheetId="0">#REF!</definedName>
    <definedName name="zzzz">#REF!</definedName>
    <definedName name="zzzzzz" localSheetId="4">#REF!</definedName>
    <definedName name="zzzzzz" localSheetId="8">#REF!</definedName>
    <definedName name="zzzzzz">#REF!</definedName>
    <definedName name="zzzzzzzzzzz" localSheetId="4">#REF!</definedName>
    <definedName name="zzzzzzzzzzz" localSheetId="8">#REF!</definedName>
    <definedName name="zzzzzzzzzzz" localSheetId="0">#REF!</definedName>
    <definedName name="zzzzzzzzzzz">#REF!</definedName>
    <definedName name="ZZZZZZZZZZZZZZZ" localSheetId="4">#REF!</definedName>
    <definedName name="ZZZZZZZZZZZZZZZ" localSheetId="8">#REF!</definedName>
    <definedName name="ZZZZZZZZZZZZZZZ">#REF!</definedName>
    <definedName name="ааа" localSheetId="4">#REF!</definedName>
    <definedName name="ааа" localSheetId="8">#REF!</definedName>
    <definedName name="ааа">#REF!</definedName>
    <definedName name="ар_ставка_офис" localSheetId="4">#REF!</definedName>
    <definedName name="ар_ставка_офис" localSheetId="8">#REF!</definedName>
    <definedName name="ар_ставка_офис">#REF!</definedName>
    <definedName name="ва" localSheetId="4">#REF!</definedName>
    <definedName name="ва" localSheetId="8">#REF!</definedName>
    <definedName name="ва" localSheetId="0">#REF!</definedName>
    <definedName name="ва">#REF!</definedName>
    <definedName name="вв" localSheetId="4">#REF!</definedName>
    <definedName name="вв" localSheetId="8">#REF!</definedName>
    <definedName name="вв" localSheetId="0">#REF!</definedName>
    <definedName name="вв">#REF!</definedName>
    <definedName name="вваыв" localSheetId="4">#REF!</definedName>
    <definedName name="вваыв" localSheetId="8">#REF!</definedName>
    <definedName name="вваыв" localSheetId="0">#REF!</definedName>
    <definedName name="вваыв">#REF!</definedName>
    <definedName name="ввв" localSheetId="4">#REF!</definedName>
    <definedName name="ввв" localSheetId="8">#REF!</definedName>
    <definedName name="ввв">#REF!</definedName>
    <definedName name="вввввввв" localSheetId="4">#REF!</definedName>
    <definedName name="вввввввв" localSheetId="8">#REF!</definedName>
    <definedName name="вввввввв">#REF!</definedName>
    <definedName name="вла" localSheetId="4">#REF!</definedName>
    <definedName name="вла" localSheetId="8">#REF!</definedName>
    <definedName name="вла">#REF!</definedName>
    <definedName name="вс" localSheetId="4">#REF!</definedName>
    <definedName name="вс" localSheetId="8">#REF!</definedName>
    <definedName name="вс">#REF!</definedName>
    <definedName name="год" localSheetId="4">#REF!</definedName>
    <definedName name="год" localSheetId="8">#REF!</definedName>
    <definedName name="год">#REF!</definedName>
    <definedName name="дек" localSheetId="4">#REF!</definedName>
    <definedName name="дек" localSheetId="8">#REF!</definedName>
    <definedName name="дек">#REF!</definedName>
    <definedName name="до" localSheetId="4">#REF!</definedName>
    <definedName name="до" localSheetId="8">#REF!</definedName>
    <definedName name="до" localSheetId="0">#REF!</definedName>
    <definedName name="до">#REF!</definedName>
    <definedName name="дублер" localSheetId="4">#REF!</definedName>
    <definedName name="дублер" localSheetId="8">#REF!</definedName>
    <definedName name="дублер" localSheetId="0">#REF!</definedName>
    <definedName name="дублер">#REF!</definedName>
    <definedName name="ен" localSheetId="4">#REF!</definedName>
    <definedName name="ен" localSheetId="8">#REF!</definedName>
    <definedName name="ен" localSheetId="0">#REF!</definedName>
    <definedName name="ен">#REF!</definedName>
    <definedName name="ж" localSheetId="4">#REF!</definedName>
    <definedName name="ж" localSheetId="8">#REF!</definedName>
    <definedName name="ж">#REF!</definedName>
    <definedName name="_xlnm.Print_Titles" localSheetId="3">Model!$B:$C,Model!$6:$7</definedName>
    <definedName name="_xlnm.Print_Titles" localSheetId="5">Model2!$B:$C,Model2!$6:$7</definedName>
    <definedName name="йцйу" localSheetId="4">#REF!</definedName>
    <definedName name="йцйу" localSheetId="8">#REF!</definedName>
    <definedName name="йцйу">#REF!</definedName>
    <definedName name="кекекеек" localSheetId="4">#REF!</definedName>
    <definedName name="кекекеек" localSheetId="8">#REF!</definedName>
    <definedName name="кекекеек">#REF!</definedName>
    <definedName name="маотс" localSheetId="4">#REF!</definedName>
    <definedName name="маотс" localSheetId="8">#REF!</definedName>
    <definedName name="маотс">#REF!</definedName>
    <definedName name="Март" localSheetId="4">#REF!</definedName>
    <definedName name="Март" localSheetId="8">#REF!</definedName>
    <definedName name="Март">#REF!</definedName>
    <definedName name="Мартм" localSheetId="4">#REF!</definedName>
    <definedName name="Мартм" localSheetId="8">#REF!</definedName>
    <definedName name="Мартм">#REF!</definedName>
    <definedName name="отчет" localSheetId="4">#REF!</definedName>
    <definedName name="отчет" localSheetId="8">#REF!</definedName>
    <definedName name="отчет">#REF!</definedName>
    <definedName name="ПОКАЗАТЕЛИ_ДОЛГОСР.ПРОГНОЗА" localSheetId="30">#REF!</definedName>
    <definedName name="ПОКАЗАТЕЛИ_ДОЛГОСР.ПРОГНОЗА" localSheetId="4">#REF!</definedName>
    <definedName name="ПОКАЗАТЕЛИ_ДОЛГОСР.ПРОГНОЗА" localSheetId="8">#REF!</definedName>
    <definedName name="ПОКАЗАТЕЛИ_ДОЛГОСР.ПРОГНОЗА">#REF!</definedName>
    <definedName name="ппппппп" localSheetId="4">#REF!</definedName>
    <definedName name="ппппппп" localSheetId="8">#REF!</definedName>
    <definedName name="ппппппп">#REF!</definedName>
    <definedName name="прогноз" localSheetId="4">#REF!</definedName>
    <definedName name="прогноз" localSheetId="8">#REF!</definedName>
    <definedName name="прогноз">#REF!</definedName>
    <definedName name="Проект3" localSheetId="4">#REF!</definedName>
    <definedName name="Проект3" localSheetId="8">#REF!</definedName>
    <definedName name="Проект3">#REF!</definedName>
    <definedName name="пыпыппывапа" localSheetId="4">#REF!</definedName>
    <definedName name="пыпыппывапа" localSheetId="8">#REF!</definedName>
    <definedName name="пыпыппывапа" localSheetId="0">#REF!</definedName>
    <definedName name="пыпыппывапа">#REF!</definedName>
    <definedName name="равропаоьрп" localSheetId="4">#REF!</definedName>
    <definedName name="равропаоьрп" localSheetId="8">#REF!</definedName>
    <definedName name="равропаоьрп">#REF!</definedName>
    <definedName name="разные" localSheetId="4">#REF!</definedName>
    <definedName name="разные" localSheetId="8">#REF!</definedName>
    <definedName name="разные">#REF!</definedName>
    <definedName name="расч2002" localSheetId="4">#REF!</definedName>
    <definedName name="расч2002" localSheetId="8">#REF!</definedName>
    <definedName name="расч2002">#REF!</definedName>
    <definedName name="СНП" localSheetId="4">#REF!</definedName>
    <definedName name="СНП" localSheetId="8">#REF!</definedName>
    <definedName name="СНП" localSheetId="0">#REF!</definedName>
    <definedName name="СНП">#REF!</definedName>
    <definedName name="ср_цены" localSheetId="4">#REF!</definedName>
    <definedName name="ср_цены" localSheetId="8">#REF!</definedName>
    <definedName name="ср_цены">#REF!</definedName>
    <definedName name="Тех.рент." localSheetId="4">#REF!</definedName>
    <definedName name="Тех.рент." localSheetId="8">#REF!</definedName>
    <definedName name="Тех.рент.">#REF!</definedName>
    <definedName name="ф" localSheetId="4">#REF!</definedName>
    <definedName name="ф" localSheetId="8">#REF!</definedName>
    <definedName name="ф">#REF!</definedName>
    <definedName name="ФинПланФакт" localSheetId="4">#REF!</definedName>
    <definedName name="ФинПланФакт" localSheetId="8">#REF!</definedName>
    <definedName name="ФинПланФакт">#REF!</definedName>
    <definedName name="фы" localSheetId="4">#REF!</definedName>
    <definedName name="фы" localSheetId="8">#REF!</definedName>
    <definedName name="фы">#REF!</definedName>
    <definedName name="чш" localSheetId="4">#REF!</definedName>
    <definedName name="чш" localSheetId="8">#REF!</definedName>
    <definedName name="чш">#REF!</definedName>
    <definedName name="ы" localSheetId="4">#REF!</definedName>
    <definedName name="ы" localSheetId="8">#REF!</definedName>
    <definedName name="ы">#REF!</definedName>
    <definedName name="ЫВВЫВЫВ" localSheetId="4">#REF!</definedName>
    <definedName name="ЫВВЫВЫВ" localSheetId="8">#REF!</definedName>
    <definedName name="ЫВВЫВЫВ" localSheetId="0">#REF!</definedName>
    <definedName name="ЫВВЫВЫВ">#REF!</definedName>
    <definedName name="Ыгь" localSheetId="4">#REF!</definedName>
    <definedName name="Ыгь" localSheetId="8">#REF!</definedName>
    <definedName name="Ыг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2" i="41" l="1"/>
  <c r="B45" i="41" l="1"/>
  <c r="B49" i="41" s="1"/>
  <c r="B53" i="41" s="1"/>
  <c r="B57" i="41" s="1"/>
  <c r="C45" i="41"/>
  <c r="C35" i="41" s="1"/>
  <c r="D35" i="41" s="1"/>
  <c r="B46" i="41"/>
  <c r="C46" i="41"/>
  <c r="D46" i="41" s="1"/>
  <c r="B47" i="41"/>
  <c r="B51" i="41" s="1"/>
  <c r="B55" i="41" s="1"/>
  <c r="B59" i="41" s="1"/>
  <c r="C47" i="41"/>
  <c r="D47" i="41" s="1"/>
  <c r="D49" i="41"/>
  <c r="B50" i="41"/>
  <c r="B54" i="41" s="1"/>
  <c r="B58" i="41" s="1"/>
  <c r="D51" i="41"/>
  <c r="D53" i="41"/>
  <c r="C54" i="41"/>
  <c r="D54" i="41" s="1"/>
  <c r="C55" i="41"/>
  <c r="D55" i="41" s="1"/>
  <c r="D57" i="41"/>
  <c r="D58" i="41"/>
  <c r="D59" i="41"/>
  <c r="C60" i="41"/>
  <c r="D60" i="41" s="1"/>
  <c r="M11" i="41"/>
  <c r="M9" i="41" s="1"/>
  <c r="L11" i="41"/>
  <c r="I18" i="41"/>
  <c r="I17" i="41" s="1"/>
  <c r="K29" i="41"/>
  <c r="L29" i="41"/>
  <c r="M27" i="41"/>
  <c r="M25" i="41" s="1"/>
  <c r="L27" i="41"/>
  <c r="L26" i="41"/>
  <c r="M23" i="41"/>
  <c r="M21" i="41" s="1"/>
  <c r="L23" i="41"/>
  <c r="L18" i="41"/>
  <c r="K20" i="41"/>
  <c r="M15" i="41"/>
  <c r="M13" i="41" s="1"/>
  <c r="L15" i="41"/>
  <c r="L14" i="41"/>
  <c r="L7" i="41"/>
  <c r="K10" i="41"/>
  <c r="K9" i="41" s="1"/>
  <c r="K12" i="41"/>
  <c r="K14" i="41"/>
  <c r="K16" i="41"/>
  <c r="K24" i="41"/>
  <c r="K26" i="41"/>
  <c r="K27" i="41"/>
  <c r="K28" i="41"/>
  <c r="K7" i="41"/>
  <c r="K8" i="41"/>
  <c r="K6" i="41"/>
  <c r="I12" i="41"/>
  <c r="J12" i="41" s="1"/>
  <c r="J9" i="41" s="1"/>
  <c r="I29" i="41"/>
  <c r="I28" i="41"/>
  <c r="I26" i="41"/>
  <c r="I8" i="41"/>
  <c r="I6" i="41"/>
  <c r="I4" i="41"/>
  <c r="G4" i="41"/>
  <c r="E4" i="41"/>
  <c r="A115" i="41"/>
  <c r="B105" i="41"/>
  <c r="B100" i="41"/>
  <c r="B95" i="41"/>
  <c r="B94" i="41"/>
  <c r="B109" i="41" s="1"/>
  <c r="B90" i="41"/>
  <c r="D75" i="41"/>
  <c r="C75" i="41"/>
  <c r="C72" i="41" s="1"/>
  <c r="B73" i="41"/>
  <c r="B72" i="41"/>
  <c r="B71" i="41"/>
  <c r="B70" i="41"/>
  <c r="B69" i="41"/>
  <c r="B68" i="41"/>
  <c r="D66" i="41"/>
  <c r="C66" i="41"/>
  <c r="B66" i="41"/>
  <c r="C63" i="41"/>
  <c r="C29" i="41"/>
  <c r="C27" i="41"/>
  <c r="C10" i="41"/>
  <c r="B6" i="41"/>
  <c r="C26" i="41"/>
  <c r="C24" i="41"/>
  <c r="C23" i="41"/>
  <c r="C22" i="41"/>
  <c r="C20" i="41"/>
  <c r="C19" i="41"/>
  <c r="C18" i="41"/>
  <c r="C4" i="41"/>
  <c r="D49" i="31"/>
  <c r="D51" i="31"/>
  <c r="D53" i="31"/>
  <c r="D55" i="31"/>
  <c r="D56" i="31"/>
  <c r="D57" i="31"/>
  <c r="D59" i="31"/>
  <c r="D60" i="31"/>
  <c r="D61" i="31"/>
  <c r="D62" i="31"/>
  <c r="D48" i="31"/>
  <c r="D47" i="31"/>
  <c r="E47" i="31"/>
  <c r="E43" i="31"/>
  <c r="E45" i="31"/>
  <c r="E40" i="31"/>
  <c r="E41" i="31"/>
  <c r="E39" i="31"/>
  <c r="E37" i="31"/>
  <c r="D37" i="31"/>
  <c r="AA103" i="40"/>
  <c r="D184" i="40"/>
  <c r="D179" i="40"/>
  <c r="D178" i="40"/>
  <c r="D177" i="40"/>
  <c r="D176" i="40"/>
  <c r="D175" i="40"/>
  <c r="D174" i="40"/>
  <c r="D169" i="40"/>
  <c r="D168" i="40"/>
  <c r="D165" i="40"/>
  <c r="D164" i="40"/>
  <c r="D163" i="40"/>
  <c r="D162" i="40"/>
  <c r="D161" i="40"/>
  <c r="D160" i="40"/>
  <c r="D159" i="40"/>
  <c r="D158" i="40"/>
  <c r="D157" i="40"/>
  <c r="D156" i="40"/>
  <c r="D155" i="40"/>
  <c r="D153" i="40"/>
  <c r="D151" i="40"/>
  <c r="D150" i="40"/>
  <c r="D149" i="40"/>
  <c r="D148" i="40"/>
  <c r="D147" i="40"/>
  <c r="D146" i="40"/>
  <c r="D145" i="40"/>
  <c r="D144" i="40"/>
  <c r="D143" i="40"/>
  <c r="D142" i="40"/>
  <c r="D141" i="40"/>
  <c r="D140" i="40"/>
  <c r="D139" i="40"/>
  <c r="D138" i="40"/>
  <c r="D137" i="40"/>
  <c r="D136" i="40"/>
  <c r="D135" i="40"/>
  <c r="D134" i="40"/>
  <c r="D133" i="40"/>
  <c r="D132" i="40"/>
  <c r="D131" i="40"/>
  <c r="D130" i="40"/>
  <c r="D129" i="40"/>
  <c r="D128" i="40"/>
  <c r="D127" i="40"/>
  <c r="D125" i="40"/>
  <c r="D124" i="40"/>
  <c r="D123" i="40"/>
  <c r="D122" i="40"/>
  <c r="D121" i="40"/>
  <c r="D120" i="40"/>
  <c r="D119" i="40"/>
  <c r="D114" i="40"/>
  <c r="D110" i="40"/>
  <c r="D109" i="40"/>
  <c r="D107" i="40"/>
  <c r="D102" i="40"/>
  <c r="D101" i="40"/>
  <c r="D100" i="40"/>
  <c r="D98" i="40"/>
  <c r="D93" i="40"/>
  <c r="D92" i="40"/>
  <c r="D89" i="40"/>
  <c r="D87" i="40"/>
  <c r="D86" i="40"/>
  <c r="D85" i="40"/>
  <c r="D82" i="40"/>
  <c r="D80" i="40"/>
  <c r="D78" i="40"/>
  <c r="D77" i="40"/>
  <c r="D76" i="40"/>
  <c r="D75" i="40"/>
  <c r="D74" i="40"/>
  <c r="D73" i="40"/>
  <c r="D72" i="40"/>
  <c r="D71" i="40"/>
  <c r="D70" i="40"/>
  <c r="D69" i="40"/>
  <c r="D68" i="40"/>
  <c r="D67" i="40"/>
  <c r="D66" i="40"/>
  <c r="D65" i="40"/>
  <c r="D64" i="40"/>
  <c r="D63" i="40"/>
  <c r="D62" i="40"/>
  <c r="D61" i="40"/>
  <c r="D60" i="40"/>
  <c r="D59" i="40"/>
  <c r="D58" i="40"/>
  <c r="D57" i="40"/>
  <c r="D56" i="40"/>
  <c r="D55" i="40"/>
  <c r="D54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8" i="40"/>
  <c r="E8" i="40" s="1"/>
  <c r="D7" i="40"/>
  <c r="E6" i="40"/>
  <c r="D6" i="40"/>
  <c r="B53" i="40"/>
  <c r="B52" i="40"/>
  <c r="B51" i="40"/>
  <c r="B50" i="40"/>
  <c r="B49" i="40"/>
  <c r="B48" i="40"/>
  <c r="B47" i="40"/>
  <c r="B46" i="40"/>
  <c r="B45" i="40"/>
  <c r="B44" i="40"/>
  <c r="B43" i="40"/>
  <c r="B42" i="40"/>
  <c r="B41" i="40"/>
  <c r="B40" i="40"/>
  <c r="B39" i="40"/>
  <c r="B38" i="40"/>
  <c r="B37" i="40"/>
  <c r="B35" i="40"/>
  <c r="B34" i="40"/>
  <c r="B33" i="40"/>
  <c r="B32" i="40"/>
  <c r="B31" i="40"/>
  <c r="B30" i="40"/>
  <c r="B29" i="40"/>
  <c r="B28" i="40"/>
  <c r="B27" i="40"/>
  <c r="B26" i="40"/>
  <c r="B25" i="40"/>
  <c r="B22" i="40"/>
  <c r="Z14" i="40"/>
  <c r="Y14" i="40"/>
  <c r="X14" i="40"/>
  <c r="W14" i="40"/>
  <c r="V14" i="40"/>
  <c r="U14" i="40"/>
  <c r="T14" i="40"/>
  <c r="S14" i="40"/>
  <c r="R14" i="40"/>
  <c r="Q14" i="40"/>
  <c r="P14" i="40"/>
  <c r="O14" i="40"/>
  <c r="N14" i="40"/>
  <c r="M14" i="40"/>
  <c r="L14" i="40"/>
  <c r="K14" i="40"/>
  <c r="F6" i="40"/>
  <c r="W62" i="39"/>
  <c r="E58" i="39"/>
  <c r="F58" i="39"/>
  <c r="G58" i="39"/>
  <c r="H58" i="39"/>
  <c r="I58" i="39"/>
  <c r="J58" i="39"/>
  <c r="K58" i="39"/>
  <c r="L58" i="39"/>
  <c r="M58" i="39"/>
  <c r="N58" i="39"/>
  <c r="O58" i="39"/>
  <c r="P58" i="39"/>
  <c r="P59" i="39" s="1"/>
  <c r="Q58" i="39"/>
  <c r="R58" i="39"/>
  <c r="S58" i="39"/>
  <c r="T58" i="39"/>
  <c r="T59" i="39" s="1"/>
  <c r="U58" i="39"/>
  <c r="V58" i="39"/>
  <c r="W58" i="39"/>
  <c r="L59" i="39"/>
  <c r="I59" i="39"/>
  <c r="M59" i="39"/>
  <c r="U59" i="39"/>
  <c r="Q59" i="39"/>
  <c r="W54" i="39"/>
  <c r="X54" i="39"/>
  <c r="Y54" i="39"/>
  <c r="Z54" i="39"/>
  <c r="AD54" i="39" s="1"/>
  <c r="AH54" i="39" s="1"/>
  <c r="AL54" i="39" s="1"/>
  <c r="AP54" i="39" s="1"/>
  <c r="AT54" i="39" s="1"/>
  <c r="AX54" i="39" s="1"/>
  <c r="BB54" i="39" s="1"/>
  <c r="BF54" i="39" s="1"/>
  <c r="BJ54" i="39" s="1"/>
  <c r="BN54" i="39" s="1"/>
  <c r="BR54" i="39" s="1"/>
  <c r="BV54" i="39" s="1"/>
  <c r="BZ54" i="39" s="1"/>
  <c r="CD54" i="39" s="1"/>
  <c r="CH54" i="39" s="1"/>
  <c r="CL54" i="39" s="1"/>
  <c r="Y50" i="39"/>
  <c r="X50" i="39"/>
  <c r="W50" i="39"/>
  <c r="Y49" i="39"/>
  <c r="X49" i="39"/>
  <c r="W49" i="39"/>
  <c r="W6" i="39"/>
  <c r="W9" i="39"/>
  <c r="W8" i="39" s="1"/>
  <c r="W10" i="39"/>
  <c r="W35" i="39"/>
  <c r="W36" i="39"/>
  <c r="W69" i="39"/>
  <c r="W83" i="39"/>
  <c r="W134" i="39"/>
  <c r="W156" i="39"/>
  <c r="W168" i="39"/>
  <c r="CO36" i="39"/>
  <c r="CN36" i="39"/>
  <c r="CM36" i="39"/>
  <c r="CL36" i="39"/>
  <c r="CK36" i="39"/>
  <c r="CJ36" i="39"/>
  <c r="CI36" i="39"/>
  <c r="CH36" i="39"/>
  <c r="CG36" i="39"/>
  <c r="CF36" i="39"/>
  <c r="CE36" i="39"/>
  <c r="CD36" i="39"/>
  <c r="CC36" i="39"/>
  <c r="CB36" i="39"/>
  <c r="CA36" i="39"/>
  <c r="BZ36" i="39"/>
  <c r="BY36" i="39"/>
  <c r="BX36" i="39"/>
  <c r="BW36" i="39"/>
  <c r="BV36" i="39"/>
  <c r="BU36" i="39"/>
  <c r="BT36" i="39"/>
  <c r="BS36" i="39"/>
  <c r="BR36" i="39"/>
  <c r="BQ36" i="39"/>
  <c r="BP36" i="39"/>
  <c r="BO36" i="39"/>
  <c r="BN36" i="39"/>
  <c r="BM36" i="39"/>
  <c r="BL36" i="39"/>
  <c r="BK36" i="39"/>
  <c r="BJ36" i="39"/>
  <c r="BI36" i="39"/>
  <c r="BH36" i="39"/>
  <c r="BG36" i="39"/>
  <c r="BF36" i="39"/>
  <c r="BE36" i="39"/>
  <c r="BD36" i="39"/>
  <c r="BC36" i="39"/>
  <c r="BB36" i="39"/>
  <c r="BA36" i="39"/>
  <c r="AZ36" i="39"/>
  <c r="AY36" i="39"/>
  <c r="AX36" i="39"/>
  <c r="AW36" i="39"/>
  <c r="AV36" i="39"/>
  <c r="AU36" i="39"/>
  <c r="AT36" i="39"/>
  <c r="AS36" i="39"/>
  <c r="AR36" i="39"/>
  <c r="AQ36" i="39"/>
  <c r="AP36" i="39"/>
  <c r="AO36" i="39"/>
  <c r="AN36" i="39"/>
  <c r="AM36" i="39"/>
  <c r="AL36" i="39"/>
  <c r="AK36" i="39"/>
  <c r="AJ36" i="39"/>
  <c r="AI36" i="39"/>
  <c r="AH36" i="39"/>
  <c r="AG36" i="39"/>
  <c r="AF36" i="39"/>
  <c r="AE36" i="39"/>
  <c r="AD36" i="39"/>
  <c r="AC36" i="39"/>
  <c r="AB36" i="39"/>
  <c r="AA36" i="39"/>
  <c r="Z36" i="39"/>
  <c r="Y36" i="39"/>
  <c r="X36" i="39"/>
  <c r="CO35" i="39"/>
  <c r="CN35" i="39"/>
  <c r="CM35" i="39"/>
  <c r="CL35" i="39"/>
  <c r="CK35" i="39"/>
  <c r="CJ35" i="39"/>
  <c r="CI35" i="39"/>
  <c r="CH35" i="39"/>
  <c r="CG35" i="39"/>
  <c r="CF35" i="39"/>
  <c r="CE35" i="39"/>
  <c r="CD35" i="39"/>
  <c r="CC35" i="39"/>
  <c r="CB35" i="39"/>
  <c r="CA35" i="39"/>
  <c r="BZ35" i="39"/>
  <c r="BY35" i="39"/>
  <c r="BX35" i="39"/>
  <c r="BW35" i="39"/>
  <c r="BV35" i="39"/>
  <c r="BU35" i="39"/>
  <c r="BT35" i="39"/>
  <c r="BS35" i="39"/>
  <c r="BR35" i="39"/>
  <c r="BQ35" i="39"/>
  <c r="BP35" i="39"/>
  <c r="BO35" i="39"/>
  <c r="BN35" i="39"/>
  <c r="BM35" i="39"/>
  <c r="BL35" i="39"/>
  <c r="BK35" i="39"/>
  <c r="BJ35" i="39"/>
  <c r="BI35" i="39"/>
  <c r="BH35" i="39"/>
  <c r="BG35" i="39"/>
  <c r="BF35" i="39"/>
  <c r="BE35" i="39"/>
  <c r="BD35" i="39"/>
  <c r="BC35" i="39"/>
  <c r="BB35" i="39"/>
  <c r="BA35" i="39"/>
  <c r="AZ35" i="39"/>
  <c r="AY35" i="39"/>
  <c r="AX35" i="39"/>
  <c r="AW35" i="39"/>
  <c r="AV35" i="39"/>
  <c r="AU35" i="39"/>
  <c r="AT35" i="39"/>
  <c r="AS35" i="39"/>
  <c r="AR35" i="39"/>
  <c r="AQ35" i="39"/>
  <c r="AP35" i="39"/>
  <c r="AO35" i="39"/>
  <c r="AN35" i="39"/>
  <c r="AM35" i="39"/>
  <c r="AL35" i="39"/>
  <c r="AK35" i="39"/>
  <c r="AJ35" i="39"/>
  <c r="AI35" i="39"/>
  <c r="AH35" i="39"/>
  <c r="AG35" i="39"/>
  <c r="AF35" i="39"/>
  <c r="AE35" i="39"/>
  <c r="AD35" i="39"/>
  <c r="AC35" i="39"/>
  <c r="AB35" i="39"/>
  <c r="AA35" i="39"/>
  <c r="Z35" i="39"/>
  <c r="Y35" i="39"/>
  <c r="X35" i="39"/>
  <c r="V34" i="39"/>
  <c r="F34" i="39"/>
  <c r="E34" i="39"/>
  <c r="V33" i="39"/>
  <c r="F33" i="39"/>
  <c r="E33" i="39"/>
  <c r="V32" i="39"/>
  <c r="F32" i="39"/>
  <c r="E32" i="39"/>
  <c r="V29" i="39"/>
  <c r="F29" i="39"/>
  <c r="E29" i="39"/>
  <c r="E83" i="4"/>
  <c r="F83" i="4"/>
  <c r="G83" i="4"/>
  <c r="H83" i="4"/>
  <c r="I83" i="4"/>
  <c r="J83" i="4"/>
  <c r="V83" i="39"/>
  <c r="X83" i="39"/>
  <c r="X156" i="39" s="1"/>
  <c r="Y83" i="39"/>
  <c r="Z83" i="39"/>
  <c r="Z156" i="39"/>
  <c r="D181" i="39"/>
  <c r="D180" i="39"/>
  <c r="D179" i="39" s="1"/>
  <c r="D173" i="39"/>
  <c r="D172" i="39"/>
  <c r="E168" i="39"/>
  <c r="D168" i="39"/>
  <c r="D165" i="39"/>
  <c r="D162" i="39"/>
  <c r="CN156" i="39"/>
  <c r="CM156" i="39"/>
  <c r="CL156" i="39"/>
  <c r="CK156" i="39"/>
  <c r="CJ156" i="39"/>
  <c r="CI156" i="39"/>
  <c r="CH156" i="39"/>
  <c r="CG156" i="39"/>
  <c r="CF156" i="39"/>
  <c r="CE156" i="39"/>
  <c r="CD156" i="39"/>
  <c r="CC156" i="39"/>
  <c r="CB156" i="39"/>
  <c r="CA156" i="39"/>
  <c r="BZ156" i="39"/>
  <c r="BY156" i="39"/>
  <c r="BX156" i="39"/>
  <c r="BW156" i="39"/>
  <c r="BV156" i="39"/>
  <c r="BU156" i="39"/>
  <c r="BT156" i="39"/>
  <c r="BS156" i="39"/>
  <c r="BR156" i="39"/>
  <c r="BQ156" i="39"/>
  <c r="BP156" i="39"/>
  <c r="BO156" i="39"/>
  <c r="BN156" i="39"/>
  <c r="BM156" i="39"/>
  <c r="BL156" i="39"/>
  <c r="BK156" i="39"/>
  <c r="BJ156" i="39"/>
  <c r="BI156" i="39"/>
  <c r="BH156" i="39"/>
  <c r="BG156" i="39"/>
  <c r="BF156" i="39"/>
  <c r="BE156" i="39"/>
  <c r="BD156" i="39"/>
  <c r="BC156" i="39"/>
  <c r="BB156" i="39"/>
  <c r="BA156" i="39"/>
  <c r="AZ156" i="39"/>
  <c r="AY156" i="39"/>
  <c r="AX156" i="39"/>
  <c r="AW156" i="39"/>
  <c r="AV156" i="39"/>
  <c r="AU156" i="39"/>
  <c r="AT156" i="39"/>
  <c r="AS156" i="39"/>
  <c r="AR156" i="39"/>
  <c r="AQ156" i="39"/>
  <c r="AP156" i="39"/>
  <c r="AO156" i="39"/>
  <c r="AN156" i="39"/>
  <c r="AM156" i="39"/>
  <c r="AL156" i="39"/>
  <c r="AK156" i="39"/>
  <c r="AJ156" i="39"/>
  <c r="AI156" i="39"/>
  <c r="AH156" i="39"/>
  <c r="AG156" i="39"/>
  <c r="AF156" i="39"/>
  <c r="AE156" i="39"/>
  <c r="AD156" i="39"/>
  <c r="AC156" i="39"/>
  <c r="AB156" i="39"/>
  <c r="AA156" i="39"/>
  <c r="V151" i="39"/>
  <c r="U151" i="39"/>
  <c r="T151" i="39"/>
  <c r="S151" i="39"/>
  <c r="R151" i="39"/>
  <c r="Q151" i="39"/>
  <c r="P151" i="39"/>
  <c r="O151" i="39"/>
  <c r="N151" i="39"/>
  <c r="M151" i="39"/>
  <c r="L151" i="39"/>
  <c r="K151" i="39"/>
  <c r="J151" i="39"/>
  <c r="I151" i="39"/>
  <c r="H151" i="39"/>
  <c r="G151" i="39"/>
  <c r="F151" i="39"/>
  <c r="E151" i="39"/>
  <c r="D151" i="39"/>
  <c r="D150" i="39"/>
  <c r="D152" i="39" s="1"/>
  <c r="E149" i="39" s="1"/>
  <c r="D135" i="39"/>
  <c r="V134" i="39"/>
  <c r="U134" i="39"/>
  <c r="T134" i="39"/>
  <c r="S134" i="39"/>
  <c r="R134" i="39"/>
  <c r="Q134" i="39"/>
  <c r="P134" i="39"/>
  <c r="O134" i="39"/>
  <c r="N134" i="39"/>
  <c r="M134" i="39"/>
  <c r="L134" i="39"/>
  <c r="K134" i="39"/>
  <c r="J134" i="39"/>
  <c r="I134" i="39"/>
  <c r="H134" i="39"/>
  <c r="G134" i="39"/>
  <c r="F134" i="39"/>
  <c r="E134" i="39"/>
  <c r="D134" i="39"/>
  <c r="D115" i="39"/>
  <c r="D111" i="40" s="1"/>
  <c r="CO107" i="39"/>
  <c r="D91" i="39"/>
  <c r="D84" i="39"/>
  <c r="V156" i="39"/>
  <c r="H156" i="39"/>
  <c r="G156" i="39"/>
  <c r="F156" i="39"/>
  <c r="D80" i="39"/>
  <c r="D79" i="39"/>
  <c r="T75" i="39"/>
  <c r="S75" i="39"/>
  <c r="R75" i="39"/>
  <c r="Q75" i="39"/>
  <c r="P75" i="39"/>
  <c r="O75" i="39"/>
  <c r="N75" i="39"/>
  <c r="M75" i="39"/>
  <c r="L75" i="39"/>
  <c r="K75" i="39"/>
  <c r="J75" i="39"/>
  <c r="I75" i="39"/>
  <c r="H75" i="39"/>
  <c r="G75" i="39"/>
  <c r="E74" i="39"/>
  <c r="F69" i="39"/>
  <c r="G69" i="39" s="1"/>
  <c r="H69" i="39" s="1"/>
  <c r="I69" i="39" s="1"/>
  <c r="J69" i="39" s="1"/>
  <c r="K69" i="39" s="1"/>
  <c r="L69" i="39" s="1"/>
  <c r="M69" i="39" s="1"/>
  <c r="N69" i="39" s="1"/>
  <c r="O69" i="39" s="1"/>
  <c r="P69" i="39" s="1"/>
  <c r="Q69" i="39" s="1"/>
  <c r="R69" i="39" s="1"/>
  <c r="S69" i="39" s="1"/>
  <c r="T69" i="39" s="1"/>
  <c r="U69" i="39" s="1"/>
  <c r="V69" i="39" s="1"/>
  <c r="X69" i="39" s="1"/>
  <c r="Y69" i="39" s="1"/>
  <c r="Z69" i="39" s="1"/>
  <c r="AA69" i="39" s="1"/>
  <c r="AB69" i="39" s="1"/>
  <c r="AC69" i="39" s="1"/>
  <c r="AD69" i="39" s="1"/>
  <c r="AE69" i="39" s="1"/>
  <c r="AF69" i="39" s="1"/>
  <c r="AG69" i="39" s="1"/>
  <c r="AH69" i="39" s="1"/>
  <c r="AI69" i="39" s="1"/>
  <c r="AJ69" i="39" s="1"/>
  <c r="AK69" i="39" s="1"/>
  <c r="AL69" i="39" s="1"/>
  <c r="AM69" i="39" s="1"/>
  <c r="AN69" i="39" s="1"/>
  <c r="AO69" i="39" s="1"/>
  <c r="AP69" i="39" s="1"/>
  <c r="AQ69" i="39" s="1"/>
  <c r="AR69" i="39" s="1"/>
  <c r="AS69" i="39" s="1"/>
  <c r="AT69" i="39" s="1"/>
  <c r="AU69" i="39" s="1"/>
  <c r="AV69" i="39" s="1"/>
  <c r="AW69" i="39" s="1"/>
  <c r="AX69" i="39" s="1"/>
  <c r="AY69" i="39" s="1"/>
  <c r="AZ69" i="39" s="1"/>
  <c r="BA69" i="39" s="1"/>
  <c r="BB69" i="39" s="1"/>
  <c r="BC69" i="39" s="1"/>
  <c r="BD69" i="39" s="1"/>
  <c r="BE69" i="39" s="1"/>
  <c r="BF69" i="39" s="1"/>
  <c r="BG69" i="39" s="1"/>
  <c r="BH69" i="39" s="1"/>
  <c r="BI69" i="39" s="1"/>
  <c r="BJ69" i="39" s="1"/>
  <c r="BK69" i="39" s="1"/>
  <c r="BL69" i="39" s="1"/>
  <c r="BM69" i="39" s="1"/>
  <c r="BN69" i="39" s="1"/>
  <c r="BO69" i="39" s="1"/>
  <c r="BP69" i="39" s="1"/>
  <c r="BQ69" i="39" s="1"/>
  <c r="BR69" i="39" s="1"/>
  <c r="BS69" i="39" s="1"/>
  <c r="BT69" i="39" s="1"/>
  <c r="BU69" i="39" s="1"/>
  <c r="BV69" i="39" s="1"/>
  <c r="BW69" i="39" s="1"/>
  <c r="BX69" i="39" s="1"/>
  <c r="BY69" i="39" s="1"/>
  <c r="BZ69" i="39" s="1"/>
  <c r="CA69" i="39" s="1"/>
  <c r="CB69" i="39" s="1"/>
  <c r="CC69" i="39" s="1"/>
  <c r="CD69" i="39" s="1"/>
  <c r="CE69" i="39" s="1"/>
  <c r="CF69" i="39" s="1"/>
  <c r="CG69" i="39" s="1"/>
  <c r="CH69" i="39" s="1"/>
  <c r="CI69" i="39" s="1"/>
  <c r="CJ69" i="39" s="1"/>
  <c r="CK69" i="39" s="1"/>
  <c r="CL69" i="39" s="1"/>
  <c r="CM69" i="39" s="1"/>
  <c r="CN69" i="39" s="1"/>
  <c r="E69" i="39"/>
  <c r="D69" i="39"/>
  <c r="CO65" i="39"/>
  <c r="CO63" i="39"/>
  <c r="D63" i="39"/>
  <c r="S59" i="39"/>
  <c r="R59" i="39"/>
  <c r="O59" i="39"/>
  <c r="N59" i="39"/>
  <c r="K59" i="39"/>
  <c r="J59" i="39"/>
  <c r="H59" i="39"/>
  <c r="G59" i="39"/>
  <c r="D59" i="39"/>
  <c r="X58" i="39"/>
  <c r="Y58" i="39" s="1"/>
  <c r="Z58" i="39" s="1"/>
  <c r="AA58" i="39" s="1"/>
  <c r="AB58" i="39" s="1"/>
  <c r="AC58" i="39" s="1"/>
  <c r="AD58" i="39" s="1"/>
  <c r="AE58" i="39" s="1"/>
  <c r="AF58" i="39" s="1"/>
  <c r="AG58" i="39" s="1"/>
  <c r="AH58" i="39" s="1"/>
  <c r="AI58" i="39" s="1"/>
  <c r="AJ58" i="39" s="1"/>
  <c r="AK58" i="39" s="1"/>
  <c r="AL58" i="39" s="1"/>
  <c r="AM58" i="39" s="1"/>
  <c r="AN58" i="39" s="1"/>
  <c r="AO58" i="39" s="1"/>
  <c r="AP58" i="39" s="1"/>
  <c r="AQ58" i="39" s="1"/>
  <c r="AR58" i="39" s="1"/>
  <c r="AS58" i="39" s="1"/>
  <c r="AT58" i="39" s="1"/>
  <c r="AU58" i="39" s="1"/>
  <c r="AV58" i="39" s="1"/>
  <c r="AW58" i="39" s="1"/>
  <c r="AX58" i="39" s="1"/>
  <c r="AY58" i="39" s="1"/>
  <c r="AZ58" i="39" s="1"/>
  <c r="BA58" i="39" s="1"/>
  <c r="BB58" i="39" s="1"/>
  <c r="BC58" i="39" s="1"/>
  <c r="BD58" i="39" s="1"/>
  <c r="BE58" i="39" s="1"/>
  <c r="BF58" i="39" s="1"/>
  <c r="BG58" i="39" s="1"/>
  <c r="BH58" i="39" s="1"/>
  <c r="BI58" i="39" s="1"/>
  <c r="BJ58" i="39" s="1"/>
  <c r="BK58" i="39" s="1"/>
  <c r="BL58" i="39" s="1"/>
  <c r="BM58" i="39" s="1"/>
  <c r="BN58" i="39" s="1"/>
  <c r="BO58" i="39" s="1"/>
  <c r="BP58" i="39" s="1"/>
  <c r="BQ58" i="39" s="1"/>
  <c r="BR58" i="39" s="1"/>
  <c r="BS58" i="39" s="1"/>
  <c r="BT58" i="39" s="1"/>
  <c r="BU58" i="39" s="1"/>
  <c r="BV58" i="39" s="1"/>
  <c r="BW58" i="39" s="1"/>
  <c r="BX58" i="39" s="1"/>
  <c r="BY58" i="39" s="1"/>
  <c r="BZ58" i="39" s="1"/>
  <c r="CA58" i="39" s="1"/>
  <c r="CB58" i="39" s="1"/>
  <c r="CC58" i="39" s="1"/>
  <c r="CD58" i="39" s="1"/>
  <c r="CE58" i="39" s="1"/>
  <c r="CF58" i="39" s="1"/>
  <c r="CG58" i="39" s="1"/>
  <c r="CH58" i="39" s="1"/>
  <c r="CI58" i="39" s="1"/>
  <c r="CJ58" i="39" s="1"/>
  <c r="CK58" i="39" s="1"/>
  <c r="CL58" i="39" s="1"/>
  <c r="CM58" i="39" s="1"/>
  <c r="CN58" i="39" s="1"/>
  <c r="CO58" i="39" s="1"/>
  <c r="C45" i="39"/>
  <c r="C37" i="39"/>
  <c r="V31" i="39"/>
  <c r="F31" i="39"/>
  <c r="E31" i="39"/>
  <c r="E30" i="39"/>
  <c r="V27" i="39"/>
  <c r="U27" i="39"/>
  <c r="T27" i="39"/>
  <c r="S27" i="39"/>
  <c r="R27" i="39"/>
  <c r="Q27" i="39"/>
  <c r="P27" i="39"/>
  <c r="O27" i="39"/>
  <c r="N27" i="39"/>
  <c r="M27" i="39"/>
  <c r="L27" i="39"/>
  <c r="K27" i="39"/>
  <c r="J27" i="39"/>
  <c r="I27" i="39"/>
  <c r="H27" i="39"/>
  <c r="G27" i="39"/>
  <c r="F27" i="39"/>
  <c r="E27" i="39"/>
  <c r="D27" i="39"/>
  <c r="C26" i="39"/>
  <c r="C25" i="39"/>
  <c r="B20" i="39"/>
  <c r="B19" i="39"/>
  <c r="D18" i="39"/>
  <c r="CO14" i="39"/>
  <c r="CN14" i="39"/>
  <c r="CM14" i="39"/>
  <c r="CL14" i="39"/>
  <c r="CK14" i="39"/>
  <c r="CJ14" i="39"/>
  <c r="CI14" i="39"/>
  <c r="CH14" i="39"/>
  <c r="CG14" i="39"/>
  <c r="CF14" i="39"/>
  <c r="CE14" i="39"/>
  <c r="CD14" i="39"/>
  <c r="CC14" i="39"/>
  <c r="CB14" i="39"/>
  <c r="CA14" i="39"/>
  <c r="BZ14" i="39"/>
  <c r="BY14" i="39"/>
  <c r="BX14" i="39"/>
  <c r="BW14" i="39"/>
  <c r="BV14" i="39"/>
  <c r="BU14" i="39"/>
  <c r="BT14" i="39"/>
  <c r="BS14" i="39"/>
  <c r="BR14" i="39"/>
  <c r="BQ14" i="39"/>
  <c r="BP14" i="39"/>
  <c r="BO14" i="39"/>
  <c r="BN14" i="39"/>
  <c r="BM14" i="39"/>
  <c r="BL14" i="39"/>
  <c r="BK14" i="39"/>
  <c r="BJ14" i="39"/>
  <c r="BI14" i="39"/>
  <c r="BH14" i="39"/>
  <c r="BG14" i="39"/>
  <c r="BF14" i="39"/>
  <c r="BE14" i="39"/>
  <c r="BD14" i="39"/>
  <c r="BC14" i="39"/>
  <c r="BB14" i="39"/>
  <c r="BA14" i="39"/>
  <c r="AZ14" i="39"/>
  <c r="AY14" i="39"/>
  <c r="AX14" i="39"/>
  <c r="AW14" i="39"/>
  <c r="AV14" i="39"/>
  <c r="AU14" i="39"/>
  <c r="AT14" i="39"/>
  <c r="AS14" i="39"/>
  <c r="AR14" i="39"/>
  <c r="AQ14" i="39"/>
  <c r="AP14" i="39"/>
  <c r="AO14" i="39"/>
  <c r="AN14" i="39"/>
  <c r="AM14" i="39"/>
  <c r="AL14" i="39"/>
  <c r="AK14" i="39"/>
  <c r="AJ14" i="39"/>
  <c r="AI14" i="39"/>
  <c r="AH14" i="39"/>
  <c r="AG14" i="39"/>
  <c r="AF14" i="39"/>
  <c r="AE14" i="39"/>
  <c r="AD14" i="39"/>
  <c r="AC14" i="39"/>
  <c r="AC54" i="39" s="1"/>
  <c r="AG54" i="39" s="1"/>
  <c r="AK54" i="39" s="1"/>
  <c r="AO54" i="39" s="1"/>
  <c r="AS54" i="39" s="1"/>
  <c r="AW54" i="39" s="1"/>
  <c r="BA54" i="39" s="1"/>
  <c r="BE54" i="39" s="1"/>
  <c r="BI54" i="39" s="1"/>
  <c r="BM54" i="39" s="1"/>
  <c r="BQ54" i="39" s="1"/>
  <c r="BU54" i="39" s="1"/>
  <c r="BY54" i="39" s="1"/>
  <c r="CC54" i="39" s="1"/>
  <c r="CG54" i="39" s="1"/>
  <c r="CK54" i="39" s="1"/>
  <c r="CO54" i="39" s="1"/>
  <c r="AB14" i="39"/>
  <c r="AB54" i="39" s="1"/>
  <c r="AF54" i="39" s="1"/>
  <c r="AJ54" i="39" s="1"/>
  <c r="AN54" i="39" s="1"/>
  <c r="AR54" i="39" s="1"/>
  <c r="AV54" i="39" s="1"/>
  <c r="AZ54" i="39" s="1"/>
  <c r="BD54" i="39" s="1"/>
  <c r="BH54" i="39" s="1"/>
  <c r="BL54" i="39" s="1"/>
  <c r="BP54" i="39" s="1"/>
  <c r="BT54" i="39" s="1"/>
  <c r="BX54" i="39" s="1"/>
  <c r="CB54" i="39" s="1"/>
  <c r="CF54" i="39" s="1"/>
  <c r="CJ54" i="39" s="1"/>
  <c r="CN54" i="39" s="1"/>
  <c r="AA14" i="39"/>
  <c r="AA54" i="39" s="1"/>
  <c r="AE54" i="39" s="1"/>
  <c r="AI54" i="39" s="1"/>
  <c r="AM54" i="39" s="1"/>
  <c r="AQ54" i="39" s="1"/>
  <c r="AU54" i="39" s="1"/>
  <c r="AY54" i="39" s="1"/>
  <c r="BC54" i="39" s="1"/>
  <c r="BG54" i="39" s="1"/>
  <c r="BK54" i="39" s="1"/>
  <c r="BO54" i="39" s="1"/>
  <c r="BS54" i="39" s="1"/>
  <c r="BW54" i="39" s="1"/>
  <c r="CA54" i="39" s="1"/>
  <c r="CE54" i="39" s="1"/>
  <c r="CI54" i="39" s="1"/>
  <c r="CM54" i="39" s="1"/>
  <c r="Z14" i="39"/>
  <c r="E13" i="39"/>
  <c r="E18" i="39"/>
  <c r="F18" i="39" s="1"/>
  <c r="G18" i="39" s="1"/>
  <c r="H18" i="39" s="1"/>
  <c r="I18" i="39" s="1"/>
  <c r="J18" i="39" s="1"/>
  <c r="K18" i="39" s="1"/>
  <c r="L18" i="39" s="1"/>
  <c r="M18" i="39" s="1"/>
  <c r="N18" i="39" s="1"/>
  <c r="O18" i="39" s="1"/>
  <c r="P18" i="39" s="1"/>
  <c r="Q18" i="39" s="1"/>
  <c r="R18" i="39" s="1"/>
  <c r="S18" i="39" s="1"/>
  <c r="T18" i="39" s="1"/>
  <c r="U18" i="39" s="1"/>
  <c r="V18" i="39" s="1"/>
  <c r="Y10" i="39"/>
  <c r="AC10" i="39" s="1"/>
  <c r="AG10" i="39" s="1"/>
  <c r="AK10" i="39" s="1"/>
  <c r="AO10" i="39" s="1"/>
  <c r="AS10" i="39" s="1"/>
  <c r="AW10" i="39" s="1"/>
  <c r="BA10" i="39" s="1"/>
  <c r="BE10" i="39" s="1"/>
  <c r="BI10" i="39" s="1"/>
  <c r="BM10" i="39" s="1"/>
  <c r="BQ10" i="39" s="1"/>
  <c r="BU10" i="39" s="1"/>
  <c r="BY10" i="39" s="1"/>
  <c r="CC10" i="39" s="1"/>
  <c r="CG10" i="39" s="1"/>
  <c r="CK10" i="39" s="1"/>
  <c r="L10" i="39"/>
  <c r="P10" i="39" s="1"/>
  <c r="T10" i="39" s="1"/>
  <c r="X10" i="39" s="1"/>
  <c r="AB10" i="39" s="1"/>
  <c r="AF10" i="39" s="1"/>
  <c r="AJ10" i="39" s="1"/>
  <c r="AN10" i="39" s="1"/>
  <c r="AR10" i="39" s="1"/>
  <c r="AV10" i="39" s="1"/>
  <c r="AZ10" i="39" s="1"/>
  <c r="BD10" i="39" s="1"/>
  <c r="BH10" i="39" s="1"/>
  <c r="BL10" i="39" s="1"/>
  <c r="BP10" i="39" s="1"/>
  <c r="BT10" i="39" s="1"/>
  <c r="BX10" i="39" s="1"/>
  <c r="CB10" i="39" s="1"/>
  <c r="CF10" i="39" s="1"/>
  <c r="CJ10" i="39" s="1"/>
  <c r="CN10" i="39" s="1"/>
  <c r="K10" i="39"/>
  <c r="O10" i="39" s="1"/>
  <c r="S10" i="39" s="1"/>
  <c r="AA10" i="39" s="1"/>
  <c r="AE10" i="39" s="1"/>
  <c r="AI10" i="39" s="1"/>
  <c r="AM10" i="39" s="1"/>
  <c r="AQ10" i="39" s="1"/>
  <c r="AU10" i="39" s="1"/>
  <c r="AY10" i="39" s="1"/>
  <c r="BC10" i="39" s="1"/>
  <c r="BG10" i="39" s="1"/>
  <c r="BK10" i="39" s="1"/>
  <c r="BO10" i="39" s="1"/>
  <c r="BS10" i="39" s="1"/>
  <c r="BW10" i="39" s="1"/>
  <c r="CA10" i="39" s="1"/>
  <c r="CE10" i="39" s="1"/>
  <c r="CI10" i="39" s="1"/>
  <c r="CM10" i="39" s="1"/>
  <c r="J10" i="39"/>
  <c r="N10" i="39" s="1"/>
  <c r="R10" i="39" s="1"/>
  <c r="V10" i="39" s="1"/>
  <c r="Z10" i="39" s="1"/>
  <c r="AD10" i="39" s="1"/>
  <c r="AH10" i="39" s="1"/>
  <c r="AL10" i="39" s="1"/>
  <c r="AP10" i="39" s="1"/>
  <c r="AT10" i="39" s="1"/>
  <c r="AX10" i="39" s="1"/>
  <c r="BB10" i="39" s="1"/>
  <c r="BF10" i="39" s="1"/>
  <c r="BJ10" i="39" s="1"/>
  <c r="BN10" i="39" s="1"/>
  <c r="BR10" i="39" s="1"/>
  <c r="BV10" i="39" s="1"/>
  <c r="BZ10" i="39" s="1"/>
  <c r="CD10" i="39" s="1"/>
  <c r="CH10" i="39" s="1"/>
  <c r="CL10" i="39" s="1"/>
  <c r="I10" i="39"/>
  <c r="M10" i="39" s="1"/>
  <c r="Q10" i="39" s="1"/>
  <c r="U10" i="39" s="1"/>
  <c r="G9" i="39"/>
  <c r="E9" i="39"/>
  <c r="F9" i="39" s="1"/>
  <c r="E8" i="39"/>
  <c r="F7" i="39"/>
  <c r="G7" i="39" s="1"/>
  <c r="G6" i="39"/>
  <c r="G168" i="39" s="1"/>
  <c r="F6" i="39"/>
  <c r="F168" i="39" s="1"/>
  <c r="AA103" i="32"/>
  <c r="BW14" i="4"/>
  <c r="BX14" i="4"/>
  <c r="BY14" i="4"/>
  <c r="BV14" i="4"/>
  <c r="BS14" i="4"/>
  <c r="BT14" i="4"/>
  <c r="BU14" i="4"/>
  <c r="BR14" i="4"/>
  <c r="BO14" i="4"/>
  <c r="BP14" i="4"/>
  <c r="BQ14" i="4"/>
  <c r="BN14" i="4"/>
  <c r="BK14" i="4"/>
  <c r="BL14" i="4"/>
  <c r="BM14" i="4"/>
  <c r="BJ14" i="4"/>
  <c r="BG14" i="4"/>
  <c r="BH14" i="4"/>
  <c r="BI14" i="4"/>
  <c r="BF14" i="4"/>
  <c r="BC14" i="4"/>
  <c r="BD14" i="4"/>
  <c r="BE14" i="4"/>
  <c r="BB14" i="4"/>
  <c r="AY14" i="4"/>
  <c r="AZ14" i="4"/>
  <c r="BA14" i="4"/>
  <c r="AX14" i="4"/>
  <c r="AU14" i="4"/>
  <c r="AV14" i="4"/>
  <c r="AW14" i="4"/>
  <c r="AT14" i="4"/>
  <c r="AQ14" i="4"/>
  <c r="AR14" i="4"/>
  <c r="AS14" i="4"/>
  <c r="AP14" i="4"/>
  <c r="AM14" i="4"/>
  <c r="AN14" i="4"/>
  <c r="AO14" i="4"/>
  <c r="AL14" i="4"/>
  <c r="AI14" i="4"/>
  <c r="AJ14" i="4"/>
  <c r="AK14" i="4"/>
  <c r="AH14" i="4"/>
  <c r="AE14" i="4"/>
  <c r="AF14" i="4"/>
  <c r="AG14" i="4"/>
  <c r="AD14" i="4"/>
  <c r="AA14" i="4"/>
  <c r="AB14" i="4"/>
  <c r="AC14" i="4"/>
  <c r="AC49" i="4" s="1"/>
  <c r="AG49" i="4" s="1"/>
  <c r="Z14" i="4"/>
  <c r="W58" i="4"/>
  <c r="X58" i="4" s="1"/>
  <c r="Y58" i="4" s="1"/>
  <c r="Z58" i="4" s="1"/>
  <c r="AA58" i="4" s="1"/>
  <c r="AB58" i="4" s="1"/>
  <c r="AC58" i="4" s="1"/>
  <c r="AD58" i="4" s="1"/>
  <c r="AE58" i="4" s="1"/>
  <c r="AF58" i="4" s="1"/>
  <c r="AG58" i="4" s="1"/>
  <c r="AH58" i="4" s="1"/>
  <c r="AI58" i="4" s="1"/>
  <c r="AJ58" i="4" s="1"/>
  <c r="AK58" i="4" s="1"/>
  <c r="AL58" i="4" s="1"/>
  <c r="AM58" i="4" s="1"/>
  <c r="AN58" i="4" s="1"/>
  <c r="AO58" i="4" s="1"/>
  <c r="AP58" i="4" s="1"/>
  <c r="AQ58" i="4" s="1"/>
  <c r="AR58" i="4" s="1"/>
  <c r="AS58" i="4" s="1"/>
  <c r="AT58" i="4" s="1"/>
  <c r="AU58" i="4" s="1"/>
  <c r="AV58" i="4" s="1"/>
  <c r="AW58" i="4" s="1"/>
  <c r="AX58" i="4" s="1"/>
  <c r="AY58" i="4" s="1"/>
  <c r="AZ58" i="4" s="1"/>
  <c r="BA58" i="4" s="1"/>
  <c r="BB58" i="4" s="1"/>
  <c r="BC58" i="4" s="1"/>
  <c r="BD58" i="4" s="1"/>
  <c r="BE58" i="4" s="1"/>
  <c r="BF58" i="4" s="1"/>
  <c r="BG58" i="4" s="1"/>
  <c r="BH58" i="4" s="1"/>
  <c r="BI58" i="4" s="1"/>
  <c r="BJ58" i="4" s="1"/>
  <c r="BK58" i="4" s="1"/>
  <c r="BL58" i="4" s="1"/>
  <c r="BM58" i="4" s="1"/>
  <c r="BN58" i="4" s="1"/>
  <c r="BO58" i="4" s="1"/>
  <c r="BP58" i="4" s="1"/>
  <c r="BQ58" i="4" s="1"/>
  <c r="BR58" i="4" s="1"/>
  <c r="BS58" i="4" s="1"/>
  <c r="BT58" i="4" s="1"/>
  <c r="BU58" i="4" s="1"/>
  <c r="BV58" i="4" s="1"/>
  <c r="BW58" i="4" s="1"/>
  <c r="BX58" i="4" s="1"/>
  <c r="BY58" i="4" s="1"/>
  <c r="BZ58" i="4" s="1"/>
  <c r="CA58" i="4" s="1"/>
  <c r="CB58" i="4" s="1"/>
  <c r="CC58" i="4" s="1"/>
  <c r="CD58" i="4" s="1"/>
  <c r="CE58" i="4" s="1"/>
  <c r="CF58" i="4" s="1"/>
  <c r="CG58" i="4" s="1"/>
  <c r="CH58" i="4" s="1"/>
  <c r="CI58" i="4" s="1"/>
  <c r="CJ58" i="4" s="1"/>
  <c r="CK58" i="4" s="1"/>
  <c r="CL58" i="4" s="1"/>
  <c r="CM58" i="4" s="1"/>
  <c r="CN58" i="4" s="1"/>
  <c r="CO58" i="4" s="1"/>
  <c r="W54" i="4"/>
  <c r="X54" i="4"/>
  <c r="Y54" i="4"/>
  <c r="Z54" i="4"/>
  <c r="Y50" i="4"/>
  <c r="AC50" i="4" s="1"/>
  <c r="Z50" i="4"/>
  <c r="W49" i="4"/>
  <c r="X49" i="4"/>
  <c r="Y49" i="4"/>
  <c r="Z49" i="4"/>
  <c r="AA49" i="4"/>
  <c r="AE49" i="4" s="1"/>
  <c r="AI49" i="4" s="1"/>
  <c r="AM49" i="4" s="1"/>
  <c r="AQ49" i="4" s="1"/>
  <c r="AU49" i="4" s="1"/>
  <c r="AY49" i="4" s="1"/>
  <c r="BC49" i="4" s="1"/>
  <c r="BG49" i="4" s="1"/>
  <c r="BK49" i="4" s="1"/>
  <c r="BO49" i="4" s="1"/>
  <c r="BS49" i="4" s="1"/>
  <c r="BW49" i="4" s="1"/>
  <c r="AB48" i="4"/>
  <c r="AF48" i="4" s="1"/>
  <c r="AJ48" i="4" s="1"/>
  <c r="AN48" i="4" s="1"/>
  <c r="AR48" i="4" s="1"/>
  <c r="AV48" i="4" s="1"/>
  <c r="AZ48" i="4" s="1"/>
  <c r="BD48" i="4" s="1"/>
  <c r="BH48" i="4" s="1"/>
  <c r="BL48" i="4" s="1"/>
  <c r="BP48" i="4" s="1"/>
  <c r="BT48" i="4" s="1"/>
  <c r="BX48" i="4" s="1"/>
  <c r="AC47" i="4"/>
  <c r="Y47" i="4"/>
  <c r="Z47" i="4"/>
  <c r="W48" i="4"/>
  <c r="X48" i="4"/>
  <c r="Y48" i="4"/>
  <c r="AC48" i="4" s="1"/>
  <c r="Z48" i="4"/>
  <c r="CO107" i="4"/>
  <c r="L13" i="41" l="1"/>
  <c r="K5" i="41"/>
  <c r="D45" i="41"/>
  <c r="C8" i="41"/>
  <c r="K13" i="41"/>
  <c r="I5" i="41"/>
  <c r="I25" i="41"/>
  <c r="K25" i="41"/>
  <c r="K21" i="41"/>
  <c r="L21" i="41"/>
  <c r="L17" i="41"/>
  <c r="L9" i="41"/>
  <c r="I9" i="41"/>
  <c r="L25" i="41"/>
  <c r="M30" i="41"/>
  <c r="K17" i="41"/>
  <c r="J30" i="41"/>
  <c r="L5" i="41"/>
  <c r="G30" i="41"/>
  <c r="E30" i="41"/>
  <c r="C15" i="41"/>
  <c r="C28" i="41"/>
  <c r="C25" i="41" s="1"/>
  <c r="C69" i="41"/>
  <c r="C6" i="41"/>
  <c r="B8" i="41"/>
  <c r="C7" i="41"/>
  <c r="B7" i="41"/>
  <c r="C17" i="41"/>
  <c r="C11" i="41"/>
  <c r="B99" i="41"/>
  <c r="C73" i="41"/>
  <c r="B104" i="41"/>
  <c r="C14" i="41"/>
  <c r="C21" i="41"/>
  <c r="B10" i="41"/>
  <c r="B14" i="41" s="1"/>
  <c r="B96" i="41"/>
  <c r="C16" i="41"/>
  <c r="C70" i="41"/>
  <c r="C12" i="41"/>
  <c r="C67" i="41"/>
  <c r="C71" i="41"/>
  <c r="C68" i="41"/>
  <c r="AB49" i="4"/>
  <c r="AF49" i="4" s="1"/>
  <c r="AJ49" i="4" s="1"/>
  <c r="AN49" i="4" s="1"/>
  <c r="AR49" i="4" s="1"/>
  <c r="AV49" i="4" s="1"/>
  <c r="AZ49" i="4" s="1"/>
  <c r="BD49" i="4" s="1"/>
  <c r="BH49" i="4" s="1"/>
  <c r="BL49" i="4" s="1"/>
  <c r="BP49" i="4" s="1"/>
  <c r="BT49" i="4" s="1"/>
  <c r="BX49" i="4" s="1"/>
  <c r="Z49" i="39"/>
  <c r="AD48" i="4"/>
  <c r="AH48" i="4" s="1"/>
  <c r="AL48" i="4" s="1"/>
  <c r="AP48" i="4" s="1"/>
  <c r="AT48" i="4" s="1"/>
  <c r="AX48" i="4" s="1"/>
  <c r="Z50" i="39"/>
  <c r="AD50" i="39" s="1"/>
  <c r="AH50" i="39" s="1"/>
  <c r="AL50" i="39" s="1"/>
  <c r="AP50" i="39" s="1"/>
  <c r="AT50" i="39" s="1"/>
  <c r="AX50" i="39" s="1"/>
  <c r="BB50" i="39" s="1"/>
  <c r="BF50" i="39" s="1"/>
  <c r="BJ50" i="39" s="1"/>
  <c r="BN50" i="39" s="1"/>
  <c r="BR50" i="39" s="1"/>
  <c r="BV50" i="39" s="1"/>
  <c r="BZ50" i="39" s="1"/>
  <c r="CD50" i="39" s="1"/>
  <c r="CH50" i="39" s="1"/>
  <c r="CL50" i="39" s="1"/>
  <c r="AC54" i="4"/>
  <c r="AG54" i="4" s="1"/>
  <c r="AK54" i="4" s="1"/>
  <c r="AO54" i="4" s="1"/>
  <c r="AS54" i="4" s="1"/>
  <c r="AW54" i="4" s="1"/>
  <c r="BA54" i="4" s="1"/>
  <c r="BE54" i="4" s="1"/>
  <c r="BI54" i="4" s="1"/>
  <c r="BM54" i="4" s="1"/>
  <c r="BQ54" i="4" s="1"/>
  <c r="BU54" i="4" s="1"/>
  <c r="BY54" i="4" s="1"/>
  <c r="AB54" i="4"/>
  <c r="AF54" i="4" s="1"/>
  <c r="AJ54" i="4" s="1"/>
  <c r="AN54" i="4" s="1"/>
  <c r="AR54" i="4" s="1"/>
  <c r="AV54" i="4" s="1"/>
  <c r="AZ54" i="4" s="1"/>
  <c r="BD54" i="4" s="1"/>
  <c r="BH54" i="4" s="1"/>
  <c r="BL54" i="4" s="1"/>
  <c r="BP54" i="4" s="1"/>
  <c r="BT54" i="4" s="1"/>
  <c r="BX54" i="4" s="1"/>
  <c r="AA48" i="4"/>
  <c r="AE48" i="4" s="1"/>
  <c r="AI48" i="4" s="1"/>
  <c r="AM48" i="4" s="1"/>
  <c r="AQ48" i="4" s="1"/>
  <c r="AU48" i="4" s="1"/>
  <c r="AY48" i="4" s="1"/>
  <c r="BC48" i="4" s="1"/>
  <c r="BG48" i="4" s="1"/>
  <c r="BK48" i="4" s="1"/>
  <c r="BO48" i="4" s="1"/>
  <c r="BS48" i="4" s="1"/>
  <c r="BW48" i="4" s="1"/>
  <c r="AA54" i="4"/>
  <c r="AE54" i="4" s="1"/>
  <c r="AI54" i="4" s="1"/>
  <c r="AM54" i="4" s="1"/>
  <c r="AQ54" i="4" s="1"/>
  <c r="AU54" i="4" s="1"/>
  <c r="AY54" i="4" s="1"/>
  <c r="BC54" i="4" s="1"/>
  <c r="BG54" i="4" s="1"/>
  <c r="BK54" i="4" s="1"/>
  <c r="BO54" i="4" s="1"/>
  <c r="BS54" i="4" s="1"/>
  <c r="BW54" i="4" s="1"/>
  <c r="AG50" i="4"/>
  <c r="AG48" i="4"/>
  <c r="AK48" i="4" s="1"/>
  <c r="AO48" i="4" s="1"/>
  <c r="AS48" i="4" s="1"/>
  <c r="AW48" i="4" s="1"/>
  <c r="BA48" i="4" s="1"/>
  <c r="BE48" i="4" s="1"/>
  <c r="BI48" i="4" s="1"/>
  <c r="BM48" i="4" s="1"/>
  <c r="BQ48" i="4" s="1"/>
  <c r="BU48" i="4" s="1"/>
  <c r="BY48" i="4" s="1"/>
  <c r="AG47" i="4"/>
  <c r="AK47" i="4" s="1"/>
  <c r="AO47" i="4" s="1"/>
  <c r="AS47" i="4" s="1"/>
  <c r="AW47" i="4" s="1"/>
  <c r="BA47" i="4" s="1"/>
  <c r="BE47" i="4" s="1"/>
  <c r="BI47" i="4" s="1"/>
  <c r="BM47" i="4" s="1"/>
  <c r="BQ47" i="4" s="1"/>
  <c r="BU47" i="4" s="1"/>
  <c r="BY47" i="4" s="1"/>
  <c r="V58" i="4"/>
  <c r="U58" i="4" s="1"/>
  <c r="T58" i="4" s="1"/>
  <c r="S58" i="4" s="1"/>
  <c r="R58" i="4" s="1"/>
  <c r="Q58" i="4" s="1"/>
  <c r="P58" i="4" s="1"/>
  <c r="O58" i="4" s="1"/>
  <c r="N58" i="4" s="1"/>
  <c r="M58" i="4" s="1"/>
  <c r="L58" i="4" s="1"/>
  <c r="K58" i="4" s="1"/>
  <c r="J58" i="4" s="1"/>
  <c r="I58" i="4" s="1"/>
  <c r="H58" i="4" s="1"/>
  <c r="E82" i="40" a="1"/>
  <c r="E82" i="40" s="1"/>
  <c r="E66" i="40" a="1"/>
  <c r="E66" i="40" s="1"/>
  <c r="E43" i="40" a="1"/>
  <c r="E43" i="40" s="1"/>
  <c r="E54" i="40" a="1"/>
  <c r="E54" i="40" s="1"/>
  <c r="F164" i="40"/>
  <c r="G6" i="40"/>
  <c r="E9" i="40"/>
  <c r="E164" i="40"/>
  <c r="E65" i="40"/>
  <c r="F65" i="40" s="1"/>
  <c r="G65" i="40" s="1"/>
  <c r="H65" i="40" s="1"/>
  <c r="I65" i="40" s="1"/>
  <c r="J65" i="40" s="1"/>
  <c r="K65" i="40" s="1"/>
  <c r="L65" i="40" s="1"/>
  <c r="M65" i="40" s="1"/>
  <c r="N65" i="40" s="1"/>
  <c r="O65" i="40" s="1"/>
  <c r="P65" i="40" s="1"/>
  <c r="Q65" i="40" s="1"/>
  <c r="R65" i="40" s="1"/>
  <c r="S65" i="40" s="1"/>
  <c r="T65" i="40" s="1"/>
  <c r="U65" i="40" s="1"/>
  <c r="V65" i="40" s="1"/>
  <c r="W65" i="40" s="1"/>
  <c r="X65" i="40" s="1"/>
  <c r="Y65" i="40" s="1"/>
  <c r="Z65" i="40" s="1"/>
  <c r="E12" i="40"/>
  <c r="F12" i="40" s="1"/>
  <c r="G12" i="40" s="1"/>
  <c r="H12" i="40" s="1"/>
  <c r="I12" i="40" s="1"/>
  <c r="J12" i="40" s="1"/>
  <c r="K12" i="40" s="1"/>
  <c r="L12" i="40" s="1"/>
  <c r="M12" i="40" s="1"/>
  <c r="N12" i="40" s="1"/>
  <c r="O12" i="40" s="1"/>
  <c r="P12" i="40" s="1"/>
  <c r="Q12" i="40" s="1"/>
  <c r="R12" i="40" s="1"/>
  <c r="S12" i="40" s="1"/>
  <c r="T12" i="40" s="1"/>
  <c r="U12" i="40" s="1"/>
  <c r="V12" i="40" s="1"/>
  <c r="W12" i="40" s="1"/>
  <c r="X12" i="40" s="1"/>
  <c r="Y12" i="40" s="1"/>
  <c r="Z12" i="40" s="1"/>
  <c r="E18" i="40"/>
  <c r="F18" i="40" s="1"/>
  <c r="G18" i="40" s="1"/>
  <c r="H18" i="40" s="1"/>
  <c r="I18" i="40" s="1"/>
  <c r="J18" i="40" s="1"/>
  <c r="K18" i="40" s="1"/>
  <c r="L18" i="40" s="1"/>
  <c r="M18" i="40" s="1"/>
  <c r="N18" i="40" s="1"/>
  <c r="O18" i="40" s="1"/>
  <c r="P18" i="40" s="1"/>
  <c r="Q18" i="40" s="1"/>
  <c r="R18" i="40" s="1"/>
  <c r="S18" i="40" s="1"/>
  <c r="T18" i="40" s="1"/>
  <c r="U18" i="40" s="1"/>
  <c r="V18" i="40" s="1"/>
  <c r="W18" i="40" s="1"/>
  <c r="X18" i="40" s="1"/>
  <c r="Y18" i="40" s="1"/>
  <c r="Z18" i="40" s="1"/>
  <c r="AB50" i="39"/>
  <c r="AF50" i="39" s="1"/>
  <c r="AJ50" i="39" s="1"/>
  <c r="AN50" i="39" s="1"/>
  <c r="AR50" i="39" s="1"/>
  <c r="AV50" i="39" s="1"/>
  <c r="AZ50" i="39" s="1"/>
  <c r="BD50" i="39" s="1"/>
  <c r="BH50" i="39" s="1"/>
  <c r="BL50" i="39" s="1"/>
  <c r="BP50" i="39" s="1"/>
  <c r="BT50" i="39" s="1"/>
  <c r="BX50" i="39" s="1"/>
  <c r="CB50" i="39" s="1"/>
  <c r="CF50" i="39" s="1"/>
  <c r="CJ50" i="39" s="1"/>
  <c r="CN50" i="39" s="1"/>
  <c r="W18" i="39"/>
  <c r="X18" i="39" s="1"/>
  <c r="Y18" i="39" s="1"/>
  <c r="Z18" i="39" s="1"/>
  <c r="AA18" i="39" s="1"/>
  <c r="AB18" i="39" s="1"/>
  <c r="AC18" i="39" s="1"/>
  <c r="AD18" i="39" s="1"/>
  <c r="AE18" i="39" s="1"/>
  <c r="AF18" i="39" s="1"/>
  <c r="AG18" i="39" s="1"/>
  <c r="AH18" i="39" s="1"/>
  <c r="AI18" i="39" s="1"/>
  <c r="AJ18" i="39" s="1"/>
  <c r="AK18" i="39" s="1"/>
  <c r="AL18" i="39" s="1"/>
  <c r="AM18" i="39" s="1"/>
  <c r="AN18" i="39" s="1"/>
  <c r="AO18" i="39" s="1"/>
  <c r="AP18" i="39" s="1"/>
  <c r="AQ18" i="39" s="1"/>
  <c r="AR18" i="39" s="1"/>
  <c r="AS18" i="39" s="1"/>
  <c r="AT18" i="39" s="1"/>
  <c r="AU18" i="39" s="1"/>
  <c r="AV18" i="39" s="1"/>
  <c r="AW18" i="39" s="1"/>
  <c r="AX18" i="39" s="1"/>
  <c r="AY18" i="39" s="1"/>
  <c r="AZ18" i="39" s="1"/>
  <c r="BA18" i="39" s="1"/>
  <c r="BB18" i="39" s="1"/>
  <c r="BC18" i="39" s="1"/>
  <c r="BD18" i="39" s="1"/>
  <c r="BE18" i="39" s="1"/>
  <c r="BF18" i="39" s="1"/>
  <c r="BG18" i="39" s="1"/>
  <c r="BH18" i="39" s="1"/>
  <c r="BI18" i="39" s="1"/>
  <c r="BJ18" i="39" s="1"/>
  <c r="BK18" i="39" s="1"/>
  <c r="BL18" i="39" s="1"/>
  <c r="BM18" i="39" s="1"/>
  <c r="BN18" i="39" s="1"/>
  <c r="BO18" i="39" s="1"/>
  <c r="BP18" i="39" s="1"/>
  <c r="BQ18" i="39" s="1"/>
  <c r="BR18" i="39" s="1"/>
  <c r="BS18" i="39" s="1"/>
  <c r="BT18" i="39" s="1"/>
  <c r="BU18" i="39" s="1"/>
  <c r="BV18" i="39" s="1"/>
  <c r="BW18" i="39" s="1"/>
  <c r="BX18" i="39" s="1"/>
  <c r="BY18" i="39" s="1"/>
  <c r="BZ18" i="39" s="1"/>
  <c r="CA18" i="39" s="1"/>
  <c r="CB18" i="39" s="1"/>
  <c r="CC18" i="39" s="1"/>
  <c r="CD18" i="39" s="1"/>
  <c r="CE18" i="39" s="1"/>
  <c r="CF18" i="39" s="1"/>
  <c r="CG18" i="39" s="1"/>
  <c r="CH18" i="39" s="1"/>
  <c r="CI18" i="39" s="1"/>
  <c r="CJ18" i="39" s="1"/>
  <c r="CK18" i="39" s="1"/>
  <c r="CL18" i="39" s="1"/>
  <c r="CM18" i="39" s="1"/>
  <c r="CN18" i="39" s="1"/>
  <c r="CO18" i="39" s="1"/>
  <c r="C58" i="39"/>
  <c r="AD49" i="39"/>
  <c r="AH49" i="39" s="1"/>
  <c r="AL49" i="39" s="1"/>
  <c r="AP49" i="39" s="1"/>
  <c r="AT49" i="39" s="1"/>
  <c r="AX49" i="39" s="1"/>
  <c r="BB49" i="39" s="1"/>
  <c r="BF49" i="39" s="1"/>
  <c r="BJ49" i="39" s="1"/>
  <c r="BN49" i="39" s="1"/>
  <c r="BR49" i="39" s="1"/>
  <c r="BV49" i="39" s="1"/>
  <c r="BZ49" i="39" s="1"/>
  <c r="CD49" i="39" s="1"/>
  <c r="CH49" i="39" s="1"/>
  <c r="CL49" i="39" s="1"/>
  <c r="H6" i="39"/>
  <c r="F59" i="39"/>
  <c r="F60" i="39" s="1"/>
  <c r="F30" i="39"/>
  <c r="G13" i="39"/>
  <c r="H7" i="39"/>
  <c r="F8" i="39"/>
  <c r="G8" i="39" s="1"/>
  <c r="F13" i="39"/>
  <c r="G84" i="39"/>
  <c r="H9" i="39"/>
  <c r="F12" i="39"/>
  <c r="G12" i="39" s="1"/>
  <c r="H12" i="39" s="1"/>
  <c r="I12" i="39" s="1"/>
  <c r="J12" i="39" s="1"/>
  <c r="K12" i="39" s="1"/>
  <c r="L12" i="39" s="1"/>
  <c r="M12" i="39" s="1"/>
  <c r="N12" i="39" s="1"/>
  <c r="O12" i="39" s="1"/>
  <c r="P12" i="39" s="1"/>
  <c r="Q12" i="39" s="1"/>
  <c r="R12" i="39" s="1"/>
  <c r="S12" i="39" s="1"/>
  <c r="T12" i="39" s="1"/>
  <c r="U12" i="39" s="1"/>
  <c r="V12" i="39" s="1"/>
  <c r="F74" i="39"/>
  <c r="G118" i="39"/>
  <c r="G121" i="39"/>
  <c r="F73" i="39"/>
  <c r="G60" i="39"/>
  <c r="K118" i="39"/>
  <c r="K121" i="39"/>
  <c r="K60" i="39"/>
  <c r="O118" i="39"/>
  <c r="O121" i="39"/>
  <c r="O60" i="39"/>
  <c r="S118" i="39"/>
  <c r="S121" i="39"/>
  <c r="S60" i="39"/>
  <c r="U75" i="39"/>
  <c r="AA49" i="39"/>
  <c r="AE49" i="39" s="1"/>
  <c r="AI49" i="39" s="1"/>
  <c r="AM49" i="39" s="1"/>
  <c r="AQ49" i="39" s="1"/>
  <c r="AU49" i="39" s="1"/>
  <c r="AY49" i="39" s="1"/>
  <c r="BC49" i="39" s="1"/>
  <c r="BG49" i="39" s="1"/>
  <c r="BK49" i="39" s="1"/>
  <c r="BO49" i="39" s="1"/>
  <c r="BS49" i="39" s="1"/>
  <c r="BW49" i="39" s="1"/>
  <c r="CA49" i="39" s="1"/>
  <c r="CE49" i="39" s="1"/>
  <c r="CI49" i="39" s="1"/>
  <c r="CM49" i="39" s="1"/>
  <c r="AB49" i="39"/>
  <c r="AF49" i="39" s="1"/>
  <c r="AJ49" i="39" s="1"/>
  <c r="AN49" i="39" s="1"/>
  <c r="AR49" i="39" s="1"/>
  <c r="AV49" i="39" s="1"/>
  <c r="AZ49" i="39" s="1"/>
  <c r="BD49" i="39" s="1"/>
  <c r="BH49" i="39" s="1"/>
  <c r="BL49" i="39" s="1"/>
  <c r="BP49" i="39" s="1"/>
  <c r="BT49" i="39" s="1"/>
  <c r="BX49" i="39" s="1"/>
  <c r="CB49" i="39" s="1"/>
  <c r="CF49" i="39" s="1"/>
  <c r="CJ49" i="39" s="1"/>
  <c r="CN49" i="39" s="1"/>
  <c r="AC50" i="39"/>
  <c r="AG50" i="39" s="1"/>
  <c r="AK50" i="39" s="1"/>
  <c r="AO50" i="39" s="1"/>
  <c r="AS50" i="39" s="1"/>
  <c r="AW50" i="39" s="1"/>
  <c r="BA50" i="39" s="1"/>
  <c r="BE50" i="39" s="1"/>
  <c r="BI50" i="39" s="1"/>
  <c r="BM50" i="39" s="1"/>
  <c r="BQ50" i="39" s="1"/>
  <c r="BU50" i="39" s="1"/>
  <c r="BY50" i="39" s="1"/>
  <c r="CC50" i="39" s="1"/>
  <c r="CG50" i="39" s="1"/>
  <c r="CK50" i="39" s="1"/>
  <c r="CO50" i="39" s="1"/>
  <c r="D118" i="39"/>
  <c r="D121" i="39"/>
  <c r="D117" i="40" s="1"/>
  <c r="D60" i="39"/>
  <c r="H118" i="39"/>
  <c r="H121" i="39"/>
  <c r="H60" i="39"/>
  <c r="L118" i="39"/>
  <c r="L121" i="39"/>
  <c r="L60" i="39"/>
  <c r="P118" i="39"/>
  <c r="P121" i="39"/>
  <c r="P60" i="39"/>
  <c r="T118" i="39"/>
  <c r="T121" i="39"/>
  <c r="T60" i="39"/>
  <c r="E59" i="39"/>
  <c r="E60" i="39" s="1"/>
  <c r="AC49" i="39"/>
  <c r="AG49" i="39" s="1"/>
  <c r="AK49" i="39" s="1"/>
  <c r="AO49" i="39" s="1"/>
  <c r="AS49" i="39" s="1"/>
  <c r="AW49" i="39" s="1"/>
  <c r="BA49" i="39" s="1"/>
  <c r="BE49" i="39" s="1"/>
  <c r="BI49" i="39" s="1"/>
  <c r="BM49" i="39" s="1"/>
  <c r="BQ49" i="39" s="1"/>
  <c r="BU49" i="39" s="1"/>
  <c r="BY49" i="39" s="1"/>
  <c r="CC49" i="39" s="1"/>
  <c r="CG49" i="39" s="1"/>
  <c r="CK49" i="39" s="1"/>
  <c r="CO49" i="39" s="1"/>
  <c r="E118" i="39"/>
  <c r="E121" i="39"/>
  <c r="I118" i="39"/>
  <c r="I121" i="39"/>
  <c r="I60" i="39"/>
  <c r="M118" i="39"/>
  <c r="M121" i="39"/>
  <c r="M60" i="39"/>
  <c r="Q118" i="39"/>
  <c r="Q121" i="39"/>
  <c r="Q60" i="39"/>
  <c r="U118" i="39"/>
  <c r="U121" i="39"/>
  <c r="U60" i="39"/>
  <c r="E84" i="39"/>
  <c r="E85" i="39" s="1"/>
  <c r="F121" i="39"/>
  <c r="F118" i="39"/>
  <c r="E73" i="39"/>
  <c r="J121" i="39"/>
  <c r="J118" i="39"/>
  <c r="J60" i="39"/>
  <c r="N121" i="39"/>
  <c r="N118" i="39"/>
  <c r="N60" i="39"/>
  <c r="R121" i="39"/>
  <c r="R118" i="39"/>
  <c r="R60" i="39"/>
  <c r="V121" i="39"/>
  <c r="V118" i="39"/>
  <c r="E75" i="39"/>
  <c r="F75" i="39"/>
  <c r="AA50" i="39"/>
  <c r="AE50" i="39" s="1"/>
  <c r="AI50" i="39" s="1"/>
  <c r="AM50" i="39" s="1"/>
  <c r="AQ50" i="39" s="1"/>
  <c r="AU50" i="39" s="1"/>
  <c r="AY50" i="39" s="1"/>
  <c r="BC50" i="39" s="1"/>
  <c r="BG50" i="39" s="1"/>
  <c r="BK50" i="39" s="1"/>
  <c r="BO50" i="39" s="1"/>
  <c r="BS50" i="39" s="1"/>
  <c r="BW50" i="39" s="1"/>
  <c r="CA50" i="39" s="1"/>
  <c r="CE50" i="39" s="1"/>
  <c r="CI50" i="39" s="1"/>
  <c r="CM50" i="39" s="1"/>
  <c r="J172" i="39"/>
  <c r="J150" i="39"/>
  <c r="J79" i="39" s="1"/>
  <c r="N172" i="39"/>
  <c r="N150" i="39"/>
  <c r="N79" i="39" s="1"/>
  <c r="R172" i="39"/>
  <c r="R150" i="39"/>
  <c r="R79" i="39" s="1"/>
  <c r="G172" i="39"/>
  <c r="G150" i="39"/>
  <c r="G79" i="39" s="1"/>
  <c r="K172" i="39"/>
  <c r="K150" i="39"/>
  <c r="K79" i="39" s="1"/>
  <c r="O172" i="39"/>
  <c r="O150" i="39"/>
  <c r="O79" i="39" s="1"/>
  <c r="S172" i="39"/>
  <c r="S150" i="39"/>
  <c r="S79" i="39" s="1"/>
  <c r="D157" i="39"/>
  <c r="D124" i="39"/>
  <c r="X62" i="39"/>
  <c r="H172" i="39"/>
  <c r="H150" i="39"/>
  <c r="H79" i="39" s="1"/>
  <c r="L172" i="39"/>
  <c r="L150" i="39"/>
  <c r="L79" i="39" s="1"/>
  <c r="P150" i="39"/>
  <c r="P79" i="39" s="1"/>
  <c r="P172" i="39"/>
  <c r="T172" i="39"/>
  <c r="T150" i="39"/>
  <c r="T79" i="39" s="1"/>
  <c r="I172" i="39"/>
  <c r="I150" i="39"/>
  <c r="I79" i="39" s="1"/>
  <c r="M172" i="39"/>
  <c r="M150" i="39"/>
  <c r="M79" i="39" s="1"/>
  <c r="Q172" i="39"/>
  <c r="Q150" i="39"/>
  <c r="Q79" i="39" s="1"/>
  <c r="E156" i="39"/>
  <c r="I156" i="39"/>
  <c r="Y156" i="39"/>
  <c r="BB48" i="4"/>
  <c r="BF48" i="4" s="1"/>
  <c r="BJ48" i="4" s="1"/>
  <c r="BN48" i="4" s="1"/>
  <c r="BR48" i="4" s="1"/>
  <c r="BV48" i="4" s="1"/>
  <c r="AK50" i="4"/>
  <c r="AO50" i="4" s="1"/>
  <c r="AS50" i="4" s="1"/>
  <c r="AW50" i="4" s="1"/>
  <c r="BA50" i="4" s="1"/>
  <c r="BE50" i="4" s="1"/>
  <c r="BI50" i="4" s="1"/>
  <c r="BM50" i="4" s="1"/>
  <c r="BQ50" i="4" s="1"/>
  <c r="BU50" i="4" s="1"/>
  <c r="BY50" i="4" s="1"/>
  <c r="AK49" i="4"/>
  <c r="AO49" i="4" s="1"/>
  <c r="AS49" i="4" s="1"/>
  <c r="AW49" i="4" s="1"/>
  <c r="BA49" i="4" s="1"/>
  <c r="BE49" i="4" s="1"/>
  <c r="BI49" i="4" s="1"/>
  <c r="BM49" i="4" s="1"/>
  <c r="BQ49" i="4" s="1"/>
  <c r="BU49" i="4" s="1"/>
  <c r="BY49" i="4" s="1"/>
  <c r="AD47" i="4"/>
  <c r="AH47" i="4" s="1"/>
  <c r="AL47" i="4" s="1"/>
  <c r="AP47" i="4" s="1"/>
  <c r="AT47" i="4" s="1"/>
  <c r="AX47" i="4" s="1"/>
  <c r="BB47" i="4" s="1"/>
  <c r="BF47" i="4" s="1"/>
  <c r="BJ47" i="4" s="1"/>
  <c r="BN47" i="4" s="1"/>
  <c r="BR47" i="4" s="1"/>
  <c r="BV47" i="4" s="1"/>
  <c r="AD54" i="4"/>
  <c r="AH54" i="4" s="1"/>
  <c r="AL54" i="4" s="1"/>
  <c r="AP54" i="4" s="1"/>
  <c r="AT54" i="4" s="1"/>
  <c r="AX54" i="4" s="1"/>
  <c r="BB54" i="4" s="1"/>
  <c r="BF54" i="4" s="1"/>
  <c r="BJ54" i="4" s="1"/>
  <c r="BN54" i="4" s="1"/>
  <c r="BR54" i="4" s="1"/>
  <c r="BV54" i="4" s="1"/>
  <c r="AD49" i="4"/>
  <c r="AH49" i="4" s="1"/>
  <c r="AL49" i="4" s="1"/>
  <c r="AP49" i="4" s="1"/>
  <c r="AT49" i="4" s="1"/>
  <c r="AX49" i="4" s="1"/>
  <c r="BB49" i="4" s="1"/>
  <c r="BF49" i="4" s="1"/>
  <c r="BJ49" i="4" s="1"/>
  <c r="BN49" i="4" s="1"/>
  <c r="BR49" i="4" s="1"/>
  <c r="BV49" i="4" s="1"/>
  <c r="AD50" i="4"/>
  <c r="AH50" i="4" s="1"/>
  <c r="AL50" i="4" s="1"/>
  <c r="AP50" i="4" s="1"/>
  <c r="AT50" i="4" s="1"/>
  <c r="AX50" i="4" s="1"/>
  <c r="BB50" i="4" s="1"/>
  <c r="BF50" i="4" s="1"/>
  <c r="BJ50" i="4" s="1"/>
  <c r="BN50" i="4" s="1"/>
  <c r="BR50" i="4" s="1"/>
  <c r="BV50" i="4" s="1"/>
  <c r="CO109" i="4"/>
  <c r="K30" i="41" l="1"/>
  <c r="I30" i="41"/>
  <c r="L30" i="41"/>
  <c r="C5" i="41"/>
  <c r="C9" i="41"/>
  <c r="C13" i="41"/>
  <c r="B97" i="41"/>
  <c r="B11" i="41"/>
  <c r="B15" i="41" s="1"/>
  <c r="B98" i="41"/>
  <c r="B12" i="41"/>
  <c r="B16" i="41" s="1"/>
  <c r="B18" i="41"/>
  <c r="B22" i="41"/>
  <c r="B26" i="41" s="1"/>
  <c r="B37" i="41" s="1"/>
  <c r="B41" i="41" s="1"/>
  <c r="B101" i="41"/>
  <c r="B106" i="41" s="1"/>
  <c r="B91" i="41"/>
  <c r="E41" i="40" a="1"/>
  <c r="E41" i="40" s="1"/>
  <c r="E36" i="40" a="1"/>
  <c r="E36" i="40" s="1"/>
  <c r="E45" i="40" a="1"/>
  <c r="E45" i="40" s="1"/>
  <c r="E32" i="40" a="1"/>
  <c r="E32" i="40" s="1"/>
  <c r="E42" i="40" a="1"/>
  <c r="E42" i="40" s="1"/>
  <c r="E40" i="40" a="1"/>
  <c r="E40" i="40" s="1"/>
  <c r="E58" i="40" a="1"/>
  <c r="E58" i="40" s="1"/>
  <c r="E174" i="40" a="1"/>
  <c r="E174" i="40" s="1"/>
  <c r="E13" i="40" a="1"/>
  <c r="E13" i="40" s="1"/>
  <c r="E24" i="40" a="1"/>
  <c r="E24" i="40" s="1"/>
  <c r="E33" i="40" a="1"/>
  <c r="E33" i="40" s="1"/>
  <c r="E49" i="40" a="1"/>
  <c r="E49" i="40" s="1"/>
  <c r="E31" i="40" a="1"/>
  <c r="E31" i="40" s="1"/>
  <c r="E44" i="40" a="1"/>
  <c r="E44" i="40" s="1"/>
  <c r="E78" i="40" a="1"/>
  <c r="E78" i="40" s="1"/>
  <c r="E130" i="40" a="1"/>
  <c r="E130" i="40" s="1"/>
  <c r="F8" i="40"/>
  <c r="G164" i="40"/>
  <c r="H6" i="40"/>
  <c r="X12" i="39"/>
  <c r="Y12" i="39" s="1"/>
  <c r="Z12" i="39" s="1"/>
  <c r="AA12" i="39" s="1"/>
  <c r="AB12" i="39" s="1"/>
  <c r="AC12" i="39" s="1"/>
  <c r="AD12" i="39" s="1"/>
  <c r="AE12" i="39" s="1"/>
  <c r="AF12" i="39" s="1"/>
  <c r="AG12" i="39" s="1"/>
  <c r="AH12" i="39" s="1"/>
  <c r="AI12" i="39" s="1"/>
  <c r="AJ12" i="39" s="1"/>
  <c r="AK12" i="39" s="1"/>
  <c r="AL12" i="39" s="1"/>
  <c r="AM12" i="39" s="1"/>
  <c r="AN12" i="39" s="1"/>
  <c r="AO12" i="39" s="1"/>
  <c r="AP12" i="39" s="1"/>
  <c r="AQ12" i="39" s="1"/>
  <c r="AR12" i="39" s="1"/>
  <c r="AS12" i="39" s="1"/>
  <c r="AT12" i="39" s="1"/>
  <c r="AU12" i="39" s="1"/>
  <c r="AV12" i="39" s="1"/>
  <c r="AW12" i="39" s="1"/>
  <c r="AX12" i="39" s="1"/>
  <c r="AY12" i="39" s="1"/>
  <c r="AZ12" i="39" s="1"/>
  <c r="BA12" i="39" s="1"/>
  <c r="BB12" i="39" s="1"/>
  <c r="BC12" i="39" s="1"/>
  <c r="BD12" i="39" s="1"/>
  <c r="BE12" i="39" s="1"/>
  <c r="BF12" i="39" s="1"/>
  <c r="BG12" i="39" s="1"/>
  <c r="BH12" i="39" s="1"/>
  <c r="BI12" i="39" s="1"/>
  <c r="BJ12" i="39" s="1"/>
  <c r="BK12" i="39" s="1"/>
  <c r="BL12" i="39" s="1"/>
  <c r="BM12" i="39" s="1"/>
  <c r="BN12" i="39" s="1"/>
  <c r="BO12" i="39" s="1"/>
  <c r="BP12" i="39" s="1"/>
  <c r="BQ12" i="39" s="1"/>
  <c r="BR12" i="39" s="1"/>
  <c r="BS12" i="39" s="1"/>
  <c r="BT12" i="39" s="1"/>
  <c r="BU12" i="39" s="1"/>
  <c r="BV12" i="39" s="1"/>
  <c r="BW12" i="39" s="1"/>
  <c r="BX12" i="39" s="1"/>
  <c r="BY12" i="39" s="1"/>
  <c r="BZ12" i="39" s="1"/>
  <c r="CA12" i="39" s="1"/>
  <c r="CB12" i="39" s="1"/>
  <c r="CC12" i="39" s="1"/>
  <c r="CD12" i="39" s="1"/>
  <c r="CE12" i="39" s="1"/>
  <c r="CF12" i="39" s="1"/>
  <c r="CG12" i="39" s="1"/>
  <c r="CH12" i="39" s="1"/>
  <c r="CI12" i="39" s="1"/>
  <c r="CJ12" i="39" s="1"/>
  <c r="CK12" i="39" s="1"/>
  <c r="CL12" i="39" s="1"/>
  <c r="CM12" i="39" s="1"/>
  <c r="CN12" i="39" s="1"/>
  <c r="W12" i="39"/>
  <c r="C54" i="39"/>
  <c r="R133" i="39"/>
  <c r="R71" i="39"/>
  <c r="R61" i="39"/>
  <c r="U172" i="39"/>
  <c r="U150" i="39"/>
  <c r="U79" i="39" s="1"/>
  <c r="C49" i="39"/>
  <c r="T133" i="39"/>
  <c r="T71" i="39"/>
  <c r="T61" i="39"/>
  <c r="P133" i="39"/>
  <c r="P71" i="39"/>
  <c r="P61" i="39"/>
  <c r="L133" i="39"/>
  <c r="L71" i="39"/>
  <c r="L61" i="39"/>
  <c r="H133" i="39"/>
  <c r="H71" i="39"/>
  <c r="H61" i="39"/>
  <c r="D133" i="39"/>
  <c r="D71" i="39"/>
  <c r="D61" i="39"/>
  <c r="D64" i="39"/>
  <c r="X134" i="39"/>
  <c r="Y62" i="39"/>
  <c r="V30" i="39"/>
  <c r="V59" i="39" s="1"/>
  <c r="V60" i="39" s="1"/>
  <c r="U133" i="39"/>
  <c r="U71" i="39"/>
  <c r="U61" i="39"/>
  <c r="Q133" i="39"/>
  <c r="Q71" i="39"/>
  <c r="Q61" i="39"/>
  <c r="M133" i="39"/>
  <c r="M71" i="39"/>
  <c r="M61" i="39"/>
  <c r="I133" i="39"/>
  <c r="I71" i="39"/>
  <c r="I61" i="39"/>
  <c r="E133" i="39"/>
  <c r="E71" i="39"/>
  <c r="E61" i="39"/>
  <c r="H13" i="39"/>
  <c r="H74" i="39" s="1"/>
  <c r="I7" i="39"/>
  <c r="H168" i="39"/>
  <c r="I6" i="39"/>
  <c r="N133" i="39"/>
  <c r="N71" i="39"/>
  <c r="N61" i="39"/>
  <c r="F133" i="39"/>
  <c r="F71" i="39"/>
  <c r="F61" i="39"/>
  <c r="C48" i="39"/>
  <c r="H84" i="39"/>
  <c r="I9" i="39"/>
  <c r="H8" i="39"/>
  <c r="F72" i="39"/>
  <c r="E172" i="39"/>
  <c r="E150" i="39"/>
  <c r="J133" i="39"/>
  <c r="J71" i="39"/>
  <c r="J61" i="39"/>
  <c r="F172" i="39"/>
  <c r="F150" i="39"/>
  <c r="F79" i="39" s="1"/>
  <c r="E157" i="39"/>
  <c r="E124" i="39"/>
  <c r="S133" i="39"/>
  <c r="S71" i="39"/>
  <c r="S61" i="39"/>
  <c r="O133" i="39"/>
  <c r="O71" i="39"/>
  <c r="O61" i="39"/>
  <c r="K133" i="39"/>
  <c r="K71" i="39"/>
  <c r="K61" i="39"/>
  <c r="G133" i="39"/>
  <c r="G71" i="39"/>
  <c r="G61" i="39"/>
  <c r="C24" i="39"/>
  <c r="G157" i="39"/>
  <c r="G124" i="39"/>
  <c r="G85" i="39"/>
  <c r="C50" i="39"/>
  <c r="G74" i="39"/>
  <c r="E72" i="39"/>
  <c r="C30" i="41" l="1"/>
  <c r="B19" i="41"/>
  <c r="B23" i="41"/>
  <c r="B27" i="41" s="1"/>
  <c r="B38" i="41" s="1"/>
  <c r="B42" i="41" s="1"/>
  <c r="B102" i="41"/>
  <c r="B107" i="41" s="1"/>
  <c r="B92" i="41"/>
  <c r="B24" i="41"/>
  <c r="B28" i="41" s="1"/>
  <c r="B39" i="41" s="1"/>
  <c r="B43" i="41" s="1"/>
  <c r="B20" i="41"/>
  <c r="B93" i="41"/>
  <c r="B103" i="41"/>
  <c r="B108" i="41" s="1"/>
  <c r="H164" i="40"/>
  <c r="I6" i="40"/>
  <c r="F9" i="40"/>
  <c r="E173" i="39"/>
  <c r="F173" i="39" s="1"/>
  <c r="I84" i="39"/>
  <c r="I8" i="39"/>
  <c r="J9" i="39"/>
  <c r="C46" i="39"/>
  <c r="I13" i="39"/>
  <c r="I74" i="39" s="1"/>
  <c r="J7" i="39"/>
  <c r="Y134" i="39"/>
  <c r="Z62" i="39"/>
  <c r="E79" i="39"/>
  <c r="E80" i="39"/>
  <c r="E152" i="39"/>
  <c r="F149" i="39" s="1"/>
  <c r="H157" i="39"/>
  <c r="H124" i="39"/>
  <c r="H85" i="39"/>
  <c r="G72" i="39"/>
  <c r="G73" i="39"/>
  <c r="C47" i="39"/>
  <c r="I168" i="39"/>
  <c r="J6" i="39"/>
  <c r="D136" i="39"/>
  <c r="V133" i="39"/>
  <c r="V71" i="39"/>
  <c r="V61" i="39"/>
  <c r="F82" i="40" l="1" a="1"/>
  <c r="F82" i="40" s="1"/>
  <c r="F24" i="40" a="1"/>
  <c r="F24" i="40" s="1"/>
  <c r="F33" i="40" a="1"/>
  <c r="F33" i="40" s="1"/>
  <c r="F49" i="40" a="1"/>
  <c r="F49" i="40" s="1"/>
  <c r="F42" i="40" a="1"/>
  <c r="F42" i="40" s="1"/>
  <c r="F44" i="40" a="1"/>
  <c r="F44" i="40" s="1"/>
  <c r="F45" i="40" a="1"/>
  <c r="F45" i="40" s="1"/>
  <c r="F43" i="40" a="1"/>
  <c r="F43" i="40" s="1"/>
  <c r="F13" i="40" a="1"/>
  <c r="F13" i="40" s="1"/>
  <c r="F36" i="40" a="1"/>
  <c r="F36" i="40" s="1"/>
  <c r="F54" i="40" a="1"/>
  <c r="F54" i="40" s="1"/>
  <c r="F58" i="40" a="1"/>
  <c r="F58" i="40" s="1"/>
  <c r="F130" i="40" a="1"/>
  <c r="F130" i="40" s="1"/>
  <c r="F174" i="40" a="1"/>
  <c r="F174" i="40" s="1"/>
  <c r="F66" i="40" a="1"/>
  <c r="F66" i="40" s="1"/>
  <c r="F31" i="40" a="1"/>
  <c r="F31" i="40" s="1"/>
  <c r="F32" i="40" a="1"/>
  <c r="F32" i="40" s="1"/>
  <c r="F40" i="40" a="1"/>
  <c r="F40" i="40" s="1"/>
  <c r="F41" i="40" a="1"/>
  <c r="F41" i="40" s="1"/>
  <c r="F78" i="40" a="1"/>
  <c r="F78" i="40" s="1"/>
  <c r="I164" i="40"/>
  <c r="J6" i="40"/>
  <c r="G8" i="40"/>
  <c r="G173" i="39"/>
  <c r="K7" i="39"/>
  <c r="J13" i="39"/>
  <c r="D144" i="39"/>
  <c r="D145" i="39"/>
  <c r="F152" i="39"/>
  <c r="G149" i="39" s="1"/>
  <c r="F80" i="39"/>
  <c r="J74" i="39"/>
  <c r="H72" i="39"/>
  <c r="H73" i="39"/>
  <c r="I157" i="39"/>
  <c r="I124" i="39"/>
  <c r="I85" i="39"/>
  <c r="J168" i="39"/>
  <c r="K6" i="39"/>
  <c r="Z134" i="39"/>
  <c r="AA62" i="39"/>
  <c r="J84" i="39"/>
  <c r="J8" i="39"/>
  <c r="K9" i="39"/>
  <c r="G9" i="40" l="1"/>
  <c r="J164" i="40"/>
  <c r="K6" i="40"/>
  <c r="K84" i="39"/>
  <c r="L9" i="39"/>
  <c r="K8" i="39"/>
  <c r="K168" i="39"/>
  <c r="L6" i="39"/>
  <c r="J157" i="39"/>
  <c r="J124" i="39"/>
  <c r="G152" i="39"/>
  <c r="H149" i="39" s="1"/>
  <c r="G80" i="39"/>
  <c r="D146" i="39"/>
  <c r="E143" i="39" s="1"/>
  <c r="I72" i="39"/>
  <c r="I73" i="39"/>
  <c r="K13" i="39"/>
  <c r="K74" i="39" s="1"/>
  <c r="L7" i="39"/>
  <c r="AA134" i="39"/>
  <c r="AB62" i="39"/>
  <c r="D137" i="39"/>
  <c r="H173" i="39"/>
  <c r="G78" i="40" l="1" a="1"/>
  <c r="G78" i="40" s="1"/>
  <c r="G24" i="40" a="1"/>
  <c r="G24" i="40" s="1"/>
  <c r="G31" i="40" a="1"/>
  <c r="G31" i="40" s="1"/>
  <c r="G45" i="40" a="1"/>
  <c r="G45" i="40" s="1"/>
  <c r="G66" i="40" a="1"/>
  <c r="G66" i="40" s="1"/>
  <c r="G82" i="40" a="1"/>
  <c r="G82" i="40" s="1"/>
  <c r="G174" i="40" a="1"/>
  <c r="G174" i="40" s="1"/>
  <c r="G58" i="40" a="1"/>
  <c r="G58" i="40" s="1"/>
  <c r="G32" i="40" a="1"/>
  <c r="G32" i="40" s="1"/>
  <c r="G33" i="40" a="1"/>
  <c r="G33" i="40" s="1"/>
  <c r="G49" i="40" a="1"/>
  <c r="G49" i="40" s="1"/>
  <c r="G36" i="40" a="1"/>
  <c r="G36" i="40" s="1"/>
  <c r="G41" i="40" a="1"/>
  <c r="G41" i="40" s="1"/>
  <c r="G42" i="40" a="1"/>
  <c r="G42" i="40" s="1"/>
  <c r="G44" i="40" a="1"/>
  <c r="G44" i="40" s="1"/>
  <c r="G13" i="40" a="1"/>
  <c r="G13" i="40" s="1"/>
  <c r="G54" i="40" a="1"/>
  <c r="G54" i="40" s="1"/>
  <c r="G43" i="40" a="1"/>
  <c r="G43" i="40" s="1"/>
  <c r="G40" i="40" a="1"/>
  <c r="G40" i="40" s="1"/>
  <c r="G130" i="40" a="1"/>
  <c r="G130" i="40" s="1"/>
  <c r="H8" i="40"/>
  <c r="K164" i="40"/>
  <c r="L6" i="40"/>
  <c r="D138" i="39"/>
  <c r="AB134" i="39"/>
  <c r="AC62" i="39"/>
  <c r="J72" i="39"/>
  <c r="J73" i="39"/>
  <c r="I173" i="39"/>
  <c r="L168" i="39"/>
  <c r="M6" i="39"/>
  <c r="M9" i="39"/>
  <c r="L8" i="39"/>
  <c r="L13" i="39"/>
  <c r="M7" i="39"/>
  <c r="H152" i="39"/>
  <c r="I149" i="39" s="1"/>
  <c r="H80" i="39"/>
  <c r="K157" i="39"/>
  <c r="K124" i="39"/>
  <c r="H82" i="40" l="1" a="1"/>
  <c r="H82" i="40" s="1"/>
  <c r="H66" i="40" a="1"/>
  <c r="H66" i="40" s="1"/>
  <c r="H42" i="40" a="1"/>
  <c r="H42" i="40" s="1"/>
  <c r="H49" i="40" a="1"/>
  <c r="H49" i="40" s="1"/>
  <c r="H33" i="40" a="1"/>
  <c r="H33" i="40" s="1"/>
  <c r="H44" i="40" a="1"/>
  <c r="H44" i="40" s="1"/>
  <c r="H24" i="40" a="1"/>
  <c r="H24" i="40" s="1"/>
  <c r="L164" i="40"/>
  <c r="M6" i="40"/>
  <c r="H9" i="40"/>
  <c r="M13" i="39"/>
  <c r="M74" i="39" s="1"/>
  <c r="N7" i="39"/>
  <c r="M8" i="39"/>
  <c r="N9" i="39"/>
  <c r="J173" i="39"/>
  <c r="K72" i="39"/>
  <c r="K73" i="39"/>
  <c r="M168" i="39"/>
  <c r="N6" i="39"/>
  <c r="L74" i="39"/>
  <c r="AC134" i="39"/>
  <c r="AD62" i="39"/>
  <c r="I152" i="39"/>
  <c r="J149" i="39" s="1"/>
  <c r="I80" i="39"/>
  <c r="D139" i="39"/>
  <c r="H31" i="40" l="1" a="1"/>
  <c r="H31" i="40" s="1"/>
  <c r="H13" i="40" a="1"/>
  <c r="H13" i="40" s="1"/>
  <c r="H54" i="40" a="1"/>
  <c r="H54" i="40" s="1"/>
  <c r="H32" i="40" a="1"/>
  <c r="H32" i="40" s="1"/>
  <c r="H36" i="40" a="1"/>
  <c r="H36" i="40" s="1"/>
  <c r="H41" i="40" a="1"/>
  <c r="H41" i="40" s="1"/>
  <c r="H58" i="40" a="1"/>
  <c r="H58" i="40" s="1"/>
  <c r="H174" i="40" a="1"/>
  <c r="H174" i="40" s="1"/>
  <c r="H43" i="40" a="1"/>
  <c r="H43" i="40" s="1"/>
  <c r="H40" i="40" a="1"/>
  <c r="H40" i="40" s="1"/>
  <c r="H45" i="40" a="1"/>
  <c r="H45" i="40" s="1"/>
  <c r="H78" i="40" a="1"/>
  <c r="H78" i="40" s="1"/>
  <c r="H130" i="40" a="1"/>
  <c r="H130" i="40" s="1"/>
  <c r="M164" i="40"/>
  <c r="N6" i="40"/>
  <c r="I8" i="40"/>
  <c r="J152" i="39"/>
  <c r="K149" i="39" s="1"/>
  <c r="J80" i="39"/>
  <c r="K173" i="39"/>
  <c r="L72" i="39"/>
  <c r="L73" i="39"/>
  <c r="N168" i="39"/>
  <c r="O6" i="39"/>
  <c r="D65" i="39"/>
  <c r="N8" i="39"/>
  <c r="O9" i="39"/>
  <c r="AD134" i="39"/>
  <c r="AE62" i="39"/>
  <c r="O7" i="39"/>
  <c r="N13" i="39"/>
  <c r="I82" i="40" l="1" a="1"/>
  <c r="I82" i="40" s="1"/>
  <c r="I66" i="40" a="1"/>
  <c r="I66" i="40" s="1"/>
  <c r="I44" i="40" a="1"/>
  <c r="I44" i="40" s="1"/>
  <c r="I31" i="40" a="1"/>
  <c r="I31" i="40" s="1"/>
  <c r="I45" i="40" a="1"/>
  <c r="I45" i="40" s="1"/>
  <c r="I41" i="40" a="1"/>
  <c r="I41" i="40" s="1"/>
  <c r="I13" i="40" a="1"/>
  <c r="I13" i="40" s="1"/>
  <c r="I54" i="40" a="1"/>
  <c r="I54" i="40" s="1"/>
  <c r="I9" i="40"/>
  <c r="N164" i="40"/>
  <c r="O6" i="40"/>
  <c r="M72" i="39"/>
  <c r="M73" i="39"/>
  <c r="AE134" i="39"/>
  <c r="AF62" i="39"/>
  <c r="P9" i="39"/>
  <c r="O8" i="39"/>
  <c r="O168" i="39"/>
  <c r="P6" i="39"/>
  <c r="N74" i="39"/>
  <c r="O13" i="39"/>
  <c r="O74" i="39" s="1"/>
  <c r="P7" i="39"/>
  <c r="D78" i="39"/>
  <c r="D66" i="39"/>
  <c r="K152" i="39"/>
  <c r="L149" i="39" s="1"/>
  <c r="K80" i="39"/>
  <c r="L173" i="39"/>
  <c r="I24" i="40" l="1" a="1"/>
  <c r="I24" i="40" s="1"/>
  <c r="I174" i="40" a="1"/>
  <c r="I174" i="40" s="1"/>
  <c r="I49" i="40" a="1"/>
  <c r="I49" i="40" s="1"/>
  <c r="I32" i="40" a="1"/>
  <c r="I32" i="40" s="1"/>
  <c r="I33" i="40" a="1"/>
  <c r="I33" i="40" s="1"/>
  <c r="I42" i="40" a="1"/>
  <c r="I42" i="40" s="1"/>
  <c r="I43" i="40" a="1"/>
  <c r="I43" i="40" s="1"/>
  <c r="I36" i="40" a="1"/>
  <c r="I36" i="40" s="1"/>
  <c r="I40" i="40" a="1"/>
  <c r="I40" i="40" s="1"/>
  <c r="I58" i="40" a="1"/>
  <c r="I58" i="40" s="1"/>
  <c r="I78" i="40" a="1"/>
  <c r="I78" i="40" s="1"/>
  <c r="I130" i="40" a="1"/>
  <c r="I130" i="40" s="1"/>
  <c r="J8" i="40"/>
  <c r="O164" i="40"/>
  <c r="P6" i="40"/>
  <c r="P13" i="39"/>
  <c r="Q7" i="39"/>
  <c r="P168" i="39"/>
  <c r="Q6" i="39"/>
  <c r="L152" i="39"/>
  <c r="M149" i="39" s="1"/>
  <c r="L80" i="39"/>
  <c r="D81" i="39"/>
  <c r="P74" i="39"/>
  <c r="N72" i="39"/>
  <c r="N73" i="39"/>
  <c r="Q9" i="39"/>
  <c r="P8" i="39"/>
  <c r="AF134" i="39"/>
  <c r="AG62" i="39"/>
  <c r="C23" i="39"/>
  <c r="M173" i="39"/>
  <c r="J82" i="40" l="1" a="1"/>
  <c r="J82" i="40" s="1"/>
  <c r="J66" i="40" a="1"/>
  <c r="J66" i="40" s="1"/>
  <c r="J41" i="40" a="1"/>
  <c r="J41" i="40" s="1"/>
  <c r="J40" i="40" a="1"/>
  <c r="J40" i="40" s="1"/>
  <c r="J24" i="40" a="1"/>
  <c r="J24" i="40" s="1"/>
  <c r="J31" i="40" a="1"/>
  <c r="J31" i="40" s="1"/>
  <c r="P164" i="40"/>
  <c r="Q6" i="40"/>
  <c r="J9" i="40"/>
  <c r="C36" i="39"/>
  <c r="AG134" i="39"/>
  <c r="AH62" i="39"/>
  <c r="N173" i="39"/>
  <c r="Q168" i="39"/>
  <c r="R6" i="39"/>
  <c r="C35" i="39"/>
  <c r="D163" i="39"/>
  <c r="M152" i="39"/>
  <c r="N149" i="39" s="1"/>
  <c r="M80" i="39"/>
  <c r="R7" i="39"/>
  <c r="Q13" i="39"/>
  <c r="Q74" i="39" s="1"/>
  <c r="Q8" i="39"/>
  <c r="R9" i="39"/>
  <c r="O72" i="39"/>
  <c r="O73" i="39"/>
  <c r="J44" i="40" l="1" a="1"/>
  <c r="J44" i="40" s="1"/>
  <c r="J45" i="40" a="1"/>
  <c r="J45" i="40" s="1"/>
  <c r="J32" i="40" a="1"/>
  <c r="J32" i="40" s="1"/>
  <c r="J33" i="40" a="1"/>
  <c r="J33" i="40" s="1"/>
  <c r="J49" i="40" a="1"/>
  <c r="J49" i="40" s="1"/>
  <c r="J42" i="40" a="1"/>
  <c r="J42" i="40" s="1"/>
  <c r="J58" i="40" a="1"/>
  <c r="J58" i="40" s="1"/>
  <c r="J174" i="40" a="1"/>
  <c r="J174" i="40" s="1"/>
  <c r="J43" i="40" a="1"/>
  <c r="J43" i="40" s="1"/>
  <c r="J130" i="40" a="1"/>
  <c r="J130" i="40" s="1"/>
  <c r="J13" i="40" a="1"/>
  <c r="J13" i="40" s="1"/>
  <c r="J36" i="40" a="1"/>
  <c r="J36" i="40" s="1"/>
  <c r="J54" i="40" a="1"/>
  <c r="J54" i="40" s="1"/>
  <c r="J78" i="40" a="1"/>
  <c r="J78" i="40" s="1"/>
  <c r="K8" i="40"/>
  <c r="Q164" i="40"/>
  <c r="R6" i="40"/>
  <c r="R8" i="39"/>
  <c r="S9" i="39"/>
  <c r="AH134" i="39"/>
  <c r="AI62" i="39"/>
  <c r="N152" i="39"/>
  <c r="O149" i="39" s="1"/>
  <c r="N80" i="39"/>
  <c r="O173" i="39"/>
  <c r="P72" i="39"/>
  <c r="P73" i="39"/>
  <c r="S7" i="39"/>
  <c r="R13" i="39"/>
  <c r="R74" i="39" s="1"/>
  <c r="D90" i="39"/>
  <c r="D164" i="39"/>
  <c r="R168" i="39"/>
  <c r="S6" i="39"/>
  <c r="R164" i="40" l="1"/>
  <c r="S6" i="40"/>
  <c r="K9" i="40"/>
  <c r="T9" i="39"/>
  <c r="S8" i="39"/>
  <c r="D183" i="39"/>
  <c r="D182" i="39" s="1"/>
  <c r="E161" i="39"/>
  <c r="D119" i="39" a="1"/>
  <c r="D119" i="39" s="1"/>
  <c r="D115" i="40" s="1"/>
  <c r="AI134" i="39"/>
  <c r="AJ62" i="39"/>
  <c r="Q72" i="39"/>
  <c r="Q73" i="39"/>
  <c r="O152" i="39"/>
  <c r="P149" i="39" s="1"/>
  <c r="O80" i="39"/>
  <c r="S168" i="39"/>
  <c r="T6" i="39"/>
  <c r="S13" i="39"/>
  <c r="T7" i="39"/>
  <c r="P173" i="39"/>
  <c r="K54" i="40" l="1" a="1"/>
  <c r="K54" i="40" s="1"/>
  <c r="K41" i="40" a="1"/>
  <c r="K41" i="40" s="1"/>
  <c r="K24" i="40" a="1"/>
  <c r="K24" i="40" s="1"/>
  <c r="K58" i="40" a="1"/>
  <c r="K58" i="40" s="1"/>
  <c r="K43" i="40" a="1"/>
  <c r="K43" i="40" s="1"/>
  <c r="K32" i="40" a="1"/>
  <c r="K32" i="40" s="1"/>
  <c r="K78" i="40" a="1"/>
  <c r="K78" i="40" s="1"/>
  <c r="K174" i="40" a="1"/>
  <c r="K174" i="40" s="1"/>
  <c r="K44" i="40" a="1"/>
  <c r="K44" i="40" s="1"/>
  <c r="K45" i="40" a="1"/>
  <c r="K45" i="40" s="1"/>
  <c r="K42" i="40" a="1"/>
  <c r="K42" i="40" s="1"/>
  <c r="K36" i="40" a="1"/>
  <c r="K36" i="40" s="1"/>
  <c r="K66" i="40" a="1"/>
  <c r="K66" i="40" s="1"/>
  <c r="K82" i="40" a="1"/>
  <c r="K82" i="40" s="1"/>
  <c r="K13" i="40" a="1"/>
  <c r="K13" i="40" s="1"/>
  <c r="K33" i="40" a="1"/>
  <c r="K33" i="40" s="1"/>
  <c r="K49" i="40" a="1"/>
  <c r="K49" i="40" s="1"/>
  <c r="K31" i="40" a="1"/>
  <c r="K31" i="40" s="1"/>
  <c r="K40" i="40" a="1"/>
  <c r="K40" i="40" s="1"/>
  <c r="K130" i="40" a="1"/>
  <c r="K130" i="40" s="1"/>
  <c r="L8" i="40"/>
  <c r="S164" i="40"/>
  <c r="T6" i="40"/>
  <c r="R72" i="39"/>
  <c r="R73" i="39"/>
  <c r="T168" i="39"/>
  <c r="U6" i="39"/>
  <c r="S74" i="39"/>
  <c r="AJ134" i="39"/>
  <c r="AK62" i="39"/>
  <c r="E165" i="39"/>
  <c r="P152" i="39"/>
  <c r="Q149" i="39" s="1"/>
  <c r="P80" i="39"/>
  <c r="U9" i="39"/>
  <c r="T8" i="39"/>
  <c r="T13" i="39"/>
  <c r="U7" i="39"/>
  <c r="Q173" i="39"/>
  <c r="L130" i="40" l="1" a="1"/>
  <c r="L130" i="40" s="1"/>
  <c r="L58" i="40" a="1"/>
  <c r="L58" i="40" s="1"/>
  <c r="L54" i="40" a="1"/>
  <c r="L54" i="40" s="1"/>
  <c r="L36" i="40" a="1"/>
  <c r="L36" i="40" s="1"/>
  <c r="L24" i="40" a="1"/>
  <c r="L24" i="40" s="1"/>
  <c r="T164" i="40"/>
  <c r="U6" i="40"/>
  <c r="L9" i="40"/>
  <c r="S72" i="39"/>
  <c r="S73" i="39"/>
  <c r="R173" i="39"/>
  <c r="Q152" i="39"/>
  <c r="R149" i="39" s="1"/>
  <c r="Q80" i="39"/>
  <c r="E135" i="39"/>
  <c r="E91" i="39"/>
  <c r="E63" i="39"/>
  <c r="U168" i="39"/>
  <c r="V6" i="39"/>
  <c r="T74" i="39"/>
  <c r="V7" i="39"/>
  <c r="W7" i="39" s="1"/>
  <c r="W13" i="39" s="1"/>
  <c r="U13" i="39"/>
  <c r="U8" i="39"/>
  <c r="V9" i="39"/>
  <c r="AK134" i="39"/>
  <c r="AL62" i="39"/>
  <c r="L40" i="40" l="1" a="1"/>
  <c r="L40" i="40" s="1"/>
  <c r="L41" i="40" a="1"/>
  <c r="L41" i="40" s="1"/>
  <c r="L78" i="40" a="1"/>
  <c r="L78" i="40" s="1"/>
  <c r="L43" i="40" a="1"/>
  <c r="L43" i="40" s="1"/>
  <c r="L13" i="40" a="1"/>
  <c r="L13" i="40" s="1"/>
  <c r="L44" i="40" a="1"/>
  <c r="L44" i="40" s="1"/>
  <c r="L45" i="40" a="1"/>
  <c r="L45" i="40" s="1"/>
  <c r="L66" i="40" a="1"/>
  <c r="L66" i="40" s="1"/>
  <c r="L82" i="40" a="1"/>
  <c r="L82" i="40" s="1"/>
  <c r="L174" i="40" a="1"/>
  <c r="L174" i="40" s="1"/>
  <c r="L31" i="40" a="1"/>
  <c r="L31" i="40" s="1"/>
  <c r="L32" i="40" a="1"/>
  <c r="L32" i="40" s="1"/>
  <c r="L33" i="40" a="1"/>
  <c r="L33" i="40" s="1"/>
  <c r="L49" i="40" a="1"/>
  <c r="L49" i="40" s="1"/>
  <c r="L42" i="40" a="1"/>
  <c r="L42" i="40" s="1"/>
  <c r="U164" i="40"/>
  <c r="V6" i="40"/>
  <c r="M8" i="40"/>
  <c r="E136" i="39"/>
  <c r="AL134" i="39"/>
  <c r="AM62" i="39"/>
  <c r="T72" i="39"/>
  <c r="T73" i="39"/>
  <c r="S173" i="39"/>
  <c r="V13" i="39"/>
  <c r="V168" i="39"/>
  <c r="E64" i="39"/>
  <c r="U74" i="39"/>
  <c r="V8" i="39"/>
  <c r="R152" i="39"/>
  <c r="S149" i="39" s="1"/>
  <c r="R80" i="39"/>
  <c r="M36" i="40" l="1" a="1"/>
  <c r="M36" i="40" s="1"/>
  <c r="M41" i="40" a="1"/>
  <c r="M41" i="40" s="1"/>
  <c r="V164" i="40"/>
  <c r="W6" i="40"/>
  <c r="M9" i="40"/>
  <c r="S152" i="39"/>
  <c r="T149" i="39" s="1"/>
  <c r="S80" i="39"/>
  <c r="X7" i="39"/>
  <c r="AM134" i="39"/>
  <c r="AN62" i="39"/>
  <c r="X6" i="39"/>
  <c r="T173" i="39"/>
  <c r="X9" i="39"/>
  <c r="U72" i="39"/>
  <c r="U73" i="39"/>
  <c r="V74" i="39"/>
  <c r="E144" i="39"/>
  <c r="E145" i="39"/>
  <c r="M174" i="40" l="1" a="1"/>
  <c r="M174" i="40" s="1"/>
  <c r="M45" i="40" a="1"/>
  <c r="M45" i="40" s="1"/>
  <c r="M31" i="40" a="1"/>
  <c r="M31" i="40" s="1"/>
  <c r="M42" i="40" a="1"/>
  <c r="M42" i="40" s="1"/>
  <c r="M40" i="40" a="1"/>
  <c r="M40" i="40" s="1"/>
  <c r="M33" i="40" a="1"/>
  <c r="M33" i="40" s="1"/>
  <c r="M49" i="40" a="1"/>
  <c r="M49" i="40" s="1"/>
  <c r="M43" i="40" a="1"/>
  <c r="M43" i="40" s="1"/>
  <c r="M44" i="40" a="1"/>
  <c r="M44" i="40" s="1"/>
  <c r="M58" i="40" a="1"/>
  <c r="M58" i="40" s="1"/>
  <c r="M78" i="40" a="1"/>
  <c r="M78" i="40" s="1"/>
  <c r="M24" i="40" a="1"/>
  <c r="M24" i="40" s="1"/>
  <c r="M13" i="40" a="1"/>
  <c r="M13" i="40" s="1"/>
  <c r="M54" i="40" a="1"/>
  <c r="M54" i="40" s="1"/>
  <c r="M32" i="40" a="1"/>
  <c r="M32" i="40" s="1"/>
  <c r="M66" i="40" a="1"/>
  <c r="M66" i="40" s="1"/>
  <c r="M82" i="40" a="1"/>
  <c r="M82" i="40" s="1"/>
  <c r="M130" i="40" a="1"/>
  <c r="M130" i="40" s="1"/>
  <c r="W164" i="40"/>
  <c r="X6" i="40"/>
  <c r="N8" i="40"/>
  <c r="X168" i="39"/>
  <c r="Y6" i="39"/>
  <c r="X13" i="39"/>
  <c r="Y7" i="39"/>
  <c r="E137" i="39"/>
  <c r="E146" i="39"/>
  <c r="F143" i="39" s="1"/>
  <c r="AN134" i="39"/>
  <c r="AO62" i="39"/>
  <c r="U173" i="39"/>
  <c r="X84" i="39"/>
  <c r="Y9" i="39"/>
  <c r="X8" i="39"/>
  <c r="T152" i="39"/>
  <c r="U149" i="39" s="1"/>
  <c r="T80" i="39"/>
  <c r="N45" i="40" l="1" a="1"/>
  <c r="N45" i="40" s="1"/>
  <c r="N41" i="40" a="1"/>
  <c r="N41" i="40" s="1"/>
  <c r="N44" i="40" a="1"/>
  <c r="N44" i="40" s="1"/>
  <c r="N40" i="40" a="1"/>
  <c r="N40" i="40" s="1"/>
  <c r="N43" i="40" a="1"/>
  <c r="N43" i="40" s="1"/>
  <c r="N24" i="40" a="1"/>
  <c r="N24" i="40" s="1"/>
  <c r="N9" i="40"/>
  <c r="X164" i="40"/>
  <c r="Y6" i="40"/>
  <c r="E138" i="39"/>
  <c r="Z7" i="39"/>
  <c r="Y13" i="39"/>
  <c r="U152" i="39"/>
  <c r="V149" i="39" s="1"/>
  <c r="U80" i="39"/>
  <c r="X157" i="39"/>
  <c r="X124" i="39"/>
  <c r="X85" i="39"/>
  <c r="Y168" i="39"/>
  <c r="Z6" i="39"/>
  <c r="Y84" i="39"/>
  <c r="Y8" i="39"/>
  <c r="Z9" i="39"/>
  <c r="AO134" i="39"/>
  <c r="AP62" i="39"/>
  <c r="N174" i="40" l="1" a="1"/>
  <c r="N174" i="40" s="1"/>
  <c r="N31" i="40" a="1"/>
  <c r="N31" i="40" s="1"/>
  <c r="N13" i="40" a="1"/>
  <c r="N13" i="40" s="1"/>
  <c r="N32" i="40" a="1"/>
  <c r="N32" i="40" s="1"/>
  <c r="N33" i="40" a="1"/>
  <c r="N33" i="40" s="1"/>
  <c r="N49" i="40" a="1"/>
  <c r="N49" i="40" s="1"/>
  <c r="N42" i="40" a="1"/>
  <c r="N42" i="40" s="1"/>
  <c r="N58" i="40" a="1"/>
  <c r="N58" i="40" s="1"/>
  <c r="N36" i="40" a="1"/>
  <c r="N36" i="40" s="1"/>
  <c r="N54" i="40" a="1"/>
  <c r="N54" i="40" s="1"/>
  <c r="N78" i="40" a="1"/>
  <c r="N78" i="40" s="1"/>
  <c r="N66" i="40" a="1"/>
  <c r="N66" i="40" s="1"/>
  <c r="N82" i="40" a="1"/>
  <c r="N82" i="40" s="1"/>
  <c r="N130" i="40" a="1"/>
  <c r="N130" i="40" s="1"/>
  <c r="O8" i="40"/>
  <c r="Y164" i="40"/>
  <c r="Z6" i="40"/>
  <c r="Z164" i="40" s="1"/>
  <c r="Z168" i="39"/>
  <c r="AA6" i="39"/>
  <c r="Z84" i="39"/>
  <c r="Z8" i="39"/>
  <c r="AA9" i="39"/>
  <c r="AA7" i="39"/>
  <c r="Z13" i="39"/>
  <c r="E139" i="39"/>
  <c r="AP134" i="39"/>
  <c r="AQ62" i="39"/>
  <c r="Y157" i="39"/>
  <c r="Y124" i="39"/>
  <c r="Y85" i="39"/>
  <c r="O78" i="40" l="1" a="1"/>
  <c r="O78" i="40" s="1"/>
  <c r="O44" i="40" a="1"/>
  <c r="O44" i="40" s="1"/>
  <c r="O43" i="40" a="1"/>
  <c r="O43" i="40" s="1"/>
  <c r="O45" i="40" a="1"/>
  <c r="O45" i="40" s="1"/>
  <c r="O31" i="40" a="1"/>
  <c r="O31" i="40" s="1"/>
  <c r="O24" i="40" a="1"/>
  <c r="O24" i="40" s="1"/>
  <c r="O9" i="40"/>
  <c r="E65" i="39"/>
  <c r="AA84" i="39"/>
  <c r="AB9" i="39"/>
  <c r="AA8" i="39"/>
  <c r="AQ134" i="39"/>
  <c r="AR62" i="39"/>
  <c r="Z157" i="39"/>
  <c r="Z124" i="39"/>
  <c r="Z85" i="39"/>
  <c r="AA168" i="39"/>
  <c r="AB6" i="39"/>
  <c r="AA13" i="39"/>
  <c r="AB7" i="39"/>
  <c r="O174" i="40" l="1" a="1"/>
  <c r="O174" i="40" s="1"/>
  <c r="O13" i="40" a="1"/>
  <c r="O13" i="40" s="1"/>
  <c r="O33" i="40" a="1"/>
  <c r="O33" i="40" s="1"/>
  <c r="O49" i="40" a="1"/>
  <c r="O49" i="40" s="1"/>
  <c r="O58" i="40" a="1"/>
  <c r="O58" i="40" s="1"/>
  <c r="O32" i="40" a="1"/>
  <c r="O32" i="40" s="1"/>
  <c r="O66" i="40" a="1"/>
  <c r="O66" i="40" s="1"/>
  <c r="O82" i="40" a="1"/>
  <c r="O82" i="40" s="1"/>
  <c r="O54" i="40" a="1"/>
  <c r="O54" i="40" s="1"/>
  <c r="O42" i="40" a="1"/>
  <c r="O42" i="40" s="1"/>
  <c r="O36" i="40" a="1"/>
  <c r="O36" i="40" s="1"/>
  <c r="O41" i="40" a="1"/>
  <c r="O41" i="40" s="1"/>
  <c r="O40" i="40" a="1"/>
  <c r="O40" i="40" s="1"/>
  <c r="O130" i="40" a="1"/>
  <c r="O130" i="40" s="1"/>
  <c r="P8" i="40"/>
  <c r="AB13" i="39"/>
  <c r="AC7" i="39"/>
  <c r="AB84" i="39"/>
  <c r="AC9" i="39"/>
  <c r="AB8" i="39"/>
  <c r="AR134" i="39"/>
  <c r="AS62" i="39"/>
  <c r="AA157" i="39"/>
  <c r="AA124" i="39"/>
  <c r="AA85" i="39"/>
  <c r="AB168" i="39"/>
  <c r="AC6" i="39"/>
  <c r="E78" i="39"/>
  <c r="E66" i="39"/>
  <c r="P42" i="40" l="1" a="1"/>
  <c r="P42" i="40" s="1"/>
  <c r="P49" i="40" a="1"/>
  <c r="P49" i="40" s="1"/>
  <c r="P33" i="40" a="1"/>
  <c r="P33" i="40" s="1"/>
  <c r="P44" i="40" a="1"/>
  <c r="P44" i="40" s="1"/>
  <c r="P13" i="40" a="1"/>
  <c r="P13" i="40" s="1"/>
  <c r="P24" i="40" a="1"/>
  <c r="P24" i="40" s="1"/>
  <c r="P9" i="40"/>
  <c r="AC168" i="39"/>
  <c r="AD6" i="39"/>
  <c r="AS134" i="39"/>
  <c r="AT62" i="39"/>
  <c r="AC84" i="39"/>
  <c r="AC8" i="39"/>
  <c r="AD9" i="39"/>
  <c r="AB157" i="39"/>
  <c r="AB124" i="39"/>
  <c r="AB85" i="39"/>
  <c r="AD7" i="39"/>
  <c r="AC13" i="39"/>
  <c r="P32" i="40" l="1" a="1"/>
  <c r="P32" i="40" s="1"/>
  <c r="P54" i="40" a="1"/>
  <c r="P54" i="40" s="1"/>
  <c r="P58" i="40" a="1"/>
  <c r="P58" i="40" s="1"/>
  <c r="P130" i="40" a="1"/>
  <c r="P130" i="40" s="1"/>
  <c r="P31" i="40" a="1"/>
  <c r="P31" i="40" s="1"/>
  <c r="P43" i="40" a="1"/>
  <c r="P43" i="40" s="1"/>
  <c r="P36" i="40" a="1"/>
  <c r="P36" i="40" s="1"/>
  <c r="P41" i="40" a="1"/>
  <c r="P41" i="40" s="1"/>
  <c r="P78" i="40" a="1"/>
  <c r="P78" i="40" s="1"/>
  <c r="P174" i="40" a="1"/>
  <c r="P174" i="40" s="1"/>
  <c r="P40" i="40" a="1"/>
  <c r="P40" i="40" s="1"/>
  <c r="P45" i="40" a="1"/>
  <c r="P45" i="40" s="1"/>
  <c r="P66" i="40" a="1"/>
  <c r="P66" i="40" s="1"/>
  <c r="P82" i="40" a="1"/>
  <c r="P82" i="40" s="1"/>
  <c r="Q8" i="40"/>
  <c r="AD168" i="39"/>
  <c r="AE6" i="39"/>
  <c r="AE7" i="39"/>
  <c r="AD13" i="39"/>
  <c r="AC157" i="39"/>
  <c r="AC124" i="39"/>
  <c r="AC85" i="39"/>
  <c r="AT134" i="39"/>
  <c r="AU62" i="39"/>
  <c r="AD84" i="39"/>
  <c r="AD8" i="39"/>
  <c r="AE9" i="39"/>
  <c r="Q58" i="40" l="1" a="1"/>
  <c r="Q58" i="40" s="1"/>
  <c r="Q40" i="40" a="1"/>
  <c r="Q40" i="40" s="1"/>
  <c r="Q49" i="40" a="1"/>
  <c r="Q49" i="40" s="1"/>
  <c r="Q24" i="40" a="1"/>
  <c r="Q24" i="40" s="1"/>
  <c r="Q9" i="40"/>
  <c r="AE13" i="39"/>
  <c r="AF7" i="39"/>
  <c r="AE168" i="39"/>
  <c r="AF6" i="39"/>
  <c r="AD157" i="39"/>
  <c r="AD124" i="39"/>
  <c r="AD85" i="39"/>
  <c r="AE84" i="39"/>
  <c r="AF9" i="39"/>
  <c r="AE8" i="39"/>
  <c r="AU134" i="39"/>
  <c r="AV62" i="39"/>
  <c r="Q78" i="40" l="1" a="1"/>
  <c r="Q78" i="40" s="1"/>
  <c r="Q41" i="40" a="1"/>
  <c r="Q41" i="40" s="1"/>
  <c r="Q42" i="40" a="1"/>
  <c r="Q42" i="40" s="1"/>
  <c r="Q43" i="40" a="1"/>
  <c r="Q43" i="40" s="1"/>
  <c r="Q44" i="40" a="1"/>
  <c r="Q44" i="40" s="1"/>
  <c r="Q66" i="40" a="1"/>
  <c r="Q66" i="40" s="1"/>
  <c r="Q82" i="40" a="1"/>
  <c r="Q82" i="40" s="1"/>
  <c r="Q33" i="40" a="1"/>
  <c r="Q33" i="40" s="1"/>
  <c r="Q54" i="40" a="1"/>
  <c r="Q54" i="40" s="1"/>
  <c r="Q31" i="40" a="1"/>
  <c r="Q31" i="40" s="1"/>
  <c r="Q32" i="40" a="1"/>
  <c r="Q32" i="40" s="1"/>
  <c r="Q174" i="40" a="1"/>
  <c r="Q174" i="40" s="1"/>
  <c r="Q13" i="40" a="1"/>
  <c r="Q13" i="40" s="1"/>
  <c r="Q45" i="40" a="1"/>
  <c r="Q45" i="40" s="1"/>
  <c r="Q36" i="40" a="1"/>
  <c r="Q36" i="40" s="1"/>
  <c r="Q130" i="40" a="1"/>
  <c r="Q130" i="40" s="1"/>
  <c r="R8" i="40"/>
  <c r="AF168" i="39"/>
  <c r="AG6" i="39"/>
  <c r="AF13" i="39"/>
  <c r="AG7" i="39"/>
  <c r="AV134" i="39"/>
  <c r="AW62" i="39"/>
  <c r="AF84" i="39"/>
  <c r="AG9" i="39"/>
  <c r="AF8" i="39"/>
  <c r="AE157" i="39"/>
  <c r="AE124" i="39"/>
  <c r="AE85" i="39"/>
  <c r="R82" i="40" l="1" a="1"/>
  <c r="R82" i="40" s="1"/>
  <c r="R66" i="40" a="1"/>
  <c r="R66" i="40" s="1"/>
  <c r="R41" i="40" a="1"/>
  <c r="R41" i="40" s="1"/>
  <c r="R44" i="40" a="1"/>
  <c r="R44" i="40" s="1"/>
  <c r="R43" i="40" a="1"/>
  <c r="R43" i="40" s="1"/>
  <c r="R9" i="40"/>
  <c r="AW134" i="39"/>
  <c r="AX62" i="39"/>
  <c r="AH7" i="39"/>
  <c r="AG13" i="39"/>
  <c r="AG84" i="39"/>
  <c r="AG8" i="39"/>
  <c r="AH9" i="39"/>
  <c r="AF157" i="39"/>
  <c r="AF124" i="39"/>
  <c r="AF85" i="39"/>
  <c r="AG168" i="39"/>
  <c r="AH6" i="39"/>
  <c r="R174" i="40" l="1" a="1"/>
  <c r="R174" i="40" s="1"/>
  <c r="R31" i="40" a="1"/>
  <c r="R31" i="40" s="1"/>
  <c r="R24" i="40" a="1"/>
  <c r="R24" i="40" s="1"/>
  <c r="R13" i="40" a="1"/>
  <c r="R13" i="40" s="1"/>
  <c r="R32" i="40" a="1"/>
  <c r="R32" i="40" s="1"/>
  <c r="R130" i="40" a="1"/>
  <c r="R130" i="40" s="1"/>
  <c r="R45" i="40" a="1"/>
  <c r="R45" i="40" s="1"/>
  <c r="R36" i="40" a="1"/>
  <c r="R36" i="40" s="1"/>
  <c r="R33" i="40" a="1"/>
  <c r="R33" i="40" s="1"/>
  <c r="R49" i="40" a="1"/>
  <c r="R49" i="40" s="1"/>
  <c r="R42" i="40" a="1"/>
  <c r="R42" i="40" s="1"/>
  <c r="R58" i="40" a="1"/>
  <c r="R58" i="40" s="1"/>
  <c r="R40" i="40" a="1"/>
  <c r="R40" i="40" s="1"/>
  <c r="R54" i="40" a="1"/>
  <c r="R54" i="40" s="1"/>
  <c r="R78" i="40" a="1"/>
  <c r="R78" i="40" s="1"/>
  <c r="S8" i="40"/>
  <c r="AX134" i="39"/>
  <c r="AY62" i="39"/>
  <c r="AG157" i="39"/>
  <c r="AG124" i="39"/>
  <c r="AG85" i="39"/>
  <c r="AH168" i="39"/>
  <c r="AI6" i="39"/>
  <c r="AI7" i="39"/>
  <c r="AH13" i="39"/>
  <c r="AH84" i="39"/>
  <c r="AH8" i="39"/>
  <c r="AI9" i="39"/>
  <c r="S49" i="40" l="1" a="1"/>
  <c r="S49" i="40" s="1"/>
  <c r="S45" i="40" a="1"/>
  <c r="S45" i="40" s="1"/>
  <c r="S33" i="40" a="1"/>
  <c r="S33" i="40" s="1"/>
  <c r="S13" i="40" a="1"/>
  <c r="S13" i="40" s="1"/>
  <c r="S9" i="40"/>
  <c r="AI13" i="39"/>
  <c r="AJ7" i="39"/>
  <c r="AI168" i="39"/>
  <c r="AJ6" i="39"/>
  <c r="AY134" i="39"/>
  <c r="AZ62" i="39"/>
  <c r="AI84" i="39"/>
  <c r="AJ9" i="39"/>
  <c r="AI8" i="39"/>
  <c r="AH157" i="39"/>
  <c r="AH124" i="39"/>
  <c r="AH85" i="39"/>
  <c r="S174" i="40" l="1" a="1"/>
  <c r="S174" i="40" s="1"/>
  <c r="S54" i="40" a="1"/>
  <c r="S54" i="40" s="1"/>
  <c r="S58" i="40" a="1"/>
  <c r="S58" i="40" s="1"/>
  <c r="S32" i="40" a="1"/>
  <c r="S32" i="40" s="1"/>
  <c r="S41" i="40" a="1"/>
  <c r="S41" i="40" s="1"/>
  <c r="S42" i="40" a="1"/>
  <c r="S42" i="40" s="1"/>
  <c r="S36" i="40" a="1"/>
  <c r="S36" i="40" s="1"/>
  <c r="S78" i="40" a="1"/>
  <c r="S78" i="40" s="1"/>
  <c r="S24" i="40" a="1"/>
  <c r="S24" i="40" s="1"/>
  <c r="S31" i="40" a="1"/>
  <c r="S31" i="40" s="1"/>
  <c r="S40" i="40" a="1"/>
  <c r="S40" i="40" s="1"/>
  <c r="S66" i="40" a="1"/>
  <c r="S66" i="40" s="1"/>
  <c r="S82" i="40" a="1"/>
  <c r="S82" i="40" s="1"/>
  <c r="S43" i="40" a="1"/>
  <c r="S43" i="40" s="1"/>
  <c r="S44" i="40" a="1"/>
  <c r="S44" i="40" s="1"/>
  <c r="S130" i="40" a="1"/>
  <c r="S130" i="40" s="1"/>
  <c r="T8" i="40"/>
  <c r="AJ84" i="39"/>
  <c r="AK9" i="39"/>
  <c r="AJ8" i="39"/>
  <c r="AJ168" i="39"/>
  <c r="AK6" i="39"/>
  <c r="AJ13" i="39"/>
  <c r="AK7" i="39"/>
  <c r="AI157" i="39"/>
  <c r="AI124" i="39"/>
  <c r="AI85" i="39"/>
  <c r="AZ134" i="39"/>
  <c r="BA62" i="39"/>
  <c r="T82" i="40" l="1" a="1"/>
  <c r="T82" i="40" s="1"/>
  <c r="T66" i="40" a="1"/>
  <c r="T66" i="40" s="1"/>
  <c r="T49" i="40" a="1"/>
  <c r="T49" i="40" s="1"/>
  <c r="T33" i="40" a="1"/>
  <c r="T33" i="40" s="1"/>
  <c r="T44" i="40" a="1"/>
  <c r="T44" i="40" s="1"/>
  <c r="T43" i="40" a="1"/>
  <c r="T43" i="40" s="1"/>
  <c r="T9" i="40"/>
  <c r="AK84" i="39"/>
  <c r="AK8" i="39"/>
  <c r="AL9" i="39"/>
  <c r="AK168" i="39"/>
  <c r="AL6" i="39"/>
  <c r="AJ157" i="39"/>
  <c r="AJ124" i="39"/>
  <c r="AJ85" i="39"/>
  <c r="BA134" i="39"/>
  <c r="BB62" i="39"/>
  <c r="AL7" i="39"/>
  <c r="AK13" i="39"/>
  <c r="T31" i="40" l="1" a="1"/>
  <c r="T31" i="40" s="1"/>
  <c r="T24" i="40" a="1"/>
  <c r="T24" i="40" s="1"/>
  <c r="T13" i="40" a="1"/>
  <c r="T13" i="40" s="1"/>
  <c r="T32" i="40" a="1"/>
  <c r="T32" i="40" s="1"/>
  <c r="T54" i="40" a="1"/>
  <c r="T54" i="40" s="1"/>
  <c r="T42" i="40" a="1"/>
  <c r="T42" i="40" s="1"/>
  <c r="T174" i="40" a="1"/>
  <c r="T174" i="40" s="1"/>
  <c r="T36" i="40" a="1"/>
  <c r="T36" i="40" s="1"/>
  <c r="T41" i="40" a="1"/>
  <c r="T41" i="40" s="1"/>
  <c r="T58" i="40" a="1"/>
  <c r="T58" i="40" s="1"/>
  <c r="T130" i="40" a="1"/>
  <c r="T130" i="40" s="1"/>
  <c r="T40" i="40" a="1"/>
  <c r="T40" i="40" s="1"/>
  <c r="T45" i="40" a="1"/>
  <c r="T45" i="40" s="1"/>
  <c r="T78" i="40" a="1"/>
  <c r="T78" i="40" s="1"/>
  <c r="U8" i="40"/>
  <c r="AK157" i="39"/>
  <c r="AK124" i="39"/>
  <c r="AK85" i="39"/>
  <c r="AL168" i="39"/>
  <c r="AM6" i="39"/>
  <c r="AM7" i="39"/>
  <c r="AL13" i="39"/>
  <c r="BB134" i="39"/>
  <c r="BC62" i="39"/>
  <c r="AL84" i="39"/>
  <c r="AL8" i="39"/>
  <c r="AM9" i="39"/>
  <c r="U32" i="40" l="1" a="1"/>
  <c r="U32" i="40" s="1"/>
  <c r="U49" i="40" a="1"/>
  <c r="U49" i="40" s="1"/>
  <c r="U33" i="40" a="1"/>
  <c r="U33" i="40" s="1"/>
  <c r="U24" i="40" a="1"/>
  <c r="U24" i="40" s="1"/>
  <c r="U9" i="40"/>
  <c r="AL157" i="39"/>
  <c r="AL124" i="39"/>
  <c r="AL85" i="39"/>
  <c r="BC134" i="39"/>
  <c r="BD62" i="39"/>
  <c r="AM13" i="39"/>
  <c r="AN7" i="39"/>
  <c r="AM84" i="39"/>
  <c r="AN9" i="39"/>
  <c r="AM8" i="39"/>
  <c r="AM168" i="39"/>
  <c r="AN6" i="39"/>
  <c r="U54" i="40" l="1" a="1"/>
  <c r="U54" i="40" s="1"/>
  <c r="U36" i="40" a="1"/>
  <c r="U36" i="40" s="1"/>
  <c r="U66" i="40" a="1"/>
  <c r="U66" i="40" s="1"/>
  <c r="U82" i="40" a="1"/>
  <c r="U82" i="40" s="1"/>
  <c r="U78" i="40" a="1"/>
  <c r="U78" i="40" s="1"/>
  <c r="U130" i="40" a="1"/>
  <c r="U130" i="40" s="1"/>
  <c r="U41" i="40" a="1"/>
  <c r="U41" i="40" s="1"/>
  <c r="U31" i="40" a="1"/>
  <c r="U31" i="40" s="1"/>
  <c r="U42" i="40" a="1"/>
  <c r="U42" i="40" s="1"/>
  <c r="U40" i="40" a="1"/>
  <c r="U40" i="40" s="1"/>
  <c r="U58" i="40" a="1"/>
  <c r="U58" i="40" s="1"/>
  <c r="U174" i="40" a="1"/>
  <c r="U174" i="40" s="1"/>
  <c r="U13" i="40" a="1"/>
  <c r="U13" i="40" s="1"/>
  <c r="U45" i="40" a="1"/>
  <c r="U45" i="40" s="1"/>
  <c r="U43" i="40" a="1"/>
  <c r="U43" i="40" s="1"/>
  <c r="U44" i="40" a="1"/>
  <c r="U44" i="40" s="1"/>
  <c r="V8" i="40"/>
  <c r="AN84" i="39"/>
  <c r="AO9" i="39"/>
  <c r="AN8" i="39"/>
  <c r="AM157" i="39"/>
  <c r="AM124" i="39"/>
  <c r="AM85" i="39"/>
  <c r="AN13" i="39"/>
  <c r="AO7" i="39"/>
  <c r="AN168" i="39"/>
  <c r="AO6" i="39"/>
  <c r="BD134" i="39"/>
  <c r="BE62" i="39"/>
  <c r="V82" i="40" l="1" a="1"/>
  <c r="V82" i="40" s="1"/>
  <c r="V66" i="40" a="1"/>
  <c r="V66" i="40" s="1"/>
  <c r="V41" i="40" a="1"/>
  <c r="V41" i="40" s="1"/>
  <c r="V44" i="40" a="1"/>
  <c r="V44" i="40" s="1"/>
  <c r="V40" i="40" a="1"/>
  <c r="V40" i="40" s="1"/>
  <c r="V31" i="40" a="1"/>
  <c r="V31" i="40" s="1"/>
  <c r="V9" i="40"/>
  <c r="AP7" i="39"/>
  <c r="AO13" i="39"/>
  <c r="BE134" i="39"/>
  <c r="BF62" i="39"/>
  <c r="AO168" i="39"/>
  <c r="AP6" i="39"/>
  <c r="AO84" i="39"/>
  <c r="AO8" i="39"/>
  <c r="AP9" i="39"/>
  <c r="AN157" i="39"/>
  <c r="AN124" i="39"/>
  <c r="AN85" i="39"/>
  <c r="V174" i="40" l="1" a="1"/>
  <c r="V174" i="40" s="1"/>
  <c r="V24" i="40" a="1"/>
  <c r="V24" i="40" s="1"/>
  <c r="V43" i="40" a="1"/>
  <c r="V43" i="40" s="1"/>
  <c r="V13" i="40" a="1"/>
  <c r="V13" i="40" s="1"/>
  <c r="V32" i="40" a="1"/>
  <c r="V32" i="40" s="1"/>
  <c r="V45" i="40" a="1"/>
  <c r="V45" i="40" s="1"/>
  <c r="V36" i="40" a="1"/>
  <c r="V36" i="40" s="1"/>
  <c r="V33" i="40" a="1"/>
  <c r="V33" i="40" s="1"/>
  <c r="V49" i="40" a="1"/>
  <c r="V49" i="40" s="1"/>
  <c r="V42" i="40" a="1"/>
  <c r="V42" i="40" s="1"/>
  <c r="V58" i="40" a="1"/>
  <c r="V58" i="40" s="1"/>
  <c r="V130" i="40" a="1"/>
  <c r="V130" i="40" s="1"/>
  <c r="V54" i="40" a="1"/>
  <c r="V54" i="40" s="1"/>
  <c r="V78" i="40" a="1"/>
  <c r="V78" i="40" s="1"/>
  <c r="W8" i="40"/>
  <c r="AO157" i="39"/>
  <c r="AO124" i="39"/>
  <c r="AO85" i="39"/>
  <c r="BF134" i="39"/>
  <c r="BG62" i="39"/>
  <c r="AP84" i="39"/>
  <c r="AP8" i="39"/>
  <c r="AQ9" i="39"/>
  <c r="AP168" i="39"/>
  <c r="AQ6" i="39"/>
  <c r="AQ7" i="39"/>
  <c r="AP13" i="39"/>
  <c r="W9" i="40" l="1"/>
  <c r="AP157" i="39"/>
  <c r="AP124" i="39"/>
  <c r="AP85" i="39"/>
  <c r="BG134" i="39"/>
  <c r="BH62" i="39"/>
  <c r="AQ13" i="39"/>
  <c r="AR7" i="39"/>
  <c r="AQ168" i="39"/>
  <c r="AR6" i="39"/>
  <c r="AQ84" i="39"/>
  <c r="AR9" i="39"/>
  <c r="AQ8" i="39"/>
  <c r="W82" i="40" l="1" a="1"/>
  <c r="W82" i="40" s="1"/>
  <c r="W31" i="40" a="1"/>
  <c r="W31" i="40" s="1"/>
  <c r="W45" i="40" a="1"/>
  <c r="W45" i="40" s="1"/>
  <c r="W58" i="40" a="1"/>
  <c r="W58" i="40" s="1"/>
  <c r="W36" i="40" a="1"/>
  <c r="W36" i="40" s="1"/>
  <c r="W174" i="40" a="1"/>
  <c r="W174" i="40" s="1"/>
  <c r="W24" i="40" a="1"/>
  <c r="W24" i="40" s="1"/>
  <c r="W32" i="40" a="1"/>
  <c r="W32" i="40" s="1"/>
  <c r="W66" i="40" a="1"/>
  <c r="W66" i="40" s="1"/>
  <c r="W13" i="40" a="1"/>
  <c r="W13" i="40" s="1"/>
  <c r="W33" i="40" a="1"/>
  <c r="W33" i="40" s="1"/>
  <c r="W49" i="40" a="1"/>
  <c r="W49" i="40" s="1"/>
  <c r="W42" i="40" a="1"/>
  <c r="W42" i="40" s="1"/>
  <c r="W40" i="40" a="1"/>
  <c r="W40" i="40" s="1"/>
  <c r="W130" i="40" a="1"/>
  <c r="W130" i="40" s="1"/>
  <c r="W41" i="40" a="1"/>
  <c r="W41" i="40" s="1"/>
  <c r="W43" i="40" a="1"/>
  <c r="W43" i="40" s="1"/>
  <c r="W54" i="40" a="1"/>
  <c r="W54" i="40" s="1"/>
  <c r="W44" i="40" a="1"/>
  <c r="W44" i="40" s="1"/>
  <c r="W78" i="40" a="1"/>
  <c r="W78" i="40" s="1"/>
  <c r="X8" i="40"/>
  <c r="AQ157" i="39"/>
  <c r="AQ124" i="39"/>
  <c r="AQ85" i="39"/>
  <c r="BH134" i="39"/>
  <c r="BI62" i="39"/>
  <c r="AR13" i="39"/>
  <c r="AS7" i="39"/>
  <c r="AR168" i="39"/>
  <c r="AS6" i="39"/>
  <c r="AR84" i="39"/>
  <c r="AS9" i="39"/>
  <c r="AR8" i="39"/>
  <c r="X9" i="40" l="1"/>
  <c r="AS168" i="39"/>
  <c r="AT6" i="39"/>
  <c r="BI134" i="39"/>
  <c r="BJ62" i="39"/>
  <c r="AS84" i="39"/>
  <c r="AS8" i="39"/>
  <c r="AT9" i="39"/>
  <c r="AT7" i="39"/>
  <c r="AS13" i="39"/>
  <c r="AR157" i="39"/>
  <c r="AR124" i="39"/>
  <c r="AR85" i="39"/>
  <c r="X44" i="40" l="1" a="1"/>
  <c r="X44" i="40" s="1"/>
  <c r="X49" i="40" a="1"/>
  <c r="X49" i="40" s="1"/>
  <c r="X31" i="40" a="1"/>
  <c r="X31" i="40" s="1"/>
  <c r="X24" i="40" a="1"/>
  <c r="X24" i="40" s="1"/>
  <c r="X32" i="40" a="1"/>
  <c r="X32" i="40" s="1"/>
  <c r="X54" i="40" a="1"/>
  <c r="X54" i="40" s="1"/>
  <c r="X58" i="40" a="1"/>
  <c r="X58" i="40" s="1"/>
  <c r="X130" i="40" a="1"/>
  <c r="X130" i="40" s="1"/>
  <c r="X174" i="40" a="1"/>
  <c r="X174" i="40" s="1"/>
  <c r="X43" i="40" a="1"/>
  <c r="X43" i="40" s="1"/>
  <c r="X36" i="40" a="1"/>
  <c r="X36" i="40" s="1"/>
  <c r="X41" i="40" a="1"/>
  <c r="X41" i="40" s="1"/>
  <c r="X78" i="40" a="1"/>
  <c r="X78" i="40" s="1"/>
  <c r="X13" i="40" a="1"/>
  <c r="X13" i="40" s="1"/>
  <c r="X33" i="40" a="1"/>
  <c r="X33" i="40" s="1"/>
  <c r="X42" i="40" a="1"/>
  <c r="X42" i="40" s="1"/>
  <c r="X40" i="40" a="1"/>
  <c r="X40" i="40" s="1"/>
  <c r="X45" i="40" a="1"/>
  <c r="X45" i="40" s="1"/>
  <c r="X66" i="40" a="1"/>
  <c r="X66" i="40" s="1"/>
  <c r="X82" i="40" a="1"/>
  <c r="X82" i="40" s="1"/>
  <c r="Y8" i="40"/>
  <c r="AS157" i="39"/>
  <c r="AS124" i="39"/>
  <c r="AS85" i="39"/>
  <c r="BJ134" i="39"/>
  <c r="BK62" i="39"/>
  <c r="AT168" i="39"/>
  <c r="AU6" i="39"/>
  <c r="AT84" i="39"/>
  <c r="AT8" i="39"/>
  <c r="AU9" i="39"/>
  <c r="AU7" i="39"/>
  <c r="AT13" i="39"/>
  <c r="Y82" i="40" l="1" a="1"/>
  <c r="Y82" i="40" s="1"/>
  <c r="Y66" i="40" a="1"/>
  <c r="Y66" i="40" s="1"/>
  <c r="Y36" i="40" a="1"/>
  <c r="Y36" i="40" s="1"/>
  <c r="Y24" i="40" a="1"/>
  <c r="Y24" i="40" s="1"/>
  <c r="Y13" i="40" a="1"/>
  <c r="Y13" i="40" s="1"/>
  <c r="Y54" i="40" a="1"/>
  <c r="Y54" i="40" s="1"/>
  <c r="Y45" i="40" a="1"/>
  <c r="Y45" i="40" s="1"/>
  <c r="Y33" i="40" a="1"/>
  <c r="Y33" i="40" s="1"/>
  <c r="Y9" i="40"/>
  <c r="AU13" i="39"/>
  <c r="AV7" i="39"/>
  <c r="AU84" i="39"/>
  <c r="AV9" i="39"/>
  <c r="AU8" i="39"/>
  <c r="BK134" i="39"/>
  <c r="BL62" i="39"/>
  <c r="AT157" i="39"/>
  <c r="AT124" i="39"/>
  <c r="AT85" i="39"/>
  <c r="AU168" i="39"/>
  <c r="AV6" i="39"/>
  <c r="Y174" i="40" l="1" a="1"/>
  <c r="Y174" i="40" s="1"/>
  <c r="Y41" i="40" a="1"/>
  <c r="Y41" i="40" s="1"/>
  <c r="Y49" i="40" a="1"/>
  <c r="Y49" i="40" s="1"/>
  <c r="Y42" i="40" a="1"/>
  <c r="Y42" i="40" s="1"/>
  <c r="Y40" i="40" a="1"/>
  <c r="Y40" i="40" s="1"/>
  <c r="Y58" i="40" a="1"/>
  <c r="Y58" i="40" s="1"/>
  <c r="Y31" i="40" a="1"/>
  <c r="Y31" i="40" s="1"/>
  <c r="Y43" i="40" a="1"/>
  <c r="Y43" i="40" s="1"/>
  <c r="Y44" i="40" a="1"/>
  <c r="Y44" i="40" s="1"/>
  <c r="Y32" i="40" a="1"/>
  <c r="Y32" i="40" s="1"/>
  <c r="Y78" i="40" a="1"/>
  <c r="Y78" i="40" s="1"/>
  <c r="Y130" i="40" a="1"/>
  <c r="Y130" i="40" s="1"/>
  <c r="Z8" i="40"/>
  <c r="BL134" i="39"/>
  <c r="BM62" i="39"/>
  <c r="AU157" i="39"/>
  <c r="AU124" i="39"/>
  <c r="AU85" i="39"/>
  <c r="AV13" i="39"/>
  <c r="AW7" i="39"/>
  <c r="AV168" i="39"/>
  <c r="AW6" i="39"/>
  <c r="AV84" i="39"/>
  <c r="AW9" i="39"/>
  <c r="AV8" i="39"/>
  <c r="Z82" i="40" l="1" a="1"/>
  <c r="Z82" i="40" s="1"/>
  <c r="Z66" i="40" a="1"/>
  <c r="Z66" i="40" s="1"/>
  <c r="Z45" i="40" a="1"/>
  <c r="Z45" i="40" s="1"/>
  <c r="Z44" i="40" a="1"/>
  <c r="Z44" i="40" s="1"/>
  <c r="C44" i="40" s="1"/>
  <c r="Z43" i="40" a="1"/>
  <c r="Z43" i="40" s="1"/>
  <c r="Z9" i="40"/>
  <c r="BM134" i="39"/>
  <c r="BN62" i="39"/>
  <c r="AX7" i="39"/>
  <c r="AW13" i="39"/>
  <c r="AV157" i="39"/>
  <c r="AV124" i="39"/>
  <c r="AV85" i="39"/>
  <c r="AW84" i="39"/>
  <c r="AW8" i="39"/>
  <c r="AX9" i="39"/>
  <c r="AW168" i="39"/>
  <c r="AX6" i="39"/>
  <c r="Z31" i="40" l="1" a="1"/>
  <c r="Z31" i="40" s="1"/>
  <c r="C31" i="40" s="1"/>
  <c r="Z13" i="40" a="1"/>
  <c r="Z13" i="40" s="1"/>
  <c r="C13" i="40" s="1"/>
  <c r="Z32" i="40" a="1"/>
  <c r="Z32" i="40" s="1"/>
  <c r="C32" i="40" s="1"/>
  <c r="Z33" i="40" a="1"/>
  <c r="Z33" i="40" s="1"/>
  <c r="C33" i="40" s="1"/>
  <c r="Z49" i="40" a="1"/>
  <c r="Z49" i="40" s="1"/>
  <c r="C49" i="40" s="1"/>
  <c r="Z36" i="40" a="1"/>
  <c r="Z36" i="40" s="1"/>
  <c r="C36" i="40" s="1"/>
  <c r="Z54" i="40" a="1"/>
  <c r="Z54" i="40" s="1"/>
  <c r="C54" i="40" s="1"/>
  <c r="Z42" i="40" a="1"/>
  <c r="Z42" i="40" s="1"/>
  <c r="C42" i="40" s="1"/>
  <c r="Z58" i="40" a="1"/>
  <c r="Z58" i="40" s="1"/>
  <c r="C58" i="40" s="1"/>
  <c r="Z174" i="40" a="1"/>
  <c r="Z174" i="40" s="1"/>
  <c r="Z24" i="40" a="1"/>
  <c r="Z24" i="40" s="1"/>
  <c r="C24" i="40" s="1"/>
  <c r="Z40" i="40" a="1"/>
  <c r="Z40" i="40" s="1"/>
  <c r="C40" i="40" s="1"/>
  <c r="Z41" i="40" a="1"/>
  <c r="Z41" i="40" s="1"/>
  <c r="C41" i="40" s="1"/>
  <c r="Z130" i="40" a="1"/>
  <c r="Z130" i="40" s="1"/>
  <c r="C130" i="40" s="1"/>
  <c r="Z78" i="40" a="1"/>
  <c r="Z78" i="40" s="1"/>
  <c r="C45" i="40"/>
  <c r="C43" i="40"/>
  <c r="BN134" i="39"/>
  <c r="BO62" i="39"/>
  <c r="AX168" i="39"/>
  <c r="AY6" i="39"/>
  <c r="AW157" i="39"/>
  <c r="AW124" i="39"/>
  <c r="AW85" i="39"/>
  <c r="AY7" i="39"/>
  <c r="AX13" i="39"/>
  <c r="AX84" i="39"/>
  <c r="AX8" i="39"/>
  <c r="AY9" i="39"/>
  <c r="AY168" i="39" l="1"/>
  <c r="AZ6" i="39"/>
  <c r="AY84" i="39"/>
  <c r="AZ9" i="39"/>
  <c r="AY8" i="39"/>
  <c r="AY13" i="39"/>
  <c r="AZ7" i="39"/>
  <c r="AX157" i="39"/>
  <c r="AX124" i="39"/>
  <c r="AX85" i="39"/>
  <c r="BO134" i="39"/>
  <c r="BP62" i="39"/>
  <c r="AZ84" i="39" l="1"/>
  <c r="BA9" i="39"/>
  <c r="AZ8" i="39"/>
  <c r="AY157" i="39"/>
  <c r="AY124" i="39"/>
  <c r="AY85" i="39"/>
  <c r="AZ168" i="39"/>
  <c r="BA6" i="39"/>
  <c r="BP134" i="39"/>
  <c r="BQ62" i="39"/>
  <c r="AZ13" i="39"/>
  <c r="BA7" i="39"/>
  <c r="BA168" i="39" l="1"/>
  <c r="BB6" i="39"/>
  <c r="BA84" i="39"/>
  <c r="BA8" i="39"/>
  <c r="BB9" i="39"/>
  <c r="BB7" i="39"/>
  <c r="BA13" i="39"/>
  <c r="AZ157" i="39"/>
  <c r="AZ124" i="39"/>
  <c r="AZ85" i="39"/>
  <c r="BQ134" i="39"/>
  <c r="BR62" i="39"/>
  <c r="BA157" i="39" l="1"/>
  <c r="BA124" i="39"/>
  <c r="BA85" i="39"/>
  <c r="BB168" i="39"/>
  <c r="BC6" i="39"/>
  <c r="BR134" i="39"/>
  <c r="BS62" i="39"/>
  <c r="BB84" i="39"/>
  <c r="BB8" i="39"/>
  <c r="BC9" i="39"/>
  <c r="BC7" i="39"/>
  <c r="BB13" i="39"/>
  <c r="BS134" i="39" l="1"/>
  <c r="BT62" i="39"/>
  <c r="BC84" i="39"/>
  <c r="BD9" i="39"/>
  <c r="BC8" i="39"/>
  <c r="BC168" i="39"/>
  <c r="BD6" i="39"/>
  <c r="BC13" i="39"/>
  <c r="BD7" i="39"/>
  <c r="BB157" i="39"/>
  <c r="BB124" i="39"/>
  <c r="BB85" i="39"/>
  <c r="BT134" i="39" l="1"/>
  <c r="BU62" i="39"/>
  <c r="BD13" i="39"/>
  <c r="BE7" i="39"/>
  <c r="BD84" i="39"/>
  <c r="BE9" i="39"/>
  <c r="BD8" i="39"/>
  <c r="BC157" i="39"/>
  <c r="BC124" i="39"/>
  <c r="BC85" i="39"/>
  <c r="BD168" i="39"/>
  <c r="BE6" i="39"/>
  <c r="BE84" i="39" l="1"/>
  <c r="BE8" i="39"/>
  <c r="BF9" i="39"/>
  <c r="BE168" i="39"/>
  <c r="BF6" i="39"/>
  <c r="BD157" i="39"/>
  <c r="BD124" i="39"/>
  <c r="BD85" i="39"/>
  <c r="BU134" i="39"/>
  <c r="BV62" i="39"/>
  <c r="BF7" i="39"/>
  <c r="BE13" i="39"/>
  <c r="BV134" i="39" l="1"/>
  <c r="BW62" i="39"/>
  <c r="BG7" i="39"/>
  <c r="BF13" i="39"/>
  <c r="BF168" i="39"/>
  <c r="BG6" i="39"/>
  <c r="BE157" i="39"/>
  <c r="BE124" i="39"/>
  <c r="BE85" i="39"/>
  <c r="BF84" i="39"/>
  <c r="BF8" i="39"/>
  <c r="BG9" i="39"/>
  <c r="BG13" i="39" l="1"/>
  <c r="BH7" i="39"/>
  <c r="BG84" i="39"/>
  <c r="BH9" i="39"/>
  <c r="BG8" i="39"/>
  <c r="BG168" i="39"/>
  <c r="BH6" i="39"/>
  <c r="BF157" i="39"/>
  <c r="BF124" i="39"/>
  <c r="BF85" i="39"/>
  <c r="BW134" i="39"/>
  <c r="BX62" i="39"/>
  <c r="BH13" i="39" l="1"/>
  <c r="BI7" i="39"/>
  <c r="BH84" i="39"/>
  <c r="BI9" i="39"/>
  <c r="BH8" i="39"/>
  <c r="BH168" i="39"/>
  <c r="BI6" i="39"/>
  <c r="BG157" i="39"/>
  <c r="BG124" i="39"/>
  <c r="BG85" i="39"/>
  <c r="BX134" i="39"/>
  <c r="BY62" i="39"/>
  <c r="BJ7" i="39" l="1"/>
  <c r="BI13" i="39"/>
  <c r="BI168" i="39"/>
  <c r="BJ6" i="39"/>
  <c r="BI84" i="39"/>
  <c r="BI8" i="39"/>
  <c r="BJ9" i="39"/>
  <c r="BY134" i="39"/>
  <c r="BZ62" i="39"/>
  <c r="BH157" i="39"/>
  <c r="BH124" i="39"/>
  <c r="BH85" i="39"/>
  <c r="BI157" i="39" l="1"/>
  <c r="BI124" i="39"/>
  <c r="BI85" i="39"/>
  <c r="BJ84" i="39"/>
  <c r="BJ8" i="39"/>
  <c r="BK9" i="39"/>
  <c r="BK7" i="39"/>
  <c r="BJ13" i="39"/>
  <c r="BZ134" i="39"/>
  <c r="CA62" i="39"/>
  <c r="BJ168" i="39"/>
  <c r="BK6" i="39"/>
  <c r="BK168" i="39" l="1"/>
  <c r="BL6" i="39"/>
  <c r="BK84" i="39"/>
  <c r="BL9" i="39"/>
  <c r="BK8" i="39"/>
  <c r="CA134" i="39"/>
  <c r="CB62" i="39"/>
  <c r="BK13" i="39"/>
  <c r="BL7" i="39"/>
  <c r="BJ157" i="39"/>
  <c r="BJ124" i="39"/>
  <c r="BJ85" i="39"/>
  <c r="CB134" i="39" l="1"/>
  <c r="CC62" i="39"/>
  <c r="BK157" i="39"/>
  <c r="BK124" i="39"/>
  <c r="BK85" i="39"/>
  <c r="BL168" i="39"/>
  <c r="BM6" i="39"/>
  <c r="BL13" i="39"/>
  <c r="BM7" i="39"/>
  <c r="BL84" i="39"/>
  <c r="BM9" i="39"/>
  <c r="BL8" i="39"/>
  <c r="CC134" i="39" l="1"/>
  <c r="CD62" i="39"/>
  <c r="BM168" i="39"/>
  <c r="BN6" i="39"/>
  <c r="BM84" i="39"/>
  <c r="BM8" i="39"/>
  <c r="BN9" i="39"/>
  <c r="BN7" i="39"/>
  <c r="BM13" i="39"/>
  <c r="BL157" i="39"/>
  <c r="BL124" i="39"/>
  <c r="BL85" i="39"/>
  <c r="BM157" i="39" l="1"/>
  <c r="BM124" i="39"/>
  <c r="BM85" i="39"/>
  <c r="BN168" i="39"/>
  <c r="BO6" i="39"/>
  <c r="BO7" i="39"/>
  <c r="BN13" i="39"/>
  <c r="BN84" i="39"/>
  <c r="BN8" i="39"/>
  <c r="BO9" i="39"/>
  <c r="CD134" i="39"/>
  <c r="CE62" i="39"/>
  <c r="BO84" i="39" l="1"/>
  <c r="BP9" i="39"/>
  <c r="BO8" i="39"/>
  <c r="CE134" i="39"/>
  <c r="CF62" i="39"/>
  <c r="BO13" i="39"/>
  <c r="BP7" i="39"/>
  <c r="BN157" i="39"/>
  <c r="BN124" i="39"/>
  <c r="BN85" i="39"/>
  <c r="BO168" i="39"/>
  <c r="BP6" i="39"/>
  <c r="CF134" i="39" l="1"/>
  <c r="CG62" i="39"/>
  <c r="BO157" i="39"/>
  <c r="BO124" i="39"/>
  <c r="BO85" i="39"/>
  <c r="BP13" i="39"/>
  <c r="BQ7" i="39"/>
  <c r="BP168" i="39"/>
  <c r="BQ6" i="39"/>
  <c r="BP84" i="39"/>
  <c r="BQ9" i="39"/>
  <c r="BP8" i="39"/>
  <c r="BQ168" i="39" l="1"/>
  <c r="BR6" i="39"/>
  <c r="BQ84" i="39"/>
  <c r="BQ8" i="39"/>
  <c r="BR9" i="39"/>
  <c r="BR7" i="39"/>
  <c r="BQ13" i="39"/>
  <c r="CG134" i="39"/>
  <c r="CH62" i="39"/>
  <c r="BP157" i="39"/>
  <c r="BP124" i="39"/>
  <c r="BP85" i="39"/>
  <c r="CH134" i="39" l="1"/>
  <c r="CI62" i="39"/>
  <c r="BR84" i="39"/>
  <c r="BR8" i="39"/>
  <c r="BS9" i="39"/>
  <c r="BS7" i="39"/>
  <c r="BR13" i="39"/>
  <c r="BR168" i="39"/>
  <c r="BS6" i="39"/>
  <c r="BQ157" i="39"/>
  <c r="BQ124" i="39"/>
  <c r="BQ85" i="39"/>
  <c r="BR157" i="39" l="1"/>
  <c r="BR124" i="39"/>
  <c r="BR85" i="39"/>
  <c r="BS13" i="39"/>
  <c r="BT7" i="39"/>
  <c r="BS84" i="39"/>
  <c r="BT9" i="39"/>
  <c r="BS8" i="39"/>
  <c r="CI134" i="39"/>
  <c r="CJ62" i="39"/>
  <c r="BS168" i="39"/>
  <c r="BT6" i="39"/>
  <c r="BT168" i="39" l="1"/>
  <c r="BU6" i="39"/>
  <c r="BT13" i="39"/>
  <c r="BU7" i="39"/>
  <c r="CJ134" i="39"/>
  <c r="CK62" i="39"/>
  <c r="BT84" i="39"/>
  <c r="BU9" i="39"/>
  <c r="BT8" i="39"/>
  <c r="BS157" i="39"/>
  <c r="BS124" i="39"/>
  <c r="BS85" i="39"/>
  <c r="BV7" i="39" l="1"/>
  <c r="BU13" i="39"/>
  <c r="BT157" i="39"/>
  <c r="BT124" i="39"/>
  <c r="BT85" i="39"/>
  <c r="BU84" i="39"/>
  <c r="BU8" i="39"/>
  <c r="BV9" i="39"/>
  <c r="CK134" i="39"/>
  <c r="CL62" i="39"/>
  <c r="BU168" i="39"/>
  <c r="BV6" i="39"/>
  <c r="BV84" i="39" l="1"/>
  <c r="BV8" i="39"/>
  <c r="BW9" i="39"/>
  <c r="BV168" i="39"/>
  <c r="BW6" i="39"/>
  <c r="CL134" i="39"/>
  <c r="CM62" i="39"/>
  <c r="BU157" i="39"/>
  <c r="BU124" i="39"/>
  <c r="BU85" i="39"/>
  <c r="BW7" i="39"/>
  <c r="BV13" i="39"/>
  <c r="BW13" i="39" l="1"/>
  <c r="BX7" i="39"/>
  <c r="BW84" i="39"/>
  <c r="BX9" i="39"/>
  <c r="BW8" i="39"/>
  <c r="CM134" i="39"/>
  <c r="CN62" i="39"/>
  <c r="BW168" i="39"/>
  <c r="BX6" i="39"/>
  <c r="BV157" i="39"/>
  <c r="BV124" i="39"/>
  <c r="BV85" i="39"/>
  <c r="BX84" i="39" l="1"/>
  <c r="BY9" i="39"/>
  <c r="BX8" i="39"/>
  <c r="BX13" i="39"/>
  <c r="BY7" i="39"/>
  <c r="BX168" i="39"/>
  <c r="BY6" i="39"/>
  <c r="CN134" i="39"/>
  <c r="CO62" i="39"/>
  <c r="C62" i="39"/>
  <c r="BW157" i="39"/>
  <c r="BW124" i="39"/>
  <c r="BW85" i="39"/>
  <c r="BY84" i="39" l="1"/>
  <c r="BY8" i="39"/>
  <c r="BZ9" i="39"/>
  <c r="C134" i="39"/>
  <c r="BX157" i="39"/>
  <c r="BX124" i="39"/>
  <c r="BX85" i="39"/>
  <c r="BZ7" i="39"/>
  <c r="BY13" i="39"/>
  <c r="BY168" i="39"/>
  <c r="BZ6" i="39"/>
  <c r="BZ84" i="39" l="1"/>
  <c r="BZ8" i="39"/>
  <c r="CA9" i="39"/>
  <c r="BZ168" i="39"/>
  <c r="CA6" i="39"/>
  <c r="CA7" i="39"/>
  <c r="BZ13" i="39"/>
  <c r="BY157" i="39"/>
  <c r="BY124" i="39"/>
  <c r="BY85" i="39"/>
  <c r="BZ157" i="39" l="1"/>
  <c r="BZ124" i="39"/>
  <c r="BZ85" i="39"/>
  <c r="CA168" i="39"/>
  <c r="CB6" i="39"/>
  <c r="CA13" i="39"/>
  <c r="CB7" i="39"/>
  <c r="CA84" i="39"/>
  <c r="CB9" i="39"/>
  <c r="CA8" i="39"/>
  <c r="CB84" i="39" l="1"/>
  <c r="CC9" i="39"/>
  <c r="CB8" i="39"/>
  <c r="CB168" i="39"/>
  <c r="CC6" i="39"/>
  <c r="CA157" i="39"/>
  <c r="CA124" i="39"/>
  <c r="CA85" i="39"/>
  <c r="CB13" i="39"/>
  <c r="CC7" i="39"/>
  <c r="CC84" i="39" l="1"/>
  <c r="CC8" i="39"/>
  <c r="CD9" i="39"/>
  <c r="CC168" i="39"/>
  <c r="CD6" i="39"/>
  <c r="CB157" i="39"/>
  <c r="CB124" i="39"/>
  <c r="CB85" i="39"/>
  <c r="CD7" i="39"/>
  <c r="CC13" i="39"/>
  <c r="CC157" i="39" l="1"/>
  <c r="CC124" i="39"/>
  <c r="CC85" i="39"/>
  <c r="CE7" i="39"/>
  <c r="CD13" i="39"/>
  <c r="CD168" i="39"/>
  <c r="CE6" i="39"/>
  <c r="CD84" i="39"/>
  <c r="CD8" i="39"/>
  <c r="CE9" i="39"/>
  <c r="CE84" i="39" l="1"/>
  <c r="CF9" i="39"/>
  <c r="CE8" i="39"/>
  <c r="CD157" i="39"/>
  <c r="CD124" i="39"/>
  <c r="CD85" i="39"/>
  <c r="CE13" i="39"/>
  <c r="CF7" i="39"/>
  <c r="CE168" i="39"/>
  <c r="CF6" i="39"/>
  <c r="CE157" i="39" l="1"/>
  <c r="CE124" i="39"/>
  <c r="CE85" i="39"/>
  <c r="CF168" i="39"/>
  <c r="CG6" i="39"/>
  <c r="CF13" i="39"/>
  <c r="CG7" i="39"/>
  <c r="CF84" i="39"/>
  <c r="CG9" i="39"/>
  <c r="CF8" i="39"/>
  <c r="CG168" i="39" l="1"/>
  <c r="CH6" i="39"/>
  <c r="CG84" i="39"/>
  <c r="CG8" i="39"/>
  <c r="CH9" i="39"/>
  <c r="CH7" i="39"/>
  <c r="CG13" i="39"/>
  <c r="CF157" i="39"/>
  <c r="CF124" i="39"/>
  <c r="CF85" i="39"/>
  <c r="CH84" i="39" l="1"/>
  <c r="CH8" i="39"/>
  <c r="CI9" i="39"/>
  <c r="CH168" i="39"/>
  <c r="CI6" i="39"/>
  <c r="CI7" i="39"/>
  <c r="CH13" i="39"/>
  <c r="CG157" i="39"/>
  <c r="CG124" i="39"/>
  <c r="CG85" i="39"/>
  <c r="CI168" i="39" l="1"/>
  <c r="CJ6" i="39"/>
  <c r="CH157" i="39"/>
  <c r="CH124" i="39"/>
  <c r="CH85" i="39"/>
  <c r="CI13" i="39"/>
  <c r="CJ7" i="39"/>
  <c r="CI84" i="39"/>
  <c r="CJ9" i="39"/>
  <c r="CI8" i="39"/>
  <c r="CJ168" i="39" l="1"/>
  <c r="CK6" i="39"/>
  <c r="CJ84" i="39"/>
  <c r="CK9" i="39"/>
  <c r="CJ8" i="39"/>
  <c r="CJ13" i="39"/>
  <c r="CK7" i="39"/>
  <c r="CI157" i="39"/>
  <c r="CI124" i="39"/>
  <c r="CI85" i="39"/>
  <c r="CK84" i="39" l="1"/>
  <c r="CK8" i="39"/>
  <c r="CL9" i="39"/>
  <c r="CL7" i="39"/>
  <c r="CK13" i="39"/>
  <c r="CJ157" i="39"/>
  <c r="CJ124" i="39"/>
  <c r="CJ85" i="39"/>
  <c r="CK168" i="39"/>
  <c r="CL6" i="39"/>
  <c r="CM7" i="39" l="1"/>
  <c r="CL13" i="39"/>
  <c r="CK157" i="39"/>
  <c r="CK124" i="39"/>
  <c r="CK85" i="39"/>
  <c r="CL168" i="39"/>
  <c r="CM6" i="39"/>
  <c r="CL84" i="39"/>
  <c r="CL8" i="39"/>
  <c r="CM9" i="39"/>
  <c r="CL157" i="39" l="1"/>
  <c r="CL124" i="39"/>
  <c r="CL85" i="39"/>
  <c r="CM84" i="39"/>
  <c r="CN9" i="39"/>
  <c r="CM8" i="39"/>
  <c r="CM13" i="39"/>
  <c r="CN7" i="39"/>
  <c r="CM168" i="39"/>
  <c r="CN6" i="39"/>
  <c r="CM157" i="39" l="1"/>
  <c r="CM124" i="39"/>
  <c r="CM85" i="39"/>
  <c r="CN168" i="39"/>
  <c r="CO6" i="39"/>
  <c r="CN13" i="39"/>
  <c r="CO7" i="39"/>
  <c r="CO13" i="39" s="1"/>
  <c r="CN84" i="39"/>
  <c r="CN8" i="39"/>
  <c r="CO8" i="39" s="1"/>
  <c r="C13" i="39" l="1"/>
  <c r="CO109" i="39"/>
  <c r="CN157" i="39"/>
  <c r="CN124" i="39"/>
  <c r="CN85" i="39"/>
  <c r="C125" i="39" l="1" a="1"/>
  <c r="C123" i="39" l="1" a="1"/>
  <c r="C104" i="39" a="1"/>
  <c r="C102" i="39" l="1" a="1"/>
  <c r="C111" i="39" l="1" a="1"/>
  <c r="B20" i="4" l="1"/>
  <c r="B21" i="4"/>
  <c r="B22" i="4"/>
  <c r="B23" i="4"/>
  <c r="B19" i="4"/>
  <c r="F7" i="4"/>
  <c r="E32" i="31"/>
  <c r="F32" i="31"/>
  <c r="G32" i="31"/>
  <c r="H32" i="31"/>
  <c r="I32" i="31"/>
  <c r="J32" i="31"/>
  <c r="W83" i="4" l="1"/>
  <c r="X83" i="4"/>
  <c r="Y83" i="4"/>
  <c r="Z83" i="4"/>
  <c r="E54" i="13"/>
  <c r="E56" i="13" s="1"/>
  <c r="F54" i="13"/>
  <c r="F56" i="13" s="1"/>
  <c r="G54" i="13"/>
  <c r="G56" i="13" s="1"/>
  <c r="H54" i="13"/>
  <c r="H56" i="13" s="1"/>
  <c r="I54" i="13"/>
  <c r="I56" i="13" s="1"/>
  <c r="J54" i="13"/>
  <c r="J56" i="13" s="1"/>
  <c r="K54" i="13"/>
  <c r="K56" i="13" s="1"/>
  <c r="L54" i="13"/>
  <c r="L55" i="13" s="1"/>
  <c r="L57" i="13" s="1"/>
  <c r="M54" i="13"/>
  <c r="M56" i="13" s="1"/>
  <c r="N54" i="13"/>
  <c r="N56" i="13" s="1"/>
  <c r="O54" i="13"/>
  <c r="O56" i="13" s="1"/>
  <c r="P54" i="13"/>
  <c r="P56" i="13" s="1"/>
  <c r="Q54" i="13"/>
  <c r="Q56" i="13" s="1"/>
  <c r="R54" i="13"/>
  <c r="R56" i="13" s="1"/>
  <c r="S54" i="13"/>
  <c r="S56" i="13" s="1"/>
  <c r="T54" i="13"/>
  <c r="T56" i="13" s="1"/>
  <c r="U54" i="13"/>
  <c r="U55" i="13" s="1"/>
  <c r="U57" i="13" s="1"/>
  <c r="V54" i="13"/>
  <c r="V56" i="13" s="1"/>
  <c r="W54" i="13"/>
  <c r="W56" i="13" s="1"/>
  <c r="X54" i="13"/>
  <c r="X56" i="13" s="1"/>
  <c r="Y54" i="13"/>
  <c r="Y56" i="13" s="1"/>
  <c r="Z54" i="13"/>
  <c r="Z56" i="13" s="1"/>
  <c r="AA54" i="13"/>
  <c r="AA56" i="13" s="1"/>
  <c r="D54" i="13"/>
  <c r="D55" i="13" s="1"/>
  <c r="D57" i="13" s="1"/>
  <c r="AG7" i="13"/>
  <c r="AH7" i="13"/>
  <c r="AI7" i="13"/>
  <c r="AJ7" i="13"/>
  <c r="AK7" i="13"/>
  <c r="AL7" i="13"/>
  <c r="AM7" i="13"/>
  <c r="AN7" i="13"/>
  <c r="AO7" i="13"/>
  <c r="AP7" i="13"/>
  <c r="AQ7" i="13"/>
  <c r="AR7" i="13"/>
  <c r="AS7" i="13"/>
  <c r="AT7" i="13"/>
  <c r="AU7" i="13"/>
  <c r="AV7" i="13"/>
  <c r="AW7" i="13"/>
  <c r="AX7" i="13"/>
  <c r="AY7" i="13"/>
  <c r="AZ7" i="13"/>
  <c r="BA7" i="13"/>
  <c r="BB7" i="13"/>
  <c r="BC7" i="13"/>
  <c r="AF7" i="13"/>
  <c r="L23" i="36"/>
  <c r="L21" i="36"/>
  <c r="M21" i="36"/>
  <c r="N24" i="36"/>
  <c r="I20" i="36"/>
  <c r="H20" i="36"/>
  <c r="G20" i="36"/>
  <c r="F20" i="36"/>
  <c r="N19" i="36"/>
  <c r="C17" i="36"/>
  <c r="D17" i="36" s="1"/>
  <c r="M4" i="36"/>
  <c r="M23" i="36" s="1"/>
  <c r="L4" i="36"/>
  <c r="K4" i="36"/>
  <c r="K23" i="36" s="1"/>
  <c r="Y53" i="39" s="1"/>
  <c r="AC53" i="39" s="1"/>
  <c r="AG53" i="39" s="1"/>
  <c r="AK53" i="39" s="1"/>
  <c r="AO53" i="39" s="1"/>
  <c r="AS53" i="39" s="1"/>
  <c r="AW53" i="39" s="1"/>
  <c r="BA53" i="39" s="1"/>
  <c r="BE53" i="39" s="1"/>
  <c r="BI53" i="39" s="1"/>
  <c r="BM53" i="39" s="1"/>
  <c r="BQ53" i="39" s="1"/>
  <c r="BU53" i="39" s="1"/>
  <c r="BY53" i="39" s="1"/>
  <c r="CC53" i="39" s="1"/>
  <c r="CG53" i="39" s="1"/>
  <c r="CK53" i="39" s="1"/>
  <c r="CO53" i="39" s="1"/>
  <c r="J4" i="36"/>
  <c r="J23" i="36" s="1"/>
  <c r="I4" i="36"/>
  <c r="I23" i="36" s="1"/>
  <c r="H4" i="36"/>
  <c r="H23" i="36" s="1"/>
  <c r="G4" i="36"/>
  <c r="G23" i="36" s="1"/>
  <c r="F4" i="36"/>
  <c r="F23" i="36" s="1"/>
  <c r="E4" i="36"/>
  <c r="E23" i="36" s="1"/>
  <c r="D4" i="36"/>
  <c r="D23" i="36" s="1"/>
  <c r="C4" i="36"/>
  <c r="C23" i="36" s="1"/>
  <c r="B4" i="36"/>
  <c r="B23" i="36" s="1"/>
  <c r="E43" i="38"/>
  <c r="F43" i="38"/>
  <c r="E33" i="38"/>
  <c r="F33" i="38"/>
  <c r="E4" i="38"/>
  <c r="F4" i="38"/>
  <c r="E5" i="38"/>
  <c r="F5" i="38"/>
  <c r="E31" i="38"/>
  <c r="F31" i="38"/>
  <c r="E34" i="38"/>
  <c r="F34" i="38"/>
  <c r="E35" i="38"/>
  <c r="F35" i="38"/>
  <c r="E36" i="38"/>
  <c r="F36" i="38"/>
  <c r="E37" i="38"/>
  <c r="F37" i="38"/>
  <c r="E39" i="38"/>
  <c r="F39" i="38"/>
  <c r="E41" i="38"/>
  <c r="F41" i="38"/>
  <c r="E44" i="38"/>
  <c r="F44" i="38"/>
  <c r="E45" i="38"/>
  <c r="F45" i="38"/>
  <c r="E46" i="38"/>
  <c r="F46" i="38"/>
  <c r="E47" i="38"/>
  <c r="F47" i="38"/>
  <c r="E48" i="38"/>
  <c r="F48" i="38"/>
  <c r="E49" i="38"/>
  <c r="F49" i="38"/>
  <c r="E50" i="38"/>
  <c r="F50" i="38"/>
  <c r="E51" i="38"/>
  <c r="F51" i="38"/>
  <c r="E52" i="38"/>
  <c r="F52" i="38"/>
  <c r="E53" i="38"/>
  <c r="F53" i="38"/>
  <c r="E54" i="38"/>
  <c r="F54" i="38"/>
  <c r="E55" i="38"/>
  <c r="F55" i="38"/>
  <c r="E57" i="38"/>
  <c r="F57" i="38"/>
  <c r="E58" i="38"/>
  <c r="F58" i="38"/>
  <c r="E60" i="38"/>
  <c r="F60" i="38"/>
  <c r="E61" i="38"/>
  <c r="F61" i="38"/>
  <c r="E28" i="38"/>
  <c r="F28" i="38"/>
  <c r="E30" i="38"/>
  <c r="F30" i="38"/>
  <c r="E23" i="38"/>
  <c r="F23" i="38"/>
  <c r="E25" i="38"/>
  <c r="F25" i="38"/>
  <c r="E26" i="38"/>
  <c r="F26" i="38"/>
  <c r="E18" i="38"/>
  <c r="F18" i="38"/>
  <c r="E19" i="38"/>
  <c r="F19" i="38"/>
  <c r="E20" i="38"/>
  <c r="F20" i="38"/>
  <c r="E21" i="38"/>
  <c r="F21" i="38"/>
  <c r="E22" i="38"/>
  <c r="F22" i="38"/>
  <c r="E16" i="38"/>
  <c r="F16" i="38"/>
  <c r="E13" i="38"/>
  <c r="F13" i="38"/>
  <c r="D11" i="38"/>
  <c r="F11" i="38" s="1"/>
  <c r="E9" i="38"/>
  <c r="F9" i="38"/>
  <c r="B167" i="8"/>
  <c r="F14" i="38"/>
  <c r="E14" i="38"/>
  <c r="F10" i="38"/>
  <c r="E10" i="38"/>
  <c r="F7" i="38"/>
  <c r="E7" i="38"/>
  <c r="F3" i="38"/>
  <c r="E3" i="38"/>
  <c r="F327" i="37"/>
  <c r="F326" i="37"/>
  <c r="F325" i="37"/>
  <c r="G323" i="37"/>
  <c r="F323" i="37"/>
  <c r="E323" i="37"/>
  <c r="F322" i="37"/>
  <c r="E322" i="37"/>
  <c r="G322" i="37" s="1"/>
  <c r="F320" i="37"/>
  <c r="E320" i="37"/>
  <c r="G320" i="37" s="1"/>
  <c r="G319" i="37"/>
  <c r="F319" i="37"/>
  <c r="E319" i="37"/>
  <c r="G318" i="37"/>
  <c r="F318" i="37"/>
  <c r="E318" i="37"/>
  <c r="G317" i="37"/>
  <c r="F317" i="37"/>
  <c r="E317" i="37"/>
  <c r="F316" i="37"/>
  <c r="E316" i="37"/>
  <c r="G316" i="37" s="1"/>
  <c r="F314" i="37"/>
  <c r="E314" i="37"/>
  <c r="G314" i="37" s="1"/>
  <c r="G313" i="37"/>
  <c r="F313" i="37"/>
  <c r="E313" i="37"/>
  <c r="F312" i="37"/>
  <c r="E312" i="37"/>
  <c r="G312" i="37" s="1"/>
  <c r="F311" i="37"/>
  <c r="E311" i="37"/>
  <c r="G311" i="37" s="1"/>
  <c r="G310" i="37"/>
  <c r="F310" i="37"/>
  <c r="E310" i="37"/>
  <c r="G309" i="37"/>
  <c r="F309" i="37"/>
  <c r="E309" i="37"/>
  <c r="G308" i="37"/>
  <c r="F308" i="37"/>
  <c r="E308" i="37"/>
  <c r="F307" i="37"/>
  <c r="E307" i="37"/>
  <c r="G307" i="37" s="1"/>
  <c r="F306" i="37"/>
  <c r="E306" i="37"/>
  <c r="G306" i="37" s="1"/>
  <c r="G305" i="37"/>
  <c r="F305" i="37"/>
  <c r="E305" i="37"/>
  <c r="F304" i="37"/>
  <c r="E304" i="37"/>
  <c r="G304" i="37" s="1"/>
  <c r="F302" i="37"/>
  <c r="E302" i="37"/>
  <c r="G302" i="37" s="1"/>
  <c r="G300" i="37"/>
  <c r="F300" i="37"/>
  <c r="E300" i="37"/>
  <c r="G299" i="37"/>
  <c r="F299" i="37"/>
  <c r="E299" i="37"/>
  <c r="G297" i="37"/>
  <c r="F297" i="37"/>
  <c r="E297" i="37"/>
  <c r="F296" i="37"/>
  <c r="E296" i="37"/>
  <c r="G296" i="37" s="1"/>
  <c r="F295" i="37"/>
  <c r="E295" i="37"/>
  <c r="G295" i="37" s="1"/>
  <c r="G293" i="37"/>
  <c r="F293" i="37"/>
  <c r="E293" i="37"/>
  <c r="F292" i="37"/>
  <c r="E292" i="37"/>
  <c r="G292" i="37" s="1"/>
  <c r="F289" i="37"/>
  <c r="E289" i="37"/>
  <c r="G289" i="37" s="1"/>
  <c r="F287" i="37"/>
  <c r="E287" i="37"/>
  <c r="G287" i="37" s="1"/>
  <c r="F286" i="37"/>
  <c r="G286" i="37" s="1"/>
  <c r="E286" i="37"/>
  <c r="F284" i="37"/>
  <c r="E284" i="37"/>
  <c r="G284" i="37" s="1"/>
  <c r="F282" i="37"/>
  <c r="E282" i="37"/>
  <c r="G282" i="37" s="1"/>
  <c r="G280" i="37"/>
  <c r="F280" i="37"/>
  <c r="E280" i="37"/>
  <c r="G278" i="37"/>
  <c r="F278" i="37"/>
  <c r="E278" i="37"/>
  <c r="B276" i="37"/>
  <c r="F272" i="37"/>
  <c r="F271" i="37"/>
  <c r="F270" i="37"/>
  <c r="G268" i="37"/>
  <c r="F268" i="37"/>
  <c r="E268" i="37"/>
  <c r="F267" i="37"/>
  <c r="E267" i="37"/>
  <c r="G267" i="37" s="1"/>
  <c r="F266" i="37"/>
  <c r="E266" i="37"/>
  <c r="G266" i="37" s="1"/>
  <c r="F264" i="37"/>
  <c r="G264" i="37" s="1"/>
  <c r="E264" i="37"/>
  <c r="F263" i="37"/>
  <c r="E263" i="37"/>
  <c r="G263" i="37" s="1"/>
  <c r="F262" i="37"/>
  <c r="E262" i="37"/>
  <c r="G262" i="37" s="1"/>
  <c r="G261" i="37"/>
  <c r="F261" i="37"/>
  <c r="E261" i="37"/>
  <c r="G260" i="37"/>
  <c r="F260" i="37"/>
  <c r="E260" i="37"/>
  <c r="G259" i="37"/>
  <c r="F259" i="37"/>
  <c r="E259" i="37"/>
  <c r="F257" i="37"/>
  <c r="E257" i="37"/>
  <c r="G257" i="37" s="1"/>
  <c r="F256" i="37"/>
  <c r="E256" i="37"/>
  <c r="G256" i="37" s="1"/>
  <c r="F255" i="37"/>
  <c r="G255" i="37" s="1"/>
  <c r="E255" i="37"/>
  <c r="F254" i="37"/>
  <c r="E254" i="37"/>
  <c r="G254" i="37" s="1"/>
  <c r="F253" i="37"/>
  <c r="E253" i="37"/>
  <c r="G253" i="37" s="1"/>
  <c r="G252" i="37"/>
  <c r="F252" i="37"/>
  <c r="E252" i="37"/>
  <c r="G251" i="37"/>
  <c r="F251" i="37"/>
  <c r="E251" i="37"/>
  <c r="G250" i="37"/>
  <c r="F250" i="37"/>
  <c r="E250" i="37"/>
  <c r="F249" i="37"/>
  <c r="E249" i="37"/>
  <c r="G249" i="37" s="1"/>
  <c r="F248" i="37"/>
  <c r="E248" i="37"/>
  <c r="G248" i="37" s="1"/>
  <c r="G247" i="37"/>
  <c r="F247" i="37"/>
  <c r="E247" i="37"/>
  <c r="F246" i="37"/>
  <c r="E246" i="37"/>
  <c r="G246" i="37" s="1"/>
  <c r="F245" i="37"/>
  <c r="E245" i="37"/>
  <c r="G245" i="37" s="1"/>
  <c r="G244" i="37"/>
  <c r="F244" i="37"/>
  <c r="E244" i="37"/>
  <c r="G243" i="37"/>
  <c r="F243" i="37"/>
  <c r="E243" i="37"/>
  <c r="G242" i="37"/>
  <c r="F242" i="37"/>
  <c r="E242" i="37"/>
  <c r="F240" i="37"/>
  <c r="E240" i="37"/>
  <c r="G240" i="37" s="1"/>
  <c r="F238" i="37"/>
  <c r="E238" i="37"/>
  <c r="G238" i="37" s="1"/>
  <c r="G237" i="37"/>
  <c r="F237" i="37"/>
  <c r="E237" i="37"/>
  <c r="F235" i="37"/>
  <c r="E235" i="37"/>
  <c r="G235" i="37" s="1"/>
  <c r="F234" i="37"/>
  <c r="E234" i="37"/>
  <c r="G234" i="37" s="1"/>
  <c r="G233" i="37"/>
  <c r="F233" i="37"/>
  <c r="E233" i="37"/>
  <c r="G232" i="37"/>
  <c r="F232" i="37"/>
  <c r="E232" i="37"/>
  <c r="G231" i="37"/>
  <c r="F231" i="37"/>
  <c r="E231" i="37"/>
  <c r="F230" i="37"/>
  <c r="E230" i="37"/>
  <c r="G230" i="37" s="1"/>
  <c r="F228" i="37"/>
  <c r="E228" i="37"/>
  <c r="G228" i="37" s="1"/>
  <c r="G227" i="37"/>
  <c r="F227" i="37"/>
  <c r="E227" i="37"/>
  <c r="F226" i="37"/>
  <c r="E226" i="37"/>
  <c r="G226" i="37" s="1"/>
  <c r="F225" i="37"/>
  <c r="E225" i="37"/>
  <c r="G225" i="37" s="1"/>
  <c r="G224" i="37"/>
  <c r="F224" i="37"/>
  <c r="E224" i="37"/>
  <c r="G223" i="37"/>
  <c r="F223" i="37"/>
  <c r="E223" i="37"/>
  <c r="F221" i="37"/>
  <c r="E221" i="37"/>
  <c r="G221" i="37" s="1"/>
  <c r="F219" i="37"/>
  <c r="E219" i="37"/>
  <c r="G219" i="37" s="1"/>
  <c r="G218" i="37"/>
  <c r="F218" i="37"/>
  <c r="E218" i="37"/>
  <c r="G216" i="37"/>
  <c r="F216" i="37"/>
  <c r="E216" i="37"/>
  <c r="G215" i="37"/>
  <c r="F215" i="37"/>
  <c r="E215" i="37"/>
  <c r="F213" i="37"/>
  <c r="E213" i="37"/>
  <c r="G213" i="37" s="1"/>
  <c r="F212" i="37"/>
  <c r="E212" i="37"/>
  <c r="G212" i="37" s="1"/>
  <c r="G210" i="37"/>
  <c r="F210" i="37"/>
  <c r="E210" i="37"/>
  <c r="F209" i="37"/>
  <c r="E209" i="37"/>
  <c r="G209" i="37" s="1"/>
  <c r="F207" i="37"/>
  <c r="E207" i="37"/>
  <c r="G207" i="37" s="1"/>
  <c r="G205" i="37"/>
  <c r="F205" i="37"/>
  <c r="E205" i="37"/>
  <c r="G203" i="37"/>
  <c r="F203" i="37"/>
  <c r="E203" i="37"/>
  <c r="G202" i="37"/>
  <c r="F202" i="37"/>
  <c r="E202" i="37"/>
  <c r="B200" i="37"/>
  <c r="C197" i="37"/>
  <c r="F195" i="37"/>
  <c r="E195" i="37"/>
  <c r="G195" i="37" s="1"/>
  <c r="D195" i="37"/>
  <c r="G194" i="37"/>
  <c r="F194" i="37"/>
  <c r="E194" i="37"/>
  <c r="D194" i="37"/>
  <c r="D196" i="37" s="1"/>
  <c r="F193" i="37"/>
  <c r="E193" i="37"/>
  <c r="G193" i="37" s="1"/>
  <c r="C190" i="37"/>
  <c r="F189" i="37"/>
  <c r="E189" i="37"/>
  <c r="G189" i="37" s="1"/>
  <c r="F188" i="37"/>
  <c r="E188" i="37"/>
  <c r="G188" i="37" s="1"/>
  <c r="F186" i="37"/>
  <c r="G185" i="37"/>
  <c r="F185" i="37"/>
  <c r="E185" i="37"/>
  <c r="G184" i="37"/>
  <c r="F184" i="37"/>
  <c r="E184" i="37"/>
  <c r="G183" i="37"/>
  <c r="F183" i="37"/>
  <c r="E183" i="37"/>
  <c r="F182" i="37"/>
  <c r="E182" i="37"/>
  <c r="G182" i="37" s="1"/>
  <c r="F181" i="37"/>
  <c r="E181" i="37"/>
  <c r="G181" i="37" s="1"/>
  <c r="F180" i="37"/>
  <c r="G180" i="37" s="1"/>
  <c r="E180" i="37"/>
  <c r="F179" i="37"/>
  <c r="E179" i="37"/>
  <c r="G179" i="37" s="1"/>
  <c r="F178" i="37"/>
  <c r="E178" i="37"/>
  <c r="G178" i="37" s="1"/>
  <c r="G177" i="37"/>
  <c r="F177" i="37"/>
  <c r="E177" i="37"/>
  <c r="G176" i="37"/>
  <c r="F176" i="37"/>
  <c r="E176" i="37"/>
  <c r="G175" i="37"/>
  <c r="F175" i="37"/>
  <c r="E175" i="37"/>
  <c r="F174" i="37"/>
  <c r="E174" i="37"/>
  <c r="G174" i="37" s="1"/>
  <c r="F172" i="37"/>
  <c r="F171" i="37"/>
  <c r="E171" i="37"/>
  <c r="G171" i="37" s="1"/>
  <c r="G170" i="37"/>
  <c r="F170" i="37"/>
  <c r="E170" i="37"/>
  <c r="F169" i="37"/>
  <c r="G169" i="37" s="1"/>
  <c r="E169" i="37"/>
  <c r="G168" i="37"/>
  <c r="F168" i="37"/>
  <c r="E168" i="37"/>
  <c r="F167" i="37"/>
  <c r="E167" i="37"/>
  <c r="G167" i="37" s="1"/>
  <c r="F166" i="37"/>
  <c r="E166" i="37"/>
  <c r="G166" i="37" s="1"/>
  <c r="F165" i="37"/>
  <c r="G165" i="37" s="1"/>
  <c r="E165" i="37"/>
  <c r="F164" i="37"/>
  <c r="E164" i="37"/>
  <c r="G164" i="37" s="1"/>
  <c r="F163" i="37"/>
  <c r="E163" i="37"/>
  <c r="G163" i="37" s="1"/>
  <c r="G162" i="37"/>
  <c r="F162" i="37"/>
  <c r="E162" i="37"/>
  <c r="F161" i="37"/>
  <c r="G161" i="37" s="1"/>
  <c r="E161" i="37"/>
  <c r="G160" i="37"/>
  <c r="F160" i="37"/>
  <c r="E160" i="37"/>
  <c r="F159" i="37"/>
  <c r="E159" i="37"/>
  <c r="G159" i="37" s="1"/>
  <c r="F157" i="37"/>
  <c r="F156" i="37"/>
  <c r="E156" i="37"/>
  <c r="G156" i="37" s="1"/>
  <c r="G155" i="37"/>
  <c r="F155" i="37"/>
  <c r="E155" i="37"/>
  <c r="F154" i="37"/>
  <c r="G154" i="37" s="1"/>
  <c r="E154" i="37"/>
  <c r="G153" i="37"/>
  <c r="F153" i="37"/>
  <c r="E153" i="37"/>
  <c r="F151" i="37"/>
  <c r="F150" i="37"/>
  <c r="E150" i="37"/>
  <c r="G150" i="37" s="1"/>
  <c r="F149" i="37"/>
  <c r="E149" i="37"/>
  <c r="G149" i="37" s="1"/>
  <c r="G148" i="37"/>
  <c r="F148" i="37"/>
  <c r="E148" i="37"/>
  <c r="F147" i="37"/>
  <c r="G147" i="37" s="1"/>
  <c r="E147" i="37"/>
  <c r="G146" i="37"/>
  <c r="F146" i="37"/>
  <c r="E146" i="37"/>
  <c r="F145" i="37"/>
  <c r="E145" i="37"/>
  <c r="G145" i="37" s="1"/>
  <c r="F144" i="37"/>
  <c r="E144" i="37"/>
  <c r="G144" i="37" s="1"/>
  <c r="F143" i="37"/>
  <c r="G143" i="37" s="1"/>
  <c r="E143" i="37"/>
  <c r="F142" i="37"/>
  <c r="E142" i="37"/>
  <c r="G142" i="37" s="1"/>
  <c r="F140" i="37"/>
  <c r="G139" i="37"/>
  <c r="F139" i="37"/>
  <c r="E139" i="37"/>
  <c r="F138" i="37"/>
  <c r="E138" i="37"/>
  <c r="G138" i="37" s="1"/>
  <c r="F137" i="37"/>
  <c r="E137" i="37"/>
  <c r="G137" i="37" s="1"/>
  <c r="F136" i="37"/>
  <c r="G136" i="37" s="1"/>
  <c r="E136" i="37"/>
  <c r="F135" i="37"/>
  <c r="E135" i="37"/>
  <c r="G135" i="37" s="1"/>
  <c r="F134" i="37"/>
  <c r="E134" i="37"/>
  <c r="G134" i="37" s="1"/>
  <c r="G133" i="37"/>
  <c r="F133" i="37"/>
  <c r="E133" i="37"/>
  <c r="G132" i="37"/>
  <c r="F132" i="37"/>
  <c r="E132" i="37"/>
  <c r="G131" i="37"/>
  <c r="F131" i="37"/>
  <c r="E131" i="37"/>
  <c r="F130" i="37"/>
  <c r="E130" i="37"/>
  <c r="G130" i="37" s="1"/>
  <c r="F129" i="37"/>
  <c r="E129" i="37"/>
  <c r="G129" i="37" s="1"/>
  <c r="F128" i="37"/>
  <c r="G128" i="37" s="1"/>
  <c r="E128" i="37"/>
  <c r="F126" i="37"/>
  <c r="G125" i="37"/>
  <c r="F125" i="37"/>
  <c r="E125" i="37"/>
  <c r="G124" i="37"/>
  <c r="F124" i="37"/>
  <c r="E124" i="37"/>
  <c r="F123" i="37"/>
  <c r="E123" i="37"/>
  <c r="G123" i="37" s="1"/>
  <c r="F121" i="37"/>
  <c r="F120" i="37"/>
  <c r="E120" i="37"/>
  <c r="G120" i="37" s="1"/>
  <c r="G119" i="37"/>
  <c r="F119" i="37"/>
  <c r="E119" i="37"/>
  <c r="F117" i="37"/>
  <c r="F116" i="37"/>
  <c r="E116" i="37"/>
  <c r="G116" i="37" s="1"/>
  <c r="F115" i="37"/>
  <c r="G115" i="37" s="1"/>
  <c r="E115" i="37"/>
  <c r="F113" i="37"/>
  <c r="G112" i="37"/>
  <c r="F112" i="37"/>
  <c r="E112" i="37"/>
  <c r="G111" i="37"/>
  <c r="F111" i="37"/>
  <c r="E111" i="37"/>
  <c r="F110" i="37"/>
  <c r="E110" i="37"/>
  <c r="G110" i="37" s="1"/>
  <c r="F109" i="37"/>
  <c r="E109" i="37"/>
  <c r="G109" i="37" s="1"/>
  <c r="F108" i="37"/>
  <c r="G108" i="37" s="1"/>
  <c r="E108" i="37"/>
  <c r="F107" i="37"/>
  <c r="E107" i="37"/>
  <c r="G107" i="37" s="1"/>
  <c r="F106" i="37"/>
  <c r="E106" i="37"/>
  <c r="G106" i="37" s="1"/>
  <c r="F104" i="37"/>
  <c r="F103" i="37"/>
  <c r="E103" i="37"/>
  <c r="G103" i="37" s="1"/>
  <c r="F102" i="37"/>
  <c r="E102" i="37"/>
  <c r="G102" i="37" s="1"/>
  <c r="F101" i="37"/>
  <c r="G101" i="37" s="1"/>
  <c r="E101" i="37"/>
  <c r="F100" i="37"/>
  <c r="E100" i="37"/>
  <c r="G100" i="37" s="1"/>
  <c r="F99" i="37"/>
  <c r="E99" i="37"/>
  <c r="G99" i="37" s="1"/>
  <c r="F97" i="37"/>
  <c r="F96" i="37"/>
  <c r="E96" i="37"/>
  <c r="G96" i="37" s="1"/>
  <c r="F95" i="37"/>
  <c r="E95" i="37"/>
  <c r="G95" i="37" s="1"/>
  <c r="F94" i="37"/>
  <c r="G94" i="37" s="1"/>
  <c r="E94" i="37"/>
  <c r="F91" i="37"/>
  <c r="E91" i="37"/>
  <c r="G91" i="37" s="1"/>
  <c r="F90" i="37"/>
  <c r="E90" i="37"/>
  <c r="G90" i="37" s="1"/>
  <c r="G89" i="37"/>
  <c r="F89" i="37"/>
  <c r="E89" i="37"/>
  <c r="G86" i="37"/>
  <c r="F86" i="37"/>
  <c r="E86" i="37"/>
  <c r="G85" i="37"/>
  <c r="F85" i="37"/>
  <c r="E85" i="37"/>
  <c r="F84" i="37"/>
  <c r="E84" i="37"/>
  <c r="G84" i="37" s="1"/>
  <c r="F81" i="37"/>
  <c r="E81" i="37"/>
  <c r="G81" i="37" s="1"/>
  <c r="F80" i="37"/>
  <c r="G80" i="37" s="1"/>
  <c r="E80" i="37"/>
  <c r="F79" i="37"/>
  <c r="E79" i="37"/>
  <c r="G79" i="37" s="1"/>
  <c r="F78" i="37"/>
  <c r="E78" i="37"/>
  <c r="G78" i="37" s="1"/>
  <c r="G77" i="37"/>
  <c r="F77" i="37"/>
  <c r="E77" i="37"/>
  <c r="G76" i="37"/>
  <c r="F76" i="37"/>
  <c r="E76" i="37"/>
  <c r="G75" i="37"/>
  <c r="F75" i="37"/>
  <c r="E75" i="37"/>
  <c r="F74" i="37"/>
  <c r="E74" i="37"/>
  <c r="G74" i="37" s="1"/>
  <c r="F73" i="37"/>
  <c r="E73" i="37"/>
  <c r="G73" i="37" s="1"/>
  <c r="F72" i="37"/>
  <c r="G72" i="37" s="1"/>
  <c r="E72" i="37"/>
  <c r="F69" i="37"/>
  <c r="E69" i="37"/>
  <c r="G69" i="37" s="1"/>
  <c r="F66" i="37"/>
  <c r="E66" i="37"/>
  <c r="G66" i="37" s="1"/>
  <c r="G65" i="37"/>
  <c r="F65" i="37"/>
  <c r="E65" i="37"/>
  <c r="G62" i="37"/>
  <c r="F62" i="37"/>
  <c r="E62" i="37"/>
  <c r="G59" i="37"/>
  <c r="F59" i="37"/>
  <c r="E59" i="37"/>
  <c r="F55" i="37"/>
  <c r="E55" i="37"/>
  <c r="G55" i="37" s="1"/>
  <c r="F54" i="37"/>
  <c r="E54" i="37"/>
  <c r="G54" i="37" s="1"/>
  <c r="F53" i="37"/>
  <c r="G53" i="37" s="1"/>
  <c r="E53" i="37"/>
  <c r="F50" i="37"/>
  <c r="E50" i="37"/>
  <c r="G50" i="37" s="1"/>
  <c r="F49" i="37"/>
  <c r="E49" i="37"/>
  <c r="G49" i="37" s="1"/>
  <c r="G48" i="37"/>
  <c r="F48" i="37"/>
  <c r="E48" i="37"/>
  <c r="G47" i="37"/>
  <c r="F47" i="37"/>
  <c r="E47" i="37"/>
  <c r="G46" i="37"/>
  <c r="F46" i="37"/>
  <c r="E46" i="37"/>
  <c r="F42" i="37"/>
  <c r="E42" i="37"/>
  <c r="G42" i="37" s="1"/>
  <c r="F41" i="37"/>
  <c r="E41" i="37"/>
  <c r="G41" i="37" s="1"/>
  <c r="F38" i="37"/>
  <c r="G38" i="37" s="1"/>
  <c r="E38" i="37"/>
  <c r="F37" i="37"/>
  <c r="E37" i="37"/>
  <c r="G37" i="37" s="1"/>
  <c r="F36" i="37"/>
  <c r="E36" i="37"/>
  <c r="G36" i="37" s="1"/>
  <c r="G35" i="37"/>
  <c r="F35" i="37"/>
  <c r="E35" i="37"/>
  <c r="G34" i="37"/>
  <c r="F34" i="37"/>
  <c r="E34" i="37"/>
  <c r="G33" i="37"/>
  <c r="F33" i="37"/>
  <c r="E33" i="37"/>
  <c r="F32" i="37"/>
  <c r="E32" i="37"/>
  <c r="G32" i="37" s="1"/>
  <c r="F31" i="37"/>
  <c r="E31" i="37"/>
  <c r="G31" i="37" s="1"/>
  <c r="F30" i="37"/>
  <c r="G30" i="37" s="1"/>
  <c r="E30" i="37"/>
  <c r="F29" i="37"/>
  <c r="E29" i="37"/>
  <c r="G29" i="37" s="1"/>
  <c r="F28" i="37"/>
  <c r="E28" i="37"/>
  <c r="G28" i="37" s="1"/>
  <c r="G25" i="37"/>
  <c r="F25" i="37"/>
  <c r="E25" i="37"/>
  <c r="G24" i="37"/>
  <c r="F24" i="37"/>
  <c r="E24" i="37"/>
  <c r="G23" i="37"/>
  <c r="F23" i="37"/>
  <c r="E23" i="37"/>
  <c r="F22" i="37"/>
  <c r="E22" i="37"/>
  <c r="G22" i="37" s="1"/>
  <c r="F21" i="37"/>
  <c r="E21" i="37"/>
  <c r="G21" i="37" s="1"/>
  <c r="F20" i="37"/>
  <c r="G20" i="37" s="1"/>
  <c r="E20" i="37"/>
  <c r="F19" i="37"/>
  <c r="E19" i="37"/>
  <c r="G19" i="37" s="1"/>
  <c r="F18" i="37"/>
  <c r="E18" i="37"/>
  <c r="G18" i="37" s="1"/>
  <c r="G17" i="37"/>
  <c r="F17" i="37"/>
  <c r="E17" i="37"/>
  <c r="G16" i="37"/>
  <c r="F16" i="37"/>
  <c r="E16" i="37"/>
  <c r="G15" i="37"/>
  <c r="F15" i="37"/>
  <c r="E15" i="37"/>
  <c r="F14" i="37"/>
  <c r="E14" i="37"/>
  <c r="G14" i="37" s="1"/>
  <c r="F13" i="37"/>
  <c r="E13" i="37"/>
  <c r="G13" i="37" s="1"/>
  <c r="F10" i="37"/>
  <c r="G10" i="37" s="1"/>
  <c r="E10" i="37"/>
  <c r="F9" i="37"/>
  <c r="E9" i="37"/>
  <c r="G9" i="37" s="1"/>
  <c r="F8" i="37"/>
  <c r="F190" i="37" s="1"/>
  <c r="E8" i="37"/>
  <c r="G8" i="37" s="1"/>
  <c r="G7" i="37"/>
  <c r="F7" i="37"/>
  <c r="E7" i="37"/>
  <c r="G6" i="37"/>
  <c r="F6" i="37"/>
  <c r="E6" i="37"/>
  <c r="G5" i="37"/>
  <c r="F5" i="37"/>
  <c r="E5" i="37"/>
  <c r="F4" i="37"/>
  <c r="E4" i="37"/>
  <c r="E190" i="37" s="1"/>
  <c r="C21" i="10"/>
  <c r="D21" i="10" s="1"/>
  <c r="E21" i="10" s="1"/>
  <c r="F21" i="10" s="1"/>
  <c r="G21" i="10" s="1"/>
  <c r="H21" i="10" s="1"/>
  <c r="I21" i="10" s="1"/>
  <c r="J21" i="10" s="1"/>
  <c r="K21" i="10" s="1"/>
  <c r="L21" i="10" s="1"/>
  <c r="M21" i="10" s="1"/>
  <c r="C66" i="20"/>
  <c r="D51" i="34"/>
  <c r="E41" i="34"/>
  <c r="E42" i="34" s="1"/>
  <c r="G40" i="34"/>
  <c r="H40" i="34" s="1"/>
  <c r="I40" i="34" s="1"/>
  <c r="J40" i="34" s="1"/>
  <c r="K40" i="34" s="1"/>
  <c r="L40" i="34" s="1"/>
  <c r="M40" i="34" s="1"/>
  <c r="N40" i="34" s="1"/>
  <c r="F40" i="34"/>
  <c r="E39" i="34"/>
  <c r="F39" i="34" s="1"/>
  <c r="D35" i="34"/>
  <c r="N26" i="34"/>
  <c r="M26" i="34"/>
  <c r="L26" i="34"/>
  <c r="L27" i="34" s="1"/>
  <c r="K26" i="34"/>
  <c r="J26" i="34"/>
  <c r="I26" i="34"/>
  <c r="I27" i="34" s="1"/>
  <c r="I33" i="34" s="1"/>
  <c r="H26" i="34"/>
  <c r="H27" i="34" s="1"/>
  <c r="H33" i="34" s="1"/>
  <c r="G26" i="34"/>
  <c r="G27" i="34" s="1"/>
  <c r="F26" i="34"/>
  <c r="E26" i="34"/>
  <c r="D22" i="34"/>
  <c r="N13" i="34"/>
  <c r="N14" i="34" s="1"/>
  <c r="M13" i="34"/>
  <c r="M14" i="34" s="1"/>
  <c r="L13" i="34"/>
  <c r="L14" i="34" s="1"/>
  <c r="K13" i="34"/>
  <c r="K14" i="34" s="1"/>
  <c r="J13" i="34"/>
  <c r="J14" i="34" s="1"/>
  <c r="I13" i="34"/>
  <c r="I14" i="34" s="1"/>
  <c r="H13" i="34"/>
  <c r="H14" i="34" s="1"/>
  <c r="G13" i="34"/>
  <c r="G14" i="34" s="1"/>
  <c r="F13" i="34"/>
  <c r="F14" i="34" s="1"/>
  <c r="E13" i="34"/>
  <c r="E14" i="34" s="1"/>
  <c r="G12" i="34"/>
  <c r="G11" i="34" s="1"/>
  <c r="F12" i="34"/>
  <c r="F11" i="34"/>
  <c r="E11" i="34"/>
  <c r="E8" i="34" s="1"/>
  <c r="E10" i="34"/>
  <c r="F10" i="34" s="1"/>
  <c r="C8" i="34"/>
  <c r="F27" i="34" l="1"/>
  <c r="F33" i="34" s="1"/>
  <c r="E46" i="34"/>
  <c r="N27" i="34"/>
  <c r="N33" i="34" s="1"/>
  <c r="W53" i="39"/>
  <c r="AA53" i="39" s="1"/>
  <c r="AE53" i="39" s="1"/>
  <c r="AI53" i="39" s="1"/>
  <c r="AM53" i="39" s="1"/>
  <c r="AQ53" i="39" s="1"/>
  <c r="AU53" i="39" s="1"/>
  <c r="AY53" i="39" s="1"/>
  <c r="BC53" i="39" s="1"/>
  <c r="BG53" i="39" s="1"/>
  <c r="BK53" i="39" s="1"/>
  <c r="BO53" i="39" s="1"/>
  <c r="BS53" i="39" s="1"/>
  <c r="BW53" i="39" s="1"/>
  <c r="CA53" i="39" s="1"/>
  <c r="CE53" i="39" s="1"/>
  <c r="CI53" i="39" s="1"/>
  <c r="CM53" i="39" s="1"/>
  <c r="Z53" i="39"/>
  <c r="X53" i="39"/>
  <c r="AB53" i="39" s="1"/>
  <c r="AF53" i="39" s="1"/>
  <c r="AJ53" i="39" s="1"/>
  <c r="AN53" i="39" s="1"/>
  <c r="AR53" i="39" s="1"/>
  <c r="AV53" i="39" s="1"/>
  <c r="AZ53" i="39" s="1"/>
  <c r="BD53" i="39" s="1"/>
  <c r="BH53" i="39" s="1"/>
  <c r="BL53" i="39" s="1"/>
  <c r="BP53" i="39" s="1"/>
  <c r="BT53" i="39" s="1"/>
  <c r="BX53" i="39" s="1"/>
  <c r="CB53" i="39" s="1"/>
  <c r="CF53" i="39" s="1"/>
  <c r="CJ53" i="39" s="1"/>
  <c r="CN53" i="39" s="1"/>
  <c r="AD53" i="39"/>
  <c r="AH53" i="39" s="1"/>
  <c r="AL53" i="39" s="1"/>
  <c r="AP53" i="39" s="1"/>
  <c r="AT53" i="39" s="1"/>
  <c r="AX53" i="39" s="1"/>
  <c r="BB53" i="39" s="1"/>
  <c r="BF53" i="39" s="1"/>
  <c r="BJ53" i="39" s="1"/>
  <c r="BN53" i="39" s="1"/>
  <c r="BR53" i="39" s="1"/>
  <c r="BV53" i="39" s="1"/>
  <c r="BZ53" i="39" s="1"/>
  <c r="CD53" i="39" s="1"/>
  <c r="CH53" i="39" s="1"/>
  <c r="CL53" i="39" s="1"/>
  <c r="C53" i="39" s="1"/>
  <c r="E48" i="40" a="1"/>
  <c r="E48" i="40" s="1"/>
  <c r="F48" i="40" a="1"/>
  <c r="F48" i="40" s="1"/>
  <c r="G48" i="40" a="1"/>
  <c r="G48" i="40" s="1"/>
  <c r="H48" i="40" a="1"/>
  <c r="H48" i="40" s="1"/>
  <c r="I48" i="40" a="1"/>
  <c r="I48" i="40" s="1"/>
  <c r="J48" i="40" a="1"/>
  <c r="J48" i="40" s="1"/>
  <c r="K48" i="40" a="1"/>
  <c r="K48" i="40" s="1"/>
  <c r="L48" i="40" a="1"/>
  <c r="L48" i="40" s="1"/>
  <c r="M48" i="40" a="1"/>
  <c r="M48" i="40" s="1"/>
  <c r="N48" i="40" a="1"/>
  <c r="N48" i="40" s="1"/>
  <c r="O48" i="40" a="1"/>
  <c r="O48" i="40" s="1"/>
  <c r="P48" i="40" a="1"/>
  <c r="P48" i="40" s="1"/>
  <c r="Q48" i="40" a="1"/>
  <c r="Q48" i="40" s="1"/>
  <c r="R48" i="40" a="1"/>
  <c r="R48" i="40" s="1"/>
  <c r="S48" i="40" a="1"/>
  <c r="S48" i="40" s="1"/>
  <c r="T48" i="40" a="1"/>
  <c r="T48" i="40" s="1"/>
  <c r="U48" i="40" a="1"/>
  <c r="U48" i="40" s="1"/>
  <c r="V48" i="40" a="1"/>
  <c r="V48" i="40" s="1"/>
  <c r="W48" i="40" a="1"/>
  <c r="W48" i="40" s="1"/>
  <c r="X48" i="40" a="1"/>
  <c r="X48" i="40" s="1"/>
  <c r="Y48" i="40" a="1"/>
  <c r="Y48" i="40" s="1"/>
  <c r="Z48" i="40" a="1"/>
  <c r="Z48" i="40" s="1"/>
  <c r="M55" i="13"/>
  <c r="M57" i="13" s="1"/>
  <c r="T55" i="13"/>
  <c r="T57" i="13" s="1"/>
  <c r="W55" i="13"/>
  <c r="W57" i="13" s="1"/>
  <c r="O55" i="13"/>
  <c r="O57" i="13" s="1"/>
  <c r="G55" i="13"/>
  <c r="G57" i="13" s="1"/>
  <c r="L56" i="13"/>
  <c r="V55" i="13"/>
  <c r="V57" i="13" s="1"/>
  <c r="N55" i="13"/>
  <c r="N57" i="13" s="1"/>
  <c r="F55" i="13"/>
  <c r="F57" i="13" s="1"/>
  <c r="AA55" i="13"/>
  <c r="AA57" i="13" s="1"/>
  <c r="S55" i="13"/>
  <c r="S57" i="13" s="1"/>
  <c r="K55" i="13"/>
  <c r="K57" i="13" s="1"/>
  <c r="E55" i="13"/>
  <c r="E57" i="13" s="1"/>
  <c r="Z55" i="13"/>
  <c r="Z57" i="13" s="1"/>
  <c r="R55" i="13"/>
  <c r="R57" i="13" s="1"/>
  <c r="J55" i="13"/>
  <c r="J57" i="13" s="1"/>
  <c r="U56" i="13"/>
  <c r="D56" i="13"/>
  <c r="Y55" i="13"/>
  <c r="Y57" i="13" s="1"/>
  <c r="Q55" i="13"/>
  <c r="Q57" i="13" s="1"/>
  <c r="I55" i="13"/>
  <c r="I57" i="13" s="1"/>
  <c r="X55" i="13"/>
  <c r="X57" i="13" s="1"/>
  <c r="P55" i="13"/>
  <c r="P57" i="13" s="1"/>
  <c r="H55" i="13"/>
  <c r="H57" i="13" s="1"/>
  <c r="N4" i="36"/>
  <c r="N20" i="36"/>
  <c r="E17" i="36"/>
  <c r="F17" i="36" s="1"/>
  <c r="G17" i="36" s="1"/>
  <c r="H17" i="36" s="1"/>
  <c r="I17" i="36" s="1"/>
  <c r="J17" i="36" s="1"/>
  <c r="K17" i="36" s="1"/>
  <c r="L17" i="36" s="1"/>
  <c r="M17" i="36" s="1"/>
  <c r="N23" i="36"/>
  <c r="G43" i="38"/>
  <c r="G33" i="38"/>
  <c r="G28" i="38"/>
  <c r="G52" i="38"/>
  <c r="G16" i="38"/>
  <c r="G4" i="38"/>
  <c r="G26" i="38"/>
  <c r="G50" i="38"/>
  <c r="G45" i="38"/>
  <c r="G5" i="38"/>
  <c r="G34" i="38"/>
  <c r="G47" i="38"/>
  <c r="G44" i="38"/>
  <c r="G46" i="38"/>
  <c r="G58" i="38"/>
  <c r="G55" i="38"/>
  <c r="G51" i="38"/>
  <c r="G37" i="38"/>
  <c r="G61" i="38"/>
  <c r="G54" i="38"/>
  <c r="G48" i="38"/>
  <c r="G41" i="38"/>
  <c r="G60" i="38"/>
  <c r="G39" i="38"/>
  <c r="G23" i="38"/>
  <c r="G49" i="38"/>
  <c r="G19" i="38"/>
  <c r="G36" i="38"/>
  <c r="G57" i="38"/>
  <c r="G35" i="38"/>
  <c r="G53" i="38"/>
  <c r="G31" i="38"/>
  <c r="G30" i="38"/>
  <c r="G21" i="38"/>
  <c r="G25" i="38"/>
  <c r="G18" i="38"/>
  <c r="G20" i="38"/>
  <c r="G22" i="38"/>
  <c r="G13" i="38"/>
  <c r="E11" i="38"/>
  <c r="G11" i="38" s="1"/>
  <c r="G9" i="38"/>
  <c r="G14" i="38"/>
  <c r="G7" i="38"/>
  <c r="G10" i="38"/>
  <c r="G3" i="38"/>
  <c r="F196" i="37"/>
  <c r="F197" i="37" s="1"/>
  <c r="E196" i="37"/>
  <c r="E197" i="37" s="1"/>
  <c r="G4" i="37"/>
  <c r="G190" i="37" s="1"/>
  <c r="F8" i="34"/>
  <c r="G10" i="34"/>
  <c r="E43" i="34"/>
  <c r="E18" i="34"/>
  <c r="E21" i="34"/>
  <c r="E20" i="34"/>
  <c r="E19" i="34"/>
  <c r="L28" i="34"/>
  <c r="L33" i="34"/>
  <c r="E47" i="34"/>
  <c r="E49" i="34"/>
  <c r="G33" i="34"/>
  <c r="G28" i="34"/>
  <c r="H12" i="34"/>
  <c r="J27" i="34"/>
  <c r="J33" i="34" s="1"/>
  <c r="H28" i="34"/>
  <c r="G39" i="34"/>
  <c r="K27" i="34"/>
  <c r="K33" i="34" s="1"/>
  <c r="F41" i="34"/>
  <c r="F46" i="34"/>
  <c r="I28" i="34"/>
  <c r="E27" i="34"/>
  <c r="E33" i="34" s="1"/>
  <c r="M27" i="34"/>
  <c r="M33" i="34" s="1"/>
  <c r="M28" i="34" l="1"/>
  <c r="E28" i="34"/>
  <c r="F28" i="34"/>
  <c r="N28" i="34"/>
  <c r="C48" i="40"/>
  <c r="N17" i="36"/>
  <c r="G196" i="37"/>
  <c r="G197" i="37" s="1"/>
  <c r="F42" i="34"/>
  <c r="G41" i="34"/>
  <c r="F18" i="34"/>
  <c r="F21" i="34"/>
  <c r="F20" i="34"/>
  <c r="F19" i="34"/>
  <c r="E17" i="34"/>
  <c r="E22" i="34" s="1"/>
  <c r="E23" i="34" s="1"/>
  <c r="G46" i="34"/>
  <c r="H39" i="34"/>
  <c r="H32" i="34"/>
  <c r="H31" i="34"/>
  <c r="H34" i="34"/>
  <c r="M32" i="34"/>
  <c r="M31" i="34"/>
  <c r="M34" i="34"/>
  <c r="J28" i="34"/>
  <c r="E32" i="34"/>
  <c r="E31" i="34"/>
  <c r="E34" i="34"/>
  <c r="I12" i="34"/>
  <c r="H11" i="34"/>
  <c r="L34" i="34"/>
  <c r="L32" i="34"/>
  <c r="L31" i="34"/>
  <c r="E48" i="34"/>
  <c r="E50" i="34"/>
  <c r="I31" i="34"/>
  <c r="I34" i="34"/>
  <c r="I32" i="34"/>
  <c r="G32" i="34"/>
  <c r="G31" i="34"/>
  <c r="G34" i="34"/>
  <c r="K28" i="34"/>
  <c r="H10" i="34"/>
  <c r="G8" i="34"/>
  <c r="E45" i="34" l="1"/>
  <c r="E51" i="34" s="1"/>
  <c r="E52" i="34" s="1"/>
  <c r="B21" i="36"/>
  <c r="F32" i="34"/>
  <c r="F31" i="34"/>
  <c r="F34" i="34"/>
  <c r="N31" i="34"/>
  <c r="N34" i="34"/>
  <c r="N32" i="34"/>
  <c r="G21" i="34"/>
  <c r="G20" i="34"/>
  <c r="G18" i="34"/>
  <c r="G19" i="34"/>
  <c r="I10" i="34"/>
  <c r="H8" i="34"/>
  <c r="L30" i="34"/>
  <c r="L35" i="34" s="1"/>
  <c r="L36" i="34" s="1"/>
  <c r="E30" i="34"/>
  <c r="E35" i="34" s="1"/>
  <c r="E36" i="34" s="1"/>
  <c r="H30" i="34"/>
  <c r="H35" i="34" s="1"/>
  <c r="H36" i="34" s="1"/>
  <c r="I30" i="34"/>
  <c r="I35" i="34" s="1"/>
  <c r="I36" i="34" s="1"/>
  <c r="M30" i="34"/>
  <c r="M35" i="34" s="1"/>
  <c r="M36" i="34" s="1"/>
  <c r="H46" i="34"/>
  <c r="I39" i="34"/>
  <c r="F17" i="34"/>
  <c r="F22" i="34" s="1"/>
  <c r="F23" i="34" s="1"/>
  <c r="J12" i="34"/>
  <c r="I11" i="34"/>
  <c r="G42" i="34"/>
  <c r="H41" i="34"/>
  <c r="J31" i="34"/>
  <c r="J34" i="34"/>
  <c r="J32" i="34"/>
  <c r="K34" i="34"/>
  <c r="K32" i="34"/>
  <c r="K31" i="34"/>
  <c r="G30" i="34"/>
  <c r="G35" i="34" s="1"/>
  <c r="G36" i="34" s="1"/>
  <c r="F47" i="34"/>
  <c r="F49" i="34"/>
  <c r="F43" i="34"/>
  <c r="F30" i="34" l="1"/>
  <c r="F35" i="34" s="1"/>
  <c r="F36" i="34" s="1"/>
  <c r="N30" i="34"/>
  <c r="N35" i="34" s="1"/>
  <c r="J30" i="34"/>
  <c r="J35" i="34" s="1"/>
  <c r="J36" i="34" s="1"/>
  <c r="I46" i="34"/>
  <c r="J39" i="34"/>
  <c r="K30" i="34"/>
  <c r="K35" i="34" s="1"/>
  <c r="K36" i="34" s="1"/>
  <c r="H42" i="34"/>
  <c r="I41" i="34"/>
  <c r="H21" i="34"/>
  <c r="H20" i="34"/>
  <c r="H19" i="34"/>
  <c r="H18" i="34"/>
  <c r="G47" i="34"/>
  <c r="G49" i="34"/>
  <c r="G43" i="34"/>
  <c r="J10" i="34"/>
  <c r="I8" i="34"/>
  <c r="F48" i="34"/>
  <c r="C21" i="36" s="1"/>
  <c r="F50" i="34"/>
  <c r="K12" i="34"/>
  <c r="J11" i="34"/>
  <c r="G17" i="34"/>
  <c r="G22" i="34" s="1"/>
  <c r="G23" i="34" s="1"/>
  <c r="N36" i="34" l="1"/>
  <c r="O36" i="34" s="1"/>
  <c r="O35" i="34"/>
  <c r="P35" i="34" s="1"/>
  <c r="Q35" i="34" s="1"/>
  <c r="R35" i="34" s="1"/>
  <c r="S35" i="34" s="1"/>
  <c r="T35" i="34" s="1"/>
  <c r="U35" i="34" s="1"/>
  <c r="V35" i="34" s="1"/>
  <c r="W35" i="34" s="1"/>
  <c r="X35" i="34" s="1"/>
  <c r="Y35" i="34" s="1"/>
  <c r="Z35" i="34" s="1"/>
  <c r="AA35" i="34" s="1"/>
  <c r="AB35" i="34" s="1"/>
  <c r="AC35" i="34" s="1"/>
  <c r="F45" i="34"/>
  <c r="F51" i="34" s="1"/>
  <c r="F52" i="34" s="1"/>
  <c r="J8" i="34"/>
  <c r="K10" i="34"/>
  <c r="J41" i="34"/>
  <c r="I42" i="34"/>
  <c r="K11" i="34"/>
  <c r="L12" i="34"/>
  <c r="H17" i="34"/>
  <c r="H22" i="34" s="1"/>
  <c r="H23" i="34" s="1"/>
  <c r="J46" i="34"/>
  <c r="K39" i="34"/>
  <c r="G50" i="34"/>
  <c r="G48" i="34"/>
  <c r="H47" i="34"/>
  <c r="H49" i="34"/>
  <c r="H43" i="34"/>
  <c r="I20" i="34"/>
  <c r="I19" i="34"/>
  <c r="I18" i="34"/>
  <c r="I21" i="34"/>
  <c r="G45" i="34" l="1"/>
  <c r="G51" i="34" s="1"/>
  <c r="G52" i="34" s="1"/>
  <c r="D21" i="36"/>
  <c r="M12" i="34"/>
  <c r="L11" i="34"/>
  <c r="I17" i="34"/>
  <c r="I22" i="34" s="1"/>
  <c r="I23" i="34" s="1"/>
  <c r="J42" i="34"/>
  <c r="K41" i="34"/>
  <c r="L39" i="34"/>
  <c r="K46" i="34"/>
  <c r="K8" i="34"/>
  <c r="L10" i="34"/>
  <c r="I49" i="34"/>
  <c r="I47" i="34"/>
  <c r="I43" i="34"/>
  <c r="H50" i="34"/>
  <c r="H48" i="34"/>
  <c r="J20" i="34"/>
  <c r="J19" i="34"/>
  <c r="J18" i="34"/>
  <c r="J21" i="34"/>
  <c r="H45" i="34" l="1"/>
  <c r="H51" i="34" s="1"/>
  <c r="H52" i="34" s="1"/>
  <c r="E21" i="36"/>
  <c r="Z51" i="39"/>
  <c r="AD51" i="39" s="1"/>
  <c r="AH51" i="39" s="1"/>
  <c r="AL51" i="39" s="1"/>
  <c r="AP51" i="39" s="1"/>
  <c r="AT51" i="39" s="1"/>
  <c r="AX51" i="39" s="1"/>
  <c r="BB51" i="39" s="1"/>
  <c r="BF51" i="39" s="1"/>
  <c r="BJ51" i="39" s="1"/>
  <c r="BN51" i="39" s="1"/>
  <c r="BR51" i="39" s="1"/>
  <c r="BV51" i="39" s="1"/>
  <c r="BZ51" i="39" s="1"/>
  <c r="CD51" i="39" s="1"/>
  <c r="CH51" i="39" s="1"/>
  <c r="CL51" i="39" s="1"/>
  <c r="M39" i="34"/>
  <c r="L46" i="34"/>
  <c r="I50" i="34"/>
  <c r="I48" i="34"/>
  <c r="J49" i="34"/>
  <c r="J47" i="34"/>
  <c r="J43" i="34"/>
  <c r="M10" i="34"/>
  <c r="L8" i="34"/>
  <c r="J17" i="34"/>
  <c r="J22" i="34" s="1"/>
  <c r="J23" i="34" s="1"/>
  <c r="K42" i="34"/>
  <c r="L41" i="34"/>
  <c r="K19" i="34"/>
  <c r="K18" i="34"/>
  <c r="K21" i="34"/>
  <c r="K20" i="34"/>
  <c r="N12" i="34"/>
  <c r="N11" i="34" s="1"/>
  <c r="M11" i="34"/>
  <c r="I45" i="34" l="1"/>
  <c r="I51" i="34" s="1"/>
  <c r="I52" i="34" s="1"/>
  <c r="F21" i="36"/>
  <c r="L42" i="34"/>
  <c r="M41" i="34"/>
  <c r="K49" i="34"/>
  <c r="K47" i="34"/>
  <c r="K43" i="34"/>
  <c r="K17" i="34"/>
  <c r="K22" i="34" s="1"/>
  <c r="K23" i="34" s="1"/>
  <c r="L19" i="34"/>
  <c r="L18" i="34"/>
  <c r="L21" i="34"/>
  <c r="L20" i="34"/>
  <c r="N10" i="34"/>
  <c r="N8" i="34" s="1"/>
  <c r="M8" i="34"/>
  <c r="J50" i="34"/>
  <c r="J48" i="34"/>
  <c r="G21" i="36" s="1"/>
  <c r="M46" i="34"/>
  <c r="N39" i="34"/>
  <c r="J45" i="34" l="1"/>
  <c r="J51" i="34" s="1"/>
  <c r="J52" i="34" s="1"/>
  <c r="W51" i="39"/>
  <c r="AA51" i="39"/>
  <c r="AE51" i="39" s="1"/>
  <c r="AI51" i="39" s="1"/>
  <c r="AM51" i="39" s="1"/>
  <c r="AQ51" i="39" s="1"/>
  <c r="AU51" i="39" s="1"/>
  <c r="AY51" i="39" s="1"/>
  <c r="BC51" i="39" s="1"/>
  <c r="BG51" i="39" s="1"/>
  <c r="BK51" i="39" s="1"/>
  <c r="BO51" i="39" s="1"/>
  <c r="BS51" i="39" s="1"/>
  <c r="BW51" i="39" s="1"/>
  <c r="CA51" i="39" s="1"/>
  <c r="CE51" i="39" s="1"/>
  <c r="CI51" i="39" s="1"/>
  <c r="CM51" i="39" s="1"/>
  <c r="M18" i="34"/>
  <c r="M21" i="34"/>
  <c r="M20" i="34"/>
  <c r="M19" i="34"/>
  <c r="K48" i="34"/>
  <c r="K50" i="34"/>
  <c r="N18" i="34"/>
  <c r="N21" i="34"/>
  <c r="N20" i="34"/>
  <c r="N19" i="34"/>
  <c r="L17" i="34"/>
  <c r="L22" i="34" s="1"/>
  <c r="L23" i="34" s="1"/>
  <c r="N43" i="34"/>
  <c r="N46" i="34"/>
  <c r="M42" i="34"/>
  <c r="N41" i="34"/>
  <c r="N42" i="34" s="1"/>
  <c r="L49" i="34"/>
  <c r="L47" i="34"/>
  <c r="L43" i="34"/>
  <c r="K45" i="34" l="1"/>
  <c r="K51" i="34" s="1"/>
  <c r="K52" i="34" s="1"/>
  <c r="H21" i="36"/>
  <c r="N48" i="34"/>
  <c r="K21" i="36" s="1"/>
  <c r="N50" i="34"/>
  <c r="L48" i="34"/>
  <c r="I21" i="36" s="1"/>
  <c r="L50" i="34"/>
  <c r="L45" i="34" s="1"/>
  <c r="L51" i="34" s="1"/>
  <c r="L52" i="34" s="1"/>
  <c r="N47" i="34"/>
  <c r="N45" i="34" s="1"/>
  <c r="N51" i="34" s="1"/>
  <c r="N49" i="34"/>
  <c r="M47" i="34"/>
  <c r="M49" i="34"/>
  <c r="M43" i="34"/>
  <c r="M17" i="34"/>
  <c r="M22" i="34" s="1"/>
  <c r="M23" i="34" s="1"/>
  <c r="N17" i="34"/>
  <c r="N22" i="34" s="1"/>
  <c r="Y51" i="39" l="1"/>
  <c r="AC51" i="39" s="1"/>
  <c r="AG51" i="39" s="1"/>
  <c r="AK51" i="39" s="1"/>
  <c r="AO51" i="39" s="1"/>
  <c r="AS51" i="39" s="1"/>
  <c r="AW51" i="39" s="1"/>
  <c r="BA51" i="39" s="1"/>
  <c r="BE51" i="39" s="1"/>
  <c r="BI51" i="39" s="1"/>
  <c r="BM51" i="39" s="1"/>
  <c r="BQ51" i="39" s="1"/>
  <c r="BU51" i="39" s="1"/>
  <c r="BY51" i="39" s="1"/>
  <c r="CC51" i="39" s="1"/>
  <c r="CG51" i="39" s="1"/>
  <c r="CK51" i="39" s="1"/>
  <c r="CO51" i="39" s="1"/>
  <c r="N52" i="34"/>
  <c r="O51" i="34"/>
  <c r="P51" i="34" s="1"/>
  <c r="Q51" i="34" s="1"/>
  <c r="R51" i="34" s="1"/>
  <c r="S51" i="34" s="1"/>
  <c r="T51" i="34" s="1"/>
  <c r="U51" i="34" s="1"/>
  <c r="V51" i="34" s="1"/>
  <c r="W51" i="34" s="1"/>
  <c r="X51" i="34" s="1"/>
  <c r="Y51" i="34" s="1"/>
  <c r="Z51" i="34" s="1"/>
  <c r="AA51" i="34" s="1"/>
  <c r="AB51" i="34" s="1"/>
  <c r="AC51" i="34" s="1"/>
  <c r="M48" i="34"/>
  <c r="J21" i="36" s="1"/>
  <c r="X51" i="39" s="1"/>
  <c r="M50" i="34"/>
  <c r="N23" i="34"/>
  <c r="O22" i="34"/>
  <c r="P22" i="34" s="1"/>
  <c r="Q22" i="34" s="1"/>
  <c r="R22" i="34" s="1"/>
  <c r="S22" i="34" s="1"/>
  <c r="T22" i="34" s="1"/>
  <c r="U22" i="34" s="1"/>
  <c r="V22" i="34" s="1"/>
  <c r="W22" i="34" s="1"/>
  <c r="X22" i="34" s="1"/>
  <c r="Y22" i="34" s="1"/>
  <c r="Z22" i="34" s="1"/>
  <c r="AA22" i="34" s="1"/>
  <c r="AB22" i="34" s="1"/>
  <c r="AC22" i="34" s="1"/>
  <c r="AB51" i="39" l="1"/>
  <c r="AF51" i="39" s="1"/>
  <c r="AJ51" i="39" s="1"/>
  <c r="AN51" i="39" s="1"/>
  <c r="AR51" i="39" s="1"/>
  <c r="AV51" i="39" s="1"/>
  <c r="AZ51" i="39" s="1"/>
  <c r="BD51" i="39" s="1"/>
  <c r="BH51" i="39" s="1"/>
  <c r="BL51" i="39" s="1"/>
  <c r="BP51" i="39" s="1"/>
  <c r="BT51" i="39" s="1"/>
  <c r="BX51" i="39" s="1"/>
  <c r="CB51" i="39" s="1"/>
  <c r="CF51" i="39" s="1"/>
  <c r="CJ51" i="39" s="1"/>
  <c r="CN51" i="39" s="1"/>
  <c r="K46" i="40" a="1"/>
  <c r="K46" i="40" s="1"/>
  <c r="S46" i="40" a="1"/>
  <c r="S46" i="40" s="1"/>
  <c r="J46" i="40" a="1"/>
  <c r="J46" i="40" s="1"/>
  <c r="E46" i="40" a="1"/>
  <c r="E46" i="40" s="1"/>
  <c r="L46" i="40" a="1"/>
  <c r="L46" i="40" s="1"/>
  <c r="T46" i="40" a="1"/>
  <c r="T46" i="40" s="1"/>
  <c r="R46" i="40" a="1"/>
  <c r="R46" i="40" s="1"/>
  <c r="C51" i="39"/>
  <c r="M46" i="40" a="1"/>
  <c r="M46" i="40" s="1"/>
  <c r="U46" i="40" a="1"/>
  <c r="U46" i="40" s="1"/>
  <c r="F46" i="40" a="1"/>
  <c r="F46" i="40" s="1"/>
  <c r="N46" i="40" a="1"/>
  <c r="N46" i="40" s="1"/>
  <c r="V46" i="40" a="1"/>
  <c r="V46" i="40" s="1"/>
  <c r="G46" i="40" a="1"/>
  <c r="G46" i="40" s="1"/>
  <c r="O46" i="40" a="1"/>
  <c r="O46" i="40" s="1"/>
  <c r="W46" i="40" a="1"/>
  <c r="W46" i="40" s="1"/>
  <c r="Z46" i="40" a="1"/>
  <c r="Z46" i="40" s="1"/>
  <c r="H46" i="40" a="1"/>
  <c r="H46" i="40" s="1"/>
  <c r="P46" i="40" a="1"/>
  <c r="P46" i="40" s="1"/>
  <c r="X46" i="40" a="1"/>
  <c r="X46" i="40" s="1"/>
  <c r="I46" i="40" a="1"/>
  <c r="I46" i="40" s="1"/>
  <c r="Q46" i="40" a="1"/>
  <c r="Q46" i="40" s="1"/>
  <c r="Y46" i="40" a="1"/>
  <c r="Y46" i="40" s="1"/>
  <c r="N21" i="36"/>
  <c r="M45" i="34"/>
  <c r="M51" i="34" s="1"/>
  <c r="M52" i="34" s="1"/>
  <c r="D37" i="22"/>
  <c r="E37" i="22" s="1"/>
  <c r="F37" i="22" s="1"/>
  <c r="G37" i="22" s="1"/>
  <c r="H37" i="22" s="1"/>
  <c r="I37" i="22" s="1"/>
  <c r="J37" i="22" s="1"/>
  <c r="K37" i="22" s="1"/>
  <c r="L37" i="22" s="1"/>
  <c r="M37" i="22" s="1"/>
  <c r="C37" i="22"/>
  <c r="B37" i="22"/>
  <c r="D26" i="13"/>
  <c r="J26" i="13" s="1"/>
  <c r="D27" i="13"/>
  <c r="F27" i="13" s="1"/>
  <c r="D28" i="13"/>
  <c r="D29" i="13"/>
  <c r="D30" i="13"/>
  <c r="D31" i="13"/>
  <c r="L31" i="13" s="1"/>
  <c r="D25" i="13"/>
  <c r="A58" i="17"/>
  <c r="A94" i="17" s="1"/>
  <c r="C10" i="10"/>
  <c r="D10" i="10"/>
  <c r="E10" i="10"/>
  <c r="F10" i="10"/>
  <c r="G10" i="10"/>
  <c r="H10" i="10"/>
  <c r="I10" i="10"/>
  <c r="J10" i="10"/>
  <c r="K10" i="10"/>
  <c r="L10" i="10"/>
  <c r="M10" i="10"/>
  <c r="B10" i="10"/>
  <c r="N20" i="35"/>
  <c r="N19" i="35"/>
  <c r="A15" i="35"/>
  <c r="A24" i="35" s="1"/>
  <c r="A14" i="35"/>
  <c r="A23" i="35" s="1"/>
  <c r="A13" i="35"/>
  <c r="A22" i="35" s="1"/>
  <c r="A12" i="35"/>
  <c r="A21" i="35" s="1"/>
  <c r="A2" i="35"/>
  <c r="A11" i="35" s="1"/>
  <c r="A20" i="35" s="1"/>
  <c r="C5" i="31"/>
  <c r="H5" i="31"/>
  <c r="I5" i="31"/>
  <c r="G5" i="31"/>
  <c r="C21" i="31"/>
  <c r="C22" i="31"/>
  <c r="P22" i="31" s="1"/>
  <c r="P19" i="31" s="1"/>
  <c r="C20" i="31"/>
  <c r="S20" i="31" s="1"/>
  <c r="S19" i="31" s="1"/>
  <c r="V19" i="31"/>
  <c r="U19" i="31"/>
  <c r="T19" i="31"/>
  <c r="Q19" i="31"/>
  <c r="M19" i="31"/>
  <c r="L19" i="31"/>
  <c r="J19" i="31"/>
  <c r="I19" i="31"/>
  <c r="H19" i="31"/>
  <c r="G19" i="31"/>
  <c r="F19" i="31"/>
  <c r="E19" i="31"/>
  <c r="C28" i="31"/>
  <c r="C25" i="31"/>
  <c r="C26" i="31"/>
  <c r="C24" i="31"/>
  <c r="C62" i="31"/>
  <c r="C31" i="31" s="1"/>
  <c r="C57" i="31"/>
  <c r="C30" i="31" s="1"/>
  <c r="C56" i="31"/>
  <c r="C29" i="31" s="1"/>
  <c r="D94" i="8"/>
  <c r="B229" i="8"/>
  <c r="D96" i="8" s="1"/>
  <c r="B223" i="8"/>
  <c r="A222" i="8"/>
  <c r="A226" i="8"/>
  <c r="A227" i="8"/>
  <c r="A228" i="8"/>
  <c r="A217" i="8"/>
  <c r="D6" i="7"/>
  <c r="D10" i="7"/>
  <c r="B8" i="7"/>
  <c r="B4" i="7"/>
  <c r="F106" i="31"/>
  <c r="E106" i="31"/>
  <c r="F101" i="31"/>
  <c r="G101" i="31"/>
  <c r="H101" i="31"/>
  <c r="E101" i="31"/>
  <c r="F111" i="31"/>
  <c r="E111" i="31"/>
  <c r="J96" i="31"/>
  <c r="F96" i="31"/>
  <c r="G96" i="31"/>
  <c r="H96" i="31"/>
  <c r="I96" i="31"/>
  <c r="E96" i="31"/>
  <c r="D77" i="31"/>
  <c r="D68" i="31"/>
  <c r="B68" i="31"/>
  <c r="C68" i="31"/>
  <c r="B70" i="31"/>
  <c r="B71" i="31"/>
  <c r="B72" i="31"/>
  <c r="B73" i="31"/>
  <c r="B74" i="31"/>
  <c r="B75" i="31"/>
  <c r="A117" i="31"/>
  <c r="F23" i="31"/>
  <c r="G23" i="31"/>
  <c r="H23" i="31"/>
  <c r="I23" i="31"/>
  <c r="J23" i="31"/>
  <c r="K23" i="31"/>
  <c r="L23" i="31"/>
  <c r="M23" i="31"/>
  <c r="N23" i="31"/>
  <c r="O23" i="31"/>
  <c r="E23" i="31"/>
  <c r="F6" i="31"/>
  <c r="G6" i="31"/>
  <c r="H6" i="31"/>
  <c r="I6" i="31"/>
  <c r="J6" i="31"/>
  <c r="F27" i="31"/>
  <c r="G27" i="31"/>
  <c r="H27" i="31"/>
  <c r="I27" i="31"/>
  <c r="J27" i="31"/>
  <c r="E27" i="31"/>
  <c r="F15" i="31"/>
  <c r="G15" i="31"/>
  <c r="H15" i="31"/>
  <c r="I15" i="31"/>
  <c r="J15" i="31"/>
  <c r="K15" i="31"/>
  <c r="L15" i="31"/>
  <c r="M15" i="31"/>
  <c r="N15" i="31"/>
  <c r="E15" i="31"/>
  <c r="F10" i="31"/>
  <c r="G10" i="31"/>
  <c r="H10" i="31"/>
  <c r="I10" i="31"/>
  <c r="J10" i="31"/>
  <c r="K10" i="31"/>
  <c r="L10" i="31"/>
  <c r="R10" i="31"/>
  <c r="K110" i="31"/>
  <c r="K94" i="31"/>
  <c r="K95" i="31"/>
  <c r="K97" i="31"/>
  <c r="K98" i="31"/>
  <c r="K99" i="31"/>
  <c r="K100" i="31"/>
  <c r="K102" i="31"/>
  <c r="K103" i="31"/>
  <c r="K104" i="31"/>
  <c r="K105" i="31"/>
  <c r="K107" i="31"/>
  <c r="K108" i="31"/>
  <c r="K109" i="31"/>
  <c r="K93" i="31"/>
  <c r="B107" i="31"/>
  <c r="B102" i="31"/>
  <c r="B97" i="31"/>
  <c r="B92" i="31"/>
  <c r="E10" i="31"/>
  <c r="V6" i="31"/>
  <c r="E6" i="31"/>
  <c r="F6" i="7"/>
  <c r="D28" i="8"/>
  <c r="D27" i="8"/>
  <c r="B162" i="8"/>
  <c r="C29" i="38" s="1"/>
  <c r="B103" i="8"/>
  <c r="C291" i="37" s="1"/>
  <c r="D9" i="3"/>
  <c r="B53" i="32"/>
  <c r="B50" i="32"/>
  <c r="B51" i="32"/>
  <c r="B52" i="32"/>
  <c r="B48" i="32"/>
  <c r="B49" i="32"/>
  <c r="B44" i="32"/>
  <c r="B45" i="32"/>
  <c r="B46" i="32"/>
  <c r="B47" i="32"/>
  <c r="B38" i="32"/>
  <c r="B39" i="32"/>
  <c r="B40" i="32"/>
  <c r="B41" i="32"/>
  <c r="B42" i="32"/>
  <c r="B43" i="32"/>
  <c r="B37" i="32"/>
  <c r="B34" i="32"/>
  <c r="B35" i="32"/>
  <c r="B26" i="32"/>
  <c r="B27" i="32"/>
  <c r="B28" i="32"/>
  <c r="B29" i="32"/>
  <c r="B30" i="32"/>
  <c r="B31" i="32"/>
  <c r="B32" i="32"/>
  <c r="B33" i="32"/>
  <c r="B25" i="32"/>
  <c r="N68" i="11"/>
  <c r="A27" i="11"/>
  <c r="A50" i="11" s="1"/>
  <c r="A28" i="11"/>
  <c r="A51" i="11" s="1"/>
  <c r="A29" i="11"/>
  <c r="A52" i="11" s="1"/>
  <c r="A30" i="11"/>
  <c r="A53" i="11" s="1"/>
  <c r="A31" i="11"/>
  <c r="A54" i="11" s="1"/>
  <c r="A32" i="11"/>
  <c r="A55" i="11" s="1"/>
  <c r="A35" i="11"/>
  <c r="A58" i="11" s="1"/>
  <c r="A36" i="11"/>
  <c r="A59" i="11" s="1"/>
  <c r="A37" i="11"/>
  <c r="A60" i="11" s="1"/>
  <c r="A38" i="11"/>
  <c r="A61" i="11" s="1"/>
  <c r="A41" i="11"/>
  <c r="A64" i="11" s="1"/>
  <c r="A42" i="11"/>
  <c r="A65" i="11" s="1"/>
  <c r="A43" i="11"/>
  <c r="A66" i="11" s="1"/>
  <c r="A44" i="11"/>
  <c r="A67" i="11" s="1"/>
  <c r="F30" i="13"/>
  <c r="G30" i="13"/>
  <c r="H30" i="13"/>
  <c r="I30" i="13"/>
  <c r="J30" i="13"/>
  <c r="K30" i="13"/>
  <c r="L30" i="13"/>
  <c r="M30" i="13"/>
  <c r="N30" i="13"/>
  <c r="O30" i="13"/>
  <c r="P30" i="13"/>
  <c r="E30" i="13"/>
  <c r="F29" i="13"/>
  <c r="G29" i="13"/>
  <c r="H29" i="13"/>
  <c r="I29" i="13"/>
  <c r="J29" i="13"/>
  <c r="K29" i="13"/>
  <c r="L29" i="13"/>
  <c r="M29" i="13"/>
  <c r="N29" i="13"/>
  <c r="O29" i="13"/>
  <c r="P29" i="13"/>
  <c r="E29" i="13"/>
  <c r="F28" i="13"/>
  <c r="G28" i="13"/>
  <c r="H28" i="13"/>
  <c r="I28" i="13"/>
  <c r="J28" i="13"/>
  <c r="K28" i="13"/>
  <c r="L28" i="13"/>
  <c r="M28" i="13"/>
  <c r="N28" i="13"/>
  <c r="O28" i="13"/>
  <c r="P28" i="13"/>
  <c r="E28" i="13"/>
  <c r="M27" i="13"/>
  <c r="H26" i="13"/>
  <c r="I26" i="13"/>
  <c r="P26" i="13"/>
  <c r="E26" i="13"/>
  <c r="C26" i="13"/>
  <c r="C27" i="13"/>
  <c r="C28" i="13"/>
  <c r="C29" i="13"/>
  <c r="C30" i="13"/>
  <c r="C31" i="13"/>
  <c r="C25" i="13"/>
  <c r="A31" i="13"/>
  <c r="A30" i="13"/>
  <c r="A26" i="13"/>
  <c r="A27" i="13"/>
  <c r="A28" i="13"/>
  <c r="A29" i="13"/>
  <c r="A25" i="13"/>
  <c r="D76" i="20"/>
  <c r="E76" i="20" s="1"/>
  <c r="H76" i="20"/>
  <c r="I76" i="20" s="1"/>
  <c r="D12" i="22"/>
  <c r="E12" i="22" s="1"/>
  <c r="F12" i="22" s="1"/>
  <c r="G12" i="22" s="1"/>
  <c r="H12" i="22" s="1"/>
  <c r="I12" i="22" s="1"/>
  <c r="J12" i="22" s="1"/>
  <c r="K12" i="22" s="1"/>
  <c r="L12" i="22" s="1"/>
  <c r="M12" i="22" s="1"/>
  <c r="C12" i="22"/>
  <c r="C22" i="22"/>
  <c r="D22" i="22"/>
  <c r="E22" i="22"/>
  <c r="F22" i="22"/>
  <c r="G22" i="22"/>
  <c r="H22" i="22"/>
  <c r="I22" i="22"/>
  <c r="J22" i="22"/>
  <c r="K22" i="22"/>
  <c r="L22" i="22"/>
  <c r="M22" i="22"/>
  <c r="B22" i="22"/>
  <c r="A21" i="22"/>
  <c r="A11" i="11"/>
  <c r="A47" i="22"/>
  <c r="B36" i="22"/>
  <c r="A35" i="22"/>
  <c r="C31" i="22"/>
  <c r="D31" i="22"/>
  <c r="E31" i="22"/>
  <c r="F31" i="22"/>
  <c r="G31" i="22"/>
  <c r="H31" i="22"/>
  <c r="I31" i="22"/>
  <c r="J31" i="22"/>
  <c r="K31" i="22"/>
  <c r="L31" i="22"/>
  <c r="M31" i="22"/>
  <c r="B31" i="22"/>
  <c r="A29" i="22"/>
  <c r="A28" i="22"/>
  <c r="B11" i="22"/>
  <c r="B13" i="22" s="1"/>
  <c r="A10" i="22"/>
  <c r="C6" i="22"/>
  <c r="D6" i="22"/>
  <c r="E6" i="22"/>
  <c r="F6" i="22"/>
  <c r="G6" i="22"/>
  <c r="H6" i="22"/>
  <c r="I6" i="22"/>
  <c r="J6" i="22"/>
  <c r="K6" i="22"/>
  <c r="L6" i="22"/>
  <c r="M6" i="22"/>
  <c r="B6" i="22"/>
  <c r="A4" i="22"/>
  <c r="A2" i="22"/>
  <c r="C85" i="20"/>
  <c r="C86" i="20"/>
  <c r="D86" i="20" s="1"/>
  <c r="E86" i="20" s="1"/>
  <c r="F86" i="20" s="1"/>
  <c r="G86" i="20" s="1"/>
  <c r="H86" i="20" s="1"/>
  <c r="I86" i="20" s="1"/>
  <c r="J86" i="20" s="1"/>
  <c r="K86" i="20" s="1"/>
  <c r="L86" i="20" s="1"/>
  <c r="M86" i="20" s="1"/>
  <c r="B87" i="20"/>
  <c r="E85" i="20"/>
  <c r="F85" i="20" s="1"/>
  <c r="G85" i="20" s="1"/>
  <c r="H85" i="20" s="1"/>
  <c r="I85" i="20" s="1"/>
  <c r="J85" i="20" s="1"/>
  <c r="K85" i="20" s="1"/>
  <c r="L85" i="20" s="1"/>
  <c r="M85" i="20" s="1"/>
  <c r="A83" i="20"/>
  <c r="C58" i="13"/>
  <c r="C57" i="13"/>
  <c r="A58" i="13"/>
  <c r="A57" i="13"/>
  <c r="C102" i="20"/>
  <c r="D102" i="20" s="1"/>
  <c r="E102" i="20" s="1"/>
  <c r="F102" i="20" s="1"/>
  <c r="G102" i="20" s="1"/>
  <c r="H102" i="20" s="1"/>
  <c r="I102" i="20" s="1"/>
  <c r="J102" i="20" s="1"/>
  <c r="K102" i="20" s="1"/>
  <c r="L102" i="20" s="1"/>
  <c r="M102" i="20" s="1"/>
  <c r="A100" i="20"/>
  <c r="C105" i="20"/>
  <c r="D105" i="20" s="1"/>
  <c r="C103" i="20"/>
  <c r="D103" i="20" s="1"/>
  <c r="E103" i="20" s="1"/>
  <c r="F103" i="20" s="1"/>
  <c r="C101" i="20"/>
  <c r="D101" i="20" s="1"/>
  <c r="E101" i="20" s="1"/>
  <c r="A95" i="20"/>
  <c r="A74" i="20"/>
  <c r="C79" i="20"/>
  <c r="D79" i="20" s="1"/>
  <c r="C77" i="20"/>
  <c r="D77" i="20" s="1"/>
  <c r="E77" i="20" s="1"/>
  <c r="F77" i="20" s="1"/>
  <c r="G77" i="20" s="1"/>
  <c r="H77" i="20" s="1"/>
  <c r="I77" i="20" s="1"/>
  <c r="J77" i="20" s="1"/>
  <c r="K77" i="20" s="1"/>
  <c r="L77" i="20" s="1"/>
  <c r="M77" i="20" s="1"/>
  <c r="C75" i="20"/>
  <c r="D75" i="20" s="1"/>
  <c r="D131" i="8"/>
  <c r="A65" i="20"/>
  <c r="C70" i="20"/>
  <c r="D70" i="20" s="1"/>
  <c r="C68" i="20"/>
  <c r="D68" i="20" s="1"/>
  <c r="E68" i="20" s="1"/>
  <c r="F68" i="20" s="1"/>
  <c r="G68" i="20" s="1"/>
  <c r="H68" i="20" s="1"/>
  <c r="I68" i="20" s="1"/>
  <c r="J68" i="20" s="1"/>
  <c r="K68" i="20" s="1"/>
  <c r="L68" i="20" s="1"/>
  <c r="M68" i="20" s="1"/>
  <c r="C67" i="20"/>
  <c r="B23" i="20"/>
  <c r="B14" i="20"/>
  <c r="V12" i="17"/>
  <c r="W12" i="17"/>
  <c r="X12" i="17"/>
  <c r="Y12" i="17"/>
  <c r="Z12" i="17"/>
  <c r="AA12" i="17"/>
  <c r="AB12" i="17"/>
  <c r="AC12" i="17"/>
  <c r="AD12" i="17"/>
  <c r="AE12" i="17"/>
  <c r="AF12" i="17"/>
  <c r="U12" i="17"/>
  <c r="V11" i="17"/>
  <c r="W11" i="17"/>
  <c r="X11" i="17"/>
  <c r="Y11" i="17"/>
  <c r="Z11" i="17"/>
  <c r="AA11" i="17"/>
  <c r="AB11" i="17"/>
  <c r="AC11" i="17"/>
  <c r="AD11" i="17"/>
  <c r="AE11" i="17"/>
  <c r="AF11" i="17"/>
  <c r="U11" i="17"/>
  <c r="B71" i="20" s="1"/>
  <c r="V10" i="17"/>
  <c r="W10" i="17"/>
  <c r="X10" i="17"/>
  <c r="Y10" i="17"/>
  <c r="Z10" i="17"/>
  <c r="AA10" i="17"/>
  <c r="AB10" i="17"/>
  <c r="AC10" i="17"/>
  <c r="AD10" i="17"/>
  <c r="AE10" i="17"/>
  <c r="AF10" i="17"/>
  <c r="U10" i="17"/>
  <c r="B32" i="20" s="1"/>
  <c r="T14" i="17"/>
  <c r="AC14" i="17" s="1"/>
  <c r="C59" i="20"/>
  <c r="D59" i="20" s="1"/>
  <c r="E59" i="20" s="1"/>
  <c r="F59" i="20" s="1"/>
  <c r="G59" i="20" s="1"/>
  <c r="H59" i="20" s="1"/>
  <c r="I59" i="20" s="1"/>
  <c r="J59" i="20" s="1"/>
  <c r="K59" i="20" s="1"/>
  <c r="L59" i="20" s="1"/>
  <c r="M59" i="20" s="1"/>
  <c r="A56" i="20"/>
  <c r="C61" i="20"/>
  <c r="D61" i="20" s="1"/>
  <c r="C58" i="20"/>
  <c r="D58" i="20" s="1"/>
  <c r="C57" i="20"/>
  <c r="C47" i="20"/>
  <c r="D47" i="20" s="1"/>
  <c r="E47" i="20" s="1"/>
  <c r="C46" i="20"/>
  <c r="D46" i="20" s="1"/>
  <c r="A44" i="20"/>
  <c r="C37" i="20"/>
  <c r="C36" i="20"/>
  <c r="D36" i="20" s="1"/>
  <c r="E36" i="20" s="1"/>
  <c r="F36" i="20" s="1"/>
  <c r="G36" i="20" s="1"/>
  <c r="H36" i="20" s="1"/>
  <c r="I36" i="20" s="1"/>
  <c r="J36" i="20" s="1"/>
  <c r="K36" i="20" s="1"/>
  <c r="L36" i="20" s="1"/>
  <c r="M36" i="20" s="1"/>
  <c r="A35" i="20"/>
  <c r="A90" i="18"/>
  <c r="A91" i="18"/>
  <c r="A92" i="18"/>
  <c r="A93" i="18"/>
  <c r="A94" i="18"/>
  <c r="A95" i="18"/>
  <c r="A96" i="18"/>
  <c r="A89" i="18"/>
  <c r="A78" i="18"/>
  <c r="A79" i="18"/>
  <c r="A80" i="18"/>
  <c r="A81" i="18"/>
  <c r="A82" i="18"/>
  <c r="A83" i="18"/>
  <c r="A84" i="18"/>
  <c r="A77" i="18"/>
  <c r="C66" i="18"/>
  <c r="D66" i="18"/>
  <c r="E66" i="18"/>
  <c r="F66" i="18"/>
  <c r="G66" i="18"/>
  <c r="H66" i="18"/>
  <c r="I66" i="18"/>
  <c r="J66" i="18"/>
  <c r="K66" i="18"/>
  <c r="L66" i="18"/>
  <c r="M66" i="18"/>
  <c r="B66" i="18"/>
  <c r="A97" i="18"/>
  <c r="N89" i="18"/>
  <c r="N77" i="18"/>
  <c r="M70" i="18"/>
  <c r="M83" i="18" s="1"/>
  <c r="M95" i="18" s="1"/>
  <c r="L70" i="18"/>
  <c r="L83" i="18" s="1"/>
  <c r="L95" i="18" s="1"/>
  <c r="K70" i="18"/>
  <c r="K83" i="18" s="1"/>
  <c r="K95" i="18" s="1"/>
  <c r="J70" i="18"/>
  <c r="J83" i="18" s="1"/>
  <c r="J95" i="18" s="1"/>
  <c r="I70" i="18"/>
  <c r="I83" i="18" s="1"/>
  <c r="I95" i="18" s="1"/>
  <c r="H70" i="18"/>
  <c r="H83" i="18" s="1"/>
  <c r="H95" i="18" s="1"/>
  <c r="G70" i="18"/>
  <c r="G83" i="18" s="1"/>
  <c r="G95" i="18" s="1"/>
  <c r="F70" i="18"/>
  <c r="F83" i="18" s="1"/>
  <c r="F95" i="18" s="1"/>
  <c r="E70" i="18"/>
  <c r="E83" i="18" s="1"/>
  <c r="E95" i="18" s="1"/>
  <c r="D70" i="18"/>
  <c r="D83" i="18" s="1"/>
  <c r="D95" i="18" s="1"/>
  <c r="C70" i="18"/>
  <c r="C83" i="18" s="1"/>
  <c r="C95" i="18" s="1"/>
  <c r="B70" i="18"/>
  <c r="B83" i="18" s="1"/>
  <c r="B95" i="18" s="1"/>
  <c r="N64" i="18"/>
  <c r="B68" i="18"/>
  <c r="C68" i="18" s="1"/>
  <c r="A60" i="18"/>
  <c r="A59" i="18"/>
  <c r="A95" i="17"/>
  <c r="A93" i="17"/>
  <c r="A92" i="17"/>
  <c r="A91" i="17"/>
  <c r="D71" i="17"/>
  <c r="D107" i="17" s="1"/>
  <c r="C91" i="18" s="1"/>
  <c r="E71" i="17"/>
  <c r="E107" i="17" s="1"/>
  <c r="D91" i="18" s="1"/>
  <c r="F71" i="17"/>
  <c r="F107" i="17" s="1"/>
  <c r="E91" i="18" s="1"/>
  <c r="G71" i="17"/>
  <c r="G107" i="17" s="1"/>
  <c r="F91" i="18" s="1"/>
  <c r="H71" i="17"/>
  <c r="H107" i="17" s="1"/>
  <c r="G91" i="18" s="1"/>
  <c r="I71" i="17"/>
  <c r="I107" i="17" s="1"/>
  <c r="H91" i="18" s="1"/>
  <c r="J71" i="17"/>
  <c r="I79" i="18" s="1"/>
  <c r="K71" i="17"/>
  <c r="K107" i="17" s="1"/>
  <c r="J91" i="18" s="1"/>
  <c r="L71" i="17"/>
  <c r="L107" i="17" s="1"/>
  <c r="K91" i="18" s="1"/>
  <c r="M71" i="17"/>
  <c r="M107" i="17" s="1"/>
  <c r="L91" i="18" s="1"/>
  <c r="N71" i="17"/>
  <c r="N107" i="17" s="1"/>
  <c r="M91" i="18" s="1"/>
  <c r="C71" i="17"/>
  <c r="C107" i="17" s="1"/>
  <c r="B91" i="18" s="1"/>
  <c r="D64" i="17"/>
  <c r="D100" i="17" s="1"/>
  <c r="E64" i="17"/>
  <c r="E100" i="17" s="1"/>
  <c r="F64" i="17"/>
  <c r="F100" i="17" s="1"/>
  <c r="G64" i="17"/>
  <c r="G100" i="17" s="1"/>
  <c r="H64" i="17"/>
  <c r="H100" i="17" s="1"/>
  <c r="I64" i="17"/>
  <c r="I100" i="17" s="1"/>
  <c r="J64" i="17"/>
  <c r="J100" i="17" s="1"/>
  <c r="K64" i="17"/>
  <c r="K100" i="17" s="1"/>
  <c r="L64" i="17"/>
  <c r="L100" i="17" s="1"/>
  <c r="M64" i="17"/>
  <c r="M100" i="17" s="1"/>
  <c r="N64" i="17"/>
  <c r="N100" i="17" s="1"/>
  <c r="C64" i="17"/>
  <c r="C100" i="17" s="1"/>
  <c r="A25" i="17"/>
  <c r="A61" i="17" s="1"/>
  <c r="A97" i="17" s="1"/>
  <c r="D57" i="17"/>
  <c r="D93" i="17" s="1"/>
  <c r="E57" i="17"/>
  <c r="E93" i="17" s="1"/>
  <c r="F57" i="17"/>
  <c r="F93" i="17" s="1"/>
  <c r="G57" i="17"/>
  <c r="G93" i="17" s="1"/>
  <c r="H57" i="17"/>
  <c r="H93" i="17" s="1"/>
  <c r="I57" i="17"/>
  <c r="I93" i="17" s="1"/>
  <c r="J57" i="17"/>
  <c r="J93" i="17" s="1"/>
  <c r="K57" i="17"/>
  <c r="K93" i="17" s="1"/>
  <c r="L57" i="17"/>
  <c r="L93" i="17" s="1"/>
  <c r="M57" i="17"/>
  <c r="M93" i="17" s="1"/>
  <c r="N57" i="17"/>
  <c r="N93" i="17" s="1"/>
  <c r="C57" i="17"/>
  <c r="C93" i="17" s="1"/>
  <c r="A59" i="17"/>
  <c r="A57" i="17"/>
  <c r="A56" i="17"/>
  <c r="A55" i="17"/>
  <c r="A23" i="17"/>
  <c r="O21" i="17"/>
  <c r="B55" i="8"/>
  <c r="I91" i="17" s="1"/>
  <c r="A20" i="17"/>
  <c r="A21" i="17"/>
  <c r="A19" i="17"/>
  <c r="E291" i="37" l="1"/>
  <c r="F291" i="37"/>
  <c r="F328" i="37" s="1"/>
  <c r="C328" i="37"/>
  <c r="E29" i="38"/>
  <c r="F29" i="38"/>
  <c r="C62" i="38"/>
  <c r="C46" i="40"/>
  <c r="D106" i="20"/>
  <c r="B62" i="20"/>
  <c r="D62" i="20"/>
  <c r="D80" i="20"/>
  <c r="B80" i="20"/>
  <c r="A22" i="13"/>
  <c r="B20" i="40"/>
  <c r="B106" i="20"/>
  <c r="D71" i="20"/>
  <c r="G26" i="13"/>
  <c r="F26" i="13"/>
  <c r="M26" i="13"/>
  <c r="I27" i="13"/>
  <c r="L26" i="13"/>
  <c r="P27" i="13"/>
  <c r="H27" i="13"/>
  <c r="J27" i="13"/>
  <c r="E27" i="13"/>
  <c r="K26" i="13"/>
  <c r="O27" i="13"/>
  <c r="G27" i="13"/>
  <c r="L27" i="13"/>
  <c r="O26" i="13"/>
  <c r="K27" i="13"/>
  <c r="N26" i="13"/>
  <c r="N27" i="13"/>
  <c r="G31" i="13"/>
  <c r="N31" i="13"/>
  <c r="F31" i="13"/>
  <c r="M31" i="13"/>
  <c r="K31" i="13"/>
  <c r="J31" i="13"/>
  <c r="E31" i="13"/>
  <c r="I31" i="13"/>
  <c r="P31" i="13"/>
  <c r="H31" i="13"/>
  <c r="O31" i="13"/>
  <c r="C71" i="20"/>
  <c r="N10" i="10"/>
  <c r="A5" i="12"/>
  <c r="A21" i="12" s="1"/>
  <c r="A35" i="12" s="1"/>
  <c r="B48" i="31"/>
  <c r="B8" i="31" s="1"/>
  <c r="B12" i="31" s="1"/>
  <c r="B17" i="31" s="1"/>
  <c r="B25" i="31" s="1"/>
  <c r="B29" i="31" s="1"/>
  <c r="B40" i="31" s="1"/>
  <c r="B44" i="31" s="1"/>
  <c r="B20" i="32"/>
  <c r="N22" i="31"/>
  <c r="N19" i="31" s="1"/>
  <c r="O22" i="31"/>
  <c r="O19" i="31" s="1"/>
  <c r="J5" i="31"/>
  <c r="C23" i="31"/>
  <c r="C19" i="31"/>
  <c r="K20" i="31"/>
  <c r="K19" i="31" s="1"/>
  <c r="R20" i="31"/>
  <c r="R19" i="31" s="1"/>
  <c r="C27" i="31"/>
  <c r="B96" i="31"/>
  <c r="B106" i="31" s="1"/>
  <c r="A17" i="11"/>
  <c r="B21" i="40" s="1"/>
  <c r="B22" i="32"/>
  <c r="A34" i="11"/>
  <c r="A57" i="11" s="1"/>
  <c r="C23" i="13"/>
  <c r="N22" i="22"/>
  <c r="B38" i="22"/>
  <c r="C14" i="22"/>
  <c r="K14" i="22"/>
  <c r="D14" i="22"/>
  <c r="L14" i="22"/>
  <c r="E14" i="22"/>
  <c r="M14" i="22"/>
  <c r="F14" i="22"/>
  <c r="B14" i="22"/>
  <c r="G14" i="22"/>
  <c r="H14" i="22"/>
  <c r="I14" i="22"/>
  <c r="J14" i="22"/>
  <c r="H55" i="17"/>
  <c r="H56" i="17" s="1"/>
  <c r="I19" i="17"/>
  <c r="I20" i="17" s="1"/>
  <c r="J91" i="17"/>
  <c r="J92" i="17" s="1"/>
  <c r="C19" i="17"/>
  <c r="C20" i="17" s="1"/>
  <c r="B49" i="20" s="1"/>
  <c r="B50" i="20" s="1"/>
  <c r="B52" i="20" s="1"/>
  <c r="B13" i="11" s="1"/>
  <c r="B36" i="11" s="1"/>
  <c r="B59" i="11" s="1"/>
  <c r="G19" i="17"/>
  <c r="G20" i="17" s="1"/>
  <c r="J55" i="17"/>
  <c r="J56" i="17" s="1"/>
  <c r="D91" i="17"/>
  <c r="D92" i="17" s="1"/>
  <c r="L91" i="17"/>
  <c r="L92" i="17" s="1"/>
  <c r="C91" i="17"/>
  <c r="N19" i="17"/>
  <c r="N20" i="17" s="1"/>
  <c r="F19" i="17"/>
  <c r="F20" i="17" s="1"/>
  <c r="C55" i="17"/>
  <c r="C56" i="17" s="1"/>
  <c r="K55" i="17"/>
  <c r="K56" i="17" s="1"/>
  <c r="E91" i="17"/>
  <c r="E92" i="17" s="1"/>
  <c r="M91" i="17"/>
  <c r="M92" i="17" s="1"/>
  <c r="H19" i="17"/>
  <c r="H20" i="17" s="1"/>
  <c r="M19" i="17"/>
  <c r="M20" i="17" s="1"/>
  <c r="E19" i="17"/>
  <c r="E20" i="17" s="1"/>
  <c r="D49" i="20" s="1"/>
  <c r="D50" i="20" s="1"/>
  <c r="D52" i="20" s="1"/>
  <c r="D13" i="11" s="1"/>
  <c r="D36" i="11" s="1"/>
  <c r="D59" i="11" s="1"/>
  <c r="D55" i="17"/>
  <c r="D56" i="17" s="1"/>
  <c r="L55" i="17"/>
  <c r="L56" i="17" s="1"/>
  <c r="F91" i="17"/>
  <c r="F92" i="17" s="1"/>
  <c r="N91" i="17"/>
  <c r="N92" i="17" s="1"/>
  <c r="L19" i="17"/>
  <c r="L20" i="17" s="1"/>
  <c r="D19" i="17"/>
  <c r="D20" i="17" s="1"/>
  <c r="E55" i="17"/>
  <c r="E56" i="17" s="1"/>
  <c r="M55" i="17"/>
  <c r="M56" i="17" s="1"/>
  <c r="G91" i="17"/>
  <c r="G92" i="17" s="1"/>
  <c r="I55" i="17"/>
  <c r="I56" i="17" s="1"/>
  <c r="K19" i="17"/>
  <c r="K20" i="17" s="1"/>
  <c r="F55" i="17"/>
  <c r="N55" i="17"/>
  <c r="N56" i="17" s="1"/>
  <c r="H91" i="17"/>
  <c r="H92" i="17" s="1"/>
  <c r="K91" i="17"/>
  <c r="K92" i="17" s="1"/>
  <c r="J19" i="17"/>
  <c r="J20" i="17" s="1"/>
  <c r="G55" i="17"/>
  <c r="G56" i="17" s="1"/>
  <c r="C87" i="20"/>
  <c r="C106" i="20"/>
  <c r="G103" i="20"/>
  <c r="E105" i="20"/>
  <c r="E106" i="20" s="1"/>
  <c r="F101" i="20"/>
  <c r="C80" i="20"/>
  <c r="D67" i="20"/>
  <c r="E67" i="20" s="1"/>
  <c r="F67" i="20" s="1"/>
  <c r="E79" i="20"/>
  <c r="E80" i="20" s="1"/>
  <c r="E75" i="20"/>
  <c r="E70" i="20"/>
  <c r="E71" i="20" s="1"/>
  <c r="D66" i="20"/>
  <c r="C62" i="20"/>
  <c r="B79" i="18"/>
  <c r="A54" i="20"/>
  <c r="S11" i="17"/>
  <c r="M79" i="18"/>
  <c r="H79" i="18"/>
  <c r="G79" i="18"/>
  <c r="F79" i="18"/>
  <c r="E79" i="18"/>
  <c r="AB14" i="17"/>
  <c r="AA14" i="17"/>
  <c r="Z14" i="17"/>
  <c r="U14" i="17"/>
  <c r="Y14" i="17"/>
  <c r="AF14" i="17"/>
  <c r="X14" i="17"/>
  <c r="AE14" i="17"/>
  <c r="W14" i="17"/>
  <c r="AD14" i="17"/>
  <c r="V14" i="17"/>
  <c r="J107" i="17"/>
  <c r="I91" i="18" s="1"/>
  <c r="N91" i="18" s="1"/>
  <c r="L79" i="18"/>
  <c r="D79" i="18"/>
  <c r="O93" i="17"/>
  <c r="K79" i="18"/>
  <c r="C79" i="18"/>
  <c r="J79" i="18"/>
  <c r="E58" i="20"/>
  <c r="E61" i="20"/>
  <c r="E62" i="20" s="1"/>
  <c r="D57" i="20"/>
  <c r="F47" i="20"/>
  <c r="E46" i="20"/>
  <c r="D37" i="20"/>
  <c r="D68" i="18"/>
  <c r="E68" i="18" s="1"/>
  <c r="F68" i="18" s="1"/>
  <c r="N70" i="18"/>
  <c r="N66" i="18"/>
  <c r="O100" i="17"/>
  <c r="I92" i="17"/>
  <c r="O71" i="17"/>
  <c r="O64" i="17"/>
  <c r="O57" i="17"/>
  <c r="G291" i="37" l="1"/>
  <c r="G328" i="37" s="1"/>
  <c r="E328" i="37"/>
  <c r="G29" i="38"/>
  <c r="G62" i="38" s="1"/>
  <c r="F62" i="38"/>
  <c r="O107" i="17"/>
  <c r="B99" i="31"/>
  <c r="B104" i="31" s="1"/>
  <c r="B109" i="31" s="1"/>
  <c r="B21" i="31"/>
  <c r="B52" i="31"/>
  <c r="B56" i="31" s="1"/>
  <c r="B60" i="31" s="1"/>
  <c r="B101" i="31"/>
  <c r="B111" i="31"/>
  <c r="A40" i="11"/>
  <c r="A63" i="11" s="1"/>
  <c r="B49" i="31"/>
  <c r="B21" i="32"/>
  <c r="A6" i="12"/>
  <c r="A22" i="12" s="1"/>
  <c r="A36" i="12" s="1"/>
  <c r="G39" i="22"/>
  <c r="G40" i="22" s="1"/>
  <c r="G15" i="10" s="1"/>
  <c r="H39" i="22"/>
  <c r="H40" i="22" s="1"/>
  <c r="H15" i="10" s="1"/>
  <c r="I39" i="22"/>
  <c r="I40" i="22" s="1"/>
  <c r="I15" i="10" s="1"/>
  <c r="J39" i="22"/>
  <c r="J40" i="22" s="1"/>
  <c r="J15" i="10" s="1"/>
  <c r="C39" i="22"/>
  <c r="C40" i="22" s="1"/>
  <c r="C15" i="10" s="1"/>
  <c r="K39" i="22"/>
  <c r="K40" i="22" s="1"/>
  <c r="K15" i="10" s="1"/>
  <c r="F39" i="22"/>
  <c r="F40" i="22" s="1"/>
  <c r="F15" i="10" s="1"/>
  <c r="D39" i="22"/>
  <c r="D40" i="22" s="1"/>
  <c r="D15" i="10" s="1"/>
  <c r="L39" i="22"/>
  <c r="L40" i="22" s="1"/>
  <c r="L15" i="10" s="1"/>
  <c r="B39" i="22"/>
  <c r="B40" i="22" s="1"/>
  <c r="B15" i="10" s="1"/>
  <c r="E39" i="22"/>
  <c r="E40" i="22" s="1"/>
  <c r="E15" i="10" s="1"/>
  <c r="M39" i="22"/>
  <c r="M40" i="22" s="1"/>
  <c r="M15" i="10" s="1"/>
  <c r="O55" i="17"/>
  <c r="F56" i="17"/>
  <c r="F49" i="20"/>
  <c r="O91" i="17"/>
  <c r="C49" i="20"/>
  <c r="C50" i="20" s="1"/>
  <c r="C52" i="20" s="1"/>
  <c r="C13" i="11" s="1"/>
  <c r="C36" i="11" s="1"/>
  <c r="C59" i="11" s="1"/>
  <c r="C92" i="17"/>
  <c r="E49" i="20"/>
  <c r="E50" i="20" s="1"/>
  <c r="E52" i="20" s="1"/>
  <c r="E13" i="11" s="1"/>
  <c r="E36" i="11" s="1"/>
  <c r="E59" i="11" s="1"/>
  <c r="O19" i="17"/>
  <c r="D87" i="20"/>
  <c r="F105" i="20"/>
  <c r="F106" i="20" s="1"/>
  <c r="G101" i="20"/>
  <c r="H103" i="20"/>
  <c r="E66" i="20"/>
  <c r="F66" i="20" s="1"/>
  <c r="F70" i="20"/>
  <c r="F71" i="20" s="1"/>
  <c r="F79" i="20"/>
  <c r="F80" i="20" s="1"/>
  <c r="F75" i="20"/>
  <c r="G67" i="20"/>
  <c r="AG14" i="17"/>
  <c r="C121" i="17" s="1"/>
  <c r="D121" i="17" s="1"/>
  <c r="E121" i="17" s="1"/>
  <c r="F121" i="17" s="1"/>
  <c r="G121" i="17" s="1"/>
  <c r="H121" i="17" s="1"/>
  <c r="I121" i="17" s="1"/>
  <c r="J121" i="17" s="1"/>
  <c r="K121" i="17" s="1"/>
  <c r="L121" i="17" s="1"/>
  <c r="N79" i="18"/>
  <c r="F61" i="20"/>
  <c r="F62" i="20" s="1"/>
  <c r="F58" i="20"/>
  <c r="E57" i="20"/>
  <c r="F46" i="20"/>
  <c r="G47" i="20"/>
  <c r="G49" i="20" s="1"/>
  <c r="E37" i="20"/>
  <c r="G68" i="18"/>
  <c r="O20" i="17"/>
  <c r="I62" i="38" l="1"/>
  <c r="D16" i="36"/>
  <c r="L16" i="36"/>
  <c r="C16" i="36"/>
  <c r="E16" i="36"/>
  <c r="M16" i="36"/>
  <c r="F16" i="36"/>
  <c r="B16" i="36"/>
  <c r="G16" i="36"/>
  <c r="K16" i="36"/>
  <c r="H16" i="36"/>
  <c r="I16" i="36"/>
  <c r="J16" i="36"/>
  <c r="J28" i="10"/>
  <c r="C28" i="10"/>
  <c r="K28" i="10"/>
  <c r="D28" i="10"/>
  <c r="L28" i="10"/>
  <c r="E28" i="10"/>
  <c r="M28" i="10"/>
  <c r="F28" i="10"/>
  <c r="B28" i="10"/>
  <c r="Z51" i="4" s="1"/>
  <c r="AD51" i="4" s="1"/>
  <c r="AH51" i="4" s="1"/>
  <c r="AL51" i="4" s="1"/>
  <c r="AP51" i="4" s="1"/>
  <c r="AT51" i="4" s="1"/>
  <c r="AX51" i="4" s="1"/>
  <c r="BB51" i="4" s="1"/>
  <c r="BF51" i="4" s="1"/>
  <c r="BJ51" i="4" s="1"/>
  <c r="BN51" i="4" s="1"/>
  <c r="BR51" i="4" s="1"/>
  <c r="BV51" i="4" s="1"/>
  <c r="G28" i="10"/>
  <c r="H28" i="10"/>
  <c r="I28" i="10"/>
  <c r="B94" i="31"/>
  <c r="B9" i="31"/>
  <c r="B13" i="31" s="1"/>
  <c r="B18" i="31" s="1"/>
  <c r="B53" i="31"/>
  <c r="B57" i="31" s="1"/>
  <c r="B61" i="31" s="1"/>
  <c r="F50" i="20"/>
  <c r="F52" i="20" s="1"/>
  <c r="F13" i="11" s="1"/>
  <c r="F36" i="11" s="1"/>
  <c r="F59" i="11" s="1"/>
  <c r="N40" i="22"/>
  <c r="O56" i="17"/>
  <c r="O92" i="17"/>
  <c r="E87" i="20"/>
  <c r="G70" i="20"/>
  <c r="G71" i="20" s="1"/>
  <c r="H101" i="20"/>
  <c r="G105" i="20"/>
  <c r="G106" i="20" s="1"/>
  <c r="I103" i="20"/>
  <c r="G75" i="20"/>
  <c r="G79" i="20"/>
  <c r="G80" i="20" s="1"/>
  <c r="H67" i="20"/>
  <c r="G66" i="20"/>
  <c r="F57" i="20"/>
  <c r="G58" i="20"/>
  <c r="G61" i="20"/>
  <c r="G62" i="20" s="1"/>
  <c r="H47" i="20"/>
  <c r="H49" i="20" s="1"/>
  <c r="G46" i="20"/>
  <c r="G50" i="20" s="1"/>
  <c r="G52" i="20" s="1"/>
  <c r="G13" i="11" s="1"/>
  <c r="G36" i="11" s="1"/>
  <c r="G59" i="11" s="1"/>
  <c r="F37" i="20"/>
  <c r="H68" i="18"/>
  <c r="W51" i="4" l="1"/>
  <c r="AA51" i="4" s="1"/>
  <c r="AE51" i="4" s="1"/>
  <c r="AI51" i="4" s="1"/>
  <c r="AM51" i="4" s="1"/>
  <c r="AQ51" i="4" s="1"/>
  <c r="AU51" i="4" s="1"/>
  <c r="AY51" i="4" s="1"/>
  <c r="BC51" i="4" s="1"/>
  <c r="BG51" i="4" s="1"/>
  <c r="BK51" i="4" s="1"/>
  <c r="BO51" i="4" s="1"/>
  <c r="BS51" i="4" s="1"/>
  <c r="BW51" i="4" s="1"/>
  <c r="N16" i="36"/>
  <c r="W16" i="36" s="1"/>
  <c r="R77" i="39"/>
  <c r="J77" i="39"/>
  <c r="T76" i="39"/>
  <c r="L76" i="39"/>
  <c r="L334" i="37"/>
  <c r="Q77" i="39"/>
  <c r="I77" i="39"/>
  <c r="S76" i="39"/>
  <c r="K76" i="39"/>
  <c r="G76" i="39"/>
  <c r="K77" i="39"/>
  <c r="E76" i="39"/>
  <c r="E122" i="39"/>
  <c r="P77" i="39"/>
  <c r="H77" i="39"/>
  <c r="R76" i="39"/>
  <c r="J76" i="39"/>
  <c r="E77" i="39"/>
  <c r="U76" i="39"/>
  <c r="D122" i="39"/>
  <c r="D118" i="40" s="1"/>
  <c r="O77" i="39"/>
  <c r="G77" i="39"/>
  <c r="Q76" i="39"/>
  <c r="I76" i="39"/>
  <c r="M77" i="39"/>
  <c r="V77" i="39"/>
  <c r="N77" i="39"/>
  <c r="F77" i="39"/>
  <c r="P76" i="39"/>
  <c r="H76" i="39"/>
  <c r="U77" i="39"/>
  <c r="O76" i="39"/>
  <c r="M76" i="39"/>
  <c r="T77" i="39"/>
  <c r="L77" i="39"/>
  <c r="V76" i="39"/>
  <c r="N76" i="39"/>
  <c r="F76" i="39"/>
  <c r="S77" i="39"/>
  <c r="X51" i="4"/>
  <c r="AB51" i="4" s="1"/>
  <c r="AF51" i="4" s="1"/>
  <c r="AJ51" i="4" s="1"/>
  <c r="AN51" i="4" s="1"/>
  <c r="AR51" i="4" s="1"/>
  <c r="AV51" i="4" s="1"/>
  <c r="AZ51" i="4" s="1"/>
  <c r="BD51" i="4" s="1"/>
  <c r="BH51" i="4" s="1"/>
  <c r="BL51" i="4" s="1"/>
  <c r="BP51" i="4" s="1"/>
  <c r="BT51" i="4" s="1"/>
  <c r="BX51" i="4" s="1"/>
  <c r="Y51" i="4"/>
  <c r="AC51" i="4" s="1"/>
  <c r="AG51" i="4" s="1"/>
  <c r="AK51" i="4" s="1"/>
  <c r="AO51" i="4" s="1"/>
  <c r="AS51" i="4" s="1"/>
  <c r="AW51" i="4" s="1"/>
  <c r="BA51" i="4" s="1"/>
  <c r="BE51" i="4" s="1"/>
  <c r="BI51" i="4" s="1"/>
  <c r="BM51" i="4" s="1"/>
  <c r="BQ51" i="4" s="1"/>
  <c r="BU51" i="4" s="1"/>
  <c r="BY51" i="4" s="1"/>
  <c r="N28" i="10"/>
  <c r="B26" i="31"/>
  <c r="B30" i="31" s="1"/>
  <c r="B41" i="31" s="1"/>
  <c r="B45" i="31" s="1"/>
  <c r="B22" i="31"/>
  <c r="B100" i="31"/>
  <c r="B105" i="31" s="1"/>
  <c r="B110" i="31" s="1"/>
  <c r="H70" i="20"/>
  <c r="H71" i="20" s="1"/>
  <c r="F87" i="20"/>
  <c r="J103" i="20"/>
  <c r="H105" i="20"/>
  <c r="H106" i="20" s="1"/>
  <c r="I101" i="20"/>
  <c r="H79" i="20"/>
  <c r="H80" i="20" s="1"/>
  <c r="H75" i="20"/>
  <c r="I67" i="20"/>
  <c r="H66" i="20"/>
  <c r="H58" i="20"/>
  <c r="G57" i="20"/>
  <c r="H61" i="20"/>
  <c r="H62" i="20" s="1"/>
  <c r="H46" i="20"/>
  <c r="H50" i="20" s="1"/>
  <c r="H52" i="20" s="1"/>
  <c r="H13" i="11" s="1"/>
  <c r="H36" i="11" s="1"/>
  <c r="H59" i="11" s="1"/>
  <c r="I47" i="20"/>
  <c r="I49" i="20" s="1"/>
  <c r="G37" i="20"/>
  <c r="I68" i="18"/>
  <c r="E180" i="39" l="1"/>
  <c r="E81" i="39"/>
  <c r="E98" i="39" s="1"/>
  <c r="F180" i="39"/>
  <c r="G180" i="39"/>
  <c r="H180" i="39" s="1"/>
  <c r="I180" i="39" s="1"/>
  <c r="J180" i="39" s="1"/>
  <c r="K180" i="39" s="1"/>
  <c r="L180" i="39" s="1"/>
  <c r="M180" i="39" s="1"/>
  <c r="N180" i="39" s="1"/>
  <c r="O180" i="39" s="1"/>
  <c r="P180" i="39" s="1"/>
  <c r="Q180" i="39" s="1"/>
  <c r="R180" i="39" s="1"/>
  <c r="S180" i="39" s="1"/>
  <c r="T180" i="39" s="1"/>
  <c r="U180" i="39" s="1"/>
  <c r="B95" i="31"/>
  <c r="I70" i="20"/>
  <c r="I71" i="20" s="1"/>
  <c r="G87" i="20"/>
  <c r="I105" i="20"/>
  <c r="I106" i="20" s="1"/>
  <c r="J101" i="20"/>
  <c r="K103" i="20"/>
  <c r="I75" i="20"/>
  <c r="I79" i="20"/>
  <c r="I80" i="20" s="1"/>
  <c r="J67" i="20"/>
  <c r="I66" i="20"/>
  <c r="H57" i="20"/>
  <c r="I61" i="20"/>
  <c r="I62" i="20" s="1"/>
  <c r="I58" i="20"/>
  <c r="J47" i="20"/>
  <c r="J49" i="20" s="1"/>
  <c r="I46" i="20"/>
  <c r="I50" i="20" s="1"/>
  <c r="I52" i="20" s="1"/>
  <c r="I13" i="11" s="1"/>
  <c r="I36" i="11" s="1"/>
  <c r="I59" i="11" s="1"/>
  <c r="H37" i="20"/>
  <c r="J68" i="18"/>
  <c r="J70" i="20" l="1"/>
  <c r="J71" i="20" s="1"/>
  <c r="H87" i="20"/>
  <c r="L103" i="20"/>
  <c r="K101" i="20"/>
  <c r="J105" i="20"/>
  <c r="J106" i="20" s="1"/>
  <c r="J79" i="20"/>
  <c r="J80" i="20" s="1"/>
  <c r="J75" i="20"/>
  <c r="J66" i="20"/>
  <c r="K67" i="20"/>
  <c r="K70" i="20"/>
  <c r="K71" i="20" s="1"/>
  <c r="J61" i="20"/>
  <c r="J62" i="20" s="1"/>
  <c r="J58" i="20"/>
  <c r="I57" i="20"/>
  <c r="J46" i="20"/>
  <c r="J50" i="20" s="1"/>
  <c r="J52" i="20" s="1"/>
  <c r="J13" i="11" s="1"/>
  <c r="J36" i="11" s="1"/>
  <c r="J59" i="11" s="1"/>
  <c r="K47" i="20"/>
  <c r="K49" i="20" s="1"/>
  <c r="I37" i="20"/>
  <c r="K68" i="18"/>
  <c r="I87" i="20" l="1"/>
  <c r="K105" i="20"/>
  <c r="K106" i="20" s="1"/>
  <c r="L101" i="20"/>
  <c r="M103" i="20"/>
  <c r="K75" i="20"/>
  <c r="K79" i="20"/>
  <c r="K80" i="20" s="1"/>
  <c r="L70" i="20"/>
  <c r="L71" i="20" s="1"/>
  <c r="L67" i="20"/>
  <c r="K66" i="20"/>
  <c r="J57" i="20"/>
  <c r="K58" i="20"/>
  <c r="K61" i="20"/>
  <c r="K62" i="20" s="1"/>
  <c r="L47" i="20"/>
  <c r="L49" i="20" s="1"/>
  <c r="K46" i="20"/>
  <c r="K50" i="20" s="1"/>
  <c r="K52" i="20" s="1"/>
  <c r="K13" i="11" s="1"/>
  <c r="K36" i="11" s="1"/>
  <c r="K59" i="11" s="1"/>
  <c r="J37" i="20"/>
  <c r="L68" i="18"/>
  <c r="J87" i="20" l="1"/>
  <c r="M101" i="20"/>
  <c r="L105" i="20"/>
  <c r="L106" i="20" s="1"/>
  <c r="L79" i="20"/>
  <c r="L80" i="20" s="1"/>
  <c r="L75" i="20"/>
  <c r="M67" i="20"/>
  <c r="L66" i="20"/>
  <c r="M70" i="20"/>
  <c r="M71" i="20" s="1"/>
  <c r="L58" i="20"/>
  <c r="K57" i="20"/>
  <c r="L61" i="20"/>
  <c r="L62" i="20" s="1"/>
  <c r="L46" i="20"/>
  <c r="L50" i="20" s="1"/>
  <c r="L52" i="20" s="1"/>
  <c r="L13" i="11" s="1"/>
  <c r="L36" i="11" s="1"/>
  <c r="L59" i="11" s="1"/>
  <c r="M47" i="20"/>
  <c r="M49" i="20" s="1"/>
  <c r="K37" i="20"/>
  <c r="M68" i="18"/>
  <c r="K87" i="20" l="1"/>
  <c r="M105" i="20"/>
  <c r="M106" i="20" s="1"/>
  <c r="M79" i="20"/>
  <c r="M80" i="20" s="1"/>
  <c r="M75" i="20"/>
  <c r="M66" i="20"/>
  <c r="M61" i="20"/>
  <c r="M62" i="20" s="1"/>
  <c r="L57" i="20"/>
  <c r="M58" i="20"/>
  <c r="M46" i="20"/>
  <c r="M50" i="20" s="1"/>
  <c r="M52" i="20" s="1"/>
  <c r="L37" i="20"/>
  <c r="N68" i="18"/>
  <c r="N52" i="20" l="1"/>
  <c r="M13" i="11"/>
  <c r="M87" i="20"/>
  <c r="L87" i="20"/>
  <c r="M57" i="20"/>
  <c r="N50" i="20"/>
  <c r="M37" i="20"/>
  <c r="M36" i="11" l="1"/>
  <c r="M59" i="11" s="1"/>
  <c r="N13" i="11"/>
  <c r="N36" i="11" l="1"/>
  <c r="N59" i="11"/>
  <c r="B5" i="17" l="1"/>
  <c r="O35" i="17"/>
  <c r="O45" i="13"/>
  <c r="O61" i="13" s="1"/>
  <c r="M45" i="13"/>
  <c r="M61" i="13" s="1"/>
  <c r="N45" i="13"/>
  <c r="N61" i="13" s="1"/>
  <c r="E45" i="13"/>
  <c r="E61" i="13" s="1"/>
  <c r="F45" i="13"/>
  <c r="F61" i="13" s="1"/>
  <c r="G45" i="13"/>
  <c r="G61" i="13" s="1"/>
  <c r="H45" i="13"/>
  <c r="H61" i="13" s="1"/>
  <c r="I45" i="13"/>
  <c r="I61" i="13" s="1"/>
  <c r="J45" i="13"/>
  <c r="J61" i="13" s="1"/>
  <c r="K45" i="13"/>
  <c r="K61" i="13" s="1"/>
  <c r="L45" i="13"/>
  <c r="L61" i="13" s="1"/>
  <c r="D45" i="13"/>
  <c r="D61" i="13" s="1"/>
  <c r="A44" i="13"/>
  <c r="A60" i="13" s="1"/>
  <c r="O28" i="17"/>
  <c r="A9" i="17"/>
  <c r="C55" i="13"/>
  <c r="C56" i="13"/>
  <c r="C54" i="13"/>
  <c r="A55" i="13"/>
  <c r="A56" i="13"/>
  <c r="A54" i="13"/>
  <c r="A48" i="13"/>
  <c r="A32" i="17" s="1"/>
  <c r="S12" i="17" s="1"/>
  <c r="C41" i="13"/>
  <c r="C42" i="13"/>
  <c r="C43" i="13"/>
  <c r="C40" i="13"/>
  <c r="A41" i="13"/>
  <c r="A42" i="13"/>
  <c r="A43" i="13"/>
  <c r="A40" i="13"/>
  <c r="A34" i="13"/>
  <c r="D130" i="8"/>
  <c r="D110" i="8"/>
  <c r="D109" i="8"/>
  <c r="C31" i="20"/>
  <c r="A31" i="20"/>
  <c r="C27" i="20"/>
  <c r="D27" i="20" s="1"/>
  <c r="E27" i="20" s="1"/>
  <c r="F27" i="20" s="1"/>
  <c r="G27" i="20" s="1"/>
  <c r="H27" i="20" s="1"/>
  <c r="I27" i="20" s="1"/>
  <c r="J27" i="20" s="1"/>
  <c r="K27" i="20" s="1"/>
  <c r="L27" i="20" s="1"/>
  <c r="M27" i="20" s="1"/>
  <c r="A26" i="20"/>
  <c r="C22" i="20"/>
  <c r="D22" i="20" s="1"/>
  <c r="D23" i="20" s="1"/>
  <c r="C13" i="20"/>
  <c r="C10" i="20"/>
  <c r="C19" i="20"/>
  <c r="D19" i="20" s="1"/>
  <c r="E19" i="20" s="1"/>
  <c r="F19" i="20" s="1"/>
  <c r="G19" i="20" s="1"/>
  <c r="H19" i="20" s="1"/>
  <c r="I19" i="20" s="1"/>
  <c r="J19" i="20" s="1"/>
  <c r="K19" i="20" s="1"/>
  <c r="L19" i="20" s="1"/>
  <c r="M19" i="20" s="1"/>
  <c r="C18" i="20"/>
  <c r="D18" i="20" s="1"/>
  <c r="A17" i="20"/>
  <c r="C9" i="20"/>
  <c r="D9" i="20" s="1"/>
  <c r="E9" i="20" s="1"/>
  <c r="F9" i="20" s="1"/>
  <c r="G9" i="20" s="1"/>
  <c r="H9" i="20" s="1"/>
  <c r="I9" i="20" s="1"/>
  <c r="J9" i="20" s="1"/>
  <c r="K9" i="20" s="1"/>
  <c r="L9" i="20" s="1"/>
  <c r="M9" i="20" s="1"/>
  <c r="A8" i="20"/>
  <c r="C11" i="19"/>
  <c r="D11" i="19"/>
  <c r="E11" i="19"/>
  <c r="F11" i="19"/>
  <c r="G11" i="19"/>
  <c r="H11" i="19"/>
  <c r="I11" i="19"/>
  <c r="J11" i="19"/>
  <c r="K11" i="19"/>
  <c r="L11" i="19"/>
  <c r="M11" i="19"/>
  <c r="B11" i="19"/>
  <c r="B3" i="19"/>
  <c r="A54" i="18"/>
  <c r="C119" i="17"/>
  <c r="N43" i="18"/>
  <c r="A29" i="18"/>
  <c r="A44" i="18" s="1"/>
  <c r="A30" i="18"/>
  <c r="A45" i="18" s="1"/>
  <c r="A31" i="18"/>
  <c r="A46" i="18" s="1"/>
  <c r="A32" i="18"/>
  <c r="A47" i="18" s="1"/>
  <c r="A33" i="18"/>
  <c r="A48" i="18" s="1"/>
  <c r="A34" i="18"/>
  <c r="A49" i="18" s="1"/>
  <c r="A35" i="18"/>
  <c r="A50" i="18" s="1"/>
  <c r="A36" i="18"/>
  <c r="A51" i="18" s="1"/>
  <c r="A37" i="18"/>
  <c r="A52" i="18" s="1"/>
  <c r="A38" i="18"/>
  <c r="A53" i="18" s="1"/>
  <c r="A28" i="18"/>
  <c r="A43" i="18" s="1"/>
  <c r="D48" i="17"/>
  <c r="C20" i="19" s="1"/>
  <c r="E48" i="17"/>
  <c r="E84" i="17" s="1"/>
  <c r="F48" i="17"/>
  <c r="F84" i="17" s="1"/>
  <c r="G48" i="17"/>
  <c r="G84" i="17" s="1"/>
  <c r="H48" i="17"/>
  <c r="H84" i="17" s="1"/>
  <c r="I48" i="17"/>
  <c r="H20" i="19" s="1"/>
  <c r="J48" i="17"/>
  <c r="J84" i="17" s="1"/>
  <c r="I29" i="19" s="1"/>
  <c r="K48" i="17"/>
  <c r="K84" i="17" s="1"/>
  <c r="J45" i="18" s="1"/>
  <c r="L48" i="17"/>
  <c r="K20" i="19" s="1"/>
  <c r="M48" i="17"/>
  <c r="M84" i="17" s="1"/>
  <c r="N48" i="17"/>
  <c r="N84" i="17" s="1"/>
  <c r="C48" i="17"/>
  <c r="C84" i="17" s="1"/>
  <c r="S10" i="17" l="1"/>
  <c r="A3" i="11"/>
  <c r="C53" i="13"/>
  <c r="D13" i="20"/>
  <c r="D14" i="20" s="1"/>
  <c r="C14" i="20"/>
  <c r="C23" i="20"/>
  <c r="D31" i="20"/>
  <c r="C32" i="20"/>
  <c r="A7" i="20"/>
  <c r="A1" i="19"/>
  <c r="A2" i="18"/>
  <c r="A68" i="17"/>
  <c r="A104" i="17" s="1"/>
  <c r="A58" i="18"/>
  <c r="A81" i="17"/>
  <c r="A45" i="17"/>
  <c r="I20" i="19"/>
  <c r="D84" i="17"/>
  <c r="C45" i="18" s="1"/>
  <c r="I45" i="18"/>
  <c r="C39" i="13"/>
  <c r="I84" i="17"/>
  <c r="J20" i="19"/>
  <c r="G20" i="19"/>
  <c r="L84" i="17"/>
  <c r="K29" i="19" s="1"/>
  <c r="G45" i="18"/>
  <c r="G29" i="19"/>
  <c r="B45" i="18"/>
  <c r="B29" i="19"/>
  <c r="F29" i="19"/>
  <c r="F45" i="18"/>
  <c r="M45" i="18"/>
  <c r="M29" i="19"/>
  <c r="E45" i="18"/>
  <c r="E29" i="19"/>
  <c r="L45" i="18"/>
  <c r="L29" i="19"/>
  <c r="D45" i="18"/>
  <c r="D29" i="19"/>
  <c r="B20" i="19"/>
  <c r="F20" i="19"/>
  <c r="J29" i="19"/>
  <c r="M20" i="19"/>
  <c r="E20" i="19"/>
  <c r="L20" i="19"/>
  <c r="D20" i="19"/>
  <c r="E18" i="20"/>
  <c r="D10" i="20"/>
  <c r="B47" i="31" l="1"/>
  <c r="B19" i="40"/>
  <c r="B7" i="31"/>
  <c r="B11" i="31" s="1"/>
  <c r="B16" i="31" s="1"/>
  <c r="B51" i="31"/>
  <c r="B55" i="31" s="1"/>
  <c r="B59" i="31" s="1"/>
  <c r="A26" i="11"/>
  <c r="A49" i="11" s="1"/>
  <c r="B19" i="32"/>
  <c r="A4" i="12"/>
  <c r="A20" i="12" s="1"/>
  <c r="A34" i="12" s="1"/>
  <c r="E22" i="20"/>
  <c r="E23" i="20" s="1"/>
  <c r="E13" i="20"/>
  <c r="F13" i="20" s="1"/>
  <c r="C65" i="18"/>
  <c r="C67" i="18" s="1"/>
  <c r="K65" i="18"/>
  <c r="K67" i="18" s="1"/>
  <c r="D65" i="18"/>
  <c r="D67" i="18" s="1"/>
  <c r="L65" i="18"/>
  <c r="L67" i="18" s="1"/>
  <c r="E65" i="18"/>
  <c r="E67" i="18" s="1"/>
  <c r="M65" i="18"/>
  <c r="M67" i="18" s="1"/>
  <c r="J65" i="18"/>
  <c r="J67" i="18" s="1"/>
  <c r="F65" i="18"/>
  <c r="F67" i="18" s="1"/>
  <c r="B65" i="18"/>
  <c r="G65" i="18"/>
  <c r="G67" i="18" s="1"/>
  <c r="H65" i="18"/>
  <c r="H67" i="18" s="1"/>
  <c r="I65" i="18"/>
  <c r="I67" i="18" s="1"/>
  <c r="E31" i="20"/>
  <c r="D32" i="20"/>
  <c r="N26" i="17"/>
  <c r="G98" i="17"/>
  <c r="G99" i="17" s="1"/>
  <c r="N62" i="17"/>
  <c r="N63" i="17" s="1"/>
  <c r="F62" i="17"/>
  <c r="F63" i="17" s="1"/>
  <c r="N98" i="17"/>
  <c r="N99" i="17" s="1"/>
  <c r="F98" i="17"/>
  <c r="F99" i="17" s="1"/>
  <c r="M62" i="17"/>
  <c r="M63" i="17" s="1"/>
  <c r="E62" i="17"/>
  <c r="E63" i="17" s="1"/>
  <c r="M98" i="17"/>
  <c r="M99" i="17" s="1"/>
  <c r="E98" i="17"/>
  <c r="E99" i="17" s="1"/>
  <c r="L62" i="17"/>
  <c r="L63" i="17" s="1"/>
  <c r="D62" i="17"/>
  <c r="D63" i="17" s="1"/>
  <c r="L98" i="17"/>
  <c r="L99" i="17" s="1"/>
  <c r="D98" i="17"/>
  <c r="D99" i="17" s="1"/>
  <c r="K62" i="17"/>
  <c r="K63" i="17" s="1"/>
  <c r="C62" i="17"/>
  <c r="I98" i="17"/>
  <c r="I99" i="17" s="1"/>
  <c r="K98" i="17"/>
  <c r="K99" i="17" s="1"/>
  <c r="C98" i="17"/>
  <c r="J62" i="17"/>
  <c r="J63" i="17" s="1"/>
  <c r="J98" i="17"/>
  <c r="J99" i="17" s="1"/>
  <c r="I62" i="17"/>
  <c r="I63" i="17" s="1"/>
  <c r="H98" i="17"/>
  <c r="H99" i="17" s="1"/>
  <c r="G62" i="17"/>
  <c r="G63" i="17" s="1"/>
  <c r="H62" i="17"/>
  <c r="H63" i="17" s="1"/>
  <c r="G105" i="17"/>
  <c r="J69" i="17"/>
  <c r="N105" i="17"/>
  <c r="F105" i="17"/>
  <c r="I69" i="17"/>
  <c r="L69" i="17"/>
  <c r="C69" i="17"/>
  <c r="B78" i="18" s="1"/>
  <c r="M105" i="17"/>
  <c r="E105" i="17"/>
  <c r="H69" i="17"/>
  <c r="I105" i="17"/>
  <c r="H105" i="17"/>
  <c r="K69" i="17"/>
  <c r="L105" i="17"/>
  <c r="D105" i="17"/>
  <c r="G69" i="17"/>
  <c r="K105" i="17"/>
  <c r="C105" i="17"/>
  <c r="B90" i="18" s="1"/>
  <c r="N69" i="17"/>
  <c r="F69" i="17"/>
  <c r="J105" i="17"/>
  <c r="M69" i="17"/>
  <c r="E69" i="17"/>
  <c r="D69" i="17"/>
  <c r="K33" i="17"/>
  <c r="K34" i="17" s="1"/>
  <c r="D33" i="17"/>
  <c r="D34" i="17" s="1"/>
  <c r="L33" i="17"/>
  <c r="L34" i="17" s="1"/>
  <c r="N33" i="17"/>
  <c r="N34" i="17" s="1"/>
  <c r="E33" i="17"/>
  <c r="E34" i="17" s="1"/>
  <c r="M33" i="17"/>
  <c r="M34" i="17" s="1"/>
  <c r="F33" i="17"/>
  <c r="F34" i="17" s="1"/>
  <c r="G33" i="17"/>
  <c r="G34" i="17" s="1"/>
  <c r="C33" i="17"/>
  <c r="C34" i="17" s="1"/>
  <c r="B49" i="22" s="1"/>
  <c r="J33" i="17"/>
  <c r="J34" i="17" s="1"/>
  <c r="H33" i="17"/>
  <c r="H34" i="17" s="1"/>
  <c r="I33" i="17"/>
  <c r="I34" i="17" s="1"/>
  <c r="C29" i="19"/>
  <c r="K26" i="17"/>
  <c r="F26" i="17"/>
  <c r="E26" i="17"/>
  <c r="J26" i="17"/>
  <c r="D26" i="17"/>
  <c r="L26" i="17"/>
  <c r="H26" i="17"/>
  <c r="M26" i="17"/>
  <c r="I26" i="17"/>
  <c r="C26" i="17"/>
  <c r="G26" i="17"/>
  <c r="K45" i="18"/>
  <c r="H29" i="19"/>
  <c r="H45" i="18"/>
  <c r="F18" i="20"/>
  <c r="E10" i="20"/>
  <c r="K49" i="22" l="1"/>
  <c r="K50" i="22" s="1"/>
  <c r="C49" i="22"/>
  <c r="C50" i="22" s="1"/>
  <c r="M49" i="22"/>
  <c r="M50" i="22" s="1"/>
  <c r="J49" i="22"/>
  <c r="J50" i="22" s="1"/>
  <c r="D49" i="22"/>
  <c r="L50" i="22"/>
  <c r="L53" i="22" s="1"/>
  <c r="L49" i="22"/>
  <c r="E50" i="22"/>
  <c r="E53" i="22" s="1"/>
  <c r="E49" i="22"/>
  <c r="H49" i="22"/>
  <c r="H50" i="22" s="1"/>
  <c r="H53" i="22" s="1"/>
  <c r="G49" i="22"/>
  <c r="G50" i="22" s="1"/>
  <c r="I49" i="22"/>
  <c r="I50" i="22" s="1"/>
  <c r="F50" i="22"/>
  <c r="F53" i="22" s="1"/>
  <c r="F49" i="22"/>
  <c r="E14" i="20"/>
  <c r="F22" i="20"/>
  <c r="F23" i="20" s="1"/>
  <c r="B24" i="31"/>
  <c r="B28" i="31" s="1"/>
  <c r="B39" i="31" s="1"/>
  <c r="B43" i="31" s="1"/>
  <c r="B20" i="31"/>
  <c r="B98" i="31"/>
  <c r="B93" i="31" s="1"/>
  <c r="B50" i="22"/>
  <c r="B53" i="22" s="1"/>
  <c r="F55" i="22"/>
  <c r="F6" i="35" s="1"/>
  <c r="F14" i="20"/>
  <c r="G13" i="20"/>
  <c r="G14" i="20" s="1"/>
  <c r="N65" i="18"/>
  <c r="B67" i="18"/>
  <c r="N67" i="18" s="1"/>
  <c r="F31" i="20"/>
  <c r="E32" i="20"/>
  <c r="B80" i="18"/>
  <c r="M70" i="17"/>
  <c r="L78" i="18"/>
  <c r="L80" i="18" s="1"/>
  <c r="L106" i="17"/>
  <c r="K90" i="18"/>
  <c r="K92" i="18" s="1"/>
  <c r="L70" i="17"/>
  <c r="K78" i="18"/>
  <c r="K80" i="18" s="1"/>
  <c r="J106" i="17"/>
  <c r="I90" i="18"/>
  <c r="I92" i="18" s="1"/>
  <c r="K70" i="17"/>
  <c r="J78" i="18"/>
  <c r="J80" i="18" s="1"/>
  <c r="I70" i="17"/>
  <c r="H78" i="18"/>
  <c r="H80" i="18" s="1"/>
  <c r="E70" i="17"/>
  <c r="D78" i="18"/>
  <c r="D80" i="18" s="1"/>
  <c r="D106" i="17"/>
  <c r="C90" i="18"/>
  <c r="C92" i="18" s="1"/>
  <c r="F70" i="17"/>
  <c r="E78" i="18"/>
  <c r="E80" i="18" s="1"/>
  <c r="H106" i="17"/>
  <c r="G90" i="18"/>
  <c r="G92" i="18" s="1"/>
  <c r="F106" i="17"/>
  <c r="E90" i="18"/>
  <c r="E92" i="18" s="1"/>
  <c r="I106" i="17"/>
  <c r="H90" i="18"/>
  <c r="H92" i="18" s="1"/>
  <c r="N70" i="17"/>
  <c r="M78" i="18"/>
  <c r="M80" i="18" s="1"/>
  <c r="N106" i="17"/>
  <c r="M90" i="18"/>
  <c r="M92" i="18" s="1"/>
  <c r="H70" i="17"/>
  <c r="G78" i="18"/>
  <c r="G80" i="18" s="1"/>
  <c r="K106" i="17"/>
  <c r="J90" i="18"/>
  <c r="J92" i="18" s="1"/>
  <c r="E106" i="17"/>
  <c r="D90" i="18"/>
  <c r="D92" i="18" s="1"/>
  <c r="G106" i="17"/>
  <c r="F90" i="18"/>
  <c r="F92" i="18" s="1"/>
  <c r="B92" i="18"/>
  <c r="J70" i="17"/>
  <c r="I78" i="18"/>
  <c r="I80" i="18" s="1"/>
  <c r="D70" i="17"/>
  <c r="C78" i="18"/>
  <c r="C80" i="18" s="1"/>
  <c r="G70" i="17"/>
  <c r="F78" i="18"/>
  <c r="F80" i="18" s="1"/>
  <c r="M106" i="17"/>
  <c r="L90" i="18"/>
  <c r="L92" i="18" s="1"/>
  <c r="C63" i="17"/>
  <c r="O63" i="17" s="1"/>
  <c r="O62" i="17"/>
  <c r="C106" i="17"/>
  <c r="O105" i="17"/>
  <c r="C99" i="17"/>
  <c r="O99" i="17" s="1"/>
  <c r="O98" i="17"/>
  <c r="C70" i="17"/>
  <c r="B104" i="20" s="1"/>
  <c r="B107" i="20" s="1"/>
  <c r="B109" i="20" s="1"/>
  <c r="O69" i="17"/>
  <c r="O34" i="17"/>
  <c r="O33" i="17"/>
  <c r="N45" i="18"/>
  <c r="G18" i="20"/>
  <c r="G22" i="20"/>
  <c r="G23" i="20" s="1"/>
  <c r="F10" i="20"/>
  <c r="G53" i="22" l="1"/>
  <c r="G55" i="22"/>
  <c r="G6" i="35" s="1"/>
  <c r="N49" i="22"/>
  <c r="E55" i="22"/>
  <c r="E6" i="35" s="1"/>
  <c r="I53" i="22"/>
  <c r="I55" i="22"/>
  <c r="I6" i="35" s="1"/>
  <c r="I15" i="35" s="1"/>
  <c r="I24" i="35" s="1"/>
  <c r="J53" i="22"/>
  <c r="J55" i="22"/>
  <c r="J6" i="35" s="1"/>
  <c r="J15" i="35" s="1"/>
  <c r="J24" i="35" s="1"/>
  <c r="M53" i="22"/>
  <c r="M55" i="22"/>
  <c r="M6" i="35" s="1"/>
  <c r="M15" i="35" s="1"/>
  <c r="M24" i="35" s="1"/>
  <c r="C53" i="22"/>
  <c r="C55" i="22"/>
  <c r="C6" i="35" s="1"/>
  <c r="C15" i="35" s="1"/>
  <c r="C24" i="35" s="1"/>
  <c r="K53" i="22"/>
  <c r="K55" i="22"/>
  <c r="K6" i="35" s="1"/>
  <c r="K15" i="35" s="1"/>
  <c r="K24" i="35" s="1"/>
  <c r="L55" i="22"/>
  <c r="L6" i="35" s="1"/>
  <c r="L15" i="35" s="1"/>
  <c r="L24" i="35" s="1"/>
  <c r="H55" i="22"/>
  <c r="H6" i="35" s="1"/>
  <c r="D50" i="22"/>
  <c r="W22" i="39"/>
  <c r="F15" i="35"/>
  <c r="F24" i="35" s="1"/>
  <c r="K104" i="20"/>
  <c r="K107" i="20" s="1"/>
  <c r="K109" i="20" s="1"/>
  <c r="H104" i="20"/>
  <c r="H107" i="20" s="1"/>
  <c r="H109" i="20" s="1"/>
  <c r="I104" i="20"/>
  <c r="I107" i="20" s="1"/>
  <c r="I109" i="20" s="1"/>
  <c r="G104" i="20"/>
  <c r="G107" i="20" s="1"/>
  <c r="G109" i="20" s="1"/>
  <c r="D104" i="20"/>
  <c r="D107" i="20" s="1"/>
  <c r="D109" i="20" s="1"/>
  <c r="F104" i="20"/>
  <c r="F107" i="20" s="1"/>
  <c r="F109" i="20" s="1"/>
  <c r="M104" i="20"/>
  <c r="M107" i="20" s="1"/>
  <c r="M109" i="20" s="1"/>
  <c r="E104" i="20"/>
  <c r="E107" i="20" s="1"/>
  <c r="E109" i="20" s="1"/>
  <c r="J104" i="20"/>
  <c r="J107" i="20" s="1"/>
  <c r="J109" i="20" s="1"/>
  <c r="L104" i="20"/>
  <c r="L107" i="20" s="1"/>
  <c r="L109" i="20" s="1"/>
  <c r="E15" i="35"/>
  <c r="C104" i="20"/>
  <c r="C107" i="20" s="1"/>
  <c r="G15" i="35"/>
  <c r="G24" i="35" s="1"/>
  <c r="B5" i="35"/>
  <c r="B14" i="35" s="1"/>
  <c r="B10" i="36"/>
  <c r="H13" i="20"/>
  <c r="H14" i="20" s="1"/>
  <c r="B103" i="31"/>
  <c r="B108" i="31" s="1"/>
  <c r="B55" i="22"/>
  <c r="B6" i="35" s="1"/>
  <c r="B15" i="35" s="1"/>
  <c r="G31" i="20"/>
  <c r="F32" i="20"/>
  <c r="O70" i="17"/>
  <c r="N90" i="18"/>
  <c r="O106" i="17"/>
  <c r="N78" i="18"/>
  <c r="N92" i="18"/>
  <c r="N80" i="18"/>
  <c r="H22" i="20"/>
  <c r="H23" i="20" s="1"/>
  <c r="H18" i="20"/>
  <c r="G10" i="20"/>
  <c r="I13" i="20"/>
  <c r="I14" i="20" s="1"/>
  <c r="X22" i="39" l="1"/>
  <c r="D53" i="22"/>
  <c r="N53" i="22" s="1"/>
  <c r="H15" i="35"/>
  <c r="H24" i="35" s="1"/>
  <c r="AF22" i="39" s="1"/>
  <c r="AJ22" i="39" s="1"/>
  <c r="AN22" i="39" s="1"/>
  <c r="AR22" i="39" s="1"/>
  <c r="AV22" i="39" s="1"/>
  <c r="AZ22" i="39" s="1"/>
  <c r="BD22" i="39" s="1"/>
  <c r="BH22" i="39" s="1"/>
  <c r="BL22" i="39" s="1"/>
  <c r="BP22" i="39" s="1"/>
  <c r="BT22" i="39" s="1"/>
  <c r="BX22" i="39" s="1"/>
  <c r="CB22" i="39" s="1"/>
  <c r="CF22" i="39" s="1"/>
  <c r="CJ22" i="39" s="1"/>
  <c r="CN22" i="39" s="1"/>
  <c r="N50" i="22"/>
  <c r="E24" i="35"/>
  <c r="AE22" i="39" s="1"/>
  <c r="AI22" i="39" s="1"/>
  <c r="AM22" i="39" s="1"/>
  <c r="AQ22" i="39" s="1"/>
  <c r="AU22" i="39" s="1"/>
  <c r="AY22" i="39" s="1"/>
  <c r="BC22" i="39" s="1"/>
  <c r="BG22" i="39" s="1"/>
  <c r="BK22" i="39" s="1"/>
  <c r="BO22" i="39" s="1"/>
  <c r="BS22" i="39" s="1"/>
  <c r="BW22" i="39" s="1"/>
  <c r="CA22" i="39" s="1"/>
  <c r="CE22" i="39" s="1"/>
  <c r="CI22" i="39" s="1"/>
  <c r="CM22" i="39" s="1"/>
  <c r="AA22" i="39"/>
  <c r="J10" i="36"/>
  <c r="J5" i="35"/>
  <c r="J14" i="35" s="1"/>
  <c r="J23" i="35" s="1"/>
  <c r="C109" i="20"/>
  <c r="N107" i="20"/>
  <c r="N109" i="20" s="1"/>
  <c r="I5" i="35"/>
  <c r="I14" i="35" s="1"/>
  <c r="I23" i="35" s="1"/>
  <c r="I10" i="36"/>
  <c r="H10" i="36"/>
  <c r="H5" i="35"/>
  <c r="F5" i="35"/>
  <c r="F14" i="35" s="1"/>
  <c r="F23" i="35" s="1"/>
  <c r="F10" i="36"/>
  <c r="K5" i="35"/>
  <c r="K10" i="36"/>
  <c r="D5" i="35"/>
  <c r="D14" i="35" s="1"/>
  <c r="D23" i="35" s="1"/>
  <c r="D10" i="36"/>
  <c r="E5" i="35"/>
  <c r="E10" i="36"/>
  <c r="M5" i="35"/>
  <c r="M14" i="35" s="1"/>
  <c r="M23" i="35" s="1"/>
  <c r="M10" i="36"/>
  <c r="G5" i="35"/>
  <c r="G14" i="35" s="1"/>
  <c r="G23" i="35" s="1"/>
  <c r="G10" i="36"/>
  <c r="L5" i="35"/>
  <c r="L14" i="35" s="1"/>
  <c r="L23" i="35" s="1"/>
  <c r="L10" i="36"/>
  <c r="K14" i="35"/>
  <c r="K23" i="35" s="1"/>
  <c r="B23" i="35"/>
  <c r="H31" i="20"/>
  <c r="G32" i="20"/>
  <c r="I18" i="20"/>
  <c r="I22" i="20"/>
  <c r="I23" i="20" s="1"/>
  <c r="H10" i="20"/>
  <c r="J13" i="20"/>
  <c r="J14" i="20" s="1"/>
  <c r="W21" i="39" l="1"/>
  <c r="W32" i="39" s="1"/>
  <c r="AB22" i="39"/>
  <c r="D55" i="22"/>
  <c r="H14" i="35"/>
  <c r="X21" i="39"/>
  <c r="E14" i="35"/>
  <c r="C5" i="35"/>
  <c r="C10" i="36"/>
  <c r="N10" i="36" s="1"/>
  <c r="B24" i="35"/>
  <c r="I31" i="20"/>
  <c r="H32" i="20"/>
  <c r="J22" i="20"/>
  <c r="J23" i="20" s="1"/>
  <c r="J18" i="20"/>
  <c r="I10" i="20"/>
  <c r="K13" i="20"/>
  <c r="K14" i="20" s="1"/>
  <c r="D6" i="35" l="1"/>
  <c r="N55" i="22"/>
  <c r="E23" i="35"/>
  <c r="AE21" i="39" s="1"/>
  <c r="AA21" i="39"/>
  <c r="AA32" i="39" s="1"/>
  <c r="X32" i="39"/>
  <c r="H23" i="35"/>
  <c r="AF21" i="39" s="1"/>
  <c r="AF32" i="39" s="1"/>
  <c r="AB21" i="39"/>
  <c r="AB32" i="39" s="1"/>
  <c r="N5" i="35"/>
  <c r="C14" i="35"/>
  <c r="Z21" i="39" s="1"/>
  <c r="Z32" i="39" s="1"/>
  <c r="J31" i="20"/>
  <c r="I32" i="20"/>
  <c r="K18" i="20"/>
  <c r="K22" i="20"/>
  <c r="K23" i="20" s="1"/>
  <c r="J10" i="20"/>
  <c r="L13" i="20"/>
  <c r="L14" i="20" s="1"/>
  <c r="D15" i="35" l="1"/>
  <c r="N6" i="35"/>
  <c r="AJ21" i="39"/>
  <c r="AE32" i="39"/>
  <c r="AI21" i="39"/>
  <c r="C23" i="35"/>
  <c r="N14" i="35"/>
  <c r="K31" i="20"/>
  <c r="J32" i="20"/>
  <c r="L22" i="20"/>
  <c r="L23" i="20" s="1"/>
  <c r="L18" i="20"/>
  <c r="K10" i="20"/>
  <c r="M13" i="20"/>
  <c r="M14" i="20" s="1"/>
  <c r="D24" i="35" l="1"/>
  <c r="Z22" i="39"/>
  <c r="N15" i="35"/>
  <c r="AM21" i="39"/>
  <c r="AI32" i="39"/>
  <c r="N23" i="35"/>
  <c r="AG21" i="39" s="1"/>
  <c r="AD21" i="39"/>
  <c r="AN21" i="39"/>
  <c r="AJ32" i="39"/>
  <c r="L31" i="20"/>
  <c r="K32" i="20"/>
  <c r="M18" i="20"/>
  <c r="M22" i="20"/>
  <c r="M23" i="20" s="1"/>
  <c r="L10" i="20"/>
  <c r="N24" i="35" l="1"/>
  <c r="AG22" i="39" s="1"/>
  <c r="AK22" i="39" s="1"/>
  <c r="AO22" i="39" s="1"/>
  <c r="AS22" i="39" s="1"/>
  <c r="AW22" i="39" s="1"/>
  <c r="BA22" i="39" s="1"/>
  <c r="BE22" i="39" s="1"/>
  <c r="BI22" i="39" s="1"/>
  <c r="BM22" i="39" s="1"/>
  <c r="BQ22" i="39" s="1"/>
  <c r="BU22" i="39" s="1"/>
  <c r="BY22" i="39" s="1"/>
  <c r="CC22" i="39" s="1"/>
  <c r="CG22" i="39" s="1"/>
  <c r="CK22" i="39" s="1"/>
  <c r="CO22" i="39" s="1"/>
  <c r="AD22" i="39"/>
  <c r="AH22" i="39" s="1"/>
  <c r="AL22" i="39" s="1"/>
  <c r="AP22" i="39" s="1"/>
  <c r="AT22" i="39" s="1"/>
  <c r="AX22" i="39" s="1"/>
  <c r="BB22" i="39" s="1"/>
  <c r="BF22" i="39" s="1"/>
  <c r="BJ22" i="39" s="1"/>
  <c r="BN22" i="39" s="1"/>
  <c r="BR22" i="39" s="1"/>
  <c r="BV22" i="39" s="1"/>
  <c r="BZ22" i="39" s="1"/>
  <c r="CD22" i="39" s="1"/>
  <c r="CH22" i="39" s="1"/>
  <c r="CL22" i="39" s="1"/>
  <c r="AR21" i="39"/>
  <c r="AN32" i="39"/>
  <c r="AD32" i="39"/>
  <c r="AH21" i="39"/>
  <c r="AG32" i="39"/>
  <c r="AK21" i="39"/>
  <c r="AQ21" i="39"/>
  <c r="AM32" i="39"/>
  <c r="M31" i="20"/>
  <c r="M32" i="20" s="1"/>
  <c r="L32" i="20"/>
  <c r="M10" i="20"/>
  <c r="AO21" i="39" l="1"/>
  <c r="AK32" i="39"/>
  <c r="AU21" i="39"/>
  <c r="AQ32" i="39"/>
  <c r="AH32" i="39"/>
  <c r="AL21" i="39"/>
  <c r="AV21" i="39"/>
  <c r="AR32" i="39"/>
  <c r="E9" i="13"/>
  <c r="E12" i="13" s="1"/>
  <c r="F9" i="13"/>
  <c r="F12" i="13" s="1"/>
  <c r="G9" i="13"/>
  <c r="G12" i="13" s="1"/>
  <c r="H9" i="13"/>
  <c r="H12" i="13" s="1"/>
  <c r="I9" i="13"/>
  <c r="I10" i="13" s="1"/>
  <c r="J9" i="13"/>
  <c r="J12" i="13" s="1"/>
  <c r="K9" i="13"/>
  <c r="K12" i="13" s="1"/>
  <c r="L9" i="13"/>
  <c r="L12" i="13" s="1"/>
  <c r="M9" i="13"/>
  <c r="M12" i="13" s="1"/>
  <c r="N9" i="13"/>
  <c r="N12" i="13" s="1"/>
  <c r="O9" i="13"/>
  <c r="O12" i="13" s="1"/>
  <c r="P9" i="13"/>
  <c r="P12" i="13" s="1"/>
  <c r="Q9" i="13"/>
  <c r="Q11" i="13" s="1"/>
  <c r="Q40" i="13" s="1"/>
  <c r="R9" i="13"/>
  <c r="R12" i="13" s="1"/>
  <c r="S9" i="13"/>
  <c r="S12" i="13" s="1"/>
  <c r="T9" i="13"/>
  <c r="T12" i="13" s="1"/>
  <c r="U9" i="13"/>
  <c r="U12" i="13" s="1"/>
  <c r="V9" i="13"/>
  <c r="V12" i="13" s="1"/>
  <c r="W9" i="13"/>
  <c r="W12" i="13" s="1"/>
  <c r="X9" i="13"/>
  <c r="X12" i="13" s="1"/>
  <c r="Y9" i="13"/>
  <c r="Y11" i="13" s="1"/>
  <c r="Y40" i="13" s="1"/>
  <c r="Z9" i="13"/>
  <c r="Z12" i="13" s="1"/>
  <c r="AA9" i="13"/>
  <c r="AA12" i="13" s="1"/>
  <c r="D9" i="13"/>
  <c r="D12" i="13" s="1"/>
  <c r="D190" i="8"/>
  <c r="D189" i="8"/>
  <c r="D188" i="8"/>
  <c r="D187" i="8"/>
  <c r="D184" i="8"/>
  <c r="D183" i="8"/>
  <c r="D182" i="8"/>
  <c r="D181" i="8"/>
  <c r="D180" i="8"/>
  <c r="D177" i="8"/>
  <c r="D175" i="8"/>
  <c r="C174" i="8"/>
  <c r="D174" i="8" s="1"/>
  <c r="C173" i="8"/>
  <c r="D173" i="8" s="1"/>
  <c r="C171" i="8"/>
  <c r="D172" i="8" s="1"/>
  <c r="D169" i="8"/>
  <c r="D168" i="8"/>
  <c r="D165" i="8"/>
  <c r="D164" i="8"/>
  <c r="D163" i="8"/>
  <c r="C157" i="8"/>
  <c r="D157" i="8" s="1"/>
  <c r="C156" i="8"/>
  <c r="D156" i="8" s="1"/>
  <c r="D155" i="8"/>
  <c r="D152" i="8"/>
  <c r="D151" i="8"/>
  <c r="D150" i="8"/>
  <c r="D149" i="8"/>
  <c r="D148" i="8"/>
  <c r="D147" i="8"/>
  <c r="D146" i="8"/>
  <c r="D139" i="8"/>
  <c r="D138" i="8"/>
  <c r="D137" i="8"/>
  <c r="D136" i="8"/>
  <c r="D135" i="8"/>
  <c r="D132" i="8"/>
  <c r="D129" i="8"/>
  <c r="D127" i="8"/>
  <c r="D125" i="8"/>
  <c r="D124" i="8"/>
  <c r="D123" i="8"/>
  <c r="D122" i="8"/>
  <c r="D126" i="8"/>
  <c r="D121" i="8"/>
  <c r="D120" i="8"/>
  <c r="D119" i="8"/>
  <c r="D118" i="8"/>
  <c r="D117" i="8"/>
  <c r="D116" i="8"/>
  <c r="D115" i="8"/>
  <c r="D114" i="8"/>
  <c r="D107" i="8"/>
  <c r="D106" i="8"/>
  <c r="D105" i="8"/>
  <c r="D104" i="8"/>
  <c r="D102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C8" i="13"/>
  <c r="B10" i="16" s="1"/>
  <c r="C9" i="13"/>
  <c r="B13" i="16" s="1"/>
  <c r="C10" i="13"/>
  <c r="B16" i="16" s="1"/>
  <c r="C11" i="13"/>
  <c r="B19" i="16" s="1"/>
  <c r="C12" i="13"/>
  <c r="B22" i="16" s="1"/>
  <c r="C7" i="13"/>
  <c r="A8" i="13"/>
  <c r="A10" i="16" s="1"/>
  <c r="A9" i="13"/>
  <c r="A13" i="16" s="1"/>
  <c r="A10" i="13"/>
  <c r="A16" i="16" s="1"/>
  <c r="A11" i="13"/>
  <c r="A19" i="16" s="1"/>
  <c r="A12" i="13"/>
  <c r="A22" i="16" s="1"/>
  <c r="A7" i="13"/>
  <c r="A7" i="16" s="1"/>
  <c r="C47" i="8"/>
  <c r="D47" i="8" s="1"/>
  <c r="C46" i="8"/>
  <c r="D46" i="8" s="1"/>
  <c r="D45" i="8"/>
  <c r="D44" i="8"/>
  <c r="D39" i="8"/>
  <c r="D38" i="8"/>
  <c r="D37" i="8"/>
  <c r="D36" i="8"/>
  <c r="D35" i="8"/>
  <c r="D34" i="8"/>
  <c r="D32" i="8"/>
  <c r="D25" i="8"/>
  <c r="D24" i="8"/>
  <c r="D30" i="8"/>
  <c r="D22" i="8"/>
  <c r="D21" i="8"/>
  <c r="D20" i="8"/>
  <c r="D23" i="8"/>
  <c r="D29" i="8"/>
  <c r="D19" i="8"/>
  <c r="D18" i="8"/>
  <c r="D16" i="8"/>
  <c r="D13" i="8"/>
  <c r="D12" i="8"/>
  <c r="D11" i="8"/>
  <c r="D10" i="8"/>
  <c r="D8" i="8"/>
  <c r="B7" i="8"/>
  <c r="D4" i="8"/>
  <c r="D16" i="3" l="1"/>
  <c r="C222" i="37"/>
  <c r="AZ21" i="39"/>
  <c r="AV32" i="39"/>
  <c r="AL32" i="39"/>
  <c r="AP21" i="39"/>
  <c r="AY21" i="39"/>
  <c r="AU32" i="39"/>
  <c r="AS21" i="39"/>
  <c r="AO32" i="39"/>
  <c r="D74" i="8"/>
  <c r="D90" i="8"/>
  <c r="D92" i="8" s="1"/>
  <c r="C48" i="31" s="1"/>
  <c r="D186" i="8"/>
  <c r="D103" i="8"/>
  <c r="Y43" i="13"/>
  <c r="Y42" i="13"/>
  <c r="Y41" i="13"/>
  <c r="Q43" i="13"/>
  <c r="Q42" i="13"/>
  <c r="Q41" i="13"/>
  <c r="D171" i="8"/>
  <c r="D134" i="8"/>
  <c r="D179" i="8"/>
  <c r="D112" i="8"/>
  <c r="B7" i="16"/>
  <c r="C6" i="13"/>
  <c r="Y7" i="13"/>
  <c r="Y10" i="13"/>
  <c r="I12" i="13"/>
  <c r="X7" i="13"/>
  <c r="P7" i="13"/>
  <c r="H7" i="13"/>
  <c r="X8" i="13"/>
  <c r="P8" i="13"/>
  <c r="H8" i="13"/>
  <c r="X10" i="13"/>
  <c r="P10" i="13"/>
  <c r="H10" i="13"/>
  <c r="X11" i="13"/>
  <c r="X40" i="13" s="1"/>
  <c r="P11" i="13"/>
  <c r="P40" i="13" s="1"/>
  <c r="H11" i="13"/>
  <c r="H40" i="13" s="1"/>
  <c r="Q7" i="13"/>
  <c r="Q12" i="13"/>
  <c r="W7" i="13"/>
  <c r="O7" i="13"/>
  <c r="G7" i="13"/>
  <c r="W8" i="13"/>
  <c r="O8" i="13"/>
  <c r="G8" i="13"/>
  <c r="W10" i="13"/>
  <c r="O10" i="13"/>
  <c r="G10" i="13"/>
  <c r="W11" i="13"/>
  <c r="W40" i="13" s="1"/>
  <c r="O11" i="13"/>
  <c r="O40" i="13" s="1"/>
  <c r="G11" i="13"/>
  <c r="G40" i="13" s="1"/>
  <c r="Q10" i="13"/>
  <c r="Y12" i="13"/>
  <c r="V7" i="13"/>
  <c r="N7" i="13"/>
  <c r="F7" i="13"/>
  <c r="V8" i="13"/>
  <c r="N8" i="13"/>
  <c r="F8" i="13"/>
  <c r="V10" i="13"/>
  <c r="N10" i="13"/>
  <c r="F10" i="13"/>
  <c r="V11" i="13"/>
  <c r="V40" i="13" s="1"/>
  <c r="N11" i="13"/>
  <c r="N40" i="13" s="1"/>
  <c r="F11" i="13"/>
  <c r="F40" i="13" s="1"/>
  <c r="Q8" i="13"/>
  <c r="U7" i="13"/>
  <c r="M7" i="13"/>
  <c r="E7" i="13"/>
  <c r="U8" i="13"/>
  <c r="M8" i="13"/>
  <c r="E8" i="13"/>
  <c r="U10" i="13"/>
  <c r="M10" i="13"/>
  <c r="E10" i="13"/>
  <c r="U11" i="13"/>
  <c r="U40" i="13" s="1"/>
  <c r="M11" i="13"/>
  <c r="M40" i="13" s="1"/>
  <c r="E11" i="13"/>
  <c r="E40" i="13" s="1"/>
  <c r="I7" i="13"/>
  <c r="I11" i="13"/>
  <c r="I40" i="13" s="1"/>
  <c r="D7" i="13"/>
  <c r="T7" i="13"/>
  <c r="L7" i="13"/>
  <c r="D8" i="13"/>
  <c r="T8" i="13"/>
  <c r="L8" i="13"/>
  <c r="D10" i="13"/>
  <c r="T10" i="13"/>
  <c r="L10" i="13"/>
  <c r="D11" i="13"/>
  <c r="D40" i="13" s="1"/>
  <c r="T11" i="13"/>
  <c r="T40" i="13" s="1"/>
  <c r="L11" i="13"/>
  <c r="L40" i="13" s="1"/>
  <c r="I8" i="13"/>
  <c r="AA7" i="13"/>
  <c r="S7" i="13"/>
  <c r="K7" i="13"/>
  <c r="AA8" i="13"/>
  <c r="S8" i="13"/>
  <c r="K8" i="13"/>
  <c r="AA10" i="13"/>
  <c r="S10" i="13"/>
  <c r="K10" i="13"/>
  <c r="AA11" i="13"/>
  <c r="AA40" i="13" s="1"/>
  <c r="S11" i="13"/>
  <c r="S40" i="13" s="1"/>
  <c r="K11" i="13"/>
  <c r="K40" i="13" s="1"/>
  <c r="Y8" i="13"/>
  <c r="Z7" i="13"/>
  <c r="R7" i="13"/>
  <c r="J7" i="13"/>
  <c r="Z8" i="13"/>
  <c r="R8" i="13"/>
  <c r="J8" i="13"/>
  <c r="Z10" i="13"/>
  <c r="R10" i="13"/>
  <c r="J10" i="13"/>
  <c r="Z11" i="13"/>
  <c r="Z40" i="13" s="1"/>
  <c r="R11" i="13"/>
  <c r="R40" i="13" s="1"/>
  <c r="J11" i="13"/>
  <c r="J40" i="13" s="1"/>
  <c r="D15" i="8"/>
  <c r="D41" i="8" s="1"/>
  <c r="D51" i="8" l="1"/>
  <c r="C47" i="31" s="1"/>
  <c r="C273" i="37"/>
  <c r="E222" i="37"/>
  <c r="F222" i="37"/>
  <c r="F273" i="37" s="1"/>
  <c r="F330" i="37" s="1"/>
  <c r="C17" i="31"/>
  <c r="C12" i="31"/>
  <c r="C8" i="31"/>
  <c r="AW21" i="39"/>
  <c r="AS32" i="39"/>
  <c r="BC21" i="39"/>
  <c r="AY32" i="39"/>
  <c r="AP32" i="39"/>
  <c r="AT21" i="39"/>
  <c r="BD21" i="39"/>
  <c r="AZ32" i="39"/>
  <c r="D141" i="8"/>
  <c r="D18" i="3" s="1"/>
  <c r="D192" i="8"/>
  <c r="D206" i="8" s="1"/>
  <c r="D17" i="3"/>
  <c r="K42" i="13"/>
  <c r="K41" i="13"/>
  <c r="K43" i="13"/>
  <c r="F42" i="13"/>
  <c r="F41" i="13"/>
  <c r="F43" i="13"/>
  <c r="W42" i="13"/>
  <c r="W41" i="13"/>
  <c r="W43" i="13"/>
  <c r="D42" i="13"/>
  <c r="D41" i="13"/>
  <c r="D43" i="13"/>
  <c r="S42" i="13"/>
  <c r="S41" i="13"/>
  <c r="S43" i="13"/>
  <c r="I43" i="13"/>
  <c r="I42" i="13"/>
  <c r="I41" i="13"/>
  <c r="N42" i="13"/>
  <c r="N41" i="13"/>
  <c r="N43" i="13"/>
  <c r="O42" i="13"/>
  <c r="O41" i="13"/>
  <c r="O43" i="13"/>
  <c r="AA42" i="13"/>
  <c r="AA41" i="13"/>
  <c r="AA43" i="13"/>
  <c r="V42" i="13"/>
  <c r="V41" i="13"/>
  <c r="V43" i="13"/>
  <c r="E42" i="13"/>
  <c r="E41" i="13"/>
  <c r="E43" i="13"/>
  <c r="J43" i="13"/>
  <c r="J42" i="13"/>
  <c r="J41" i="13"/>
  <c r="R42" i="13"/>
  <c r="R41" i="13"/>
  <c r="R43" i="13"/>
  <c r="M42" i="13"/>
  <c r="M41" i="13"/>
  <c r="M43" i="13"/>
  <c r="H42" i="13"/>
  <c r="H41" i="13"/>
  <c r="H43" i="13"/>
  <c r="L42" i="13"/>
  <c r="L41" i="13"/>
  <c r="L43" i="13"/>
  <c r="U42" i="13"/>
  <c r="U41" i="13"/>
  <c r="U43" i="13"/>
  <c r="P42" i="13"/>
  <c r="P41" i="13"/>
  <c r="P43" i="13"/>
  <c r="Z42" i="13"/>
  <c r="Z41" i="13"/>
  <c r="Z43" i="13"/>
  <c r="T42" i="13"/>
  <c r="T41" i="13"/>
  <c r="T43" i="13"/>
  <c r="G42" i="13"/>
  <c r="G41" i="13"/>
  <c r="G43" i="13"/>
  <c r="X42" i="13"/>
  <c r="X41" i="13"/>
  <c r="X43" i="13"/>
  <c r="Z13" i="13"/>
  <c r="O15" i="13" s="1"/>
  <c r="P13" i="13"/>
  <c r="J15" i="13" s="1"/>
  <c r="D13" i="13"/>
  <c r="D15" i="13" s="1"/>
  <c r="L13" i="13"/>
  <c r="H15" i="13" s="1"/>
  <c r="T13" i="13"/>
  <c r="L15" i="13" s="1"/>
  <c r="AB40" i="13"/>
  <c r="F13" i="13"/>
  <c r="E15" i="13" s="1"/>
  <c r="N13" i="13"/>
  <c r="I15" i="13" s="1"/>
  <c r="J13" i="13"/>
  <c r="G15" i="13" s="1"/>
  <c r="V13" i="13"/>
  <c r="M15" i="13" s="1"/>
  <c r="R13" i="13"/>
  <c r="K15" i="13" s="1"/>
  <c r="H13" i="13"/>
  <c r="F15" i="13" s="1"/>
  <c r="X13" i="13"/>
  <c r="N15" i="13" s="1"/>
  <c r="C16" i="31" l="1"/>
  <c r="C7" i="31"/>
  <c r="C11" i="31"/>
  <c r="Q11" i="31" s="1"/>
  <c r="Q10" i="31" s="1"/>
  <c r="G222" i="37"/>
  <c r="G273" i="37" s="1"/>
  <c r="G330" i="37" s="1"/>
  <c r="E273" i="37"/>
  <c r="I330" i="37"/>
  <c r="D122" i="4" s="1"/>
  <c r="BH21" i="39"/>
  <c r="BD32" i="39"/>
  <c r="BG21" i="39"/>
  <c r="BC32" i="39"/>
  <c r="AT32" i="39"/>
  <c r="AX21" i="39"/>
  <c r="BA21" i="39"/>
  <c r="AW32" i="39"/>
  <c r="D143" i="8"/>
  <c r="U25" i="31"/>
  <c r="U23" i="31" s="1"/>
  <c r="V25" i="31"/>
  <c r="V23" i="31" s="1"/>
  <c r="O11" i="31"/>
  <c r="P11" i="31"/>
  <c r="P10" i="31" s="1"/>
  <c r="S12" i="31"/>
  <c r="S10" i="31" s="1"/>
  <c r="T12" i="31"/>
  <c r="T10" i="31" s="1"/>
  <c r="U12" i="31"/>
  <c r="U10" i="31" s="1"/>
  <c r="V12" i="31"/>
  <c r="V10" i="31" s="1"/>
  <c r="V32" i="31" s="1"/>
  <c r="V83" i="4" s="1"/>
  <c r="O28" i="31"/>
  <c r="S28" i="31"/>
  <c r="Q28" i="31"/>
  <c r="L28" i="31"/>
  <c r="N28" i="31"/>
  <c r="T28" i="31"/>
  <c r="P28" i="31"/>
  <c r="K28" i="31"/>
  <c r="R28" i="31"/>
  <c r="M28" i="31"/>
  <c r="R16" i="31"/>
  <c r="R15" i="31" s="1"/>
  <c r="R32" i="31" s="1"/>
  <c r="R83" i="4" s="1"/>
  <c r="S16" i="31"/>
  <c r="S15" i="31" s="1"/>
  <c r="Q16" i="31"/>
  <c r="Q15" i="31" s="1"/>
  <c r="V29" i="31"/>
  <c r="V27" i="31" s="1"/>
  <c r="R29" i="31"/>
  <c r="S29" i="31"/>
  <c r="U29" i="31"/>
  <c r="U27" i="31" s="1"/>
  <c r="Q29" i="31"/>
  <c r="T29" i="31"/>
  <c r="K7" i="31"/>
  <c r="O7" i="31"/>
  <c r="O6" i="31" s="1"/>
  <c r="M7" i="31"/>
  <c r="L7" i="31"/>
  <c r="P7" i="31"/>
  <c r="P6" i="31" s="1"/>
  <c r="N7" i="31"/>
  <c r="R8" i="31"/>
  <c r="R6" i="31" s="1"/>
  <c r="T8" i="31"/>
  <c r="T6" i="31" s="1"/>
  <c r="Q8" i="31"/>
  <c r="Q6" i="31" s="1"/>
  <c r="U8" i="31"/>
  <c r="U6" i="31" s="1"/>
  <c r="S8" i="31"/>
  <c r="S6" i="31" s="1"/>
  <c r="V17" i="31"/>
  <c r="V15" i="31" s="1"/>
  <c r="T17" i="31"/>
  <c r="T15" i="31" s="1"/>
  <c r="U17" i="31"/>
  <c r="U15" i="31" s="1"/>
  <c r="S24" i="31"/>
  <c r="S23" i="31" s="1"/>
  <c r="R24" i="31"/>
  <c r="R23" i="31" s="1"/>
  <c r="T24" i="31"/>
  <c r="T23" i="31" s="1"/>
  <c r="C65" i="31"/>
  <c r="C8" i="7" s="1"/>
  <c r="B34" i="36" s="1"/>
  <c r="C77" i="31"/>
  <c r="N60" i="13"/>
  <c r="I62" i="13" s="1"/>
  <c r="H36" i="17" s="1"/>
  <c r="L60" i="13"/>
  <c r="H62" i="13" s="1"/>
  <c r="G36" i="17" s="1"/>
  <c r="G72" i="17" s="1"/>
  <c r="AB54" i="13"/>
  <c r="P60" i="13"/>
  <c r="J62" i="13" s="1"/>
  <c r="I36" i="17" s="1"/>
  <c r="V60" i="13"/>
  <c r="M62" i="13" s="1"/>
  <c r="L36" i="17" s="1"/>
  <c r="H60" i="13"/>
  <c r="F62" i="13" s="1"/>
  <c r="E36" i="17" s="1"/>
  <c r="K58" i="13"/>
  <c r="O58" i="13"/>
  <c r="H58" i="13"/>
  <c r="J58" i="13"/>
  <c r="Q58" i="13"/>
  <c r="I58" i="13"/>
  <c r="P58" i="13"/>
  <c r="V58" i="13"/>
  <c r="S58" i="13"/>
  <c r="E58" i="13"/>
  <c r="M58" i="13"/>
  <c r="R58" i="13"/>
  <c r="AA58" i="13"/>
  <c r="W58" i="13"/>
  <c r="U58" i="13"/>
  <c r="T58" i="13"/>
  <c r="Z58" i="13"/>
  <c r="Y58" i="13"/>
  <c r="F58" i="13"/>
  <c r="X58" i="13"/>
  <c r="N58" i="13"/>
  <c r="L58" i="13"/>
  <c r="G58" i="13"/>
  <c r="D58" i="13"/>
  <c r="V44" i="13"/>
  <c r="M46" i="13" s="1"/>
  <c r="L29" i="17" s="1"/>
  <c r="X44" i="13"/>
  <c r="N46" i="13" s="1"/>
  <c r="M29" i="17" s="1"/>
  <c r="H44" i="13"/>
  <c r="F46" i="13" s="1"/>
  <c r="E29" i="17" s="1"/>
  <c r="D44" i="13"/>
  <c r="D46" i="13" s="1"/>
  <c r="C29" i="17" s="1"/>
  <c r="P44" i="13"/>
  <c r="J46" i="13" s="1"/>
  <c r="I29" i="17" s="1"/>
  <c r="N44" i="13"/>
  <c r="I46" i="13" s="1"/>
  <c r="H29" i="17" s="1"/>
  <c r="F44" i="13"/>
  <c r="E46" i="13" s="1"/>
  <c r="D29" i="17" s="1"/>
  <c r="T44" i="13"/>
  <c r="L46" i="13" s="1"/>
  <c r="K29" i="17" s="1"/>
  <c r="L44" i="13"/>
  <c r="H46" i="13" s="1"/>
  <c r="G29" i="17" s="1"/>
  <c r="R44" i="13"/>
  <c r="K46" i="13" s="1"/>
  <c r="J29" i="17" s="1"/>
  <c r="J44" i="13"/>
  <c r="G46" i="13" s="1"/>
  <c r="F29" i="17" s="1"/>
  <c r="Z44" i="13"/>
  <c r="O46" i="13" s="1"/>
  <c r="N29" i="17" s="1"/>
  <c r="AB55" i="13"/>
  <c r="AB41" i="13"/>
  <c r="AB42" i="13"/>
  <c r="AB43" i="13"/>
  <c r="CI140" i="39" l="1"/>
  <c r="CA140" i="39"/>
  <c r="BS140" i="39"/>
  <c r="BK140" i="39"/>
  <c r="BC140" i="39"/>
  <c r="AU140" i="39"/>
  <c r="AM140" i="39"/>
  <c r="AE140" i="39"/>
  <c r="CH140" i="39"/>
  <c r="BZ140" i="39"/>
  <c r="BR140" i="39"/>
  <c r="BJ140" i="39"/>
  <c r="BB140" i="39"/>
  <c r="AT140" i="39"/>
  <c r="AL140" i="39"/>
  <c r="AD140" i="39"/>
  <c r="BV140" i="39"/>
  <c r="Z140" i="39"/>
  <c r="BL140" i="39"/>
  <c r="AF140" i="39"/>
  <c r="CG140" i="39"/>
  <c r="BY140" i="39"/>
  <c r="BQ140" i="39"/>
  <c r="BI140" i="39"/>
  <c r="BA140" i="39"/>
  <c r="AS140" i="39"/>
  <c r="AK140" i="39"/>
  <c r="AC140" i="39"/>
  <c r="CD140" i="39"/>
  <c r="BN140" i="39"/>
  <c r="AP140" i="39"/>
  <c r="CB140" i="39"/>
  <c r="BD140" i="39"/>
  <c r="AN140" i="39"/>
  <c r="CN140" i="39"/>
  <c r="CF140" i="39"/>
  <c r="BX140" i="39"/>
  <c r="BP140" i="39"/>
  <c r="BH140" i="39"/>
  <c r="AZ140" i="39"/>
  <c r="AR140" i="39"/>
  <c r="AJ140" i="39"/>
  <c r="AB140" i="39"/>
  <c r="CL140" i="39"/>
  <c r="AX140" i="39"/>
  <c r="AV140" i="39"/>
  <c r="CM140" i="39"/>
  <c r="CE140" i="39"/>
  <c r="BW140" i="39"/>
  <c r="BO140" i="39"/>
  <c r="BG140" i="39"/>
  <c r="AY140" i="39"/>
  <c r="AQ140" i="39"/>
  <c r="AI140" i="39"/>
  <c r="AA140" i="39"/>
  <c r="BF140" i="39"/>
  <c r="AH140" i="39"/>
  <c r="CJ140" i="39"/>
  <c r="E140" i="39"/>
  <c r="E181" i="39" s="1"/>
  <c r="E179" i="39" s="1"/>
  <c r="CK140" i="39"/>
  <c r="CC140" i="39"/>
  <c r="BU140" i="39"/>
  <c r="BM140" i="39"/>
  <c r="BE140" i="39"/>
  <c r="AW140" i="39"/>
  <c r="AO140" i="39"/>
  <c r="AG140" i="39"/>
  <c r="Y140" i="39"/>
  <c r="BT140" i="39"/>
  <c r="AX32" i="39"/>
  <c r="BB21" i="39"/>
  <c r="BE21" i="39"/>
  <c r="BA32" i="39"/>
  <c r="BK21" i="39"/>
  <c r="BG32" i="39"/>
  <c r="BL21" i="39"/>
  <c r="BH32" i="39"/>
  <c r="S32" i="31"/>
  <c r="S83" i="4" s="1"/>
  <c r="T32" i="31"/>
  <c r="T83" i="4" s="1"/>
  <c r="U32" i="31"/>
  <c r="U83" i="4" s="1"/>
  <c r="Q32" i="31"/>
  <c r="Q83" i="4" s="1"/>
  <c r="G29" i="36"/>
  <c r="W57" i="39" s="1"/>
  <c r="J29" i="36"/>
  <c r="X57" i="39" s="1"/>
  <c r="AB57" i="39" s="1"/>
  <c r="AF57" i="39" s="1"/>
  <c r="AJ57" i="39" s="1"/>
  <c r="AN57" i="39" s="1"/>
  <c r="AR57" i="39" s="1"/>
  <c r="AV57" i="39" s="1"/>
  <c r="AZ57" i="39" s="1"/>
  <c r="BD57" i="39" s="1"/>
  <c r="BH57" i="39" s="1"/>
  <c r="BL57" i="39" s="1"/>
  <c r="BP57" i="39" s="1"/>
  <c r="BT57" i="39" s="1"/>
  <c r="BX57" i="39" s="1"/>
  <c r="CB57" i="39" s="1"/>
  <c r="CF57" i="39" s="1"/>
  <c r="CJ57" i="39" s="1"/>
  <c r="CN57" i="39" s="1"/>
  <c r="M29" i="36"/>
  <c r="Y57" i="39" s="1"/>
  <c r="AC57" i="39" s="1"/>
  <c r="AG57" i="39" s="1"/>
  <c r="AK57" i="39" s="1"/>
  <c r="AO57" i="39" s="1"/>
  <c r="AS57" i="39" s="1"/>
  <c r="AW57" i="39" s="1"/>
  <c r="BA57" i="39" s="1"/>
  <c r="BE57" i="39" s="1"/>
  <c r="BI57" i="39" s="1"/>
  <c r="BM57" i="39" s="1"/>
  <c r="BQ57" i="39" s="1"/>
  <c r="BU57" i="39" s="1"/>
  <c r="BY57" i="39" s="1"/>
  <c r="CC57" i="39" s="1"/>
  <c r="CG57" i="39" s="1"/>
  <c r="CK57" i="39" s="1"/>
  <c r="CO57" i="39" s="1"/>
  <c r="D29" i="36"/>
  <c r="Z57" i="39" s="1"/>
  <c r="AD57" i="39" s="1"/>
  <c r="AH57" i="39" s="1"/>
  <c r="AL57" i="39" s="1"/>
  <c r="AP57" i="39" s="1"/>
  <c r="AT57" i="39" s="1"/>
  <c r="AX57" i="39" s="1"/>
  <c r="BB57" i="39" s="1"/>
  <c r="BF57" i="39" s="1"/>
  <c r="BJ57" i="39" s="1"/>
  <c r="BN57" i="39" s="1"/>
  <c r="BR57" i="39" s="1"/>
  <c r="BV57" i="39" s="1"/>
  <c r="BZ57" i="39" s="1"/>
  <c r="CD57" i="39" s="1"/>
  <c r="CH57" i="39" s="1"/>
  <c r="CL57" i="39" s="1"/>
  <c r="AB58" i="13"/>
  <c r="F60" i="13"/>
  <c r="E62" i="13" s="1"/>
  <c r="D36" i="17" s="1"/>
  <c r="D72" i="17" s="1"/>
  <c r="T27" i="31"/>
  <c r="C49" i="31"/>
  <c r="C37" i="31" s="1"/>
  <c r="C4" i="7" s="1"/>
  <c r="C13" i="7" s="1"/>
  <c r="D16" i="7" s="1"/>
  <c r="D209" i="8"/>
  <c r="C70" i="31"/>
  <c r="C72" i="31"/>
  <c r="C69" i="31"/>
  <c r="C73" i="31"/>
  <c r="C75" i="31"/>
  <c r="C74" i="31"/>
  <c r="C71" i="31"/>
  <c r="C10" i="7"/>
  <c r="C9" i="7"/>
  <c r="D87" i="39" s="1"/>
  <c r="S27" i="31"/>
  <c r="R27" i="31"/>
  <c r="Z60" i="13"/>
  <c r="O62" i="13" s="1"/>
  <c r="N36" i="17" s="1"/>
  <c r="N37" i="17" s="1"/>
  <c r="M3" i="35" s="1"/>
  <c r="R60" i="13"/>
  <c r="K62" i="13" s="1"/>
  <c r="J36" i="17" s="1"/>
  <c r="J72" i="17" s="1"/>
  <c r="X60" i="13"/>
  <c r="N62" i="13" s="1"/>
  <c r="M36" i="17" s="1"/>
  <c r="M72" i="17" s="1"/>
  <c r="T60" i="13"/>
  <c r="L62" i="13" s="1"/>
  <c r="K36" i="17" s="1"/>
  <c r="K37" i="17" s="1"/>
  <c r="J3" i="35" s="1"/>
  <c r="AB56" i="13"/>
  <c r="J60" i="13"/>
  <c r="G62" i="13" s="1"/>
  <c r="F36" i="17" s="1"/>
  <c r="F37" i="17" s="1"/>
  <c r="E3" i="35" s="1"/>
  <c r="D60" i="13"/>
  <c r="D62" i="13" s="1"/>
  <c r="C36" i="17" s="1"/>
  <c r="C37" i="17" s="1"/>
  <c r="B3" i="35" s="1"/>
  <c r="G37" i="17"/>
  <c r="F3" i="35" s="1"/>
  <c r="AB57" i="13"/>
  <c r="G73" i="17"/>
  <c r="F12" i="35" s="1"/>
  <c r="G108" i="17"/>
  <c r="G109" i="17" s="1"/>
  <c r="F21" i="35" s="1"/>
  <c r="E72" i="17"/>
  <c r="E37" i="17"/>
  <c r="D3" i="35" s="1"/>
  <c r="H72" i="17"/>
  <c r="H37" i="17"/>
  <c r="G3" i="35" s="1"/>
  <c r="I72" i="17"/>
  <c r="I37" i="17"/>
  <c r="H3" i="35" s="1"/>
  <c r="L72" i="17"/>
  <c r="L37" i="17"/>
  <c r="K3" i="35" s="1"/>
  <c r="E65" i="17"/>
  <c r="G65" i="17"/>
  <c r="L65" i="17"/>
  <c r="F65" i="17"/>
  <c r="J65" i="17"/>
  <c r="M65" i="17"/>
  <c r="K65" i="17"/>
  <c r="H65" i="17"/>
  <c r="D65" i="17"/>
  <c r="I65" i="17"/>
  <c r="N65" i="17"/>
  <c r="C65" i="17"/>
  <c r="AA57" i="39" l="1"/>
  <c r="AE57" i="39" s="1"/>
  <c r="AI57" i="39" s="1"/>
  <c r="AM57" i="39" s="1"/>
  <c r="AQ57" i="39" s="1"/>
  <c r="AU57" i="39" s="1"/>
  <c r="AY57" i="39" s="1"/>
  <c r="BC57" i="39" s="1"/>
  <c r="BG57" i="39" s="1"/>
  <c r="BK57" i="39" s="1"/>
  <c r="BO57" i="39" s="1"/>
  <c r="BS57" i="39" s="1"/>
  <c r="BW57" i="39" s="1"/>
  <c r="CA57" i="39" s="1"/>
  <c r="CE57" i="39" s="1"/>
  <c r="CI57" i="39" s="1"/>
  <c r="CM57" i="39" s="1"/>
  <c r="C57" i="39"/>
  <c r="E52" i="40" a="1"/>
  <c r="E52" i="40" s="1"/>
  <c r="F52" i="40" a="1"/>
  <c r="F52" i="40" s="1"/>
  <c r="G52" i="40" a="1"/>
  <c r="G52" i="40" s="1"/>
  <c r="H52" i="40" a="1"/>
  <c r="H52" i="40" s="1"/>
  <c r="I52" i="40" a="1"/>
  <c r="I52" i="40" s="1"/>
  <c r="J52" i="40" a="1"/>
  <c r="J52" i="40" s="1"/>
  <c r="K52" i="40" a="1"/>
  <c r="K52" i="40" s="1"/>
  <c r="L52" i="40" a="1"/>
  <c r="L52" i="40" s="1"/>
  <c r="M52" i="40" a="1"/>
  <c r="M52" i="40" s="1"/>
  <c r="N52" i="40" a="1"/>
  <c r="N52" i="40" s="1"/>
  <c r="O52" i="40" a="1"/>
  <c r="O52" i="40" s="1"/>
  <c r="P52" i="40" a="1"/>
  <c r="P52" i="40" s="1"/>
  <c r="Q52" i="40" a="1"/>
  <c r="Q52" i="40" s="1"/>
  <c r="R52" i="40" a="1"/>
  <c r="R52" i="40" s="1"/>
  <c r="S52" i="40" a="1"/>
  <c r="S52" i="40" s="1"/>
  <c r="T52" i="40" a="1"/>
  <c r="T52" i="40" s="1"/>
  <c r="U52" i="40" a="1"/>
  <c r="U52" i="40" s="1"/>
  <c r="V52" i="40" a="1"/>
  <c r="V52" i="40" s="1"/>
  <c r="W52" i="40" a="1"/>
  <c r="W52" i="40" s="1"/>
  <c r="X52" i="40" a="1"/>
  <c r="X52" i="40" s="1"/>
  <c r="Y52" i="40" a="1"/>
  <c r="Y52" i="40" s="1"/>
  <c r="Z52" i="40" a="1"/>
  <c r="Z52" i="40" s="1"/>
  <c r="W19" i="39"/>
  <c r="BP21" i="39"/>
  <c r="BL32" i="39"/>
  <c r="BI21" i="39"/>
  <c r="BE32" i="39"/>
  <c r="BO21" i="39"/>
  <c r="BK32" i="39"/>
  <c r="BB32" i="39"/>
  <c r="BF21" i="39"/>
  <c r="D83" i="40"/>
  <c r="E83" i="40" a="1"/>
  <c r="E83" i="40" s="1"/>
  <c r="D186" i="39"/>
  <c r="C87" i="39"/>
  <c r="F83" i="40" a="1"/>
  <c r="F83" i="40" s="1"/>
  <c r="G83" i="40" a="1"/>
  <c r="G83" i="40" s="1"/>
  <c r="H83" i="40" a="1"/>
  <c r="H83" i="40" s="1"/>
  <c r="I83" i="40" a="1"/>
  <c r="I83" i="40" s="1"/>
  <c r="J83" i="40" a="1"/>
  <c r="J83" i="40" s="1"/>
  <c r="K83" i="40" a="1"/>
  <c r="K83" i="40" s="1"/>
  <c r="L83" i="40" a="1"/>
  <c r="L83" i="40" s="1"/>
  <c r="M83" i="40" a="1"/>
  <c r="M83" i="40" s="1"/>
  <c r="N83" i="40" a="1"/>
  <c r="N83" i="40" s="1"/>
  <c r="O83" i="40" a="1"/>
  <c r="O83" i="40" s="1"/>
  <c r="P83" i="40" a="1"/>
  <c r="P83" i="40" s="1"/>
  <c r="Q83" i="40" a="1"/>
  <c r="Q83" i="40" s="1"/>
  <c r="R83" i="40" a="1"/>
  <c r="R83" i="40" s="1"/>
  <c r="S83" i="40" a="1"/>
  <c r="S83" i="40" s="1"/>
  <c r="T83" i="40" a="1"/>
  <c r="T83" i="40" s="1"/>
  <c r="U83" i="40" a="1"/>
  <c r="U83" i="40" s="1"/>
  <c r="V83" i="40" a="1"/>
  <c r="V83" i="40" s="1"/>
  <c r="W83" i="40" a="1"/>
  <c r="W83" i="40" s="1"/>
  <c r="X83" i="40" a="1"/>
  <c r="X83" i="40" s="1"/>
  <c r="Y83" i="40" a="1"/>
  <c r="Y83" i="40" s="1"/>
  <c r="Z83" i="40" a="1"/>
  <c r="Z83" i="40" s="1"/>
  <c r="D37" i="17"/>
  <c r="C3" i="35" s="1"/>
  <c r="B42" i="10"/>
  <c r="G36" i="10"/>
  <c r="W57" i="4" s="1"/>
  <c r="AA57" i="4" s="1"/>
  <c r="AE57" i="4" s="1"/>
  <c r="AI57" i="4" s="1"/>
  <c r="AM57" i="4" s="1"/>
  <c r="AQ57" i="4" s="1"/>
  <c r="AU57" i="4" s="1"/>
  <c r="AY57" i="4" s="1"/>
  <c r="BC57" i="4" s="1"/>
  <c r="BG57" i="4" s="1"/>
  <c r="BK57" i="4" s="1"/>
  <c r="BO57" i="4" s="1"/>
  <c r="BS57" i="4" s="1"/>
  <c r="BW57" i="4" s="1"/>
  <c r="CA57" i="4" s="1"/>
  <c r="CE57" i="4" s="1"/>
  <c r="CI57" i="4" s="1"/>
  <c r="CM57" i="4" s="1"/>
  <c r="J36" i="10"/>
  <c r="X57" i="4" s="1"/>
  <c r="AB57" i="4" s="1"/>
  <c r="AF57" i="4" s="1"/>
  <c r="AJ57" i="4" s="1"/>
  <c r="AN57" i="4" s="1"/>
  <c r="AR57" i="4" s="1"/>
  <c r="AV57" i="4" s="1"/>
  <c r="AZ57" i="4" s="1"/>
  <c r="BD57" i="4" s="1"/>
  <c r="BH57" i="4" s="1"/>
  <c r="BL57" i="4" s="1"/>
  <c r="BP57" i="4" s="1"/>
  <c r="BT57" i="4" s="1"/>
  <c r="BX57" i="4" s="1"/>
  <c r="CB57" i="4" s="1"/>
  <c r="CF57" i="4" s="1"/>
  <c r="CJ57" i="4" s="1"/>
  <c r="CN57" i="4" s="1"/>
  <c r="M36" i="10"/>
  <c r="Y57" i="4" s="1"/>
  <c r="AC57" i="4" s="1"/>
  <c r="AG57" i="4" s="1"/>
  <c r="AK57" i="4" s="1"/>
  <c r="AO57" i="4" s="1"/>
  <c r="AS57" i="4" s="1"/>
  <c r="AW57" i="4" s="1"/>
  <c r="BA57" i="4" s="1"/>
  <c r="BE57" i="4" s="1"/>
  <c r="BI57" i="4" s="1"/>
  <c r="BM57" i="4" s="1"/>
  <c r="BQ57" i="4" s="1"/>
  <c r="BU57" i="4" s="1"/>
  <c r="BY57" i="4" s="1"/>
  <c r="CC57" i="4" s="1"/>
  <c r="CG57" i="4" s="1"/>
  <c r="CK57" i="4" s="1"/>
  <c r="CO57" i="4" s="1"/>
  <c r="D36" i="10"/>
  <c r="Z57" i="4" s="1"/>
  <c r="AD57" i="4" s="1"/>
  <c r="AH57" i="4" s="1"/>
  <c r="AL57" i="4" s="1"/>
  <c r="AP57" i="4" s="1"/>
  <c r="AT57" i="4" s="1"/>
  <c r="AX57" i="4" s="1"/>
  <c r="BB57" i="4" s="1"/>
  <c r="BF57" i="4" s="1"/>
  <c r="BJ57" i="4" s="1"/>
  <c r="BN57" i="4" s="1"/>
  <c r="BR57" i="4" s="1"/>
  <c r="BV57" i="4" s="1"/>
  <c r="BZ57" i="4" s="1"/>
  <c r="CD57" i="4" s="1"/>
  <c r="CH57" i="4" s="1"/>
  <c r="CL57" i="4" s="1"/>
  <c r="N29" i="36"/>
  <c r="C13" i="31"/>
  <c r="C10" i="31" s="1"/>
  <c r="C18" i="31"/>
  <c r="C15" i="31" s="1"/>
  <c r="C9" i="31"/>
  <c r="C6" i="31" s="1"/>
  <c r="J37" i="17"/>
  <c r="I3" i="35" s="1"/>
  <c r="X19" i="39" s="1"/>
  <c r="N72" i="17"/>
  <c r="N73" i="17" s="1"/>
  <c r="M12" i="35" s="1"/>
  <c r="G69" i="31"/>
  <c r="G77" i="31" s="1"/>
  <c r="L83" i="39" s="1"/>
  <c r="E69" i="31"/>
  <c r="E77" i="31" s="1"/>
  <c r="J83" i="39" s="1"/>
  <c r="F69" i="31"/>
  <c r="F77" i="31" s="1"/>
  <c r="K83" i="39" s="1"/>
  <c r="N72" i="31"/>
  <c r="O72" i="31"/>
  <c r="J70" i="31"/>
  <c r="K70" i="31"/>
  <c r="H70" i="31"/>
  <c r="L70" i="31"/>
  <c r="I70" i="31"/>
  <c r="M70" i="31"/>
  <c r="O75" i="31"/>
  <c r="P75" i="31"/>
  <c r="L75" i="31"/>
  <c r="I75" i="31"/>
  <c r="K75" i="31"/>
  <c r="H75" i="31"/>
  <c r="N75" i="31"/>
  <c r="M75" i="31"/>
  <c r="J75" i="31"/>
  <c r="M71" i="31"/>
  <c r="N71" i="31"/>
  <c r="L71" i="31"/>
  <c r="P73" i="31"/>
  <c r="O73" i="31"/>
  <c r="J74" i="31"/>
  <c r="K74" i="31"/>
  <c r="O74" i="31"/>
  <c r="L74" i="31"/>
  <c r="N74" i="31"/>
  <c r="M74" i="31"/>
  <c r="I74" i="31"/>
  <c r="P74" i="31"/>
  <c r="H74" i="31"/>
  <c r="K72" i="17"/>
  <c r="K73" i="17" s="1"/>
  <c r="J12" i="35" s="1"/>
  <c r="M37" i="17"/>
  <c r="L3" i="35" s="1"/>
  <c r="F72" i="17"/>
  <c r="F108" i="17" s="1"/>
  <c r="F109" i="17" s="1"/>
  <c r="E21" i="35" s="1"/>
  <c r="O36" i="17"/>
  <c r="C72" i="17"/>
  <c r="C73" i="17" s="1"/>
  <c r="B12" i="35" s="1"/>
  <c r="D73" i="17"/>
  <c r="C12" i="35" s="1"/>
  <c r="D108" i="17"/>
  <c r="D109" i="17" s="1"/>
  <c r="C21" i="35" s="1"/>
  <c r="J73" i="17"/>
  <c r="I12" i="35" s="1"/>
  <c r="J108" i="17"/>
  <c r="J109" i="17" s="1"/>
  <c r="I21" i="35" s="1"/>
  <c r="D66" i="17"/>
  <c r="C41" i="11" s="1"/>
  <c r="D101" i="17"/>
  <c r="D102" i="17" s="1"/>
  <c r="C64" i="11" s="1"/>
  <c r="E66" i="17"/>
  <c r="D41" i="11" s="1"/>
  <c r="E101" i="17"/>
  <c r="E102" i="17" s="1"/>
  <c r="D64" i="11" s="1"/>
  <c r="H66" i="17"/>
  <c r="G41" i="11" s="1"/>
  <c r="H101" i="17"/>
  <c r="H102" i="17" s="1"/>
  <c r="G64" i="11" s="1"/>
  <c r="K66" i="17"/>
  <c r="J41" i="11" s="1"/>
  <c r="K101" i="17"/>
  <c r="K102" i="17" s="1"/>
  <c r="J64" i="11" s="1"/>
  <c r="M66" i="17"/>
  <c r="L41" i="11" s="1"/>
  <c r="M101" i="17"/>
  <c r="M102" i="17" s="1"/>
  <c r="L64" i="11" s="1"/>
  <c r="C66" i="17"/>
  <c r="B41" i="11" s="1"/>
  <c r="C101" i="17"/>
  <c r="F66" i="17"/>
  <c r="E41" i="11" s="1"/>
  <c r="F101" i="17"/>
  <c r="F102" i="17" s="1"/>
  <c r="E64" i="11" s="1"/>
  <c r="I73" i="17"/>
  <c r="H12" i="35" s="1"/>
  <c r="I108" i="17"/>
  <c r="I109" i="17" s="1"/>
  <c r="H21" i="35" s="1"/>
  <c r="M73" i="17"/>
  <c r="L12" i="35" s="1"/>
  <c r="M108" i="17"/>
  <c r="M109" i="17" s="1"/>
  <c r="L21" i="35" s="1"/>
  <c r="E73" i="17"/>
  <c r="D12" i="35" s="1"/>
  <c r="E108" i="17"/>
  <c r="E109" i="17" s="1"/>
  <c r="D21" i="35" s="1"/>
  <c r="L73" i="17"/>
  <c r="K12" i="35" s="1"/>
  <c r="L108" i="17"/>
  <c r="L109" i="17" s="1"/>
  <c r="K21" i="35" s="1"/>
  <c r="J66" i="17"/>
  <c r="I41" i="11" s="1"/>
  <c r="J101" i="17"/>
  <c r="J102" i="17" s="1"/>
  <c r="I64" i="11" s="1"/>
  <c r="L66" i="17"/>
  <c r="K41" i="11" s="1"/>
  <c r="L101" i="17"/>
  <c r="L102" i="17" s="1"/>
  <c r="K64" i="11" s="1"/>
  <c r="N66" i="17"/>
  <c r="M41" i="11" s="1"/>
  <c r="N101" i="17"/>
  <c r="N102" i="17" s="1"/>
  <c r="M64" i="11" s="1"/>
  <c r="I66" i="17"/>
  <c r="H41" i="11" s="1"/>
  <c r="I101" i="17"/>
  <c r="I102" i="17" s="1"/>
  <c r="H64" i="11" s="1"/>
  <c r="G66" i="17"/>
  <c r="F41" i="11" s="1"/>
  <c r="G101" i="17"/>
  <c r="G102" i="17" s="1"/>
  <c r="F64" i="11" s="1"/>
  <c r="H73" i="17"/>
  <c r="G12" i="35" s="1"/>
  <c r="H108" i="17"/>
  <c r="H109" i="17" s="1"/>
  <c r="G21" i="35" s="1"/>
  <c r="O65" i="17"/>
  <c r="J156" i="39" l="1"/>
  <c r="J85" i="39"/>
  <c r="L84" i="39"/>
  <c r="C52" i="40"/>
  <c r="L156" i="39"/>
  <c r="L85" i="39"/>
  <c r="N84" i="39"/>
  <c r="K156" i="39"/>
  <c r="K85" i="39"/>
  <c r="M84" i="39"/>
  <c r="BF32" i="39"/>
  <c r="BJ21" i="39"/>
  <c r="BS21" i="39"/>
  <c r="BO32" i="39"/>
  <c r="BM21" i="39"/>
  <c r="BI32" i="39"/>
  <c r="BT21" i="39"/>
  <c r="BP32" i="39"/>
  <c r="AB19" i="39"/>
  <c r="E186" i="39"/>
  <c r="F186" i="39" s="1"/>
  <c r="G186" i="39" s="1"/>
  <c r="H186" i="39" s="1"/>
  <c r="I186" i="39" s="1"/>
  <c r="J186" i="39" s="1"/>
  <c r="K186" i="39" s="1"/>
  <c r="L186" i="39" s="1"/>
  <c r="M186" i="39" s="1"/>
  <c r="N186" i="39" s="1"/>
  <c r="O186" i="39" s="1"/>
  <c r="P186" i="39" s="1"/>
  <c r="Q186" i="39" s="1"/>
  <c r="R186" i="39" s="1"/>
  <c r="S186" i="39" s="1"/>
  <c r="T186" i="39" s="1"/>
  <c r="U186" i="39" s="1"/>
  <c r="V186" i="39" s="1"/>
  <c r="D182" i="40"/>
  <c r="C83" i="40"/>
  <c r="Z19" i="39"/>
  <c r="AE19" i="39"/>
  <c r="AJ140" i="4"/>
  <c r="AZ140" i="4"/>
  <c r="BP140" i="4"/>
  <c r="CF140" i="4"/>
  <c r="BA140" i="4"/>
  <c r="AK140" i="4"/>
  <c r="CH140" i="4"/>
  <c r="AM140" i="4"/>
  <c r="CI140" i="4"/>
  <c r="E140" i="4"/>
  <c r="AN140" i="4"/>
  <c r="BD140" i="4"/>
  <c r="BT140" i="4"/>
  <c r="CJ140" i="4"/>
  <c r="BE140" i="4"/>
  <c r="Y140" i="4"/>
  <c r="AO140" i="4"/>
  <c r="BU140" i="4"/>
  <c r="CK140" i="4"/>
  <c r="Z140" i="4"/>
  <c r="AP140" i="4"/>
  <c r="BF140" i="4"/>
  <c r="BV140" i="4"/>
  <c r="CL140" i="4"/>
  <c r="AQ140" i="4"/>
  <c r="BW140" i="4"/>
  <c r="AA140" i="4"/>
  <c r="BG140" i="4"/>
  <c r="CM140" i="4"/>
  <c r="AB140" i="4"/>
  <c r="AR140" i="4"/>
  <c r="BH140" i="4"/>
  <c r="BX140" i="4"/>
  <c r="CN140" i="4"/>
  <c r="AC140" i="4"/>
  <c r="AS140" i="4"/>
  <c r="BI140" i="4"/>
  <c r="BY140" i="4"/>
  <c r="AD140" i="4"/>
  <c r="AT140" i="4"/>
  <c r="BJ140" i="4"/>
  <c r="BZ140" i="4"/>
  <c r="W62" i="4"/>
  <c r="X62" i="4" s="1"/>
  <c r="Y62" i="4" s="1"/>
  <c r="Z62" i="4" s="1"/>
  <c r="AA62" i="4" s="1"/>
  <c r="AB62" i="4" s="1"/>
  <c r="AC62" i="4" s="1"/>
  <c r="AD62" i="4" s="1"/>
  <c r="AE62" i="4" s="1"/>
  <c r="AF62" i="4" s="1"/>
  <c r="AG62" i="4" s="1"/>
  <c r="AH62" i="4" s="1"/>
  <c r="AI62" i="4" s="1"/>
  <c r="AJ62" i="4" s="1"/>
  <c r="AK62" i="4" s="1"/>
  <c r="AL62" i="4" s="1"/>
  <c r="AM62" i="4" s="1"/>
  <c r="AN62" i="4" s="1"/>
  <c r="AO62" i="4" s="1"/>
  <c r="AP62" i="4" s="1"/>
  <c r="AQ62" i="4" s="1"/>
  <c r="AR62" i="4" s="1"/>
  <c r="AS62" i="4" s="1"/>
  <c r="AT62" i="4" s="1"/>
  <c r="AU62" i="4" s="1"/>
  <c r="AV62" i="4" s="1"/>
  <c r="AW62" i="4" s="1"/>
  <c r="AX62" i="4" s="1"/>
  <c r="AY62" i="4" s="1"/>
  <c r="AZ62" i="4" s="1"/>
  <c r="BA62" i="4" s="1"/>
  <c r="BB62" i="4" s="1"/>
  <c r="BC62" i="4" s="1"/>
  <c r="BD62" i="4" s="1"/>
  <c r="BE62" i="4" s="1"/>
  <c r="BF62" i="4" s="1"/>
  <c r="BG62" i="4" s="1"/>
  <c r="BH62" i="4" s="1"/>
  <c r="BI62" i="4" s="1"/>
  <c r="BJ62" i="4" s="1"/>
  <c r="BK62" i="4" s="1"/>
  <c r="BL62" i="4" s="1"/>
  <c r="BM62" i="4" s="1"/>
  <c r="BN62" i="4" s="1"/>
  <c r="BO62" i="4" s="1"/>
  <c r="BP62" i="4" s="1"/>
  <c r="BQ62" i="4" s="1"/>
  <c r="BR62" i="4" s="1"/>
  <c r="BS62" i="4" s="1"/>
  <c r="BT62" i="4" s="1"/>
  <c r="BU62" i="4" s="1"/>
  <c r="BV62" i="4" s="1"/>
  <c r="BW62" i="4" s="1"/>
  <c r="BX62" i="4" s="1"/>
  <c r="BY62" i="4" s="1"/>
  <c r="BZ62" i="4" s="1"/>
  <c r="CA62" i="4" s="1"/>
  <c r="CB62" i="4" s="1"/>
  <c r="CC62" i="4" s="1"/>
  <c r="CD62" i="4" s="1"/>
  <c r="CE62" i="4" s="1"/>
  <c r="CF62" i="4" s="1"/>
  <c r="CG62" i="4" s="1"/>
  <c r="CH62" i="4" s="1"/>
  <c r="CI62" i="4" s="1"/>
  <c r="CJ62" i="4" s="1"/>
  <c r="CK62" i="4" s="1"/>
  <c r="CL62" i="4" s="1"/>
  <c r="CM62" i="4" s="1"/>
  <c r="CN62" i="4" s="1"/>
  <c r="CO62" i="4" s="1"/>
  <c r="BB140" i="4"/>
  <c r="AE140" i="4"/>
  <c r="AU140" i="4"/>
  <c r="BK140" i="4"/>
  <c r="CA140" i="4"/>
  <c r="BR140" i="4"/>
  <c r="AF140" i="4"/>
  <c r="AV140" i="4"/>
  <c r="BL140" i="4"/>
  <c r="CB140" i="4"/>
  <c r="BS140" i="4"/>
  <c r="AG140" i="4"/>
  <c r="AW140" i="4"/>
  <c r="BM140" i="4"/>
  <c r="CC140" i="4"/>
  <c r="BC140" i="4"/>
  <c r="AH140" i="4"/>
  <c r="AX140" i="4"/>
  <c r="BN140" i="4"/>
  <c r="CD140" i="4"/>
  <c r="CG140" i="4"/>
  <c r="AL140" i="4"/>
  <c r="AI140" i="4"/>
  <c r="AY140" i="4"/>
  <c r="BO140" i="4"/>
  <c r="CE140" i="4"/>
  <c r="BQ140" i="4"/>
  <c r="N3" i="35"/>
  <c r="C32" i="31"/>
  <c r="K108" i="17"/>
  <c r="K109" i="17" s="1"/>
  <c r="J21" i="35" s="1"/>
  <c r="AF19" i="39" s="1"/>
  <c r="Q26" i="31"/>
  <c r="Q23" i="31" s="1"/>
  <c r="P26" i="31"/>
  <c r="P23" i="31" s="1"/>
  <c r="F73" i="17"/>
  <c r="E12" i="35" s="1"/>
  <c r="O18" i="31"/>
  <c r="O15" i="31" s="1"/>
  <c r="P18" i="31"/>
  <c r="P15" i="31" s="1"/>
  <c r="P32" i="31" s="1"/>
  <c r="P83" i="4" s="1"/>
  <c r="L30" i="31"/>
  <c r="L27" i="31" s="1"/>
  <c r="M30" i="31"/>
  <c r="M27" i="31" s="1"/>
  <c r="P30" i="31"/>
  <c r="P27" i="31" s="1"/>
  <c r="N30" i="31"/>
  <c r="N27" i="31" s="1"/>
  <c r="O30" i="31"/>
  <c r="O27" i="31" s="1"/>
  <c r="K30" i="31"/>
  <c r="K27" i="31" s="1"/>
  <c r="Q30" i="31"/>
  <c r="Q27" i="31" s="1"/>
  <c r="N9" i="31"/>
  <c r="N6" i="31" s="1"/>
  <c r="L9" i="31"/>
  <c r="L6" i="31" s="1"/>
  <c r="L32" i="31" s="1"/>
  <c r="L83" i="4" s="1"/>
  <c r="M9" i="31"/>
  <c r="M6" i="31" s="1"/>
  <c r="M32" i="31" s="1"/>
  <c r="M83" i="4" s="1"/>
  <c r="K9" i="31"/>
  <c r="K6" i="31" s="1"/>
  <c r="K32" i="31" s="1"/>
  <c r="K83" i="4" s="1"/>
  <c r="O13" i="31"/>
  <c r="O10" i="31" s="1"/>
  <c r="O32" i="31" s="1"/>
  <c r="O83" i="4" s="1"/>
  <c r="N13" i="31"/>
  <c r="N10" i="31" s="1"/>
  <c r="M13" i="31"/>
  <c r="M10" i="31" s="1"/>
  <c r="N108" i="17"/>
  <c r="N109" i="17" s="1"/>
  <c r="M21" i="35" s="1"/>
  <c r="O37" i="17"/>
  <c r="J77" i="31"/>
  <c r="O83" i="39" s="1"/>
  <c r="O77" i="31"/>
  <c r="T83" i="39" s="1"/>
  <c r="I77" i="31"/>
  <c r="N83" i="39" s="1"/>
  <c r="P77" i="31"/>
  <c r="U83" i="39" s="1"/>
  <c r="K77" i="31"/>
  <c r="P83" i="39" s="1"/>
  <c r="L77" i="31"/>
  <c r="Q83" i="39" s="1"/>
  <c r="M77" i="31"/>
  <c r="R83" i="39" s="1"/>
  <c r="N77" i="31"/>
  <c r="S83" i="39" s="1"/>
  <c r="H77" i="31"/>
  <c r="M83" i="39" s="1"/>
  <c r="N41" i="11"/>
  <c r="C108" i="17"/>
  <c r="C109" i="17" s="1"/>
  <c r="B21" i="35" s="1"/>
  <c r="AD19" i="39" s="1"/>
  <c r="O72" i="17"/>
  <c r="O101" i="17"/>
  <c r="C102" i="17"/>
  <c r="O66" i="17"/>
  <c r="M156" i="39" l="1"/>
  <c r="M85" i="39"/>
  <c r="O84" i="39"/>
  <c r="O156" i="39"/>
  <c r="O85" i="39"/>
  <c r="Q84" i="39"/>
  <c r="Q85" i="39" s="1"/>
  <c r="N157" i="39"/>
  <c r="N124" i="39"/>
  <c r="R156" i="39"/>
  <c r="T84" i="39"/>
  <c r="Q156" i="39"/>
  <c r="S84" i="39"/>
  <c r="L157" i="39"/>
  <c r="L124" i="39"/>
  <c r="N32" i="31"/>
  <c r="N83" i="4" s="1"/>
  <c r="P156" i="39"/>
  <c r="P85" i="39"/>
  <c r="R84" i="39"/>
  <c r="W84" i="39"/>
  <c r="U156" i="39"/>
  <c r="M124" i="39"/>
  <c r="M157" i="39"/>
  <c r="T156" i="39"/>
  <c r="T85" i="39"/>
  <c r="V84" i="39"/>
  <c r="S156" i="39"/>
  <c r="S85" i="39"/>
  <c r="U84" i="39"/>
  <c r="N156" i="39"/>
  <c r="N85" i="39"/>
  <c r="P84" i="39"/>
  <c r="BX21" i="39"/>
  <c r="BT32" i="39"/>
  <c r="BQ21" i="39"/>
  <c r="BM32" i="39"/>
  <c r="BW21" i="39"/>
  <c r="BS32" i="39"/>
  <c r="BJ32" i="39"/>
  <c r="BN21" i="39"/>
  <c r="W186" i="39"/>
  <c r="AI19" i="39"/>
  <c r="AH19" i="39"/>
  <c r="AJ19" i="39"/>
  <c r="N12" i="35"/>
  <c r="AA19" i="39"/>
  <c r="D83" i="39"/>
  <c r="D83" i="4"/>
  <c r="N21" i="35"/>
  <c r="AG19" i="39" s="1"/>
  <c r="O73" i="17"/>
  <c r="C3" i="7"/>
  <c r="C6" i="7"/>
  <c r="C5" i="7"/>
  <c r="D87" i="4" s="1"/>
  <c r="O108" i="17"/>
  <c r="O102" i="17"/>
  <c r="B64" i="11"/>
  <c r="N64" i="11" s="1"/>
  <c r="O109" i="17"/>
  <c r="U157" i="39" l="1"/>
  <c r="U124" i="39"/>
  <c r="U85" i="39"/>
  <c r="V157" i="39"/>
  <c r="V124" i="39"/>
  <c r="V85" i="39"/>
  <c r="R157" i="39"/>
  <c r="R124" i="39"/>
  <c r="S124" i="39"/>
  <c r="S157" i="39"/>
  <c r="W85" i="39"/>
  <c r="W124" i="39"/>
  <c r="W157" i="39"/>
  <c r="T157" i="39"/>
  <c r="T124" i="39"/>
  <c r="O157" i="39"/>
  <c r="O124" i="39"/>
  <c r="Q157" i="39"/>
  <c r="Q124" i="39"/>
  <c r="P157" i="39"/>
  <c r="P124" i="39"/>
  <c r="R85" i="39"/>
  <c r="BU21" i="39"/>
  <c r="BQ32" i="39"/>
  <c r="BN32" i="39"/>
  <c r="BR21" i="39"/>
  <c r="CA21" i="39"/>
  <c r="BW32" i="39"/>
  <c r="CB21" i="39"/>
  <c r="BX32" i="39"/>
  <c r="X186" i="39"/>
  <c r="Y186" i="39" s="1"/>
  <c r="Z186" i="39" s="1"/>
  <c r="AA186" i="39" s="1"/>
  <c r="AB186" i="39" s="1"/>
  <c r="AC186" i="39" s="1"/>
  <c r="AD186" i="39" s="1"/>
  <c r="AE186" i="39" s="1"/>
  <c r="AF186" i="39" s="1"/>
  <c r="AG186" i="39" s="1"/>
  <c r="AH186" i="39" s="1"/>
  <c r="AI186" i="39" s="1"/>
  <c r="AJ186" i="39" s="1"/>
  <c r="AK186" i="39" s="1"/>
  <c r="AL186" i="39" s="1"/>
  <c r="AM186" i="39" s="1"/>
  <c r="AN186" i="39" s="1"/>
  <c r="AO186" i="39" s="1"/>
  <c r="AP186" i="39" s="1"/>
  <c r="AQ186" i="39" s="1"/>
  <c r="AR186" i="39" s="1"/>
  <c r="AS186" i="39" s="1"/>
  <c r="AT186" i="39" s="1"/>
  <c r="AU186" i="39" s="1"/>
  <c r="AV186" i="39" s="1"/>
  <c r="AW186" i="39" s="1"/>
  <c r="AX186" i="39" s="1"/>
  <c r="AY186" i="39" s="1"/>
  <c r="AZ186" i="39" s="1"/>
  <c r="BA186" i="39" s="1"/>
  <c r="BB186" i="39" s="1"/>
  <c r="BC186" i="39" s="1"/>
  <c r="BD186" i="39" s="1"/>
  <c r="BE186" i="39" s="1"/>
  <c r="BF186" i="39" s="1"/>
  <c r="BG186" i="39" s="1"/>
  <c r="BH186" i="39" s="1"/>
  <c r="BI186" i="39" s="1"/>
  <c r="BJ186" i="39" s="1"/>
  <c r="BK186" i="39" s="1"/>
  <c r="BL186" i="39" s="1"/>
  <c r="BM186" i="39" s="1"/>
  <c r="BN186" i="39" s="1"/>
  <c r="BO186" i="39" s="1"/>
  <c r="BP186" i="39" s="1"/>
  <c r="BQ186" i="39" s="1"/>
  <c r="BR186" i="39" s="1"/>
  <c r="BS186" i="39" s="1"/>
  <c r="BT186" i="39" s="1"/>
  <c r="BU186" i="39" s="1"/>
  <c r="BV186" i="39" s="1"/>
  <c r="BW186" i="39" s="1"/>
  <c r="BX186" i="39" s="1"/>
  <c r="BY186" i="39" s="1"/>
  <c r="BZ186" i="39" s="1"/>
  <c r="CA186" i="39" s="1"/>
  <c r="CB186" i="39" s="1"/>
  <c r="CC186" i="39" s="1"/>
  <c r="CD186" i="39" s="1"/>
  <c r="CE186" i="39" s="1"/>
  <c r="CF186" i="39" s="1"/>
  <c r="CG186" i="39" s="1"/>
  <c r="CH186" i="39" s="1"/>
  <c r="CI186" i="39" s="1"/>
  <c r="CJ186" i="39" s="1"/>
  <c r="CK186" i="39" s="1"/>
  <c r="CL186" i="39" s="1"/>
  <c r="CM186" i="39" s="1"/>
  <c r="CN186" i="39" s="1"/>
  <c r="AK19" i="39"/>
  <c r="AN19" i="39"/>
  <c r="AL19" i="39"/>
  <c r="AM19" i="39"/>
  <c r="D79" i="40"/>
  <c r="I89" i="39"/>
  <c r="I162" i="39" s="1"/>
  <c r="L89" i="39"/>
  <c r="L162" i="39" s="1"/>
  <c r="D85" i="39"/>
  <c r="F89" i="39"/>
  <c r="F162" i="39" s="1"/>
  <c r="H89" i="39"/>
  <c r="H162" i="39" s="1"/>
  <c r="C83" i="39"/>
  <c r="E89" i="39"/>
  <c r="K89" i="39"/>
  <c r="K162" i="39" s="1"/>
  <c r="G89" i="39"/>
  <c r="G162" i="39" s="1"/>
  <c r="M89" i="39"/>
  <c r="M162" i="39" s="1"/>
  <c r="F84" i="39"/>
  <c r="J89" i="39"/>
  <c r="J162" i="39" s="1"/>
  <c r="D156" i="39"/>
  <c r="D176" i="39" s="1"/>
  <c r="E79" i="40" a="1"/>
  <c r="E79" i="40" s="1"/>
  <c r="F79" i="40" a="1"/>
  <c r="F79" i="40" s="1"/>
  <c r="G79" i="40" a="1"/>
  <c r="G79" i="40" s="1"/>
  <c r="H79" i="40" a="1"/>
  <c r="H79" i="40" s="1"/>
  <c r="I79" i="40" a="1"/>
  <c r="I79" i="40" s="1"/>
  <c r="J79" i="40" a="1"/>
  <c r="J79" i="40" s="1"/>
  <c r="K79" i="40" a="1"/>
  <c r="K79" i="40" s="1"/>
  <c r="L79" i="40" a="1"/>
  <c r="L79" i="40" s="1"/>
  <c r="M79" i="40" a="1"/>
  <c r="M79" i="40" s="1"/>
  <c r="N79" i="40" a="1"/>
  <c r="N79" i="40" s="1"/>
  <c r="O79" i="40" a="1"/>
  <c r="O79" i="40" s="1"/>
  <c r="P79" i="40" a="1"/>
  <c r="P79" i="40" s="1"/>
  <c r="Q79" i="40" a="1"/>
  <c r="Q79" i="40" s="1"/>
  <c r="R79" i="40" a="1"/>
  <c r="R79" i="40" s="1"/>
  <c r="S79" i="40" a="1"/>
  <c r="S79" i="40" s="1"/>
  <c r="T79" i="40" a="1"/>
  <c r="T79" i="40" s="1"/>
  <c r="U79" i="40" a="1"/>
  <c r="U79" i="40" s="1"/>
  <c r="V79" i="40" a="1"/>
  <c r="V79" i="40" s="1"/>
  <c r="W79" i="40" a="1"/>
  <c r="W79" i="40" s="1"/>
  <c r="X79" i="40" a="1"/>
  <c r="X79" i="40" s="1"/>
  <c r="Y79" i="40" a="1"/>
  <c r="Y79" i="40" s="1"/>
  <c r="Z79" i="40" a="1"/>
  <c r="Z79" i="40" s="1"/>
  <c r="S31" i="31"/>
  <c r="T31" i="31"/>
  <c r="K31" i="31"/>
  <c r="N31" i="31"/>
  <c r="L31" i="31"/>
  <c r="U31" i="31"/>
  <c r="J31" i="31"/>
  <c r="P31" i="31"/>
  <c r="R31" i="31"/>
  <c r="M31" i="31"/>
  <c r="Q31" i="31"/>
  <c r="O31" i="31"/>
  <c r="CF21" i="39" l="1"/>
  <c r="CB32" i="39"/>
  <c r="CE21" i="39"/>
  <c r="CA32" i="39"/>
  <c r="BR32" i="39"/>
  <c r="BV21" i="39"/>
  <c r="BY21" i="39"/>
  <c r="BU32" i="39"/>
  <c r="N89" i="39"/>
  <c r="N162" i="39" s="1"/>
  <c r="O182" i="40" a="1"/>
  <c r="O182" i="40" s="1"/>
  <c r="K182" i="40" a="1"/>
  <c r="K182" i="40" s="1"/>
  <c r="Z182" i="40" a="1"/>
  <c r="Z182" i="40" s="1"/>
  <c r="Y182" i="40" a="1"/>
  <c r="Y182" i="40" s="1"/>
  <c r="J182" i="40" a="1"/>
  <c r="J182" i="40" s="1"/>
  <c r="I182" i="40" a="1"/>
  <c r="I182" i="40" s="1"/>
  <c r="X182" i="40" a="1"/>
  <c r="X182" i="40" s="1"/>
  <c r="H182" i="40" a="1"/>
  <c r="H182" i="40" s="1"/>
  <c r="W182" i="40" a="1"/>
  <c r="W182" i="40" s="1"/>
  <c r="G182" i="40" a="1"/>
  <c r="G182" i="40" s="1"/>
  <c r="R182" i="40" a="1"/>
  <c r="R182" i="40" s="1"/>
  <c r="V182" i="40" a="1"/>
  <c r="V182" i="40" s="1"/>
  <c r="Q182" i="40" a="1"/>
  <c r="Q182" i="40" s="1"/>
  <c r="F182" i="40" a="1"/>
  <c r="F182" i="40" s="1"/>
  <c r="P182" i="40" a="1"/>
  <c r="P182" i="40" s="1"/>
  <c r="U182" i="40" a="1"/>
  <c r="U182" i="40" s="1"/>
  <c r="N182" i="40" a="1"/>
  <c r="N182" i="40" s="1"/>
  <c r="E182" i="40" a="1"/>
  <c r="E182" i="40" s="1"/>
  <c r="M182" i="40" a="1"/>
  <c r="M182" i="40" s="1"/>
  <c r="T182" i="40" a="1"/>
  <c r="T182" i="40" s="1"/>
  <c r="L182" i="40" a="1"/>
  <c r="L182" i="40" s="1"/>
  <c r="S182" i="40" a="1"/>
  <c r="S182" i="40" s="1"/>
  <c r="AO19" i="39"/>
  <c r="AP19" i="39"/>
  <c r="AQ19" i="39"/>
  <c r="AR19" i="39"/>
  <c r="F157" i="39"/>
  <c r="E80" i="40" a="1"/>
  <c r="E80" i="40" s="1"/>
  <c r="F124" i="39"/>
  <c r="F85" i="39"/>
  <c r="F80" i="40" a="1"/>
  <c r="F80" i="40" s="1"/>
  <c r="G80" i="40" a="1"/>
  <c r="G80" i="40" s="1"/>
  <c r="H80" i="40" a="1"/>
  <c r="H80" i="40" s="1"/>
  <c r="I80" i="40" a="1"/>
  <c r="I80" i="40" s="1"/>
  <c r="J80" i="40" a="1"/>
  <c r="J80" i="40" s="1"/>
  <c r="K80" i="40" a="1"/>
  <c r="K80" i="40" s="1"/>
  <c r="L80" i="40" a="1"/>
  <c r="L80" i="40" s="1"/>
  <c r="M80" i="40" a="1"/>
  <c r="M80" i="40" s="1"/>
  <c r="N80" i="40" a="1"/>
  <c r="N80" i="40" s="1"/>
  <c r="O80" i="40" a="1"/>
  <c r="O80" i="40" s="1"/>
  <c r="P80" i="40" a="1"/>
  <c r="P80" i="40" s="1"/>
  <c r="Q80" i="40" a="1"/>
  <c r="Q80" i="40" s="1"/>
  <c r="R80" i="40" a="1"/>
  <c r="R80" i="40" s="1"/>
  <c r="S80" i="40" a="1"/>
  <c r="S80" i="40" s="1"/>
  <c r="T80" i="40" a="1"/>
  <c r="T80" i="40" s="1"/>
  <c r="U80" i="40" a="1"/>
  <c r="U80" i="40" s="1"/>
  <c r="V80" i="40" a="1"/>
  <c r="V80" i="40" s="1"/>
  <c r="W80" i="40" a="1"/>
  <c r="W80" i="40" s="1"/>
  <c r="X80" i="40" a="1"/>
  <c r="X80" i="40" s="1"/>
  <c r="Y80" i="40" a="1"/>
  <c r="Y80" i="40" s="1"/>
  <c r="Z80" i="40" a="1"/>
  <c r="Z80" i="40" s="1"/>
  <c r="C84" i="39"/>
  <c r="C85" i="39" s="1"/>
  <c r="D175" i="39"/>
  <c r="D172" i="40"/>
  <c r="E176" i="39"/>
  <c r="E175" i="39" s="1"/>
  <c r="E162" i="39"/>
  <c r="E120" i="39"/>
  <c r="D81" i="40"/>
  <c r="E81" i="40" a="1"/>
  <c r="E81" i="40" s="1"/>
  <c r="F81" i="40" a="1"/>
  <c r="F81" i="40" s="1"/>
  <c r="G81" i="40" a="1"/>
  <c r="G81" i="40" s="1"/>
  <c r="H81" i="40" a="1"/>
  <c r="H81" i="40" s="1"/>
  <c r="I81" i="40" a="1"/>
  <c r="I81" i="40" s="1"/>
  <c r="D120" i="39"/>
  <c r="D98" i="39"/>
  <c r="J81" i="40" a="1"/>
  <c r="J81" i="40" s="1"/>
  <c r="D107" i="39"/>
  <c r="D88" i="39"/>
  <c r="K81" i="40" a="1"/>
  <c r="K81" i="40" s="1"/>
  <c r="L81" i="40" a="1"/>
  <c r="L81" i="40" s="1"/>
  <c r="M81" i="40" a="1"/>
  <c r="M81" i="40" s="1"/>
  <c r="N81" i="40" a="1"/>
  <c r="N81" i="40" s="1"/>
  <c r="O81" i="40" a="1"/>
  <c r="O81" i="40" s="1"/>
  <c r="P81" i="40" a="1"/>
  <c r="P81" i="40" s="1"/>
  <c r="Q81" i="40" a="1"/>
  <c r="Q81" i="40" s="1"/>
  <c r="R81" i="40" a="1"/>
  <c r="R81" i="40" s="1"/>
  <c r="S81" i="40" a="1"/>
  <c r="S81" i="40" s="1"/>
  <c r="T81" i="40" a="1"/>
  <c r="T81" i="40" s="1"/>
  <c r="U81" i="40" a="1"/>
  <c r="U81" i="40" s="1"/>
  <c r="V81" i="40" a="1"/>
  <c r="V81" i="40" s="1"/>
  <c r="W81" i="40" a="1"/>
  <c r="W81" i="40" s="1"/>
  <c r="X81" i="40" a="1"/>
  <c r="X81" i="40" s="1"/>
  <c r="Y81" i="40" a="1"/>
  <c r="Y81" i="40" s="1"/>
  <c r="Z81" i="40" a="1"/>
  <c r="Z81" i="40" s="1"/>
  <c r="C79" i="40"/>
  <c r="O89" i="39"/>
  <c r="D152" i="40"/>
  <c r="E152" i="40" a="1"/>
  <c r="E152" i="40" s="1"/>
  <c r="D158" i="39"/>
  <c r="C156" i="39"/>
  <c r="F152" i="40" a="1"/>
  <c r="F152" i="40" s="1"/>
  <c r="G152" i="40" a="1"/>
  <c r="G152" i="40" s="1"/>
  <c r="H152" i="40" a="1"/>
  <c r="H152" i="40" s="1"/>
  <c r="I152" i="40" a="1"/>
  <c r="I152" i="40" s="1"/>
  <c r="J152" i="40" a="1"/>
  <c r="J152" i="40" s="1"/>
  <c r="K152" i="40" a="1"/>
  <c r="K152" i="40" s="1"/>
  <c r="L152" i="40" a="1"/>
  <c r="L152" i="40" s="1"/>
  <c r="M152" i="40" a="1"/>
  <c r="M152" i="40" s="1"/>
  <c r="N152" i="40" a="1"/>
  <c r="N152" i="40" s="1"/>
  <c r="O152" i="40" a="1"/>
  <c r="O152" i="40" s="1"/>
  <c r="P152" i="40" a="1"/>
  <c r="P152" i="40" s="1"/>
  <c r="Q152" i="40" a="1"/>
  <c r="Q152" i="40" s="1"/>
  <c r="R152" i="40" a="1"/>
  <c r="R152" i="40" s="1"/>
  <c r="S152" i="40" a="1"/>
  <c r="S152" i="40" s="1"/>
  <c r="T152" i="40" a="1"/>
  <c r="T152" i="40" s="1"/>
  <c r="U152" i="40" a="1"/>
  <c r="U152" i="40" s="1"/>
  <c r="V152" i="40" a="1"/>
  <c r="V152" i="40" s="1"/>
  <c r="W152" i="40" a="1"/>
  <c r="W152" i="40" s="1"/>
  <c r="X152" i="40" a="1"/>
  <c r="X152" i="40" s="1"/>
  <c r="Y152" i="40" a="1"/>
  <c r="Y152" i="40" s="1"/>
  <c r="Z152" i="40" a="1"/>
  <c r="Z152" i="40" s="1"/>
  <c r="I7" i="16"/>
  <c r="G7" i="16"/>
  <c r="W7" i="16"/>
  <c r="U7" i="16"/>
  <c r="D7" i="16"/>
  <c r="C7" i="16"/>
  <c r="Y7" i="16"/>
  <c r="M7" i="16"/>
  <c r="N7" i="16"/>
  <c r="O7" i="16"/>
  <c r="P7" i="16"/>
  <c r="Q7" i="16"/>
  <c r="R7" i="16"/>
  <c r="L7" i="16"/>
  <c r="CC21" i="39" l="1"/>
  <c r="BY32" i="39"/>
  <c r="BV32" i="39"/>
  <c r="BZ21" i="39"/>
  <c r="CI21" i="39"/>
  <c r="CE32" i="39"/>
  <c r="CJ21" i="39"/>
  <c r="CF32" i="39"/>
  <c r="C152" i="40"/>
  <c r="AS19" i="39"/>
  <c r="AU19" i="39"/>
  <c r="AV19" i="39"/>
  <c r="AT19" i="39"/>
  <c r="D154" i="40"/>
  <c r="D174" i="39"/>
  <c r="E155" i="39"/>
  <c r="D171" i="40"/>
  <c r="C81" i="40"/>
  <c r="E163" i="39"/>
  <c r="E164" i="39" s="1"/>
  <c r="P89" i="39"/>
  <c r="Q89" i="39" s="1"/>
  <c r="Q162" i="39" s="1"/>
  <c r="O162" i="39"/>
  <c r="C121" i="40"/>
  <c r="C120" i="40"/>
  <c r="C124" i="39"/>
  <c r="C125" i="39"/>
  <c r="C80" i="40"/>
  <c r="E153" i="40" a="1"/>
  <c r="E153" i="40" s="1"/>
  <c r="F153" i="40" a="1"/>
  <c r="F153" i="40" s="1"/>
  <c r="G153" i="40" a="1"/>
  <c r="G153" i="40" s="1"/>
  <c r="H153" i="40" a="1"/>
  <c r="H153" i="40" s="1"/>
  <c r="I153" i="40" a="1"/>
  <c r="I153" i="40" s="1"/>
  <c r="J153" i="40" a="1"/>
  <c r="J153" i="40" s="1"/>
  <c r="K153" i="40" a="1"/>
  <c r="K153" i="40" s="1"/>
  <c r="L153" i="40" a="1"/>
  <c r="L153" i="40" s="1"/>
  <c r="M153" i="40" a="1"/>
  <c r="M153" i="40" s="1"/>
  <c r="N153" i="40" a="1"/>
  <c r="N153" i="40" s="1"/>
  <c r="O153" i="40" a="1"/>
  <c r="O153" i="40" s="1"/>
  <c r="P153" i="40" a="1"/>
  <c r="P153" i="40" s="1"/>
  <c r="Q153" i="40" a="1"/>
  <c r="Q153" i="40" s="1"/>
  <c r="R153" i="40" a="1"/>
  <c r="R153" i="40" s="1"/>
  <c r="S153" i="40" a="1"/>
  <c r="S153" i="40" s="1"/>
  <c r="T153" i="40" a="1"/>
  <c r="T153" i="40" s="1"/>
  <c r="U153" i="40" a="1"/>
  <c r="U153" i="40" s="1"/>
  <c r="V153" i="40" a="1"/>
  <c r="V153" i="40" s="1"/>
  <c r="W153" i="40" a="1"/>
  <c r="W153" i="40" s="1"/>
  <c r="X153" i="40" a="1"/>
  <c r="X153" i="40" s="1"/>
  <c r="Y153" i="40" a="1"/>
  <c r="Y153" i="40" s="1"/>
  <c r="Z153" i="40" a="1"/>
  <c r="Z153" i="40" s="1"/>
  <c r="C157" i="39"/>
  <c r="D84" i="40"/>
  <c r="D92" i="39"/>
  <c r="D185" i="39"/>
  <c r="D103" i="40"/>
  <c r="D108" i="39"/>
  <c r="D109" i="39"/>
  <c r="D94" i="40"/>
  <c r="D99" i="39"/>
  <c r="D116" i="40"/>
  <c r="H7" i="16"/>
  <c r="J7" i="16"/>
  <c r="Z7" i="16"/>
  <c r="V7" i="16"/>
  <c r="X7" i="16"/>
  <c r="BZ32" i="39" l="1"/>
  <c r="CD21" i="39"/>
  <c r="CN21" i="39"/>
  <c r="CN32" i="39" s="1"/>
  <c r="CJ32" i="39"/>
  <c r="CM21" i="39"/>
  <c r="CM32" i="39" s="1"/>
  <c r="CI32" i="39"/>
  <c r="CG21" i="39"/>
  <c r="CC32" i="39"/>
  <c r="AZ19" i="39"/>
  <c r="AY19" i="39"/>
  <c r="AW19" i="39"/>
  <c r="AX19" i="39"/>
  <c r="E158" i="39"/>
  <c r="D170" i="40"/>
  <c r="D95" i="40"/>
  <c r="E99" i="39"/>
  <c r="D181" i="40"/>
  <c r="D184" i="39"/>
  <c r="D88" i="40"/>
  <c r="D94" i="39"/>
  <c r="C153" i="40"/>
  <c r="D105" i="40"/>
  <c r="D110" i="39"/>
  <c r="D106" i="40" s="1"/>
  <c r="R89" i="39"/>
  <c r="E119" i="39" a="1"/>
  <c r="E119" i="39" s="1"/>
  <c r="F161" i="39"/>
  <c r="E183" i="39"/>
  <c r="D104" i="40"/>
  <c r="E90" i="39"/>
  <c r="P162" i="39"/>
  <c r="C19" i="18"/>
  <c r="D19" i="18"/>
  <c r="E19" i="18"/>
  <c r="F19" i="18"/>
  <c r="G19" i="18"/>
  <c r="H19" i="18"/>
  <c r="I19" i="18"/>
  <c r="J19" i="18"/>
  <c r="K19" i="18"/>
  <c r="L19" i="18"/>
  <c r="M19" i="18"/>
  <c r="B19" i="18"/>
  <c r="B11" i="14"/>
  <c r="D162" i="32"/>
  <c r="D163" i="32"/>
  <c r="CK21" i="39" l="1"/>
  <c r="CG32" i="39"/>
  <c r="CD32" i="39"/>
  <c r="CH21" i="39"/>
  <c r="BD19" i="39"/>
  <c r="BB19" i="39"/>
  <c r="BC19" i="39"/>
  <c r="BA19" i="39"/>
  <c r="D90" i="40"/>
  <c r="D95" i="39"/>
  <c r="E174" i="39"/>
  <c r="F155" i="39"/>
  <c r="E182" i="39"/>
  <c r="F165" i="39"/>
  <c r="E107" i="39"/>
  <c r="D180" i="40"/>
  <c r="D187" i="39"/>
  <c r="D116" i="39"/>
  <c r="D112" i="40" s="1"/>
  <c r="R162" i="39"/>
  <c r="S89" i="39"/>
  <c r="D79" i="33"/>
  <c r="D142" i="33"/>
  <c r="D169" i="5"/>
  <c r="D187" i="5"/>
  <c r="D183" i="33" s="1"/>
  <c r="D136" i="32"/>
  <c r="D181" i="4"/>
  <c r="D177" i="32" s="1"/>
  <c r="CH32" i="39" l="1"/>
  <c r="CL21" i="39"/>
  <c r="CL32" i="39" s="1"/>
  <c r="CO21" i="39"/>
  <c r="CO32" i="39" s="1"/>
  <c r="CK32" i="39"/>
  <c r="BE19" i="39"/>
  <c r="BH19" i="39"/>
  <c r="BG19" i="39"/>
  <c r="BF19" i="39"/>
  <c r="E109" i="39"/>
  <c r="E108" i="39"/>
  <c r="D117" i="39"/>
  <c r="D113" i="40" s="1"/>
  <c r="D183" i="40"/>
  <c r="S162" i="39"/>
  <c r="T89" i="39"/>
  <c r="D91" i="40"/>
  <c r="D171" i="39"/>
  <c r="E93" i="39"/>
  <c r="F135" i="39"/>
  <c r="F63" i="39"/>
  <c r="F91" i="39"/>
  <c r="F140" i="39"/>
  <c r="F176" i="39"/>
  <c r="E88" i="39"/>
  <c r="F158" i="39"/>
  <c r="D171" i="5"/>
  <c r="BK19" i="39" l="1"/>
  <c r="BL19" i="39"/>
  <c r="BJ19" i="39"/>
  <c r="BI19" i="39"/>
  <c r="U89" i="39"/>
  <c r="E185" i="39"/>
  <c r="E92" i="39"/>
  <c r="F175" i="39"/>
  <c r="D167" i="40"/>
  <c r="D170" i="39"/>
  <c r="F181" i="39"/>
  <c r="T162" i="39"/>
  <c r="F174" i="39"/>
  <c r="G155" i="39"/>
  <c r="F64" i="39"/>
  <c r="F136" i="39"/>
  <c r="E110" i="39"/>
  <c r="Y14" i="5"/>
  <c r="Z14" i="5"/>
  <c r="AA14" i="5"/>
  <c r="AB14" i="5"/>
  <c r="E75" i="5"/>
  <c r="D86" i="5"/>
  <c r="E15" i="5"/>
  <c r="E32" i="5" s="1"/>
  <c r="F15" i="5"/>
  <c r="F32" i="5" s="1"/>
  <c r="G15" i="5"/>
  <c r="G32" i="5" s="1"/>
  <c r="H15" i="5"/>
  <c r="H32" i="5" s="1"/>
  <c r="I15" i="5"/>
  <c r="I32" i="5" s="1"/>
  <c r="J15" i="5"/>
  <c r="J32" i="5" s="1"/>
  <c r="K15" i="5"/>
  <c r="K32" i="5" s="1"/>
  <c r="L15" i="5"/>
  <c r="L32" i="5" s="1"/>
  <c r="M15" i="5"/>
  <c r="M32" i="5" s="1"/>
  <c r="N15" i="5"/>
  <c r="N32" i="5" s="1"/>
  <c r="O15" i="5"/>
  <c r="O32" i="5" s="1"/>
  <c r="P15" i="5"/>
  <c r="P32" i="5" s="1"/>
  <c r="Q15" i="5"/>
  <c r="Q32" i="5" s="1"/>
  <c r="R15" i="5"/>
  <c r="R32" i="5" s="1"/>
  <c r="S15" i="5"/>
  <c r="S32" i="5" s="1"/>
  <c r="T15" i="5"/>
  <c r="T32" i="5" s="1"/>
  <c r="U15" i="5"/>
  <c r="U32" i="5" s="1"/>
  <c r="V15" i="5"/>
  <c r="V32" i="5" s="1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E14" i="5"/>
  <c r="CO59" i="5"/>
  <c r="CN59" i="5"/>
  <c r="CM59" i="5"/>
  <c r="CL59" i="5"/>
  <c r="CK59" i="5"/>
  <c r="CJ59" i="5"/>
  <c r="CI59" i="5"/>
  <c r="CH59" i="5"/>
  <c r="CG59" i="5"/>
  <c r="CF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E74" i="4"/>
  <c r="D84" i="4"/>
  <c r="C5" i="17"/>
  <c r="E20" i="5"/>
  <c r="E34" i="5" s="1"/>
  <c r="F20" i="5"/>
  <c r="F34" i="5" s="1"/>
  <c r="G20" i="5"/>
  <c r="G34" i="5" s="1"/>
  <c r="H20" i="5"/>
  <c r="H34" i="5" s="1"/>
  <c r="I20" i="5"/>
  <c r="I34" i="5" s="1"/>
  <c r="J20" i="5"/>
  <c r="J34" i="5" s="1"/>
  <c r="K20" i="5"/>
  <c r="K34" i="5" s="1"/>
  <c r="L20" i="5"/>
  <c r="L34" i="5" s="1"/>
  <c r="M20" i="5"/>
  <c r="M34" i="5" s="1"/>
  <c r="N20" i="5"/>
  <c r="N34" i="5" s="1"/>
  <c r="O20" i="5"/>
  <c r="O34" i="5" s="1"/>
  <c r="R20" i="5"/>
  <c r="R34" i="5" s="1"/>
  <c r="T20" i="5"/>
  <c r="T34" i="5" s="1"/>
  <c r="U20" i="5"/>
  <c r="U34" i="5" s="1"/>
  <c r="V20" i="5"/>
  <c r="V34" i="5" s="1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E22" i="5"/>
  <c r="E33" i="5" s="1"/>
  <c r="F22" i="5"/>
  <c r="F33" i="5" s="1"/>
  <c r="G22" i="5"/>
  <c r="G33" i="5" s="1"/>
  <c r="I22" i="5"/>
  <c r="I33" i="5" s="1"/>
  <c r="J22" i="5"/>
  <c r="J33" i="5" s="1"/>
  <c r="K22" i="5"/>
  <c r="K33" i="5" s="1"/>
  <c r="M22" i="5"/>
  <c r="M33" i="5" s="1"/>
  <c r="N22" i="5"/>
  <c r="N33" i="5" s="1"/>
  <c r="O22" i="5"/>
  <c r="O33" i="5" s="1"/>
  <c r="Q22" i="5"/>
  <c r="Q33" i="5" s="1"/>
  <c r="R22" i="5"/>
  <c r="R33" i="5" s="1"/>
  <c r="S22" i="5"/>
  <c r="S33" i="5" s="1"/>
  <c r="U22" i="5"/>
  <c r="U33" i="5" s="1"/>
  <c r="V22" i="5"/>
  <c r="V33" i="5" s="1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E31" i="4"/>
  <c r="F31" i="4"/>
  <c r="V31" i="4"/>
  <c r="D186" i="5"/>
  <c r="D185" i="5" s="1"/>
  <c r="D179" i="5"/>
  <c r="BP19" i="39" l="1"/>
  <c r="BM19" i="39"/>
  <c r="BN19" i="39"/>
  <c r="BO19" i="39"/>
  <c r="F145" i="39"/>
  <c r="F144" i="39"/>
  <c r="D177" i="39"/>
  <c r="D166" i="40"/>
  <c r="G158" i="39"/>
  <c r="E94" i="39"/>
  <c r="F179" i="39"/>
  <c r="E184" i="39"/>
  <c r="U162" i="39"/>
  <c r="V89" i="39"/>
  <c r="F32" i="4"/>
  <c r="V32" i="4"/>
  <c r="E32" i="4"/>
  <c r="V34" i="4"/>
  <c r="F34" i="4"/>
  <c r="V33" i="4"/>
  <c r="F33" i="4"/>
  <c r="E33" i="4"/>
  <c r="S20" i="5"/>
  <c r="S34" i="5" s="1"/>
  <c r="Q20" i="5"/>
  <c r="Q34" i="5" s="1"/>
  <c r="P20" i="5"/>
  <c r="P34" i="5" s="1"/>
  <c r="E34" i="4"/>
  <c r="T22" i="5"/>
  <c r="T33" i="5" s="1"/>
  <c r="L22" i="5"/>
  <c r="L33" i="5" s="1"/>
  <c r="P22" i="5"/>
  <c r="P33" i="5" s="1"/>
  <c r="H22" i="5"/>
  <c r="H33" i="5" s="1"/>
  <c r="C59" i="5"/>
  <c r="D180" i="4"/>
  <c r="D179" i="4" s="1"/>
  <c r="D173" i="4"/>
  <c r="D157" i="4"/>
  <c r="E9" i="5"/>
  <c r="E9" i="4"/>
  <c r="C200" i="33"/>
  <c r="C198" i="33"/>
  <c r="C197" i="33"/>
  <c r="C196" i="33"/>
  <c r="C195" i="33"/>
  <c r="D190" i="33"/>
  <c r="D180" i="33"/>
  <c r="D175" i="33"/>
  <c r="D171" i="33"/>
  <c r="D163" i="33"/>
  <c r="D162" i="33"/>
  <c r="D161" i="33"/>
  <c r="D157" i="33"/>
  <c r="D156" i="33"/>
  <c r="D155" i="33"/>
  <c r="D151" i="33"/>
  <c r="D150" i="33"/>
  <c r="D149" i="33"/>
  <c r="D145" i="33"/>
  <c r="D144" i="33"/>
  <c r="D143" i="33"/>
  <c r="D134" i="33"/>
  <c r="D133" i="33"/>
  <c r="D131" i="33"/>
  <c r="D130" i="33"/>
  <c r="D129" i="33"/>
  <c r="D128" i="33"/>
  <c r="D127" i="33"/>
  <c r="D125" i="33"/>
  <c r="D116" i="33"/>
  <c r="D115" i="33"/>
  <c r="D113" i="33"/>
  <c r="D108" i="33"/>
  <c r="D107" i="33"/>
  <c r="D106" i="33"/>
  <c r="D104" i="33"/>
  <c r="D99" i="33"/>
  <c r="D98" i="33"/>
  <c r="D95" i="33"/>
  <c r="D88" i="33"/>
  <c r="D86" i="33"/>
  <c r="D84" i="33"/>
  <c r="D78" i="33"/>
  <c r="D77" i="33"/>
  <c r="D76" i="33"/>
  <c r="D75" i="33"/>
  <c r="D74" i="33"/>
  <c r="D73" i="33"/>
  <c r="D71" i="33"/>
  <c r="D69" i="33"/>
  <c r="D68" i="33"/>
  <c r="D64" i="33"/>
  <c r="D63" i="33"/>
  <c r="D59" i="33"/>
  <c r="D58" i="33"/>
  <c r="D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7" i="33"/>
  <c r="D26" i="33"/>
  <c r="D25" i="33"/>
  <c r="D24" i="33"/>
  <c r="D23" i="33"/>
  <c r="D22" i="33"/>
  <c r="D21" i="33"/>
  <c r="D20" i="33"/>
  <c r="D19" i="33"/>
  <c r="D17" i="33"/>
  <c r="D16" i="33"/>
  <c r="D15" i="33"/>
  <c r="D14" i="33"/>
  <c r="D13" i="33"/>
  <c r="D12" i="33"/>
  <c r="D11" i="33"/>
  <c r="D10" i="33"/>
  <c r="D9" i="33"/>
  <c r="D8" i="33"/>
  <c r="E8" i="33" s="1"/>
  <c r="D7" i="33"/>
  <c r="E6" i="33"/>
  <c r="E18" i="33" s="1"/>
  <c r="F18" i="33" s="1"/>
  <c r="G18" i="33" s="1"/>
  <c r="H18" i="33" s="1"/>
  <c r="I18" i="33" s="1"/>
  <c r="J18" i="33" s="1"/>
  <c r="K18" i="33" s="1"/>
  <c r="L18" i="33" s="1"/>
  <c r="M18" i="33" s="1"/>
  <c r="N18" i="33" s="1"/>
  <c r="O18" i="33" s="1"/>
  <c r="P18" i="33" s="1"/>
  <c r="Q18" i="33" s="1"/>
  <c r="R18" i="33" s="1"/>
  <c r="S18" i="33" s="1"/>
  <c r="T18" i="33" s="1"/>
  <c r="U18" i="33" s="1"/>
  <c r="V18" i="33" s="1"/>
  <c r="W18" i="33" s="1"/>
  <c r="X18" i="33" s="1"/>
  <c r="Y18" i="33" s="1"/>
  <c r="Z18" i="33" s="1"/>
  <c r="D6" i="33"/>
  <c r="K14" i="33"/>
  <c r="BS19" i="39" l="1"/>
  <c r="BQ19" i="39"/>
  <c r="BT19" i="39"/>
  <c r="BR19" i="39"/>
  <c r="F137" i="39"/>
  <c r="D173" i="40"/>
  <c r="D190" i="39"/>
  <c r="D186" i="40" s="1"/>
  <c r="D189" i="39"/>
  <c r="D185" i="40" s="1"/>
  <c r="E95" i="39"/>
  <c r="V162" i="39"/>
  <c r="W89" i="39"/>
  <c r="E116" i="39"/>
  <c r="E187" i="39"/>
  <c r="H155" i="39"/>
  <c r="G174" i="39"/>
  <c r="F146" i="39"/>
  <c r="E86" i="5"/>
  <c r="E172" i="5"/>
  <c r="E8" i="4"/>
  <c r="E84" i="4"/>
  <c r="F9" i="5"/>
  <c r="E8" i="5"/>
  <c r="E170" i="33"/>
  <c r="E70" i="33"/>
  <c r="F70" i="33" s="1"/>
  <c r="G70" i="33" s="1"/>
  <c r="H70" i="33" s="1"/>
  <c r="I70" i="33" s="1"/>
  <c r="J70" i="33" s="1"/>
  <c r="K70" i="33" s="1"/>
  <c r="L70" i="33" s="1"/>
  <c r="M70" i="33" s="1"/>
  <c r="N70" i="33" s="1"/>
  <c r="O70" i="33" s="1"/>
  <c r="P70" i="33" s="1"/>
  <c r="Q70" i="33" s="1"/>
  <c r="R70" i="33" s="1"/>
  <c r="S70" i="33" s="1"/>
  <c r="T70" i="33" s="1"/>
  <c r="U70" i="33" s="1"/>
  <c r="V70" i="33" s="1"/>
  <c r="W70" i="33" s="1"/>
  <c r="X70" i="33" s="1"/>
  <c r="Y70" i="33" s="1"/>
  <c r="Z70" i="33" s="1"/>
  <c r="E12" i="33"/>
  <c r="F12" i="33" s="1"/>
  <c r="G12" i="33" s="1"/>
  <c r="H12" i="33" s="1"/>
  <c r="I12" i="33" s="1"/>
  <c r="J12" i="33" s="1"/>
  <c r="K12" i="33" s="1"/>
  <c r="L12" i="33" s="1"/>
  <c r="M12" i="33" s="1"/>
  <c r="N12" i="33" s="1"/>
  <c r="O12" i="33" s="1"/>
  <c r="P12" i="33" s="1"/>
  <c r="Q12" i="33" s="1"/>
  <c r="R12" i="33" s="1"/>
  <c r="S12" i="33" s="1"/>
  <c r="T12" i="33" s="1"/>
  <c r="U12" i="33" s="1"/>
  <c r="V12" i="33" s="1"/>
  <c r="W12" i="33" s="1"/>
  <c r="X12" i="33" s="1"/>
  <c r="Y12" i="33" s="1"/>
  <c r="Z12" i="33" s="1"/>
  <c r="F6" i="33"/>
  <c r="E9" i="33"/>
  <c r="E6" i="32"/>
  <c r="F6" i="32" s="1"/>
  <c r="D184" i="32"/>
  <c r="D174" i="32"/>
  <c r="D169" i="32"/>
  <c r="D165" i="32"/>
  <c r="D157" i="32"/>
  <c r="D156" i="32"/>
  <c r="D155" i="32"/>
  <c r="D153" i="32"/>
  <c r="D151" i="32"/>
  <c r="D150" i="32"/>
  <c r="D149" i="32"/>
  <c r="D145" i="32"/>
  <c r="D144" i="32"/>
  <c r="D143" i="32"/>
  <c r="D139" i="32"/>
  <c r="D138" i="32"/>
  <c r="D137" i="32"/>
  <c r="D128" i="32"/>
  <c r="D127" i="32"/>
  <c r="D125" i="32"/>
  <c r="D124" i="32"/>
  <c r="D123" i="32"/>
  <c r="D122" i="32"/>
  <c r="D121" i="32"/>
  <c r="D119" i="32"/>
  <c r="D110" i="32"/>
  <c r="D109" i="32"/>
  <c r="D107" i="32"/>
  <c r="D102" i="32"/>
  <c r="D101" i="32"/>
  <c r="D100" i="32"/>
  <c r="D98" i="32"/>
  <c r="D93" i="32"/>
  <c r="D92" i="32"/>
  <c r="D89" i="32"/>
  <c r="D85" i="32"/>
  <c r="D82" i="32"/>
  <c r="D80" i="32"/>
  <c r="D78" i="32"/>
  <c r="D73" i="32"/>
  <c r="D72" i="32"/>
  <c r="D71" i="32"/>
  <c r="D70" i="32"/>
  <c r="D69" i="32"/>
  <c r="D68" i="32"/>
  <c r="D66" i="32"/>
  <c r="D64" i="32"/>
  <c r="D63" i="32"/>
  <c r="D58" i="32"/>
  <c r="D54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2" i="32"/>
  <c r="D21" i="32"/>
  <c r="D20" i="32"/>
  <c r="D19" i="32"/>
  <c r="D17" i="32"/>
  <c r="D16" i="32"/>
  <c r="D15" i="32"/>
  <c r="D14" i="32"/>
  <c r="D13" i="32"/>
  <c r="D12" i="32"/>
  <c r="D11" i="32"/>
  <c r="D10" i="32"/>
  <c r="D9" i="32"/>
  <c r="D8" i="32"/>
  <c r="E8" i="32" s="1"/>
  <c r="D7" i="32"/>
  <c r="D6" i="32"/>
  <c r="K14" i="32"/>
  <c r="E13" i="5"/>
  <c r="F7" i="5"/>
  <c r="G7" i="5" s="1"/>
  <c r="H7" i="5" s="1"/>
  <c r="F6" i="5"/>
  <c r="G6" i="5" s="1"/>
  <c r="H6" i="5" s="1"/>
  <c r="I6" i="5" s="1"/>
  <c r="J6" i="5" s="1"/>
  <c r="K6" i="5" s="1"/>
  <c r="L6" i="5" s="1"/>
  <c r="M6" i="5" s="1"/>
  <c r="N6" i="5" s="1"/>
  <c r="O6" i="5" s="1"/>
  <c r="P6" i="5" s="1"/>
  <c r="Q6" i="5" s="1"/>
  <c r="R6" i="5" s="1"/>
  <c r="S6" i="5" s="1"/>
  <c r="T6" i="5" s="1"/>
  <c r="U6" i="5" s="1"/>
  <c r="V6" i="5" s="1"/>
  <c r="W6" i="5" s="1"/>
  <c r="X6" i="5" s="1"/>
  <c r="Y6" i="5" s="1"/>
  <c r="Z6" i="5" s="1"/>
  <c r="AA6" i="5" s="1"/>
  <c r="AB6" i="5" s="1"/>
  <c r="AC6" i="5" s="1"/>
  <c r="AD6" i="5" s="1"/>
  <c r="AE6" i="5" s="1"/>
  <c r="AF6" i="5" s="1"/>
  <c r="AG6" i="5" s="1"/>
  <c r="AH6" i="5" s="1"/>
  <c r="AI6" i="5" s="1"/>
  <c r="AJ6" i="5" s="1"/>
  <c r="AK6" i="5" s="1"/>
  <c r="AL6" i="5" s="1"/>
  <c r="AM6" i="5" s="1"/>
  <c r="AN6" i="5" s="1"/>
  <c r="AO6" i="5" s="1"/>
  <c r="AP6" i="5" s="1"/>
  <c r="AQ6" i="5" s="1"/>
  <c r="AR6" i="5" s="1"/>
  <c r="AS6" i="5" s="1"/>
  <c r="AT6" i="5" s="1"/>
  <c r="AU6" i="5" s="1"/>
  <c r="AV6" i="5" s="1"/>
  <c r="AW6" i="5" s="1"/>
  <c r="AX6" i="5" s="1"/>
  <c r="AY6" i="5" s="1"/>
  <c r="AZ6" i="5" s="1"/>
  <c r="BA6" i="5" s="1"/>
  <c r="BB6" i="5" s="1"/>
  <c r="BC6" i="5" s="1"/>
  <c r="BD6" i="5" s="1"/>
  <c r="BE6" i="5" s="1"/>
  <c r="BF6" i="5" s="1"/>
  <c r="BG6" i="5" s="1"/>
  <c r="BH6" i="5" s="1"/>
  <c r="BI6" i="5" s="1"/>
  <c r="BJ6" i="5" s="1"/>
  <c r="BK6" i="5" s="1"/>
  <c r="BL6" i="5" s="1"/>
  <c r="BM6" i="5" s="1"/>
  <c r="BN6" i="5" s="1"/>
  <c r="BO6" i="5" s="1"/>
  <c r="BP6" i="5" s="1"/>
  <c r="BQ6" i="5" s="1"/>
  <c r="BR6" i="5" s="1"/>
  <c r="BS6" i="5" s="1"/>
  <c r="BT6" i="5" s="1"/>
  <c r="BU6" i="5" s="1"/>
  <c r="BV6" i="5" s="1"/>
  <c r="BW6" i="5" s="1"/>
  <c r="BX6" i="5" s="1"/>
  <c r="BY6" i="5" s="1"/>
  <c r="BZ6" i="5" s="1"/>
  <c r="CA6" i="5" s="1"/>
  <c r="CB6" i="5" s="1"/>
  <c r="CC6" i="5" s="1"/>
  <c r="CD6" i="5" s="1"/>
  <c r="CE6" i="5" s="1"/>
  <c r="CF6" i="5" s="1"/>
  <c r="CG6" i="5" s="1"/>
  <c r="CH6" i="5" s="1"/>
  <c r="CI6" i="5" s="1"/>
  <c r="CJ6" i="5" s="1"/>
  <c r="CK6" i="5" s="1"/>
  <c r="CL6" i="5" s="1"/>
  <c r="CM6" i="5" s="1"/>
  <c r="CN6" i="5" s="1"/>
  <c r="CO6" i="5" s="1"/>
  <c r="E13" i="4"/>
  <c r="F6" i="4"/>
  <c r="G6" i="4" s="1"/>
  <c r="H6" i="4" s="1"/>
  <c r="I6" i="4" s="1"/>
  <c r="J6" i="4" s="1"/>
  <c r="K6" i="4" s="1"/>
  <c r="L6" i="4" s="1"/>
  <c r="M6" i="4" s="1"/>
  <c r="N6" i="4" s="1"/>
  <c r="O6" i="4" s="1"/>
  <c r="P6" i="4" s="1"/>
  <c r="Q6" i="4" s="1"/>
  <c r="R6" i="4" s="1"/>
  <c r="S6" i="4" s="1"/>
  <c r="T6" i="4" s="1"/>
  <c r="U6" i="4" s="1"/>
  <c r="V6" i="4" s="1"/>
  <c r="W6" i="4" s="1"/>
  <c r="X6" i="4" s="1"/>
  <c r="Y6" i="4" s="1"/>
  <c r="Z6" i="4" s="1"/>
  <c r="AA6" i="4" s="1"/>
  <c r="AB6" i="4" s="1"/>
  <c r="AC6" i="4" s="1"/>
  <c r="AD6" i="4" s="1"/>
  <c r="AE6" i="4" s="1"/>
  <c r="AF6" i="4" s="1"/>
  <c r="AG6" i="4" s="1"/>
  <c r="AH6" i="4" s="1"/>
  <c r="AI6" i="4" s="1"/>
  <c r="AJ6" i="4" s="1"/>
  <c r="AK6" i="4" s="1"/>
  <c r="AL6" i="4" s="1"/>
  <c r="AM6" i="4" s="1"/>
  <c r="AN6" i="4" s="1"/>
  <c r="AO6" i="4" s="1"/>
  <c r="AP6" i="4" s="1"/>
  <c r="AQ6" i="4" s="1"/>
  <c r="AR6" i="4" s="1"/>
  <c r="AS6" i="4" s="1"/>
  <c r="AT6" i="4" s="1"/>
  <c r="AU6" i="4" s="1"/>
  <c r="AV6" i="4" s="1"/>
  <c r="AW6" i="4" s="1"/>
  <c r="AX6" i="4" s="1"/>
  <c r="AY6" i="4" s="1"/>
  <c r="AZ6" i="4" s="1"/>
  <c r="BA6" i="4" s="1"/>
  <c r="BB6" i="4" s="1"/>
  <c r="BC6" i="4" s="1"/>
  <c r="BD6" i="4" s="1"/>
  <c r="BE6" i="4" s="1"/>
  <c r="BF6" i="4" s="1"/>
  <c r="BG6" i="4" s="1"/>
  <c r="BH6" i="4" s="1"/>
  <c r="BI6" i="4" s="1"/>
  <c r="BJ6" i="4" s="1"/>
  <c r="BK6" i="4" s="1"/>
  <c r="BL6" i="4" s="1"/>
  <c r="BM6" i="4" s="1"/>
  <c r="BN6" i="4" s="1"/>
  <c r="BO6" i="4" s="1"/>
  <c r="BP6" i="4" s="1"/>
  <c r="BQ6" i="4" s="1"/>
  <c r="BR6" i="4" s="1"/>
  <c r="BS6" i="4" s="1"/>
  <c r="BT6" i="4" s="1"/>
  <c r="BU6" i="4" s="1"/>
  <c r="BV6" i="4" s="1"/>
  <c r="BW6" i="4" s="1"/>
  <c r="BX6" i="4" s="1"/>
  <c r="BY6" i="4" s="1"/>
  <c r="BZ6" i="4" s="1"/>
  <c r="CA6" i="4" s="1"/>
  <c r="CB6" i="4" s="1"/>
  <c r="CC6" i="4" s="1"/>
  <c r="CD6" i="4" s="1"/>
  <c r="CE6" i="4" s="1"/>
  <c r="CF6" i="4" s="1"/>
  <c r="CG6" i="4" s="1"/>
  <c r="CH6" i="4" s="1"/>
  <c r="CI6" i="4" s="1"/>
  <c r="CJ6" i="4" s="1"/>
  <c r="CK6" i="4" s="1"/>
  <c r="CL6" i="4" s="1"/>
  <c r="CM6" i="4" s="1"/>
  <c r="CN6" i="4" s="1"/>
  <c r="CO6" i="4" s="1"/>
  <c r="G7" i="4"/>
  <c r="CN85" i="5"/>
  <c r="CM85" i="5"/>
  <c r="CL85" i="5"/>
  <c r="CK85" i="5"/>
  <c r="CJ85" i="5"/>
  <c r="CI85" i="5"/>
  <c r="CH85" i="5"/>
  <c r="CG85" i="5"/>
  <c r="CF85" i="5"/>
  <c r="CE85" i="5"/>
  <c r="CD85" i="5"/>
  <c r="CC85" i="5"/>
  <c r="CB85" i="5"/>
  <c r="CA85" i="5"/>
  <c r="BZ85" i="5"/>
  <c r="BY85" i="5"/>
  <c r="BX85" i="5"/>
  <c r="BW85" i="5"/>
  <c r="BV85" i="5"/>
  <c r="BU85" i="5"/>
  <c r="BT85" i="5"/>
  <c r="BS85" i="5"/>
  <c r="BR85" i="5"/>
  <c r="BQ85" i="5"/>
  <c r="BP85" i="5"/>
  <c r="BO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BW19" i="39" l="1"/>
  <c r="BU19" i="39"/>
  <c r="BX19" i="39"/>
  <c r="BV19" i="39"/>
  <c r="W162" i="39"/>
  <c r="X89" i="39"/>
  <c r="F138" i="39"/>
  <c r="G143" i="39"/>
  <c r="E171" i="39"/>
  <c r="F93" i="39"/>
  <c r="H158" i="39"/>
  <c r="E117" i="39"/>
  <c r="E85" i="5"/>
  <c r="F8" i="5"/>
  <c r="F172" i="5"/>
  <c r="E19" i="5"/>
  <c r="E35" i="5" s="1"/>
  <c r="G9" i="5"/>
  <c r="H9" i="5"/>
  <c r="H172" i="5" s="1"/>
  <c r="G8" i="5"/>
  <c r="G85" i="5"/>
  <c r="W85" i="5"/>
  <c r="I7" i="5"/>
  <c r="H13" i="5"/>
  <c r="G13" i="5"/>
  <c r="F13" i="5"/>
  <c r="F170" i="33"/>
  <c r="G6" i="33"/>
  <c r="F8" i="33"/>
  <c r="H7" i="4"/>
  <c r="G13" i="4"/>
  <c r="F13" i="4"/>
  <c r="F164" i="32"/>
  <c r="G6" i="32"/>
  <c r="G164" i="32" s="1"/>
  <c r="E164" i="32"/>
  <c r="E65" i="32"/>
  <c r="F65" i="32" s="1"/>
  <c r="G65" i="32" s="1"/>
  <c r="H65" i="32" s="1"/>
  <c r="I65" i="32" s="1"/>
  <c r="J65" i="32" s="1"/>
  <c r="K65" i="32" s="1"/>
  <c r="L65" i="32" s="1"/>
  <c r="M65" i="32" s="1"/>
  <c r="N65" i="32" s="1"/>
  <c r="O65" i="32" s="1"/>
  <c r="P65" i="32" s="1"/>
  <c r="Q65" i="32" s="1"/>
  <c r="R65" i="32" s="1"/>
  <c r="S65" i="32" s="1"/>
  <c r="T65" i="32" s="1"/>
  <c r="U65" i="32" s="1"/>
  <c r="V65" i="32" s="1"/>
  <c r="W65" i="32" s="1"/>
  <c r="X65" i="32" s="1"/>
  <c r="Y65" i="32" s="1"/>
  <c r="Z65" i="32" s="1"/>
  <c r="E9" i="32"/>
  <c r="E18" i="32"/>
  <c r="F18" i="32" s="1"/>
  <c r="G18" i="32" s="1"/>
  <c r="H18" i="32" s="1"/>
  <c r="I18" i="32" s="1"/>
  <c r="J18" i="32" s="1"/>
  <c r="K18" i="32" s="1"/>
  <c r="L18" i="32" s="1"/>
  <c r="M18" i="32" s="1"/>
  <c r="N18" i="32" s="1"/>
  <c r="O18" i="32" s="1"/>
  <c r="P18" i="32" s="1"/>
  <c r="Q18" i="32" s="1"/>
  <c r="R18" i="32" s="1"/>
  <c r="S18" i="32" s="1"/>
  <c r="T18" i="32" s="1"/>
  <c r="U18" i="32" s="1"/>
  <c r="V18" i="32" s="1"/>
  <c r="W18" i="32" s="1"/>
  <c r="X18" i="32" s="1"/>
  <c r="Y18" i="32" s="1"/>
  <c r="Z18" i="32" s="1"/>
  <c r="E12" i="32"/>
  <c r="F12" i="32" s="1"/>
  <c r="G12" i="32" s="1"/>
  <c r="H12" i="32" s="1"/>
  <c r="I12" i="32" s="1"/>
  <c r="J12" i="32" s="1"/>
  <c r="K12" i="32" s="1"/>
  <c r="L12" i="32" s="1"/>
  <c r="M12" i="32" s="1"/>
  <c r="N12" i="32" s="1"/>
  <c r="O12" i="32" s="1"/>
  <c r="P12" i="32" s="1"/>
  <c r="Q12" i="32" s="1"/>
  <c r="R12" i="32" s="1"/>
  <c r="S12" i="32" s="1"/>
  <c r="T12" i="32" s="1"/>
  <c r="U12" i="32" s="1"/>
  <c r="V12" i="32" s="1"/>
  <c r="W12" i="32" s="1"/>
  <c r="X12" i="32" s="1"/>
  <c r="Y12" i="32" s="1"/>
  <c r="Z12" i="32" s="1"/>
  <c r="C203" i="5"/>
  <c r="C199" i="33" s="1"/>
  <c r="CB19" i="39" l="1"/>
  <c r="BY19" i="39"/>
  <c r="BZ19" i="39"/>
  <c r="CA19" i="39"/>
  <c r="F139" i="39"/>
  <c r="E170" i="39"/>
  <c r="I155" i="39"/>
  <c r="H174" i="39"/>
  <c r="X162" i="39"/>
  <c r="Y89" i="39"/>
  <c r="L85" i="5"/>
  <c r="J85" i="5"/>
  <c r="P85" i="5"/>
  <c r="O85" i="5"/>
  <c r="N85" i="5"/>
  <c r="M85" i="5"/>
  <c r="S85" i="5"/>
  <c r="I85" i="5"/>
  <c r="R85" i="5"/>
  <c r="U85" i="5"/>
  <c r="H85" i="5"/>
  <c r="K85" i="5"/>
  <c r="G86" i="5"/>
  <c r="G172" i="5"/>
  <c r="H6" i="32"/>
  <c r="H164" i="32" s="1"/>
  <c r="E45" i="5"/>
  <c r="E53" i="5"/>
  <c r="F85" i="5"/>
  <c r="H86" i="5" s="1"/>
  <c r="F19" i="5"/>
  <c r="F45" i="5" s="1"/>
  <c r="G19" i="5"/>
  <c r="G35" i="5" s="1"/>
  <c r="H19" i="5"/>
  <c r="H35" i="5" s="1"/>
  <c r="D167" i="5"/>
  <c r="D167" i="33" s="1"/>
  <c r="H8" i="5"/>
  <c r="V85" i="5"/>
  <c r="T85" i="5"/>
  <c r="Q85" i="5"/>
  <c r="J7" i="5"/>
  <c r="I13" i="5"/>
  <c r="F9" i="33"/>
  <c r="G170" i="33"/>
  <c r="H6" i="33"/>
  <c r="F8" i="32"/>
  <c r="I7" i="4"/>
  <c r="H13" i="4"/>
  <c r="I6" i="32"/>
  <c r="C35" i="30"/>
  <c r="C37" i="30" s="1"/>
  <c r="C38" i="30" s="1"/>
  <c r="C39" i="30" s="1"/>
  <c r="EE36" i="30"/>
  <c r="EF36" i="30" s="1"/>
  <c r="EG36" i="30" s="1"/>
  <c r="EH36" i="30" s="1"/>
  <c r="EI36" i="30" s="1"/>
  <c r="EJ36" i="30" s="1"/>
  <c r="EK36" i="30" s="1"/>
  <c r="EL36" i="30" s="1"/>
  <c r="EM36" i="30" s="1"/>
  <c r="EN36" i="30" s="1"/>
  <c r="EO36" i="30" s="1"/>
  <c r="DS36" i="30"/>
  <c r="DT36" i="30" s="1"/>
  <c r="DU36" i="30" s="1"/>
  <c r="DV36" i="30" s="1"/>
  <c r="DW36" i="30" s="1"/>
  <c r="DX36" i="30" s="1"/>
  <c r="DY36" i="30" s="1"/>
  <c r="DZ36" i="30" s="1"/>
  <c r="EA36" i="30" s="1"/>
  <c r="EB36" i="30" s="1"/>
  <c r="EC36" i="30" s="1"/>
  <c r="DG36" i="30"/>
  <c r="DH36" i="30" s="1"/>
  <c r="DI36" i="30" s="1"/>
  <c r="DJ36" i="30" s="1"/>
  <c r="DK36" i="30" s="1"/>
  <c r="DL36" i="30" s="1"/>
  <c r="DM36" i="30" s="1"/>
  <c r="DN36" i="30" s="1"/>
  <c r="DO36" i="30" s="1"/>
  <c r="DP36" i="30" s="1"/>
  <c r="DQ36" i="30" s="1"/>
  <c r="CU36" i="30"/>
  <c r="CV36" i="30" s="1"/>
  <c r="CW36" i="30" s="1"/>
  <c r="CX36" i="30" s="1"/>
  <c r="CY36" i="30" s="1"/>
  <c r="CZ36" i="30" s="1"/>
  <c r="DA36" i="30" s="1"/>
  <c r="DB36" i="30" s="1"/>
  <c r="DC36" i="30" s="1"/>
  <c r="DD36" i="30" s="1"/>
  <c r="DE36" i="30" s="1"/>
  <c r="CI36" i="30"/>
  <c r="CJ36" i="30" s="1"/>
  <c r="CK36" i="30" s="1"/>
  <c r="CL36" i="30" s="1"/>
  <c r="CM36" i="30" s="1"/>
  <c r="CN36" i="30" s="1"/>
  <c r="CO36" i="30" s="1"/>
  <c r="CP36" i="30" s="1"/>
  <c r="CQ36" i="30" s="1"/>
  <c r="CR36" i="30" s="1"/>
  <c r="CS36" i="30" s="1"/>
  <c r="BW36" i="30"/>
  <c r="BX36" i="30" s="1"/>
  <c r="BY36" i="30" s="1"/>
  <c r="BZ36" i="30" s="1"/>
  <c r="CA36" i="30" s="1"/>
  <c r="CB36" i="30" s="1"/>
  <c r="CC36" i="30" s="1"/>
  <c r="CD36" i="30" s="1"/>
  <c r="CE36" i="30" s="1"/>
  <c r="CF36" i="30" s="1"/>
  <c r="CG36" i="30" s="1"/>
  <c r="BK36" i="30"/>
  <c r="BL36" i="30" s="1"/>
  <c r="BM36" i="30" s="1"/>
  <c r="BN36" i="30" s="1"/>
  <c r="BO36" i="30" s="1"/>
  <c r="BP36" i="30" s="1"/>
  <c r="BQ36" i="30" s="1"/>
  <c r="BR36" i="30" s="1"/>
  <c r="BS36" i="30" s="1"/>
  <c r="BT36" i="30" s="1"/>
  <c r="BU36" i="30" s="1"/>
  <c r="B37" i="30"/>
  <c r="B38" i="30" s="1"/>
  <c r="AY36" i="30"/>
  <c r="AZ36" i="30" s="1"/>
  <c r="BA36" i="30" s="1"/>
  <c r="BB36" i="30" s="1"/>
  <c r="BC36" i="30" s="1"/>
  <c r="BD36" i="30" s="1"/>
  <c r="BE36" i="30" s="1"/>
  <c r="BF36" i="30" s="1"/>
  <c r="BG36" i="30" s="1"/>
  <c r="BH36" i="30" s="1"/>
  <c r="BI36" i="30" s="1"/>
  <c r="AM36" i="30"/>
  <c r="AN36" i="30" s="1"/>
  <c r="AO36" i="30" s="1"/>
  <c r="AP36" i="30" s="1"/>
  <c r="AQ36" i="30" s="1"/>
  <c r="AR36" i="30" s="1"/>
  <c r="AS36" i="30" s="1"/>
  <c r="AT36" i="30" s="1"/>
  <c r="AU36" i="30" s="1"/>
  <c r="AV36" i="30" s="1"/>
  <c r="AW36" i="30" s="1"/>
  <c r="AA36" i="30"/>
  <c r="AB36" i="30" s="1"/>
  <c r="AC36" i="30" s="1"/>
  <c r="AD36" i="30" s="1"/>
  <c r="AE36" i="30" s="1"/>
  <c r="AF36" i="30" s="1"/>
  <c r="AG36" i="30" s="1"/>
  <c r="AH36" i="30" s="1"/>
  <c r="AI36" i="30" s="1"/>
  <c r="AJ36" i="30" s="1"/>
  <c r="AK36" i="30" s="1"/>
  <c r="O36" i="30"/>
  <c r="P36" i="30" s="1"/>
  <c r="Q36" i="30" s="1"/>
  <c r="R36" i="30" s="1"/>
  <c r="S36" i="30" s="1"/>
  <c r="T36" i="30" s="1"/>
  <c r="U36" i="30" s="1"/>
  <c r="V36" i="30" s="1"/>
  <c r="W36" i="30" s="1"/>
  <c r="X36" i="30" s="1"/>
  <c r="Y36" i="30" s="1"/>
  <c r="C36" i="30"/>
  <c r="D36" i="30" s="1"/>
  <c r="E36" i="30" s="1"/>
  <c r="F36" i="30" s="1"/>
  <c r="G36" i="30" s="1"/>
  <c r="H36" i="30" s="1"/>
  <c r="I36" i="30" s="1"/>
  <c r="J36" i="30" s="1"/>
  <c r="K36" i="30" s="1"/>
  <c r="L36" i="30" s="1"/>
  <c r="M36" i="30" s="1"/>
  <c r="CF19" i="39" l="1"/>
  <c r="CD19" i="39"/>
  <c r="CE19" i="39"/>
  <c r="CC19" i="39"/>
  <c r="I158" i="39"/>
  <c r="F65" i="39"/>
  <c r="Y162" i="39"/>
  <c r="Z89" i="39"/>
  <c r="E177" i="39"/>
  <c r="E115" i="39"/>
  <c r="H77" i="4"/>
  <c r="H76" i="4"/>
  <c r="F35" i="5"/>
  <c r="F53" i="5"/>
  <c r="H45" i="5"/>
  <c r="H53" i="5"/>
  <c r="G45" i="5"/>
  <c r="G53" i="5"/>
  <c r="I19" i="5"/>
  <c r="I53" i="5" s="1"/>
  <c r="D35" i="30"/>
  <c r="K7" i="5"/>
  <c r="J13" i="5"/>
  <c r="H170" i="33"/>
  <c r="I6" i="33"/>
  <c r="G8" i="33"/>
  <c r="J7" i="4"/>
  <c r="I13" i="4"/>
  <c r="F9" i="32"/>
  <c r="I164" i="32"/>
  <c r="J6" i="32"/>
  <c r="CG19" i="39" l="1"/>
  <c r="CI19" i="39"/>
  <c r="CJ19" i="39"/>
  <c r="CH19" i="39"/>
  <c r="F78" i="39"/>
  <c r="F66" i="39"/>
  <c r="E190" i="39"/>
  <c r="E189" i="39"/>
  <c r="Z162" i="39"/>
  <c r="AA89" i="39"/>
  <c r="J155" i="39"/>
  <c r="J158" i="39" s="1"/>
  <c r="I174" i="39"/>
  <c r="I76" i="4"/>
  <c r="I77" i="4"/>
  <c r="I45" i="5"/>
  <c r="I35" i="5"/>
  <c r="J19" i="5"/>
  <c r="J53" i="5" s="1"/>
  <c r="D37" i="30"/>
  <c r="D38" i="30" s="1"/>
  <c r="D39" i="30" s="1"/>
  <c r="E35" i="30"/>
  <c r="L7" i="5"/>
  <c r="K13" i="5"/>
  <c r="G9" i="33"/>
  <c r="I170" i="33"/>
  <c r="J6" i="33"/>
  <c r="K7" i="4"/>
  <c r="J13" i="4"/>
  <c r="G8" i="32"/>
  <c r="J164" i="32"/>
  <c r="K6" i="32"/>
  <c r="CM19" i="39" l="1"/>
  <c r="CL19" i="39"/>
  <c r="CK19" i="39"/>
  <c r="CN19" i="39"/>
  <c r="J174" i="39"/>
  <c r="K155" i="39"/>
  <c r="K158" i="39" s="1"/>
  <c r="AA162" i="39"/>
  <c r="AB89" i="39"/>
  <c r="F122" i="39"/>
  <c r="F120" i="39"/>
  <c r="F81" i="39"/>
  <c r="J77" i="4"/>
  <c r="J76" i="4"/>
  <c r="J35" i="5"/>
  <c r="J45" i="5"/>
  <c r="K19" i="5"/>
  <c r="K53" i="5" s="1"/>
  <c r="E37" i="30"/>
  <c r="E38" i="30" s="1"/>
  <c r="E39" i="30" s="1"/>
  <c r="F35" i="30"/>
  <c r="M7" i="5"/>
  <c r="L13" i="5"/>
  <c r="H8" i="33"/>
  <c r="J170" i="33"/>
  <c r="K6" i="33"/>
  <c r="L7" i="4"/>
  <c r="K13" i="4"/>
  <c r="K164" i="32"/>
  <c r="L6" i="32"/>
  <c r="G9" i="32"/>
  <c r="CO19" i="39" l="1"/>
  <c r="F163" i="39"/>
  <c r="F98" i="39"/>
  <c r="AB162" i="39"/>
  <c r="AC89" i="39"/>
  <c r="K174" i="39"/>
  <c r="L155" i="39"/>
  <c r="L158" i="39" s="1"/>
  <c r="K77" i="4"/>
  <c r="K76" i="4"/>
  <c r="K45" i="5"/>
  <c r="K35" i="5"/>
  <c r="L19" i="5"/>
  <c r="L45" i="5" s="1"/>
  <c r="F37" i="30"/>
  <c r="F38" i="30" s="1"/>
  <c r="F39" i="30" s="1"/>
  <c r="G35" i="30"/>
  <c r="N7" i="5"/>
  <c r="M13" i="5"/>
  <c r="K170" i="33"/>
  <c r="L6" i="33"/>
  <c r="H9" i="33"/>
  <c r="M7" i="4"/>
  <c r="L13" i="4"/>
  <c r="H8" i="32"/>
  <c r="L164" i="32"/>
  <c r="M6" i="32"/>
  <c r="AC162" i="39" l="1"/>
  <c r="AD89" i="39"/>
  <c r="F99" i="39"/>
  <c r="L174" i="39"/>
  <c r="M155" i="39"/>
  <c r="M158" i="39" s="1"/>
  <c r="F90" i="39"/>
  <c r="F164" i="39"/>
  <c r="L77" i="4"/>
  <c r="L76" i="4"/>
  <c r="L53" i="5"/>
  <c r="L35" i="5"/>
  <c r="M19" i="5"/>
  <c r="M53" i="5" s="1"/>
  <c r="G37" i="30"/>
  <c r="G38" i="30" s="1"/>
  <c r="G39" i="30" s="1"/>
  <c r="H35" i="30"/>
  <c r="O7" i="5"/>
  <c r="N13" i="5"/>
  <c r="L170" i="33"/>
  <c r="M6" i="33"/>
  <c r="I8" i="33"/>
  <c r="N7" i="4"/>
  <c r="M13" i="4"/>
  <c r="M164" i="32"/>
  <c r="N6" i="32"/>
  <c r="H9" i="32"/>
  <c r="G161" i="39" l="1"/>
  <c r="F183" i="39"/>
  <c r="F119" i="39" a="1"/>
  <c r="F119" i="39" s="1"/>
  <c r="F88" i="39"/>
  <c r="F107" i="39"/>
  <c r="N155" i="39"/>
  <c r="N158" i="39" s="1"/>
  <c r="M174" i="39"/>
  <c r="AD162" i="39"/>
  <c r="AE89" i="39"/>
  <c r="M77" i="4"/>
  <c r="M76" i="4"/>
  <c r="M45" i="5"/>
  <c r="M35" i="5"/>
  <c r="N19" i="5"/>
  <c r="N35" i="5" s="1"/>
  <c r="H37" i="30"/>
  <c r="H38" i="30" s="1"/>
  <c r="H39" i="30" s="1"/>
  <c r="I35" i="30"/>
  <c r="P7" i="5"/>
  <c r="O13" i="5"/>
  <c r="I9" i="33"/>
  <c r="M170" i="33"/>
  <c r="N6" i="33"/>
  <c r="O7" i="4"/>
  <c r="N13" i="4"/>
  <c r="I8" i="32"/>
  <c r="N164" i="32"/>
  <c r="O6" i="32"/>
  <c r="F185" i="39" l="1"/>
  <c r="F92" i="39"/>
  <c r="AE162" i="39"/>
  <c r="AF89" i="39"/>
  <c r="N174" i="39"/>
  <c r="O155" i="39"/>
  <c r="O158" i="39" s="1"/>
  <c r="F109" i="39"/>
  <c r="F108" i="39"/>
  <c r="F182" i="39"/>
  <c r="G165" i="39"/>
  <c r="N77" i="4"/>
  <c r="N76" i="4"/>
  <c r="N45" i="5"/>
  <c r="N53" i="5"/>
  <c r="O19" i="5"/>
  <c r="O35" i="5" s="1"/>
  <c r="I37" i="30"/>
  <c r="I38" i="30" s="1"/>
  <c r="I39" i="30" s="1"/>
  <c r="J35" i="30"/>
  <c r="Q7" i="5"/>
  <c r="P13" i="5"/>
  <c r="J8" i="33"/>
  <c r="N170" i="33"/>
  <c r="O6" i="33"/>
  <c r="P7" i="4"/>
  <c r="O13" i="4"/>
  <c r="O164" i="32"/>
  <c r="P6" i="32"/>
  <c r="I9" i="32"/>
  <c r="F110" i="39" l="1"/>
  <c r="O174" i="39"/>
  <c r="P155" i="39"/>
  <c r="P158" i="39" s="1"/>
  <c r="AF162" i="39"/>
  <c r="AG89" i="39"/>
  <c r="G176" i="39"/>
  <c r="G135" i="39"/>
  <c r="G91" i="39"/>
  <c r="G63" i="39"/>
  <c r="G140" i="39"/>
  <c r="F94" i="39"/>
  <c r="F184" i="39"/>
  <c r="F187" i="39" s="1"/>
  <c r="O77" i="4"/>
  <c r="O76" i="4"/>
  <c r="O45" i="5"/>
  <c r="O53" i="5"/>
  <c r="P19" i="5"/>
  <c r="P53" i="5" s="1"/>
  <c r="J37" i="30"/>
  <c r="J38" i="30" s="1"/>
  <c r="J39" i="30" s="1"/>
  <c r="K35" i="30"/>
  <c r="R7" i="5"/>
  <c r="Q13" i="5"/>
  <c r="O170" i="33"/>
  <c r="P6" i="33"/>
  <c r="J9" i="33"/>
  <c r="Q7" i="4"/>
  <c r="P13" i="4"/>
  <c r="J8" i="32"/>
  <c r="P164" i="32"/>
  <c r="Q6" i="32"/>
  <c r="F117" i="39" l="1"/>
  <c r="G181" i="39"/>
  <c r="F116" i="39"/>
  <c r="G64" i="39"/>
  <c r="G136" i="39"/>
  <c r="G175" i="39"/>
  <c r="AG162" i="39"/>
  <c r="AH89" i="39"/>
  <c r="P174" i="39"/>
  <c r="Q155" i="39"/>
  <c r="Q158" i="39" s="1"/>
  <c r="F95" i="39"/>
  <c r="P77" i="4"/>
  <c r="P76" i="4"/>
  <c r="P35" i="5"/>
  <c r="P45" i="5"/>
  <c r="Q19" i="5"/>
  <c r="Q45" i="5" s="1"/>
  <c r="L35" i="30"/>
  <c r="K37" i="30"/>
  <c r="K38" i="30" s="1"/>
  <c r="K39" i="30" s="1"/>
  <c r="S7" i="5"/>
  <c r="R13" i="5"/>
  <c r="K8" i="33"/>
  <c r="P170" i="33"/>
  <c r="Q6" i="33"/>
  <c r="R7" i="4"/>
  <c r="Q13" i="4"/>
  <c r="Q164" i="32"/>
  <c r="R6" i="32"/>
  <c r="J9" i="32"/>
  <c r="F171" i="39" l="1"/>
  <c r="G93" i="39"/>
  <c r="AH162" i="39"/>
  <c r="AI89" i="39"/>
  <c r="G145" i="39"/>
  <c r="G144" i="39"/>
  <c r="G179" i="39"/>
  <c r="Q174" i="39"/>
  <c r="R155" i="39"/>
  <c r="R158" i="39" s="1"/>
  <c r="Q77" i="4"/>
  <c r="Q76" i="4"/>
  <c r="Q35" i="5"/>
  <c r="Q53" i="5"/>
  <c r="R19" i="5"/>
  <c r="R53" i="5" s="1"/>
  <c r="M35" i="30"/>
  <c r="L37" i="30"/>
  <c r="L38" i="30" s="1"/>
  <c r="L39" i="30" s="1"/>
  <c r="T7" i="5"/>
  <c r="S13" i="5"/>
  <c r="K9" i="33"/>
  <c r="Q170" i="33"/>
  <c r="R6" i="33"/>
  <c r="S7" i="4"/>
  <c r="R13" i="4"/>
  <c r="K8" i="32"/>
  <c r="R164" i="32"/>
  <c r="S6" i="32"/>
  <c r="G146" i="39" l="1"/>
  <c r="G137" i="39"/>
  <c r="AI162" i="39"/>
  <c r="AJ89" i="39"/>
  <c r="R174" i="39"/>
  <c r="S155" i="39"/>
  <c r="S158" i="39" s="1"/>
  <c r="F170" i="39"/>
  <c r="R77" i="4"/>
  <c r="R76" i="4"/>
  <c r="R35" i="5"/>
  <c r="R45" i="5"/>
  <c r="S19" i="5"/>
  <c r="S45" i="5" s="1"/>
  <c r="M37" i="30"/>
  <c r="M38" i="30" s="1"/>
  <c r="M39" i="30" s="1"/>
  <c r="N35" i="30"/>
  <c r="U7" i="5"/>
  <c r="T13" i="5"/>
  <c r="R170" i="33"/>
  <c r="S6" i="33"/>
  <c r="L8" i="33"/>
  <c r="T7" i="4"/>
  <c r="S13" i="4"/>
  <c r="K9" i="32"/>
  <c r="S164" i="32"/>
  <c r="T6" i="32"/>
  <c r="T155" i="39" l="1"/>
  <c r="T158" i="39" s="1"/>
  <c r="S174" i="39"/>
  <c r="G138" i="39"/>
  <c r="H143" i="39"/>
  <c r="F177" i="39"/>
  <c r="F115" i="39"/>
  <c r="AJ162" i="39"/>
  <c r="AK89" i="39"/>
  <c r="S77" i="4"/>
  <c r="S76" i="4"/>
  <c r="S53" i="5"/>
  <c r="S35" i="5"/>
  <c r="T19" i="5"/>
  <c r="T53" i="5" s="1"/>
  <c r="N37" i="30"/>
  <c r="N38" i="30" s="1"/>
  <c r="N39" i="30" s="1"/>
  <c r="O35" i="30"/>
  <c r="V7" i="5"/>
  <c r="U13" i="5"/>
  <c r="L9" i="33"/>
  <c r="S170" i="33"/>
  <c r="T6" i="33"/>
  <c r="U7" i="4"/>
  <c r="T13" i="4"/>
  <c r="L8" i="32"/>
  <c r="T164" i="32"/>
  <c r="U6" i="32"/>
  <c r="AK162" i="39" l="1"/>
  <c r="AL89" i="39"/>
  <c r="G139" i="39"/>
  <c r="F190" i="39"/>
  <c r="F189" i="39"/>
  <c r="T174" i="39"/>
  <c r="U155" i="39"/>
  <c r="U158" i="39" s="1"/>
  <c r="T77" i="4"/>
  <c r="T76" i="4"/>
  <c r="T35" i="5"/>
  <c r="T45" i="5"/>
  <c r="U19" i="5"/>
  <c r="U53" i="5" s="1"/>
  <c r="O37" i="30"/>
  <c r="O38" i="30" s="1"/>
  <c r="O39" i="30" s="1"/>
  <c r="P35" i="30"/>
  <c r="W7" i="5"/>
  <c r="V13" i="5"/>
  <c r="M8" i="33"/>
  <c r="T170" i="33"/>
  <c r="U6" i="33"/>
  <c r="V7" i="4"/>
  <c r="U13" i="4"/>
  <c r="L9" i="32"/>
  <c r="U164" i="32"/>
  <c r="V6" i="32"/>
  <c r="V155" i="39" l="1"/>
  <c r="V158" i="39" s="1"/>
  <c r="U174" i="39"/>
  <c r="G65" i="39"/>
  <c r="AL162" i="39"/>
  <c r="AM89" i="39"/>
  <c r="U76" i="4"/>
  <c r="U77" i="4"/>
  <c r="U35" i="5"/>
  <c r="U45" i="5"/>
  <c r="V19" i="5"/>
  <c r="V53" i="5" s="1"/>
  <c r="Q35" i="30"/>
  <c r="P37" i="30"/>
  <c r="P38" i="30" s="1"/>
  <c r="P39" i="30" s="1"/>
  <c r="X7" i="5"/>
  <c r="W13" i="5"/>
  <c r="M9" i="33"/>
  <c r="U170" i="33"/>
  <c r="V6" i="33"/>
  <c r="W7" i="4"/>
  <c r="V13" i="4"/>
  <c r="M8" i="32"/>
  <c r="V164" i="32"/>
  <c r="W6" i="32"/>
  <c r="AM162" i="39" l="1"/>
  <c r="AN89" i="39"/>
  <c r="G78" i="39"/>
  <c r="G66" i="39"/>
  <c r="W155" i="39"/>
  <c r="W158" i="39" s="1"/>
  <c r="V35" i="5"/>
  <c r="V45" i="5"/>
  <c r="Q37" i="30"/>
  <c r="Q38" i="30" s="1"/>
  <c r="Q39" i="30" s="1"/>
  <c r="R35" i="30"/>
  <c r="Y7" i="5"/>
  <c r="X13" i="5"/>
  <c r="N8" i="33"/>
  <c r="V170" i="33"/>
  <c r="W6" i="33"/>
  <c r="X7" i="4"/>
  <c r="W13" i="4"/>
  <c r="M9" i="32"/>
  <c r="W164" i="32"/>
  <c r="X6" i="32"/>
  <c r="X155" i="39" l="1"/>
  <c r="X158" i="39" s="1"/>
  <c r="G122" i="39"/>
  <c r="G120" i="39"/>
  <c r="G81" i="39"/>
  <c r="AN162" i="39"/>
  <c r="AO89" i="39"/>
  <c r="S35" i="30"/>
  <c r="R37" i="30"/>
  <c r="R38" i="30" s="1"/>
  <c r="R39" i="30" s="1"/>
  <c r="Z7" i="5"/>
  <c r="Y13" i="5"/>
  <c r="W170" i="33"/>
  <c r="X6" i="33"/>
  <c r="N9" i="33"/>
  <c r="Y7" i="4"/>
  <c r="X13" i="4"/>
  <c r="N8" i="32"/>
  <c r="X164" i="32"/>
  <c r="Y6" i="32"/>
  <c r="AO162" i="39" l="1"/>
  <c r="AP89" i="39"/>
  <c r="G98" i="39"/>
  <c r="G163" i="39"/>
  <c r="Y155" i="39"/>
  <c r="Y158" i="39" s="1"/>
  <c r="T35" i="30"/>
  <c r="S37" i="30"/>
  <c r="S38" i="30" s="1"/>
  <c r="S39" i="30" s="1"/>
  <c r="AA7" i="5"/>
  <c r="Z13" i="5"/>
  <c r="O8" i="33"/>
  <c r="X170" i="33"/>
  <c r="Y6" i="33"/>
  <c r="Z7" i="4"/>
  <c r="Y13" i="4"/>
  <c r="N9" i="32"/>
  <c r="Y164" i="32"/>
  <c r="Z6" i="32"/>
  <c r="Z164" i="32" s="1"/>
  <c r="G90" i="39" l="1"/>
  <c r="G164" i="39"/>
  <c r="G99" i="39"/>
  <c r="AP162" i="39"/>
  <c r="AQ89" i="39"/>
  <c r="Z155" i="39"/>
  <c r="Z158" i="39" s="1"/>
  <c r="U35" i="30"/>
  <c r="T37" i="30"/>
  <c r="T38" i="30" s="1"/>
  <c r="T39" i="30" s="1"/>
  <c r="AB7" i="5"/>
  <c r="AA13" i="5"/>
  <c r="Y170" i="33"/>
  <c r="Z6" i="33"/>
  <c r="Z170" i="33" s="1"/>
  <c r="O9" i="33"/>
  <c r="AA7" i="4"/>
  <c r="Z13" i="4"/>
  <c r="O8" i="32"/>
  <c r="AA155" i="39" l="1"/>
  <c r="AA158" i="39" s="1"/>
  <c r="AQ162" i="39"/>
  <c r="AR89" i="39"/>
  <c r="H161" i="39"/>
  <c r="G119" i="39" a="1"/>
  <c r="G119" i="39" s="1"/>
  <c r="G183" i="39"/>
  <c r="G88" i="39"/>
  <c r="G107" i="39"/>
  <c r="V35" i="30"/>
  <c r="U37" i="30"/>
  <c r="U38" i="30" s="1"/>
  <c r="U39" i="30" s="1"/>
  <c r="AC7" i="5"/>
  <c r="AB13" i="5"/>
  <c r="P8" i="33"/>
  <c r="AB7" i="4"/>
  <c r="AA13" i="4"/>
  <c r="O9" i="32"/>
  <c r="G108" i="39" l="1"/>
  <c r="G109" i="39"/>
  <c r="G182" i="39"/>
  <c r="H165" i="39"/>
  <c r="AR162" i="39"/>
  <c r="AS89" i="39"/>
  <c r="G185" i="39"/>
  <c r="G92" i="39"/>
  <c r="AB155" i="39"/>
  <c r="AB158" i="39" s="1"/>
  <c r="W35" i="30"/>
  <c r="V37" i="30"/>
  <c r="V38" i="30" s="1"/>
  <c r="V39" i="30" s="1"/>
  <c r="AD7" i="5"/>
  <c r="AC13" i="5"/>
  <c r="P9" i="33"/>
  <c r="AC7" i="4"/>
  <c r="AB13" i="4"/>
  <c r="P8" i="32"/>
  <c r="H140" i="39" l="1"/>
  <c r="H135" i="39"/>
  <c r="H176" i="39"/>
  <c r="H91" i="39"/>
  <c r="H63" i="39"/>
  <c r="AC155" i="39"/>
  <c r="AC158" i="39" s="1"/>
  <c r="G94" i="39"/>
  <c r="G184" i="39"/>
  <c r="G116" i="39" s="1"/>
  <c r="AS162" i="39"/>
  <c r="AT89" i="39"/>
  <c r="G110" i="39"/>
  <c r="X35" i="30"/>
  <c r="W37" i="30"/>
  <c r="W38" i="30" s="1"/>
  <c r="W39" i="30" s="1"/>
  <c r="AE7" i="5"/>
  <c r="AD13" i="5"/>
  <c r="Q8" i="33"/>
  <c r="AD7" i="4"/>
  <c r="AC13" i="4"/>
  <c r="P9" i="32"/>
  <c r="G187" i="39" l="1"/>
  <c r="AD155" i="39"/>
  <c r="AD158" i="39" s="1"/>
  <c r="AT162" i="39"/>
  <c r="AU89" i="39"/>
  <c r="G117" i="39"/>
  <c r="G95" i="39"/>
  <c r="H64" i="39"/>
  <c r="H175" i="39"/>
  <c r="H136" i="39"/>
  <c r="H181" i="39"/>
  <c r="X37" i="30"/>
  <c r="X38" i="30" s="1"/>
  <c r="X39" i="30" s="1"/>
  <c r="Y35" i="30"/>
  <c r="AF7" i="5"/>
  <c r="AE13" i="5"/>
  <c r="Q9" i="33"/>
  <c r="AE7" i="4"/>
  <c r="AD13" i="4"/>
  <c r="Q8" i="32"/>
  <c r="G171" i="39" l="1"/>
  <c r="H93" i="39"/>
  <c r="H179" i="39"/>
  <c r="H144" i="39"/>
  <c r="H145" i="39"/>
  <c r="AU162" i="39"/>
  <c r="AV89" i="39"/>
  <c r="AE155" i="39"/>
  <c r="AE158" i="39" s="1"/>
  <c r="Z35" i="30"/>
  <c r="Y37" i="30"/>
  <c r="Y38" i="30" s="1"/>
  <c r="Y39" i="30" s="1"/>
  <c r="AG7" i="5"/>
  <c r="AF13" i="5"/>
  <c r="R8" i="33"/>
  <c r="AF7" i="4"/>
  <c r="AE13" i="4"/>
  <c r="Q9" i="32"/>
  <c r="AF155" i="39" l="1"/>
  <c r="AF158" i="39" s="1"/>
  <c r="H137" i="39"/>
  <c r="AV162" i="39"/>
  <c r="AW89" i="39"/>
  <c r="G170" i="39"/>
  <c r="H146" i="39"/>
  <c r="AA35" i="30"/>
  <c r="Z37" i="30"/>
  <c r="Z38" i="30" s="1"/>
  <c r="Z39" i="30" s="1"/>
  <c r="AH7" i="5"/>
  <c r="AG13" i="5"/>
  <c r="R9" i="33"/>
  <c r="AG7" i="4"/>
  <c r="AF13" i="4"/>
  <c r="R8" i="32"/>
  <c r="H138" i="39" l="1"/>
  <c r="I143" i="39"/>
  <c r="G177" i="39"/>
  <c r="G115" i="39"/>
  <c r="AW162" i="39"/>
  <c r="AX89" i="39"/>
  <c r="AG155" i="39"/>
  <c r="AG158" i="39" s="1"/>
  <c r="AB35" i="30"/>
  <c r="AA37" i="30"/>
  <c r="AA38" i="30" s="1"/>
  <c r="AA39" i="30" s="1"/>
  <c r="AI7" i="5"/>
  <c r="AH13" i="5"/>
  <c r="S8" i="33"/>
  <c r="AH7" i="4"/>
  <c r="AG13" i="4"/>
  <c r="R9" i="32"/>
  <c r="G190" i="39" l="1"/>
  <c r="G189" i="39"/>
  <c r="AX162" i="39"/>
  <c r="AY89" i="39"/>
  <c r="AH155" i="39"/>
  <c r="AH158" i="39" s="1"/>
  <c r="H139" i="39"/>
  <c r="AC35" i="30"/>
  <c r="AB37" i="30"/>
  <c r="AB38" i="30" s="1"/>
  <c r="AB39" i="30" s="1"/>
  <c r="AJ7" i="5"/>
  <c r="AI13" i="5"/>
  <c r="S9" i="33"/>
  <c r="AI7" i="4"/>
  <c r="AH13" i="4"/>
  <c r="S8" i="32"/>
  <c r="AY162" i="39" l="1"/>
  <c r="AZ89" i="39"/>
  <c r="H65" i="39"/>
  <c r="AI155" i="39"/>
  <c r="AI158" i="39" s="1"/>
  <c r="AD35" i="30"/>
  <c r="AC37" i="30"/>
  <c r="AC38" i="30" s="1"/>
  <c r="AC39" i="30" s="1"/>
  <c r="AK7" i="5"/>
  <c r="AJ13" i="5"/>
  <c r="T8" i="33"/>
  <c r="AJ7" i="4"/>
  <c r="AI13" i="4"/>
  <c r="S9" i="32"/>
  <c r="AJ155" i="39" l="1"/>
  <c r="AJ158" i="39" s="1"/>
  <c r="H78" i="39"/>
  <c r="H66" i="39"/>
  <c r="AZ162" i="39"/>
  <c r="BA89" i="39"/>
  <c r="AE35" i="30"/>
  <c r="AD37" i="30"/>
  <c r="AD38" i="30" s="1"/>
  <c r="AD39" i="30" s="1"/>
  <c r="AL7" i="5"/>
  <c r="AK13" i="5"/>
  <c r="T9" i="33"/>
  <c r="AK7" i="4"/>
  <c r="AJ13" i="4"/>
  <c r="T8" i="32"/>
  <c r="BA162" i="39" l="1"/>
  <c r="BB89" i="39"/>
  <c r="H122" i="39"/>
  <c r="H120" i="39"/>
  <c r="H81" i="39"/>
  <c r="AK155" i="39"/>
  <c r="AK158" i="39" s="1"/>
  <c r="AF35" i="30"/>
  <c r="AE37" i="30"/>
  <c r="AE38" i="30" s="1"/>
  <c r="AE39" i="30" s="1"/>
  <c r="AM7" i="5"/>
  <c r="AL13" i="5"/>
  <c r="U8" i="33"/>
  <c r="AL7" i="4"/>
  <c r="AK13" i="4"/>
  <c r="T9" i="32"/>
  <c r="H163" i="39" l="1"/>
  <c r="H98" i="39"/>
  <c r="BB162" i="39"/>
  <c r="BC89" i="39"/>
  <c r="AL155" i="39"/>
  <c r="AL158" i="39" s="1"/>
  <c r="AG35" i="30"/>
  <c r="AF37" i="30"/>
  <c r="AF38" i="30" s="1"/>
  <c r="AF39" i="30" s="1"/>
  <c r="AN7" i="5"/>
  <c r="AM13" i="5"/>
  <c r="U9" i="33"/>
  <c r="AM7" i="4"/>
  <c r="AL13" i="4"/>
  <c r="U8" i="32"/>
  <c r="AM155" i="39" l="1"/>
  <c r="AM158" i="39" s="1"/>
  <c r="H99" i="39"/>
  <c r="BC162" i="39"/>
  <c r="BD89" i="39"/>
  <c r="H90" i="39"/>
  <c r="H164" i="39"/>
  <c r="AH35" i="30"/>
  <c r="AG37" i="30"/>
  <c r="AG38" i="30" s="1"/>
  <c r="AG39" i="30" s="1"/>
  <c r="AO7" i="5"/>
  <c r="AN13" i="5"/>
  <c r="V8" i="33"/>
  <c r="AN7" i="4"/>
  <c r="AM13" i="4"/>
  <c r="U9" i="32"/>
  <c r="H183" i="39" l="1"/>
  <c r="I161" i="39"/>
  <c r="H119" i="39" a="1"/>
  <c r="H119" i="39" s="1"/>
  <c r="H88" i="39"/>
  <c r="H107" i="39"/>
  <c r="BD162" i="39"/>
  <c r="BE89" i="39"/>
  <c r="AN155" i="39"/>
  <c r="AN158" i="39" s="1"/>
  <c r="AI35" i="30"/>
  <c r="AH37" i="30"/>
  <c r="AH38" i="30" s="1"/>
  <c r="AH39" i="30" s="1"/>
  <c r="AP7" i="5"/>
  <c r="AO13" i="5"/>
  <c r="V9" i="33"/>
  <c r="AO7" i="4"/>
  <c r="AN13" i="4"/>
  <c r="V8" i="32"/>
  <c r="H185" i="39" l="1"/>
  <c r="H92" i="39"/>
  <c r="AO155" i="39"/>
  <c r="AO158" i="39" s="1"/>
  <c r="BE162" i="39"/>
  <c r="BF89" i="39"/>
  <c r="H108" i="39"/>
  <c r="H109" i="39"/>
  <c r="I165" i="39"/>
  <c r="H182" i="39"/>
  <c r="AJ35" i="30"/>
  <c r="AI37" i="30"/>
  <c r="AI38" i="30" s="1"/>
  <c r="AI39" i="30" s="1"/>
  <c r="AQ7" i="5"/>
  <c r="AP13" i="5"/>
  <c r="W8" i="33"/>
  <c r="AP7" i="4"/>
  <c r="AO13" i="4"/>
  <c r="V9" i="32"/>
  <c r="BF162" i="39" l="1"/>
  <c r="BG89" i="39"/>
  <c r="AP155" i="39"/>
  <c r="AP158" i="39" s="1"/>
  <c r="H110" i="39"/>
  <c r="I140" i="39"/>
  <c r="I176" i="39"/>
  <c r="I91" i="39"/>
  <c r="I63" i="39"/>
  <c r="I135" i="39"/>
  <c r="H94" i="39"/>
  <c r="H184" i="39"/>
  <c r="H187" i="39" s="1"/>
  <c r="AK35" i="30"/>
  <c r="AJ37" i="30"/>
  <c r="AJ38" i="30" s="1"/>
  <c r="AJ39" i="30" s="1"/>
  <c r="AR7" i="5"/>
  <c r="AQ13" i="5"/>
  <c r="W9" i="33"/>
  <c r="AQ7" i="4"/>
  <c r="AP13" i="4"/>
  <c r="W8" i="32"/>
  <c r="H117" i="39" l="1"/>
  <c r="AQ155" i="39"/>
  <c r="AQ158" i="39" s="1"/>
  <c r="H116" i="39"/>
  <c r="I136" i="39"/>
  <c r="H95" i="39"/>
  <c r="I64" i="39"/>
  <c r="BG162" i="39"/>
  <c r="BH89" i="39"/>
  <c r="I175" i="39"/>
  <c r="I181" i="39"/>
  <c r="AL35" i="30"/>
  <c r="AK37" i="30"/>
  <c r="AK38" i="30" s="1"/>
  <c r="AK39" i="30" s="1"/>
  <c r="AS7" i="5"/>
  <c r="AR13" i="5"/>
  <c r="X8" i="33"/>
  <c r="AR7" i="4"/>
  <c r="AQ13" i="4"/>
  <c r="W9" i="32"/>
  <c r="BH162" i="39" l="1"/>
  <c r="BI89" i="39"/>
  <c r="H171" i="39"/>
  <c r="I93" i="39"/>
  <c r="AR155" i="39"/>
  <c r="AR158" i="39" s="1"/>
  <c r="I179" i="39"/>
  <c r="I144" i="39"/>
  <c r="I145" i="39"/>
  <c r="AM35" i="30"/>
  <c r="AL37" i="30"/>
  <c r="AL38" i="30" s="1"/>
  <c r="AL39" i="30" s="1"/>
  <c r="AT7" i="5"/>
  <c r="AS13" i="5"/>
  <c r="X9" i="33"/>
  <c r="AS7" i="4"/>
  <c r="AR13" i="4"/>
  <c r="X8" i="32"/>
  <c r="AS155" i="39" l="1"/>
  <c r="AS158" i="39" s="1"/>
  <c r="I137" i="39"/>
  <c r="H170" i="39"/>
  <c r="I146" i="39"/>
  <c r="BI162" i="39"/>
  <c r="BJ89" i="39"/>
  <c r="AN35" i="30"/>
  <c r="AM37" i="30"/>
  <c r="AM38" i="30" s="1"/>
  <c r="AM39" i="30" s="1"/>
  <c r="AU7" i="5"/>
  <c r="AT13" i="5"/>
  <c r="Y8" i="33"/>
  <c r="AT7" i="4"/>
  <c r="AS13" i="4"/>
  <c r="X9" i="32"/>
  <c r="BJ162" i="39" l="1"/>
  <c r="BK89" i="39"/>
  <c r="H177" i="39"/>
  <c r="H115" i="39"/>
  <c r="J143" i="39"/>
  <c r="I138" i="39"/>
  <c r="AT155" i="39"/>
  <c r="AT158" i="39" s="1"/>
  <c r="AO35" i="30"/>
  <c r="AN37" i="30"/>
  <c r="AN38" i="30" s="1"/>
  <c r="AN39" i="30" s="1"/>
  <c r="AV7" i="5"/>
  <c r="AU13" i="5"/>
  <c r="Y9" i="33"/>
  <c r="AU7" i="4"/>
  <c r="AT13" i="4"/>
  <c r="Y8" i="32"/>
  <c r="AU155" i="39" l="1"/>
  <c r="AU158" i="39" s="1"/>
  <c r="H190" i="39"/>
  <c r="H189" i="39"/>
  <c r="I139" i="39"/>
  <c r="BK162" i="39"/>
  <c r="BL89" i="39"/>
  <c r="AP35" i="30"/>
  <c r="AO37" i="30"/>
  <c r="AO38" i="30" s="1"/>
  <c r="AO39" i="30" s="1"/>
  <c r="AW7" i="5"/>
  <c r="AV13" i="5"/>
  <c r="Z8" i="33"/>
  <c r="AV7" i="4"/>
  <c r="AU13" i="4"/>
  <c r="Y9" i="32"/>
  <c r="BL162" i="39" l="1"/>
  <c r="BM89" i="39"/>
  <c r="AV155" i="39"/>
  <c r="AV158" i="39" s="1"/>
  <c r="I65" i="39"/>
  <c r="AQ35" i="30"/>
  <c r="AP37" i="30"/>
  <c r="AP38" i="30" s="1"/>
  <c r="AP39" i="30" s="1"/>
  <c r="AX7" i="5"/>
  <c r="AW13" i="5"/>
  <c r="Z9" i="33"/>
  <c r="AW7" i="4"/>
  <c r="AV13" i="4"/>
  <c r="Z8" i="32"/>
  <c r="I78" i="39" l="1"/>
  <c r="I66" i="39"/>
  <c r="AW155" i="39"/>
  <c r="AW158" i="39" s="1"/>
  <c r="BM162" i="39"/>
  <c r="BN89" i="39"/>
  <c r="AR35" i="30"/>
  <c r="AQ37" i="30"/>
  <c r="AQ38" i="30" s="1"/>
  <c r="AQ39" i="30" s="1"/>
  <c r="AY7" i="5"/>
  <c r="AX13" i="5"/>
  <c r="AX7" i="4"/>
  <c r="AW13" i="4"/>
  <c r="Z9" i="32"/>
  <c r="AX155" i="39" l="1"/>
  <c r="AX158" i="39" s="1"/>
  <c r="BN162" i="39"/>
  <c r="BO89" i="39"/>
  <c r="I122" i="39"/>
  <c r="I120" i="39"/>
  <c r="I81" i="39"/>
  <c r="AS35" i="30"/>
  <c r="AR37" i="30"/>
  <c r="AR38" i="30" s="1"/>
  <c r="AR39" i="30" s="1"/>
  <c r="AZ7" i="5"/>
  <c r="AY13" i="5"/>
  <c r="AY7" i="4"/>
  <c r="AX13" i="4"/>
  <c r="I98" i="39" l="1"/>
  <c r="I163" i="39"/>
  <c r="BO162" i="39"/>
  <c r="BP89" i="39"/>
  <c r="AY155" i="39"/>
  <c r="AY158" i="39" s="1"/>
  <c r="AS37" i="30"/>
  <c r="AS38" i="30" s="1"/>
  <c r="AS39" i="30" s="1"/>
  <c r="AT35" i="30"/>
  <c r="BA7" i="5"/>
  <c r="AZ13" i="5"/>
  <c r="AZ7" i="4"/>
  <c r="AY13" i="4"/>
  <c r="I90" i="39" l="1"/>
  <c r="I164" i="39"/>
  <c r="I99" i="39"/>
  <c r="BP162" i="39"/>
  <c r="BQ89" i="39"/>
  <c r="AZ155" i="39"/>
  <c r="AZ158" i="39" s="1"/>
  <c r="AU35" i="30"/>
  <c r="AT37" i="30"/>
  <c r="AT38" i="30" s="1"/>
  <c r="AT39" i="30" s="1"/>
  <c r="BB7" i="5"/>
  <c r="BA13" i="5"/>
  <c r="BA7" i="4"/>
  <c r="AZ13" i="4"/>
  <c r="I183" i="39" l="1"/>
  <c r="I119" i="39" a="1"/>
  <c r="I119" i="39" s="1"/>
  <c r="J161" i="39"/>
  <c r="BQ162" i="39"/>
  <c r="BR89" i="39"/>
  <c r="BA155" i="39"/>
  <c r="BA158" i="39" s="1"/>
  <c r="I88" i="39"/>
  <c r="I107" i="39"/>
  <c r="AV35" i="30"/>
  <c r="AU37" i="30"/>
  <c r="AU38" i="30" s="1"/>
  <c r="AU39" i="30" s="1"/>
  <c r="BC7" i="5"/>
  <c r="BB13" i="5"/>
  <c r="BB7" i="4"/>
  <c r="BA13" i="4"/>
  <c r="I109" i="39" l="1"/>
  <c r="I110" i="39" s="1"/>
  <c r="I108" i="39"/>
  <c r="BB155" i="39"/>
  <c r="BB158" i="39" s="1"/>
  <c r="BR162" i="39"/>
  <c r="BS89" i="39"/>
  <c r="J165" i="39"/>
  <c r="I182" i="39"/>
  <c r="I185" i="39"/>
  <c r="I184" i="39" s="1"/>
  <c r="I92" i="39"/>
  <c r="I94" i="39" s="1"/>
  <c r="I95" i="39" s="1"/>
  <c r="AW35" i="30"/>
  <c r="AV37" i="30"/>
  <c r="AV38" i="30" s="1"/>
  <c r="AV39" i="30" s="1"/>
  <c r="BD7" i="5"/>
  <c r="BC13" i="5"/>
  <c r="BC7" i="4"/>
  <c r="BB13" i="4"/>
  <c r="J93" i="39" l="1"/>
  <c r="I171" i="39"/>
  <c r="I170" i="39" s="1"/>
  <c r="J140" i="39"/>
  <c r="J135" i="39"/>
  <c r="J176" i="39"/>
  <c r="J175" i="39" s="1"/>
  <c r="J91" i="39"/>
  <c r="J63" i="39"/>
  <c r="BS162" i="39"/>
  <c r="BT89" i="39"/>
  <c r="I187" i="39"/>
  <c r="I117" i="39" s="1"/>
  <c r="I116" i="39"/>
  <c r="BC155" i="39"/>
  <c r="BC158" i="39" s="1"/>
  <c r="AX35" i="30"/>
  <c r="AW37" i="30"/>
  <c r="AW38" i="30" s="1"/>
  <c r="AW39" i="30" s="1"/>
  <c r="BE7" i="5"/>
  <c r="BD13" i="5"/>
  <c r="BD7" i="4"/>
  <c r="BC13" i="4"/>
  <c r="BT162" i="39" l="1"/>
  <c r="BU89" i="39"/>
  <c r="BD155" i="39"/>
  <c r="BD158" i="39" s="1"/>
  <c r="J64" i="39"/>
  <c r="J136" i="39"/>
  <c r="J181" i="39"/>
  <c r="I177" i="39"/>
  <c r="I115" i="39"/>
  <c r="AX37" i="30"/>
  <c r="AX38" i="30" s="1"/>
  <c r="AX39" i="30" s="1"/>
  <c r="AY35" i="30"/>
  <c r="BF7" i="5"/>
  <c r="BE13" i="5"/>
  <c r="BE7" i="4"/>
  <c r="BD13" i="4"/>
  <c r="J179" i="39" l="1"/>
  <c r="I189" i="39"/>
  <c r="I190" i="39"/>
  <c r="J145" i="39"/>
  <c r="J144" i="39"/>
  <c r="BE155" i="39"/>
  <c r="BE158" i="39" s="1"/>
  <c r="BU162" i="39"/>
  <c r="BV89" i="39"/>
  <c r="AY37" i="30"/>
  <c r="AY38" i="30" s="1"/>
  <c r="AY39" i="30" s="1"/>
  <c r="AZ35" i="30"/>
  <c r="BG7" i="5"/>
  <c r="BF13" i="5"/>
  <c r="BF7" i="4"/>
  <c r="BE13" i="4"/>
  <c r="BV162" i="39" l="1"/>
  <c r="BW89" i="39"/>
  <c r="BF155" i="39"/>
  <c r="BF158" i="39" s="1"/>
  <c r="J146" i="39"/>
  <c r="J137" i="39"/>
  <c r="BA35" i="30"/>
  <c r="AZ37" i="30"/>
  <c r="AZ38" i="30" s="1"/>
  <c r="AZ39" i="30" s="1"/>
  <c r="BH7" i="5"/>
  <c r="BG13" i="5"/>
  <c r="BG7" i="4"/>
  <c r="BF13" i="4"/>
  <c r="J138" i="39" l="1"/>
  <c r="K143" i="39"/>
  <c r="BG155" i="39"/>
  <c r="BG158" i="39" s="1"/>
  <c r="BW162" i="39"/>
  <c r="BX89" i="39"/>
  <c r="BB35" i="30"/>
  <c r="BA37" i="30"/>
  <c r="BA38" i="30" s="1"/>
  <c r="BA39" i="30" s="1"/>
  <c r="BI7" i="5"/>
  <c r="BH13" i="5"/>
  <c r="BH7" i="4"/>
  <c r="BG13" i="4"/>
  <c r="BH155" i="39" l="1"/>
  <c r="BH158" i="39" s="1"/>
  <c r="BX162" i="39"/>
  <c r="BY89" i="39"/>
  <c r="J139" i="39"/>
  <c r="BB37" i="30"/>
  <c r="BB38" i="30" s="1"/>
  <c r="BB39" i="30" s="1"/>
  <c r="BC35" i="30"/>
  <c r="BJ7" i="5"/>
  <c r="BI13" i="5"/>
  <c r="BI7" i="4"/>
  <c r="BH13" i="4"/>
  <c r="J65" i="39" l="1"/>
  <c r="BY162" i="39"/>
  <c r="BZ89" i="39"/>
  <c r="BI155" i="39"/>
  <c r="BI158" i="39" s="1"/>
  <c r="BC37" i="30"/>
  <c r="BC38" i="30" s="1"/>
  <c r="BC39" i="30" s="1"/>
  <c r="BD35" i="30"/>
  <c r="BK7" i="5"/>
  <c r="BJ13" i="5"/>
  <c r="BJ7" i="4"/>
  <c r="BI13" i="4"/>
  <c r="BZ162" i="39" l="1"/>
  <c r="CA89" i="39"/>
  <c r="BJ155" i="39"/>
  <c r="BJ158" i="39" s="1"/>
  <c r="J78" i="39"/>
  <c r="J66" i="39"/>
  <c r="BE35" i="30"/>
  <c r="BD37" i="30"/>
  <c r="BD38" i="30" s="1"/>
  <c r="BD39" i="30" s="1"/>
  <c r="BL7" i="5"/>
  <c r="BK13" i="5"/>
  <c r="BK7" i="4"/>
  <c r="BJ13" i="4"/>
  <c r="J122" i="39" l="1"/>
  <c r="J81" i="39"/>
  <c r="J120" i="39"/>
  <c r="BK155" i="39"/>
  <c r="BK158" i="39" s="1"/>
  <c r="CA162" i="39"/>
  <c r="CB89" i="39"/>
  <c r="BF35" i="30"/>
  <c r="BE37" i="30"/>
  <c r="BE38" i="30" s="1"/>
  <c r="BE39" i="30" s="1"/>
  <c r="BM7" i="5"/>
  <c r="BL13" i="5"/>
  <c r="BL7" i="4"/>
  <c r="BK13" i="4"/>
  <c r="J163" i="39" l="1"/>
  <c r="J98" i="39"/>
  <c r="CB162" i="39"/>
  <c r="CC89" i="39"/>
  <c r="BL155" i="39"/>
  <c r="BL158" i="39" s="1"/>
  <c r="BF37" i="30"/>
  <c r="BF38" i="30" s="1"/>
  <c r="BF39" i="30" s="1"/>
  <c r="BG35" i="30"/>
  <c r="BN7" i="5"/>
  <c r="BM13" i="5"/>
  <c r="BM7" i="4"/>
  <c r="BL13" i="4"/>
  <c r="BM155" i="39" l="1"/>
  <c r="BM158" i="39" s="1"/>
  <c r="CC162" i="39"/>
  <c r="CD89" i="39"/>
  <c r="J99" i="39"/>
  <c r="J90" i="39"/>
  <c r="J164" i="39"/>
  <c r="BG37" i="30"/>
  <c r="BG38" i="30" s="1"/>
  <c r="BG39" i="30" s="1"/>
  <c r="BH35" i="30"/>
  <c r="BO7" i="5"/>
  <c r="BN13" i="5"/>
  <c r="BN7" i="4"/>
  <c r="BM13" i="4"/>
  <c r="J88" i="39" l="1"/>
  <c r="J107" i="39"/>
  <c r="K161" i="39"/>
  <c r="J183" i="39"/>
  <c r="J182" i="39" s="1"/>
  <c r="J119" i="39" a="1"/>
  <c r="J119" i="39" s="1"/>
  <c r="CD162" i="39"/>
  <c r="CE89" i="39"/>
  <c r="BN155" i="39"/>
  <c r="BN158" i="39" s="1"/>
  <c r="BI35" i="30"/>
  <c r="BH37" i="30"/>
  <c r="BH38" i="30" s="1"/>
  <c r="BH39" i="30" s="1"/>
  <c r="BP7" i="5"/>
  <c r="BO13" i="5"/>
  <c r="BO7" i="4"/>
  <c r="BN13" i="4"/>
  <c r="BO155" i="39" l="1"/>
  <c r="BO158" i="39" s="1"/>
  <c r="J108" i="39"/>
  <c r="J109" i="39"/>
  <c r="J110" i="39" s="1"/>
  <c r="CE162" i="39"/>
  <c r="CF89" i="39"/>
  <c r="K165" i="39"/>
  <c r="J185" i="39"/>
  <c r="J184" i="39" s="1"/>
  <c r="J116" i="39" s="1"/>
  <c r="J92" i="39"/>
  <c r="J94" i="39" s="1"/>
  <c r="J95" i="39" s="1"/>
  <c r="BJ35" i="30"/>
  <c r="BI37" i="30"/>
  <c r="BI38" i="30" s="1"/>
  <c r="BI39" i="30" s="1"/>
  <c r="BQ7" i="5"/>
  <c r="BP13" i="5"/>
  <c r="BP7" i="4"/>
  <c r="BO13" i="4"/>
  <c r="J171" i="39" l="1"/>
  <c r="J170" i="39" s="1"/>
  <c r="K93" i="39"/>
  <c r="K140" i="39"/>
  <c r="K181" i="39" s="1"/>
  <c r="K179" i="39" s="1"/>
  <c r="K135" i="39"/>
  <c r="K136" i="39" s="1"/>
  <c r="K176" i="39"/>
  <c r="K175" i="39" s="1"/>
  <c r="K63" i="39"/>
  <c r="K64" i="39" s="1"/>
  <c r="K91" i="39"/>
  <c r="CF162" i="39"/>
  <c r="CG89" i="39"/>
  <c r="J187" i="39"/>
  <c r="J117" i="39" s="1"/>
  <c r="BP155" i="39"/>
  <c r="BP158" i="39" s="1"/>
  <c r="BJ37" i="30"/>
  <c r="BJ38" i="30" s="1"/>
  <c r="BJ39" i="30" s="1"/>
  <c r="BK35" i="30"/>
  <c r="BR7" i="5"/>
  <c r="BQ13" i="5"/>
  <c r="BQ7" i="4"/>
  <c r="BP13" i="4"/>
  <c r="BQ155" i="39" l="1"/>
  <c r="BQ158" i="39" s="1"/>
  <c r="K145" i="39"/>
  <c r="K137" i="39" s="1"/>
  <c r="K138" i="39" s="1"/>
  <c r="K139" i="39" s="1"/>
  <c r="K65" i="39" s="1"/>
  <c r="K78" i="39" s="1"/>
  <c r="K144" i="39"/>
  <c r="K146" i="39" s="1"/>
  <c r="L143" i="39" s="1"/>
  <c r="CG162" i="39"/>
  <c r="CH89" i="39"/>
  <c r="J177" i="39"/>
  <c r="J115" i="39"/>
  <c r="BL35" i="30"/>
  <c r="BK37" i="30"/>
  <c r="BK38" i="30" s="1"/>
  <c r="BK39" i="30" s="1"/>
  <c r="BS7" i="5"/>
  <c r="BR13" i="5"/>
  <c r="BR7" i="4"/>
  <c r="BQ13" i="4"/>
  <c r="CH162" i="39" l="1"/>
  <c r="CI89" i="39"/>
  <c r="K122" i="39"/>
  <c r="K120" i="39"/>
  <c r="K81" i="39"/>
  <c r="J190" i="39"/>
  <c r="J189" i="39"/>
  <c r="K66" i="39"/>
  <c r="BR155" i="39"/>
  <c r="BR158" i="39" s="1"/>
  <c r="BL37" i="30"/>
  <c r="BL38" i="30" s="1"/>
  <c r="BL39" i="30" s="1"/>
  <c r="BM35" i="30"/>
  <c r="BT7" i="5"/>
  <c r="BS13" i="5"/>
  <c r="BS7" i="4"/>
  <c r="BR13" i="4"/>
  <c r="BS155" i="39" l="1"/>
  <c r="BS158" i="39" s="1"/>
  <c r="K98" i="39"/>
  <c r="K163" i="39"/>
  <c r="CI162" i="39"/>
  <c r="CJ89" i="39"/>
  <c r="BM37" i="30"/>
  <c r="BM38" i="30" s="1"/>
  <c r="BM39" i="30" s="1"/>
  <c r="BN35" i="30"/>
  <c r="BU7" i="5"/>
  <c r="BT13" i="5"/>
  <c r="BT7" i="4"/>
  <c r="BS13" i="4"/>
  <c r="CJ162" i="39" l="1"/>
  <c r="CK89" i="39"/>
  <c r="K90" i="39"/>
  <c r="K164" i="39"/>
  <c r="K99" i="39"/>
  <c r="BT155" i="39"/>
  <c r="BT158" i="39" s="1"/>
  <c r="BN37" i="30"/>
  <c r="BN38" i="30" s="1"/>
  <c r="BN39" i="30" s="1"/>
  <c r="BO35" i="30"/>
  <c r="BV7" i="5"/>
  <c r="BU13" i="5"/>
  <c r="BU7" i="4"/>
  <c r="BT13" i="4"/>
  <c r="K183" i="39" l="1"/>
  <c r="K182" i="39" s="1"/>
  <c r="L161" i="39"/>
  <c r="K119" i="39" a="1"/>
  <c r="K119" i="39" s="1"/>
  <c r="K88" i="39"/>
  <c r="K107" i="39"/>
  <c r="BU155" i="39"/>
  <c r="BU158" i="39" s="1"/>
  <c r="CK162" i="39"/>
  <c r="CL89" i="39"/>
  <c r="BO37" i="30"/>
  <c r="BO38" i="30" s="1"/>
  <c r="BO39" i="30" s="1"/>
  <c r="BP35" i="30"/>
  <c r="BW7" i="5"/>
  <c r="BV13" i="5"/>
  <c r="BV7" i="4"/>
  <c r="BU13" i="4"/>
  <c r="CL162" i="39" l="1"/>
  <c r="CM89" i="39"/>
  <c r="K109" i="39"/>
  <c r="K110" i="39" s="1"/>
  <c r="K108" i="39"/>
  <c r="BV155" i="39"/>
  <c r="BV158" i="39" s="1"/>
  <c r="K185" i="39"/>
  <c r="K184" i="39" s="1"/>
  <c r="K116" i="39" s="1"/>
  <c r="K92" i="39"/>
  <c r="K94" i="39" s="1"/>
  <c r="K95" i="39" s="1"/>
  <c r="L165" i="39"/>
  <c r="BP37" i="30"/>
  <c r="BP38" i="30" s="1"/>
  <c r="BP39" i="30" s="1"/>
  <c r="BQ35" i="30"/>
  <c r="BX7" i="5"/>
  <c r="BW13" i="5"/>
  <c r="BW7" i="4"/>
  <c r="BV13" i="4"/>
  <c r="K187" i="39" l="1"/>
  <c r="K117" i="39" s="1"/>
  <c r="L93" i="39"/>
  <c r="K171" i="39"/>
  <c r="K170" i="39" s="1"/>
  <c r="L176" i="39"/>
  <c r="L175" i="39" s="1"/>
  <c r="L140" i="39"/>
  <c r="L181" i="39" s="1"/>
  <c r="L179" i="39" s="1"/>
  <c r="L91" i="39"/>
  <c r="L63" i="39"/>
  <c r="L64" i="39" s="1"/>
  <c r="L135" i="39"/>
  <c r="L136" i="39" s="1"/>
  <c r="BW155" i="39"/>
  <c r="BW158" i="39" s="1"/>
  <c r="CM162" i="39"/>
  <c r="CN89" i="39"/>
  <c r="BR35" i="30"/>
  <c r="BQ37" i="30"/>
  <c r="BQ38" i="30" s="1"/>
  <c r="BQ39" i="30" s="1"/>
  <c r="BY7" i="5"/>
  <c r="BX13" i="5"/>
  <c r="BX7" i="4"/>
  <c r="BW13" i="4"/>
  <c r="BX155" i="39" l="1"/>
  <c r="BX158" i="39" s="1"/>
  <c r="CN162" i="39"/>
  <c r="C89" i="39"/>
  <c r="P85" i="40" a="1"/>
  <c r="P85" i="40" s="1"/>
  <c r="M85" i="40" a="1"/>
  <c r="M85" i="40" s="1"/>
  <c r="Q85" i="40" a="1"/>
  <c r="Q85" i="40" s="1"/>
  <c r="O85" i="40" a="1"/>
  <c r="O85" i="40" s="1"/>
  <c r="T85" i="40" a="1"/>
  <c r="T85" i="40" s="1"/>
  <c r="N85" i="40" a="1"/>
  <c r="N85" i="40" s="1"/>
  <c r="E85" i="40" a="1"/>
  <c r="E85" i="40" s="1"/>
  <c r="F85" i="40" a="1"/>
  <c r="F85" i="40" s="1"/>
  <c r="L85" i="40" a="1"/>
  <c r="L85" i="40" s="1"/>
  <c r="Z85" i="40" a="1"/>
  <c r="Z85" i="40" s="1"/>
  <c r="U85" i="40" a="1"/>
  <c r="U85" i="40" s="1"/>
  <c r="Y85" i="40" a="1"/>
  <c r="Y85" i="40" s="1"/>
  <c r="H85" i="40" a="1"/>
  <c r="H85" i="40" s="1"/>
  <c r="J85" i="40" a="1"/>
  <c r="J85" i="40" s="1"/>
  <c r="G85" i="40" a="1"/>
  <c r="G85" i="40" s="1"/>
  <c r="K85" i="40" a="1"/>
  <c r="K85" i="40" s="1"/>
  <c r="X85" i="40" a="1"/>
  <c r="X85" i="40" s="1"/>
  <c r="W85" i="40" a="1"/>
  <c r="W85" i="40" s="1"/>
  <c r="I85" i="40" a="1"/>
  <c r="I85" i="40" s="1"/>
  <c r="V85" i="40" a="1"/>
  <c r="V85" i="40" s="1"/>
  <c r="S85" i="40" a="1"/>
  <c r="S85" i="40" s="1"/>
  <c r="R85" i="40" a="1"/>
  <c r="R85" i="40" s="1"/>
  <c r="L144" i="39"/>
  <c r="L145" i="39"/>
  <c r="L137" i="39" s="1"/>
  <c r="L138" i="39" s="1"/>
  <c r="L139" i="39" s="1"/>
  <c r="L65" i="39" s="1"/>
  <c r="L78" i="39" s="1"/>
  <c r="K177" i="39"/>
  <c r="K115" i="39"/>
  <c r="BS35" i="30"/>
  <c r="BR37" i="30"/>
  <c r="BR38" i="30" s="1"/>
  <c r="BR39" i="30" s="1"/>
  <c r="BZ7" i="5"/>
  <c r="BY13" i="5"/>
  <c r="BY7" i="4"/>
  <c r="BX13" i="4"/>
  <c r="C85" i="40" l="1"/>
  <c r="L122" i="39"/>
  <c r="L120" i="39"/>
  <c r="L81" i="39"/>
  <c r="C162" i="39"/>
  <c r="F158" i="40" a="1"/>
  <c r="F158" i="40" s="1"/>
  <c r="J158" i="40" a="1"/>
  <c r="J158" i="40" s="1"/>
  <c r="G158" i="40" a="1"/>
  <c r="G158" i="40" s="1"/>
  <c r="M158" i="40" a="1"/>
  <c r="M158" i="40" s="1"/>
  <c r="H158" i="40" a="1"/>
  <c r="H158" i="40" s="1"/>
  <c r="P158" i="40" a="1"/>
  <c r="P158" i="40" s="1"/>
  <c r="Z158" i="40" a="1"/>
  <c r="Z158" i="40" s="1"/>
  <c r="L158" i="40" a="1"/>
  <c r="L158" i="40" s="1"/>
  <c r="W158" i="40" a="1"/>
  <c r="W158" i="40" s="1"/>
  <c r="V158" i="40" a="1"/>
  <c r="V158" i="40" s="1"/>
  <c r="K158" i="40" a="1"/>
  <c r="K158" i="40" s="1"/>
  <c r="T158" i="40" a="1"/>
  <c r="T158" i="40" s="1"/>
  <c r="E158" i="40" a="1"/>
  <c r="E158" i="40" s="1"/>
  <c r="X158" i="40" a="1"/>
  <c r="X158" i="40" s="1"/>
  <c r="N158" i="40" a="1"/>
  <c r="N158" i="40" s="1"/>
  <c r="S158" i="40" a="1"/>
  <c r="S158" i="40" s="1"/>
  <c r="R158" i="40" a="1"/>
  <c r="R158" i="40" s="1"/>
  <c r="I158" i="40" a="1"/>
  <c r="I158" i="40" s="1"/>
  <c r="U158" i="40" a="1"/>
  <c r="U158" i="40" s="1"/>
  <c r="Y158" i="40" a="1"/>
  <c r="Y158" i="40" s="1"/>
  <c r="O158" i="40" a="1"/>
  <c r="O158" i="40" s="1"/>
  <c r="Q158" i="40" a="1"/>
  <c r="Q158" i="40" s="1"/>
  <c r="K190" i="39"/>
  <c r="K189" i="39"/>
  <c r="L146" i="39"/>
  <c r="M143" i="39" s="1"/>
  <c r="L66" i="39"/>
  <c r="BY155" i="39"/>
  <c r="BY158" i="39" s="1"/>
  <c r="BS37" i="30"/>
  <c r="BS38" i="30" s="1"/>
  <c r="BS39" i="30" s="1"/>
  <c r="BT35" i="30"/>
  <c r="CA7" i="5"/>
  <c r="BZ13" i="5"/>
  <c r="BZ7" i="4"/>
  <c r="BY13" i="4"/>
  <c r="L163" i="39" l="1"/>
  <c r="L98" i="39"/>
  <c r="BZ155" i="39"/>
  <c r="BZ158" i="39" s="1"/>
  <c r="C158" i="40"/>
  <c r="BT37" i="30"/>
  <c r="BT38" i="30" s="1"/>
  <c r="BT39" i="30" s="1"/>
  <c r="BU35" i="30"/>
  <c r="CB7" i="5"/>
  <c r="CA13" i="5"/>
  <c r="CA7" i="4"/>
  <c r="BZ13" i="4"/>
  <c r="L99" i="39" l="1"/>
  <c r="L90" i="39"/>
  <c r="L164" i="39"/>
  <c r="CA155" i="39"/>
  <c r="CA158" i="39" s="1"/>
  <c r="BU37" i="30"/>
  <c r="BU38" i="30" s="1"/>
  <c r="BU39" i="30" s="1"/>
  <c r="BV35" i="30"/>
  <c r="CC7" i="5"/>
  <c r="CB13" i="5"/>
  <c r="CB7" i="4"/>
  <c r="CA13" i="4"/>
  <c r="CB155" i="39" l="1"/>
  <c r="CB158" i="39" s="1"/>
  <c r="L183" i="39"/>
  <c r="L182" i="39" s="1"/>
  <c r="L119" i="39" a="1"/>
  <c r="L119" i="39" s="1"/>
  <c r="M161" i="39"/>
  <c r="L88" i="39"/>
  <c r="L107" i="39"/>
  <c r="BV37" i="30"/>
  <c r="BV38" i="30" s="1"/>
  <c r="BV39" i="30" s="1"/>
  <c r="BW35" i="30"/>
  <c r="CD7" i="5"/>
  <c r="CC13" i="5"/>
  <c r="CC7" i="4"/>
  <c r="CB13" i="4"/>
  <c r="L185" i="39" l="1"/>
  <c r="L184" i="39" s="1"/>
  <c r="L92" i="39"/>
  <c r="L94" i="39" s="1"/>
  <c r="L95" i="39" s="1"/>
  <c r="L108" i="39"/>
  <c r="L109" i="39"/>
  <c r="L110" i="39" s="1"/>
  <c r="M165" i="39"/>
  <c r="L116" i="39"/>
  <c r="L187" i="39"/>
  <c r="L117" i="39" s="1"/>
  <c r="CC155" i="39"/>
  <c r="CC158" i="39" s="1"/>
  <c r="BX35" i="30"/>
  <c r="BW37" i="30"/>
  <c r="BW38" i="30" s="1"/>
  <c r="BW39" i="30" s="1"/>
  <c r="CE7" i="5"/>
  <c r="CD13" i="5"/>
  <c r="CD7" i="4"/>
  <c r="CC13" i="4"/>
  <c r="M140" i="39" l="1"/>
  <c r="M181" i="39" s="1"/>
  <c r="M179" i="39" s="1"/>
  <c r="M176" i="39"/>
  <c r="M175" i="39" s="1"/>
  <c r="M91" i="39"/>
  <c r="M63" i="39"/>
  <c r="M64" i="39" s="1"/>
  <c r="M135" i="39"/>
  <c r="M136" i="39" s="1"/>
  <c r="M93" i="39"/>
  <c r="L171" i="39"/>
  <c r="L170" i="39" s="1"/>
  <c r="CD155" i="39"/>
  <c r="CD158" i="39" s="1"/>
  <c r="BY35" i="30"/>
  <c r="BX37" i="30"/>
  <c r="BX38" i="30" s="1"/>
  <c r="BX39" i="30" s="1"/>
  <c r="CF7" i="5"/>
  <c r="CE13" i="5"/>
  <c r="CE7" i="4"/>
  <c r="CD13" i="4"/>
  <c r="L177" i="39" l="1"/>
  <c r="L115" i="39"/>
  <c r="M144" i="39"/>
  <c r="M145" i="39"/>
  <c r="M137" i="39" s="1"/>
  <c r="M138" i="39" s="1"/>
  <c r="M139" i="39" s="1"/>
  <c r="M65" i="39" s="1"/>
  <c r="M78" i="39" s="1"/>
  <c r="CE155" i="39"/>
  <c r="CE158" i="39" s="1"/>
  <c r="BY37" i="30"/>
  <c r="BY38" i="30" s="1"/>
  <c r="BY39" i="30" s="1"/>
  <c r="BZ35" i="30"/>
  <c r="CG7" i="5"/>
  <c r="CF13" i="5"/>
  <c r="CF7" i="4"/>
  <c r="CE13" i="4"/>
  <c r="M122" i="39" l="1"/>
  <c r="M120" i="39"/>
  <c r="M81" i="39"/>
  <c r="M66" i="39"/>
  <c r="CF155" i="39"/>
  <c r="CF158" i="39" s="1"/>
  <c r="M146" i="39"/>
  <c r="N143" i="39" s="1"/>
  <c r="L190" i="39"/>
  <c r="L189" i="39"/>
  <c r="BZ37" i="30"/>
  <c r="BZ38" i="30" s="1"/>
  <c r="BZ39" i="30" s="1"/>
  <c r="CA35" i="30"/>
  <c r="CH7" i="5"/>
  <c r="CG13" i="5"/>
  <c r="CG7" i="4"/>
  <c r="CF13" i="4"/>
  <c r="CG155" i="39" l="1"/>
  <c r="CG158" i="39" s="1"/>
  <c r="M163" i="39"/>
  <c r="M98" i="39"/>
  <c r="CB35" i="30"/>
  <c r="CA37" i="30"/>
  <c r="CA38" i="30" s="1"/>
  <c r="CA39" i="30" s="1"/>
  <c r="CI7" i="5"/>
  <c r="CH13" i="5"/>
  <c r="CH7" i="4"/>
  <c r="CG13" i="4"/>
  <c r="M90" i="39" l="1"/>
  <c r="M164" i="39"/>
  <c r="M99" i="39"/>
  <c r="CH155" i="39"/>
  <c r="CH158" i="39" s="1"/>
  <c r="CB37" i="30"/>
  <c r="CB38" i="30" s="1"/>
  <c r="CB39" i="30" s="1"/>
  <c r="CC35" i="30"/>
  <c r="CJ7" i="5"/>
  <c r="CI13" i="5"/>
  <c r="CI7" i="4"/>
  <c r="CH13" i="4"/>
  <c r="CI155" i="39" l="1"/>
  <c r="CI158" i="39" s="1"/>
  <c r="M183" i="39"/>
  <c r="M182" i="39" s="1"/>
  <c r="N161" i="39"/>
  <c r="M119" i="39" a="1"/>
  <c r="M119" i="39" s="1"/>
  <c r="M88" i="39"/>
  <c r="M107" i="39"/>
  <c r="CC37" i="30"/>
  <c r="CC38" i="30" s="1"/>
  <c r="CC39" i="30" s="1"/>
  <c r="CD35" i="30"/>
  <c r="CK7" i="5"/>
  <c r="CJ13" i="5"/>
  <c r="CJ7" i="4"/>
  <c r="CI13" i="4"/>
  <c r="M109" i="39" l="1"/>
  <c r="M110" i="39" s="1"/>
  <c r="M108" i="39"/>
  <c r="M185" i="39"/>
  <c r="M184" i="39" s="1"/>
  <c r="M187" i="39" s="1"/>
  <c r="M117" i="39" s="1"/>
  <c r="M92" i="39"/>
  <c r="M94" i="39" s="1"/>
  <c r="M95" i="39" s="1"/>
  <c r="N165" i="39"/>
  <c r="CJ155" i="39"/>
  <c r="CJ158" i="39" s="1"/>
  <c r="CE35" i="30"/>
  <c r="CD37" i="30"/>
  <c r="CD38" i="30" s="1"/>
  <c r="CD39" i="30" s="1"/>
  <c r="CL7" i="5"/>
  <c r="CK13" i="5"/>
  <c r="CK7" i="4"/>
  <c r="CJ13" i="4"/>
  <c r="M116" i="39" l="1"/>
  <c r="CK155" i="39"/>
  <c r="CK158" i="39" s="1"/>
  <c r="N140" i="39"/>
  <c r="N181" i="39" s="1"/>
  <c r="N179" i="39" s="1"/>
  <c r="N135" i="39"/>
  <c r="N136" i="39" s="1"/>
  <c r="N176" i="39"/>
  <c r="N175" i="39" s="1"/>
  <c r="N91" i="39"/>
  <c r="N63" i="39"/>
  <c r="N64" i="39" s="1"/>
  <c r="M171" i="39"/>
  <c r="M170" i="39" s="1"/>
  <c r="N93" i="39"/>
  <c r="CF35" i="30"/>
  <c r="CE37" i="30"/>
  <c r="CE38" i="30" s="1"/>
  <c r="CE39" i="30" s="1"/>
  <c r="CM7" i="5"/>
  <c r="CL13" i="5"/>
  <c r="CL7" i="4"/>
  <c r="CK13" i="4"/>
  <c r="N145" i="39" l="1"/>
  <c r="N137" i="39" s="1"/>
  <c r="N138" i="39" s="1"/>
  <c r="N139" i="39" s="1"/>
  <c r="N65" i="39" s="1"/>
  <c r="N78" i="39" s="1"/>
  <c r="N144" i="39"/>
  <c r="N146" i="39" s="1"/>
  <c r="O143" i="39" s="1"/>
  <c r="M177" i="39"/>
  <c r="M115" i="39"/>
  <c r="CL155" i="39"/>
  <c r="CL158" i="39" s="1"/>
  <c r="CF37" i="30"/>
  <c r="CF38" i="30" s="1"/>
  <c r="CF39" i="30" s="1"/>
  <c r="CG35" i="30"/>
  <c r="CN7" i="5"/>
  <c r="CM13" i="5"/>
  <c r="CM7" i="4"/>
  <c r="CL13" i="4"/>
  <c r="M189" i="39" l="1"/>
  <c r="M190" i="39"/>
  <c r="N122" i="39"/>
  <c r="N120" i="39"/>
  <c r="N81" i="39"/>
  <c r="CM155" i="39"/>
  <c r="CM158" i="39" s="1"/>
  <c r="N66" i="39"/>
  <c r="CG37" i="30"/>
  <c r="CG38" i="30" s="1"/>
  <c r="CG39" i="30" s="1"/>
  <c r="CH35" i="30"/>
  <c r="CO7" i="5"/>
  <c r="CO13" i="5" s="1"/>
  <c r="CN13" i="5"/>
  <c r="C13" i="5" s="1"/>
  <c r="CN7" i="4"/>
  <c r="CM13" i="4"/>
  <c r="CN155" i="39" l="1"/>
  <c r="N163" i="39"/>
  <c r="N98" i="39"/>
  <c r="CH37" i="30"/>
  <c r="CH38" i="30" s="1"/>
  <c r="CH39" i="30" s="1"/>
  <c r="CI35" i="30"/>
  <c r="CN13" i="4"/>
  <c r="C13" i="4" s="1"/>
  <c r="CO7" i="4"/>
  <c r="CO13" i="4" s="1"/>
  <c r="N90" i="39" l="1"/>
  <c r="N164" i="39"/>
  <c r="N99" i="39"/>
  <c r="CN158" i="39"/>
  <c r="G151" i="40" a="1"/>
  <c r="G151" i="40" s="1"/>
  <c r="M151" i="40" a="1"/>
  <c r="M151" i="40" s="1"/>
  <c r="T151" i="40" a="1"/>
  <c r="T151" i="40" s="1"/>
  <c r="U151" i="40" a="1"/>
  <c r="U151" i="40" s="1"/>
  <c r="Y151" i="40" a="1"/>
  <c r="Y151" i="40" s="1"/>
  <c r="H151" i="40" a="1"/>
  <c r="H151" i="40" s="1"/>
  <c r="O151" i="40" a="1"/>
  <c r="O151" i="40" s="1"/>
  <c r="Z151" i="40" a="1"/>
  <c r="Z151" i="40" s="1"/>
  <c r="P151" i="40" a="1"/>
  <c r="P151" i="40" s="1"/>
  <c r="I151" i="40" a="1"/>
  <c r="I151" i="40" s="1"/>
  <c r="L151" i="40" a="1"/>
  <c r="L151" i="40" s="1"/>
  <c r="F151" i="40" a="1"/>
  <c r="F151" i="40" s="1"/>
  <c r="J151" i="40" a="1"/>
  <c r="J151" i="40" s="1"/>
  <c r="K151" i="40" a="1"/>
  <c r="K151" i="40" s="1"/>
  <c r="V151" i="40" a="1"/>
  <c r="V151" i="40" s="1"/>
  <c r="E151" i="40" a="1"/>
  <c r="E151" i="40" s="1"/>
  <c r="W151" i="40" a="1"/>
  <c r="W151" i="40" s="1"/>
  <c r="S151" i="40" a="1"/>
  <c r="S151" i="40" s="1"/>
  <c r="R151" i="40" a="1"/>
  <c r="R151" i="40" s="1"/>
  <c r="X151" i="40" a="1"/>
  <c r="X151" i="40" s="1"/>
  <c r="Q151" i="40" a="1"/>
  <c r="Q151" i="40" s="1"/>
  <c r="N151" i="40" a="1"/>
  <c r="N151" i="40" s="1"/>
  <c r="CJ35" i="30"/>
  <c r="CI37" i="30"/>
  <c r="CI38" i="30" s="1"/>
  <c r="CI39" i="30" s="1"/>
  <c r="L154" i="40" l="1" a="1"/>
  <c r="L154" i="40" s="1"/>
  <c r="O154" i="40" a="1"/>
  <c r="O154" i="40" s="1"/>
  <c r="R154" i="40" a="1"/>
  <c r="R154" i="40" s="1"/>
  <c r="X154" i="40" a="1"/>
  <c r="X154" i="40" s="1"/>
  <c r="Z154" i="40" a="1"/>
  <c r="Z154" i="40" s="1"/>
  <c r="M154" i="40" a="1"/>
  <c r="M154" i="40" s="1"/>
  <c r="P154" i="40" a="1"/>
  <c r="P154" i="40" s="1"/>
  <c r="S154" i="40" a="1"/>
  <c r="S154" i="40" s="1"/>
  <c r="G154" i="40" a="1"/>
  <c r="G154" i="40" s="1"/>
  <c r="W154" i="40" a="1"/>
  <c r="W154" i="40" s="1"/>
  <c r="I154" i="40" a="1"/>
  <c r="I154" i="40" s="1"/>
  <c r="Q154" i="40" a="1"/>
  <c r="Q154" i="40" s="1"/>
  <c r="N154" i="40" a="1"/>
  <c r="N154" i="40" s="1"/>
  <c r="V154" i="40" a="1"/>
  <c r="V154" i="40" s="1"/>
  <c r="T154" i="40" a="1"/>
  <c r="T154" i="40" s="1"/>
  <c r="Y154" i="40" a="1"/>
  <c r="Y154" i="40" s="1"/>
  <c r="F154" i="40" a="1"/>
  <c r="F154" i="40" s="1"/>
  <c r="K154" i="40" a="1"/>
  <c r="K154" i="40" s="1"/>
  <c r="U154" i="40" a="1"/>
  <c r="U154" i="40" s="1"/>
  <c r="E154" i="40" a="1"/>
  <c r="E154" i="40" s="1"/>
  <c r="H154" i="40" a="1"/>
  <c r="H154" i="40" s="1"/>
  <c r="J154" i="40" a="1"/>
  <c r="J154" i="40" s="1"/>
  <c r="N183" i="39"/>
  <c r="N182" i="39" s="1"/>
  <c r="O161" i="39"/>
  <c r="N88" i="39"/>
  <c r="N107" i="39"/>
  <c r="CK35" i="30"/>
  <c r="CJ37" i="30"/>
  <c r="CJ38" i="30" s="1"/>
  <c r="CJ39" i="30" s="1"/>
  <c r="N108" i="39" l="1"/>
  <c r="N109" i="39"/>
  <c r="N110" i="39" s="1"/>
  <c r="N185" i="39"/>
  <c r="N184" i="39" s="1"/>
  <c r="N187" i="39" s="1"/>
  <c r="N117" i="39" s="1"/>
  <c r="N92" i="39"/>
  <c r="N94" i="39" s="1"/>
  <c r="N95" i="39" s="1"/>
  <c r="O165" i="39"/>
  <c r="CK37" i="30"/>
  <c r="CK38" i="30" s="1"/>
  <c r="CK39" i="30" s="1"/>
  <c r="CL35" i="30"/>
  <c r="O140" i="39" l="1"/>
  <c r="O181" i="39" s="1"/>
  <c r="O179" i="39" s="1"/>
  <c r="O135" i="39"/>
  <c r="O136" i="39" s="1"/>
  <c r="O91" i="39"/>
  <c r="O63" i="39"/>
  <c r="O64" i="39" s="1"/>
  <c r="O176" i="39"/>
  <c r="O175" i="39" s="1"/>
  <c r="N171" i="39"/>
  <c r="N170" i="39" s="1"/>
  <c r="O93" i="39"/>
  <c r="N116" i="39"/>
  <c r="CM35" i="30"/>
  <c r="CL37" i="30"/>
  <c r="CL38" i="30" s="1"/>
  <c r="CL39" i="30" s="1"/>
  <c r="O145" i="39" l="1"/>
  <c r="O137" i="39" s="1"/>
  <c r="O138" i="39" s="1"/>
  <c r="O139" i="39" s="1"/>
  <c r="O65" i="39" s="1"/>
  <c r="O78" i="39" s="1"/>
  <c r="O144" i="39"/>
  <c r="O146" i="39" s="1"/>
  <c r="P143" i="39" s="1"/>
  <c r="N177" i="39"/>
  <c r="N115" i="39"/>
  <c r="CN35" i="30"/>
  <c r="CM37" i="30"/>
  <c r="CM38" i="30" s="1"/>
  <c r="CM39" i="30" s="1"/>
  <c r="N190" i="39" l="1"/>
  <c r="N189" i="39"/>
  <c r="O122" i="39"/>
  <c r="O120" i="39"/>
  <c r="O81" i="39"/>
  <c r="O66" i="39"/>
  <c r="CN37" i="30"/>
  <c r="CN38" i="30" s="1"/>
  <c r="CN39" i="30" s="1"/>
  <c r="CO35" i="30"/>
  <c r="O163" i="39" l="1"/>
  <c r="O98" i="39"/>
  <c r="CP35" i="30"/>
  <c r="CO37" i="30"/>
  <c r="CO38" i="30" s="1"/>
  <c r="CO39" i="30" s="1"/>
  <c r="O99" i="39" l="1"/>
  <c r="O90" i="39"/>
  <c r="O164" i="39"/>
  <c r="CQ35" i="30"/>
  <c r="CP37" i="30"/>
  <c r="CP38" i="30" s="1"/>
  <c r="CP39" i="30" s="1"/>
  <c r="O183" i="39" l="1"/>
  <c r="O182" i="39" s="1"/>
  <c r="P161" i="39"/>
  <c r="O88" i="39"/>
  <c r="O107" i="39"/>
  <c r="CQ37" i="30"/>
  <c r="CQ38" i="30" s="1"/>
  <c r="CQ39" i="30" s="1"/>
  <c r="CR35" i="30"/>
  <c r="O108" i="39" l="1"/>
  <c r="O109" i="39"/>
  <c r="O110" i="39" s="1"/>
  <c r="O185" i="39"/>
  <c r="O184" i="39" s="1"/>
  <c r="O116" i="39" s="1"/>
  <c r="O92" i="39"/>
  <c r="O94" i="39" s="1"/>
  <c r="O95" i="39" s="1"/>
  <c r="P165" i="39"/>
  <c r="CR37" i="30"/>
  <c r="CR38" i="30" s="1"/>
  <c r="CR39" i="30" s="1"/>
  <c r="CS35" i="30"/>
  <c r="O187" i="39" l="1"/>
  <c r="O117" i="39" s="1"/>
  <c r="O171" i="39"/>
  <c r="O170" i="39" s="1"/>
  <c r="P93" i="39"/>
  <c r="P140" i="39"/>
  <c r="P181" i="39" s="1"/>
  <c r="P179" i="39" s="1"/>
  <c r="P135" i="39"/>
  <c r="P136" i="39" s="1"/>
  <c r="P91" i="39"/>
  <c r="P63" i="39"/>
  <c r="P64" i="39" s="1"/>
  <c r="P176" i="39"/>
  <c r="P175" i="39" s="1"/>
  <c r="CS37" i="30"/>
  <c r="CS38" i="30" s="1"/>
  <c r="CS39" i="30" s="1"/>
  <c r="CT35" i="30"/>
  <c r="P145" i="39" l="1"/>
  <c r="P137" i="39" s="1"/>
  <c r="P138" i="39" s="1"/>
  <c r="P139" i="39" s="1"/>
  <c r="P65" i="39" s="1"/>
  <c r="P78" i="39" s="1"/>
  <c r="P144" i="39"/>
  <c r="P146" i="39" s="1"/>
  <c r="Q143" i="39" s="1"/>
  <c r="O177" i="39"/>
  <c r="O115" i="39"/>
  <c r="CT37" i="30"/>
  <c r="CT38" i="30" s="1"/>
  <c r="CT39" i="30" s="1"/>
  <c r="CU35" i="30"/>
  <c r="O190" i="39" l="1"/>
  <c r="O189" i="39"/>
  <c r="P122" i="39"/>
  <c r="P120" i="39"/>
  <c r="P81" i="39"/>
  <c r="P66" i="39"/>
  <c r="CV35" i="30"/>
  <c r="CU37" i="30"/>
  <c r="CU38" i="30" s="1"/>
  <c r="CU39" i="30" s="1"/>
  <c r="P163" i="39" l="1"/>
  <c r="P98" i="39"/>
  <c r="CV37" i="30"/>
  <c r="CV38" i="30" s="1"/>
  <c r="CV39" i="30" s="1"/>
  <c r="CW35" i="30"/>
  <c r="P99" i="39" l="1"/>
  <c r="P90" i="39"/>
  <c r="P164" i="39"/>
  <c r="CX35" i="30"/>
  <c r="CW37" i="30"/>
  <c r="CW38" i="30" s="1"/>
  <c r="CW39" i="30" s="1"/>
  <c r="P183" i="39" l="1"/>
  <c r="P182" i="39" s="1"/>
  <c r="Q161" i="39"/>
  <c r="P88" i="39"/>
  <c r="P107" i="39"/>
  <c r="CY35" i="30"/>
  <c r="CX37" i="30"/>
  <c r="CX38" i="30" s="1"/>
  <c r="CX39" i="30" s="1"/>
  <c r="P108" i="39" l="1"/>
  <c r="P109" i="39"/>
  <c r="P110" i="39" s="1"/>
  <c r="P185" i="39"/>
  <c r="P92" i="39"/>
  <c r="P94" i="39" s="1"/>
  <c r="P95" i="39" s="1"/>
  <c r="Q165" i="39"/>
  <c r="CZ35" i="30"/>
  <c r="CY37" i="30"/>
  <c r="CY38" i="30" s="1"/>
  <c r="CY39" i="30" s="1"/>
  <c r="P171" i="39" l="1"/>
  <c r="P170" i="39" s="1"/>
  <c r="Q93" i="39"/>
  <c r="Q88" i="39"/>
  <c r="P184" i="39"/>
  <c r="Q140" i="39"/>
  <c r="Q181" i="39" s="1"/>
  <c r="Q179" i="39" s="1"/>
  <c r="Q135" i="39"/>
  <c r="Q136" i="39" s="1"/>
  <c r="Q63" i="39"/>
  <c r="Q64" i="39" s="1"/>
  <c r="Q176" i="39"/>
  <c r="Q175" i="39" s="1"/>
  <c r="Q91" i="39"/>
  <c r="CZ37" i="30"/>
  <c r="CZ38" i="30" s="1"/>
  <c r="CZ39" i="30" s="1"/>
  <c r="DA35" i="30"/>
  <c r="Q144" i="39" l="1"/>
  <c r="Q145" i="39"/>
  <c r="Q137" i="39" s="1"/>
  <c r="Q138" i="39" s="1"/>
  <c r="Q139" i="39" s="1"/>
  <c r="Q65" i="39" s="1"/>
  <c r="Q78" i="39" s="1"/>
  <c r="P187" i="39"/>
  <c r="P117" i="39" s="1"/>
  <c r="P116" i="39"/>
  <c r="P177" i="39"/>
  <c r="P115" i="39"/>
  <c r="DA37" i="30"/>
  <c r="DA38" i="30" s="1"/>
  <c r="DA39" i="30" s="1"/>
  <c r="DB35" i="30"/>
  <c r="Q122" i="39" l="1"/>
  <c r="Q120" i="39"/>
  <c r="Q81" i="39"/>
  <c r="P190" i="39"/>
  <c r="P189" i="39"/>
  <c r="Q146" i="39"/>
  <c r="R143" i="39" s="1"/>
  <c r="Q66" i="39"/>
  <c r="Q185" i="39" s="1"/>
  <c r="DC35" i="30"/>
  <c r="DB37" i="30"/>
  <c r="DB38" i="30" s="1"/>
  <c r="DB39" i="30" s="1"/>
  <c r="Q98" i="39" l="1"/>
  <c r="Q163" i="39"/>
  <c r="Q184" i="39"/>
  <c r="R88" i="39"/>
  <c r="DC37" i="30"/>
  <c r="DC38" i="30" s="1"/>
  <c r="DC39" i="30" s="1"/>
  <c r="DD35" i="30"/>
  <c r="Q99" i="39" l="1"/>
  <c r="Q90" i="39"/>
  <c r="Q164" i="39"/>
  <c r="DE35" i="30"/>
  <c r="DD37" i="30"/>
  <c r="DD38" i="30" s="1"/>
  <c r="DD39" i="30" s="1"/>
  <c r="Q183" i="39" l="1"/>
  <c r="Q182" i="39" s="1"/>
  <c r="R161" i="39"/>
  <c r="Q92" i="39"/>
  <c r="Q94" i="39" s="1"/>
  <c r="Q95" i="39" s="1"/>
  <c r="Q107" i="39"/>
  <c r="DE37" i="30"/>
  <c r="DE38" i="30" s="1"/>
  <c r="DE39" i="30" s="1"/>
  <c r="DF35" i="30"/>
  <c r="R93" i="39" l="1"/>
  <c r="Q171" i="39"/>
  <c r="Q170" i="39" s="1"/>
  <c r="R165" i="39"/>
  <c r="Q109" i="39"/>
  <c r="Q110" i="39" s="1"/>
  <c r="Q108" i="39"/>
  <c r="Q116" i="39"/>
  <c r="Q187" i="39"/>
  <c r="Q117" i="39" s="1"/>
  <c r="DF37" i="30"/>
  <c r="DF38" i="30" s="1"/>
  <c r="DF39" i="30" s="1"/>
  <c r="DG35" i="30"/>
  <c r="Q177" i="39" l="1"/>
  <c r="Q115" i="39"/>
  <c r="R140" i="39"/>
  <c r="R181" i="39" s="1"/>
  <c r="R179" i="39" s="1"/>
  <c r="R176" i="39"/>
  <c r="R175" i="39" s="1"/>
  <c r="R135" i="39"/>
  <c r="R136" i="39" s="1"/>
  <c r="R91" i="39"/>
  <c r="R63" i="39"/>
  <c r="R64" i="39" s="1"/>
  <c r="DH35" i="30"/>
  <c r="DG37" i="30"/>
  <c r="DG38" i="30" s="1"/>
  <c r="DG39" i="30" s="1"/>
  <c r="R145" i="39" l="1"/>
  <c r="R137" i="39" s="1"/>
  <c r="R138" i="39" s="1"/>
  <c r="R139" i="39" s="1"/>
  <c r="R65" i="39" s="1"/>
  <c r="R78" i="39" s="1"/>
  <c r="R144" i="39"/>
  <c r="R146" i="39" s="1"/>
  <c r="S143" i="39" s="1"/>
  <c r="Q189" i="39"/>
  <c r="Q190" i="39"/>
  <c r="DH37" i="30"/>
  <c r="DH38" i="30" s="1"/>
  <c r="DH39" i="30" s="1"/>
  <c r="DI35" i="30"/>
  <c r="R66" i="39" l="1"/>
  <c r="R185" i="39" s="1"/>
  <c r="R184" i="39" s="1"/>
  <c r="S88" i="39"/>
  <c r="R122" i="39"/>
  <c r="R81" i="39"/>
  <c r="R120" i="39"/>
  <c r="DI37" i="30"/>
  <c r="DI38" i="30" s="1"/>
  <c r="DI39" i="30" s="1"/>
  <c r="DJ35" i="30"/>
  <c r="R163" i="39" l="1"/>
  <c r="R98" i="39"/>
  <c r="DJ37" i="30"/>
  <c r="DJ38" i="30" s="1"/>
  <c r="DJ39" i="30" s="1"/>
  <c r="DK35" i="30"/>
  <c r="R99" i="39" l="1"/>
  <c r="R90" i="39"/>
  <c r="R164" i="39"/>
  <c r="DK37" i="30"/>
  <c r="DK38" i="30" s="1"/>
  <c r="DK39" i="30" s="1"/>
  <c r="DL35" i="30"/>
  <c r="R183" i="39" l="1"/>
  <c r="R182" i="39" s="1"/>
  <c r="S161" i="39"/>
  <c r="R92" i="39"/>
  <c r="R94" i="39" s="1"/>
  <c r="R95" i="39" s="1"/>
  <c r="R107" i="39"/>
  <c r="DL37" i="30"/>
  <c r="DL38" i="30" s="1"/>
  <c r="DL39" i="30" s="1"/>
  <c r="DM35" i="30"/>
  <c r="R108" i="39" l="1"/>
  <c r="R109" i="39"/>
  <c r="R110" i="39" s="1"/>
  <c r="S165" i="39"/>
  <c r="S93" i="39"/>
  <c r="R171" i="39"/>
  <c r="R170" i="39" s="1"/>
  <c r="R187" i="39"/>
  <c r="R117" i="39" s="1"/>
  <c r="R116" i="39"/>
  <c r="DN35" i="30"/>
  <c r="DM37" i="30"/>
  <c r="DM38" i="30" s="1"/>
  <c r="DM39" i="30" s="1"/>
  <c r="R177" i="39" l="1"/>
  <c r="R115" i="39"/>
  <c r="S140" i="39"/>
  <c r="S181" i="39" s="1"/>
  <c r="S179" i="39" s="1"/>
  <c r="S135" i="39"/>
  <c r="S136" i="39" s="1"/>
  <c r="S91" i="39"/>
  <c r="S63" i="39"/>
  <c r="S64" i="39" s="1"/>
  <c r="S176" i="39"/>
  <c r="S175" i="39" s="1"/>
  <c r="DO35" i="30"/>
  <c r="DN37" i="30"/>
  <c r="DN38" i="30" s="1"/>
  <c r="DN39" i="30" s="1"/>
  <c r="S145" i="39" l="1"/>
  <c r="S137" i="39" s="1"/>
  <c r="S138" i="39" s="1"/>
  <c r="S139" i="39" s="1"/>
  <c r="S65" i="39" s="1"/>
  <c r="S78" i="39" s="1"/>
  <c r="S144" i="39"/>
  <c r="S146" i="39" s="1"/>
  <c r="T143" i="39" s="1"/>
  <c r="R189" i="39"/>
  <c r="R190" i="39"/>
  <c r="DO37" i="30"/>
  <c r="DO38" i="30" s="1"/>
  <c r="DO39" i="30" s="1"/>
  <c r="DP35" i="30"/>
  <c r="S122" i="39" l="1"/>
  <c r="S120" i="39"/>
  <c r="S81" i="39"/>
  <c r="S66" i="39"/>
  <c r="S185" i="39" s="1"/>
  <c r="DP37" i="30"/>
  <c r="DP38" i="30" s="1"/>
  <c r="DP39" i="30" s="1"/>
  <c r="DQ35" i="30"/>
  <c r="S184" i="39" l="1"/>
  <c r="T88" i="39"/>
  <c r="S163" i="39"/>
  <c r="S98" i="39"/>
  <c r="DQ37" i="30"/>
  <c r="DQ38" i="30" s="1"/>
  <c r="DQ39" i="30" s="1"/>
  <c r="DR35" i="30"/>
  <c r="S90" i="39" l="1"/>
  <c r="S164" i="39"/>
  <c r="S99" i="39"/>
  <c r="DR37" i="30"/>
  <c r="DR38" i="30" s="1"/>
  <c r="DR39" i="30" s="1"/>
  <c r="DS35" i="30"/>
  <c r="T161" i="39" l="1"/>
  <c r="S183" i="39"/>
  <c r="S182" i="39" s="1"/>
  <c r="S92" i="39"/>
  <c r="S94" i="39" s="1"/>
  <c r="S95" i="39" s="1"/>
  <c r="S107" i="39"/>
  <c r="DT35" i="30"/>
  <c r="DS37" i="30"/>
  <c r="DS38" i="30" s="1"/>
  <c r="DS39" i="30" s="1"/>
  <c r="S108" i="39" l="1"/>
  <c r="S109" i="39"/>
  <c r="S110" i="39" s="1"/>
  <c r="S171" i="39"/>
  <c r="S170" i="39" s="1"/>
  <c r="T93" i="39"/>
  <c r="S187" i="39"/>
  <c r="S117" i="39" s="1"/>
  <c r="S116" i="39"/>
  <c r="T165" i="39"/>
  <c r="DT37" i="30"/>
  <c r="DT38" i="30" s="1"/>
  <c r="DT39" i="30" s="1"/>
  <c r="DU35" i="30"/>
  <c r="T140" i="39" l="1"/>
  <c r="T181" i="39" s="1"/>
  <c r="T179" i="39" s="1"/>
  <c r="T91" i="39"/>
  <c r="T176" i="39"/>
  <c r="T175" i="39" s="1"/>
  <c r="T63" i="39"/>
  <c r="T64" i="39" s="1"/>
  <c r="T135" i="39"/>
  <c r="T136" i="39" s="1"/>
  <c r="S177" i="39"/>
  <c r="S115" i="39"/>
  <c r="DU37" i="30"/>
  <c r="DU38" i="30" s="1"/>
  <c r="DU39" i="30" s="1"/>
  <c r="DV35" i="30"/>
  <c r="S190" i="39" l="1"/>
  <c r="S189" i="39"/>
  <c r="T144" i="39"/>
  <c r="T145" i="39"/>
  <c r="T137" i="39" s="1"/>
  <c r="T138" i="39" s="1"/>
  <c r="T139" i="39" s="1"/>
  <c r="T65" i="39" s="1"/>
  <c r="T78" i="39" s="1"/>
  <c r="DW35" i="30"/>
  <c r="DV37" i="30"/>
  <c r="DV38" i="30" s="1"/>
  <c r="DV39" i="30" s="1"/>
  <c r="T122" i="39" l="1"/>
  <c r="T120" i="39"/>
  <c r="T81" i="39"/>
  <c r="T146" i="39"/>
  <c r="U143" i="39" s="1"/>
  <c r="T66" i="39"/>
  <c r="T185" i="39" s="1"/>
  <c r="DX35" i="30"/>
  <c r="DW37" i="30"/>
  <c r="DW38" i="30" s="1"/>
  <c r="DW39" i="30" s="1"/>
  <c r="T163" i="39" l="1"/>
  <c r="T98" i="39"/>
  <c r="T184" i="39"/>
  <c r="U88" i="39"/>
  <c r="DX37" i="30"/>
  <c r="DX38" i="30" s="1"/>
  <c r="DX39" i="30" s="1"/>
  <c r="DY35" i="30"/>
  <c r="T99" i="39" l="1"/>
  <c r="T90" i="39"/>
  <c r="T164" i="39"/>
  <c r="DZ35" i="30"/>
  <c r="DY37" i="30"/>
  <c r="DY38" i="30" s="1"/>
  <c r="DY39" i="30" s="1"/>
  <c r="U161" i="39" l="1"/>
  <c r="T183" i="39"/>
  <c r="T182" i="39" s="1"/>
  <c r="T92" i="39"/>
  <c r="T94" i="39" s="1"/>
  <c r="T95" i="39" s="1"/>
  <c r="T107" i="39"/>
  <c r="DZ37" i="30"/>
  <c r="DZ38" i="30" s="1"/>
  <c r="DZ39" i="30" s="1"/>
  <c r="EA35" i="30"/>
  <c r="T171" i="39" l="1"/>
  <c r="T170" i="39" s="1"/>
  <c r="U93" i="39"/>
  <c r="T108" i="39"/>
  <c r="T109" i="39"/>
  <c r="T110" i="39" s="1"/>
  <c r="T187" i="39"/>
  <c r="T117" i="39" s="1"/>
  <c r="T116" i="39"/>
  <c r="U165" i="39"/>
  <c r="EA37" i="30"/>
  <c r="EA38" i="30" s="1"/>
  <c r="EA39" i="30" s="1"/>
  <c r="EB35" i="30"/>
  <c r="U140" i="39" l="1"/>
  <c r="U181" i="39" s="1"/>
  <c r="U179" i="39" s="1"/>
  <c r="U176" i="39"/>
  <c r="U175" i="39" s="1"/>
  <c r="U63" i="39"/>
  <c r="U64" i="39" s="1"/>
  <c r="U135" i="39"/>
  <c r="U136" i="39" s="1"/>
  <c r="U91" i="39"/>
  <c r="T177" i="39"/>
  <c r="T115" i="39"/>
  <c r="EB37" i="30"/>
  <c r="EB38" i="30" s="1"/>
  <c r="EB39" i="30" s="1"/>
  <c r="EC35" i="30"/>
  <c r="T190" i="39" l="1"/>
  <c r="T189" i="39"/>
  <c r="U144" i="39"/>
  <c r="U145" i="39"/>
  <c r="U137" i="39" s="1"/>
  <c r="U138" i="39" s="1"/>
  <c r="U139" i="39" s="1"/>
  <c r="U65" i="39" s="1"/>
  <c r="U78" i="39" s="1"/>
  <c r="EC37" i="30"/>
  <c r="EC38" i="30" s="1"/>
  <c r="EC39" i="30" s="1"/>
  <c r="ED35" i="30"/>
  <c r="U146" i="39" l="1"/>
  <c r="V143" i="39" s="1"/>
  <c r="U66" i="39"/>
  <c r="U185" i="39" s="1"/>
  <c r="U122" i="39"/>
  <c r="U81" i="39"/>
  <c r="U120" i="39"/>
  <c r="EE35" i="30"/>
  <c r="ED37" i="30"/>
  <c r="ED38" i="30" s="1"/>
  <c r="ED39" i="30" s="1"/>
  <c r="U163" i="39" l="1"/>
  <c r="U98" i="39"/>
  <c r="U184" i="39"/>
  <c r="V88" i="39"/>
  <c r="EF35" i="30"/>
  <c r="EE37" i="30"/>
  <c r="EE38" i="30" s="1"/>
  <c r="EE39" i="30" s="1"/>
  <c r="U99" i="39" l="1"/>
  <c r="U90" i="39"/>
  <c r="U164" i="39"/>
  <c r="EG35" i="30"/>
  <c r="EF37" i="30"/>
  <c r="EF38" i="30" s="1"/>
  <c r="EF39" i="30" s="1"/>
  <c r="U183" i="39" l="1"/>
  <c r="U182" i="39" s="1"/>
  <c r="V161" i="39"/>
  <c r="U92" i="39"/>
  <c r="U94" i="39" s="1"/>
  <c r="U95" i="39" s="1"/>
  <c r="U107" i="39"/>
  <c r="EG37" i="30"/>
  <c r="EG38" i="30" s="1"/>
  <c r="EG39" i="30" s="1"/>
  <c r="EH35" i="30"/>
  <c r="U171" i="39" l="1"/>
  <c r="U170" i="39" s="1"/>
  <c r="V93" i="39"/>
  <c r="U109" i="39"/>
  <c r="U110" i="39" s="1"/>
  <c r="U108" i="39"/>
  <c r="V165" i="39"/>
  <c r="U187" i="39"/>
  <c r="U117" i="39" s="1"/>
  <c r="U116" i="39"/>
  <c r="EI35" i="30"/>
  <c r="EH37" i="30"/>
  <c r="EH38" i="30" s="1"/>
  <c r="EH39" i="30" s="1"/>
  <c r="V140" i="39" l="1"/>
  <c r="V181" i="39" s="1"/>
  <c r="V63" i="39"/>
  <c r="V64" i="39" s="1"/>
  <c r="V91" i="39"/>
  <c r="V176" i="39"/>
  <c r="V175" i="39" s="1"/>
  <c r="V135" i="39"/>
  <c r="V136" i="39" s="1"/>
  <c r="U177" i="39"/>
  <c r="U115" i="39"/>
  <c r="EJ35" i="30"/>
  <c r="EI37" i="30"/>
  <c r="EI38" i="30" s="1"/>
  <c r="EI39" i="30" s="1"/>
  <c r="U189" i="39" l="1"/>
  <c r="U190" i="39"/>
  <c r="V145" i="39"/>
  <c r="V137" i="39" s="1"/>
  <c r="V138" i="39" s="1"/>
  <c r="V139" i="39" s="1"/>
  <c r="V65" i="39" s="1"/>
  <c r="V78" i="39" s="1"/>
  <c r="V144" i="39"/>
  <c r="V146" i="39" s="1"/>
  <c r="W143" i="39" s="1"/>
  <c r="EK35" i="30"/>
  <c r="EJ37" i="30"/>
  <c r="EJ38" i="30" s="1"/>
  <c r="EJ39" i="30" s="1"/>
  <c r="V66" i="39" l="1"/>
  <c r="V185" i="39" s="1"/>
  <c r="EL35" i="30"/>
  <c r="EK37" i="30"/>
  <c r="EK38" i="30" s="1"/>
  <c r="EK39" i="30" s="1"/>
  <c r="W88" i="39" l="1"/>
  <c r="V184" i="39"/>
  <c r="EM35" i="30"/>
  <c r="EL37" i="30"/>
  <c r="EL38" i="30" s="1"/>
  <c r="EL39" i="30" s="1"/>
  <c r="EN35" i="30" l="1"/>
  <c r="EM37" i="30"/>
  <c r="EM38" i="30" s="1"/>
  <c r="EM39" i="30" s="1"/>
  <c r="D170" i="5"/>
  <c r="N27" i="19"/>
  <c r="N18" i="19"/>
  <c r="N9" i="19"/>
  <c r="C3" i="19"/>
  <c r="M30" i="18"/>
  <c r="L30" i="18"/>
  <c r="K30" i="18"/>
  <c r="J30" i="18"/>
  <c r="I30" i="18"/>
  <c r="H30" i="18"/>
  <c r="G30" i="18"/>
  <c r="F30" i="18"/>
  <c r="E30" i="18"/>
  <c r="D30" i="18"/>
  <c r="C30" i="18"/>
  <c r="B30" i="18"/>
  <c r="N28" i="18"/>
  <c r="N12" i="18"/>
  <c r="C6" i="18"/>
  <c r="B5" i="18"/>
  <c r="C4" i="18"/>
  <c r="O80" i="17"/>
  <c r="O48" i="17"/>
  <c r="O44" i="17"/>
  <c r="O8" i="17"/>
  <c r="K5" i="17"/>
  <c r="J5" i="17"/>
  <c r="I5" i="17"/>
  <c r="H5" i="17"/>
  <c r="G5" i="17"/>
  <c r="F5" i="17"/>
  <c r="E5" i="17"/>
  <c r="D5" i="17"/>
  <c r="B26" i="16"/>
  <c r="D22" i="16"/>
  <c r="D19" i="16"/>
  <c r="D16" i="16"/>
  <c r="D10" i="16"/>
  <c r="Z10" i="16"/>
  <c r="Y19" i="16"/>
  <c r="V10" i="16"/>
  <c r="N10" i="16"/>
  <c r="K7" i="16"/>
  <c r="J10" i="16"/>
  <c r="F7" i="16"/>
  <c r="N31" i="10"/>
  <c r="I27" i="10"/>
  <c r="H27" i="10"/>
  <c r="X50" i="4" s="1"/>
  <c r="AB50" i="4" s="1"/>
  <c r="AF50" i="4" s="1"/>
  <c r="AJ50" i="4" s="1"/>
  <c r="AN50" i="4" s="1"/>
  <c r="AR50" i="4" s="1"/>
  <c r="AV50" i="4" s="1"/>
  <c r="AZ50" i="4" s="1"/>
  <c r="BD50" i="4" s="1"/>
  <c r="BH50" i="4" s="1"/>
  <c r="BL50" i="4" s="1"/>
  <c r="BP50" i="4" s="1"/>
  <c r="BT50" i="4" s="1"/>
  <c r="BX50" i="4" s="1"/>
  <c r="G27" i="10"/>
  <c r="F27" i="10"/>
  <c r="W50" i="4" s="1"/>
  <c r="AA50" i="4" s="1"/>
  <c r="AE50" i="4" s="1"/>
  <c r="AI50" i="4" s="1"/>
  <c r="AM50" i="4" s="1"/>
  <c r="AQ50" i="4" s="1"/>
  <c r="AU50" i="4" s="1"/>
  <c r="AY50" i="4" s="1"/>
  <c r="BC50" i="4" s="1"/>
  <c r="BG50" i="4" s="1"/>
  <c r="BK50" i="4" s="1"/>
  <c r="BO50" i="4" s="1"/>
  <c r="BS50" i="4" s="1"/>
  <c r="BW50" i="4" s="1"/>
  <c r="N26" i="10"/>
  <c r="N25" i="10"/>
  <c r="F24" i="10"/>
  <c r="E23" i="10"/>
  <c r="N21" i="10"/>
  <c r="M4" i="10"/>
  <c r="M30" i="10" s="1"/>
  <c r="K4" i="10"/>
  <c r="K30" i="10" s="1"/>
  <c r="J4" i="10"/>
  <c r="I4" i="10"/>
  <c r="G4" i="10"/>
  <c r="G30" i="10" s="1"/>
  <c r="F4" i="10"/>
  <c r="F30" i="10" s="1"/>
  <c r="E4" i="10"/>
  <c r="E30" i="10" s="1"/>
  <c r="C4" i="10"/>
  <c r="B4" i="10"/>
  <c r="A51" i="6"/>
  <c r="C30" i="6" s="1"/>
  <c r="E38" i="6"/>
  <c r="C31" i="6" s="1"/>
  <c r="D178" i="5"/>
  <c r="E174" i="5"/>
  <c r="D174" i="5"/>
  <c r="D170" i="33" s="1"/>
  <c r="E159" i="5"/>
  <c r="CN158" i="5"/>
  <c r="CM158" i="5"/>
  <c r="CL158" i="5"/>
  <c r="CK158" i="5"/>
  <c r="CJ158" i="5"/>
  <c r="CI158" i="5"/>
  <c r="CH158" i="5"/>
  <c r="CG158" i="5"/>
  <c r="CF158" i="5"/>
  <c r="CE158" i="5"/>
  <c r="CD158" i="5"/>
  <c r="CC158" i="5"/>
  <c r="CB158" i="5"/>
  <c r="CA158" i="5"/>
  <c r="BZ158" i="5"/>
  <c r="BY158" i="5"/>
  <c r="BX158" i="5"/>
  <c r="BW158" i="5"/>
  <c r="BV158" i="5"/>
  <c r="BU158" i="5"/>
  <c r="BT158" i="5"/>
  <c r="BS158" i="5"/>
  <c r="BR158" i="5"/>
  <c r="BQ158" i="5"/>
  <c r="BP158" i="5"/>
  <c r="BO158" i="5"/>
  <c r="BN158" i="5"/>
  <c r="BM158" i="5"/>
  <c r="BL158" i="5"/>
  <c r="BK158" i="5"/>
  <c r="BJ158" i="5"/>
  <c r="BI158" i="5"/>
  <c r="BH158" i="5"/>
  <c r="BG158" i="5"/>
  <c r="BF158" i="5"/>
  <c r="BE158" i="5"/>
  <c r="BD158" i="5"/>
  <c r="BC158" i="5"/>
  <c r="BB158" i="5"/>
  <c r="BA158" i="5"/>
  <c r="AZ158" i="5"/>
  <c r="AY158" i="5"/>
  <c r="AX158" i="5"/>
  <c r="AW158" i="5"/>
  <c r="AV158" i="5"/>
  <c r="AU158" i="5"/>
  <c r="AT158" i="5"/>
  <c r="AS158" i="5"/>
  <c r="AR158" i="5"/>
  <c r="AQ158" i="5"/>
  <c r="AP158" i="5"/>
  <c r="AO158" i="5"/>
  <c r="AN158" i="5"/>
  <c r="AM158" i="5"/>
  <c r="AL158" i="5"/>
  <c r="AK158" i="5"/>
  <c r="AJ158" i="5"/>
  <c r="AI158" i="5"/>
  <c r="AH158" i="5"/>
  <c r="AG158" i="5"/>
  <c r="AF158" i="5"/>
  <c r="AE158" i="5"/>
  <c r="AD158" i="5"/>
  <c r="AC158" i="5"/>
  <c r="AB158" i="5"/>
  <c r="AA158" i="5"/>
  <c r="Z158" i="5"/>
  <c r="Y158" i="5"/>
  <c r="X158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D153" i="5"/>
  <c r="D152" i="5"/>
  <c r="D137" i="5"/>
  <c r="D136" i="5"/>
  <c r="E126" i="5"/>
  <c r="D126" i="5"/>
  <c r="D93" i="5"/>
  <c r="F87" i="5"/>
  <c r="W158" i="5"/>
  <c r="V158" i="5"/>
  <c r="U158" i="5"/>
  <c r="T158" i="5"/>
  <c r="S158" i="5"/>
  <c r="Q158" i="5"/>
  <c r="P158" i="5"/>
  <c r="O158" i="5"/>
  <c r="N158" i="5"/>
  <c r="M158" i="5"/>
  <c r="L158" i="5"/>
  <c r="K158" i="5"/>
  <c r="I158" i="5"/>
  <c r="H158" i="5"/>
  <c r="G158" i="5"/>
  <c r="F158" i="5"/>
  <c r="E158" i="5"/>
  <c r="E70" i="5"/>
  <c r="F70" i="5" s="1"/>
  <c r="G70" i="5" s="1"/>
  <c r="H70" i="5" s="1"/>
  <c r="I70" i="5" s="1"/>
  <c r="J70" i="5" s="1"/>
  <c r="K70" i="5" s="1"/>
  <c r="L70" i="5" s="1"/>
  <c r="M70" i="5" s="1"/>
  <c r="N70" i="5" s="1"/>
  <c r="O70" i="5" s="1"/>
  <c r="P70" i="5" s="1"/>
  <c r="Q70" i="5" s="1"/>
  <c r="R70" i="5" s="1"/>
  <c r="S70" i="5" s="1"/>
  <c r="T70" i="5" s="1"/>
  <c r="U70" i="5" s="1"/>
  <c r="V70" i="5" s="1"/>
  <c r="W70" i="5" s="1"/>
  <c r="X70" i="5" s="1"/>
  <c r="Y70" i="5" s="1"/>
  <c r="Z70" i="5" s="1"/>
  <c r="AA70" i="5" s="1"/>
  <c r="AB70" i="5" s="1"/>
  <c r="AC70" i="5" s="1"/>
  <c r="AD70" i="5" s="1"/>
  <c r="AE70" i="5" s="1"/>
  <c r="AF70" i="5" s="1"/>
  <c r="AG70" i="5" s="1"/>
  <c r="AH70" i="5" s="1"/>
  <c r="AI70" i="5" s="1"/>
  <c r="AJ70" i="5" s="1"/>
  <c r="AK70" i="5" s="1"/>
  <c r="AL70" i="5" s="1"/>
  <c r="AM70" i="5" s="1"/>
  <c r="AN70" i="5" s="1"/>
  <c r="AO70" i="5" s="1"/>
  <c r="AP70" i="5" s="1"/>
  <c r="AQ70" i="5" s="1"/>
  <c r="AR70" i="5" s="1"/>
  <c r="AS70" i="5" s="1"/>
  <c r="AT70" i="5" s="1"/>
  <c r="AU70" i="5" s="1"/>
  <c r="AV70" i="5" s="1"/>
  <c r="AW70" i="5" s="1"/>
  <c r="AX70" i="5" s="1"/>
  <c r="AY70" i="5" s="1"/>
  <c r="AZ70" i="5" s="1"/>
  <c r="BA70" i="5" s="1"/>
  <c r="BB70" i="5" s="1"/>
  <c r="BC70" i="5" s="1"/>
  <c r="BD70" i="5" s="1"/>
  <c r="BE70" i="5" s="1"/>
  <c r="BF70" i="5" s="1"/>
  <c r="BG70" i="5" s="1"/>
  <c r="BH70" i="5" s="1"/>
  <c r="BI70" i="5" s="1"/>
  <c r="BJ70" i="5" s="1"/>
  <c r="BK70" i="5" s="1"/>
  <c r="BL70" i="5" s="1"/>
  <c r="BM70" i="5" s="1"/>
  <c r="BN70" i="5" s="1"/>
  <c r="BO70" i="5" s="1"/>
  <c r="BP70" i="5" s="1"/>
  <c r="BQ70" i="5" s="1"/>
  <c r="BR70" i="5" s="1"/>
  <c r="BS70" i="5" s="1"/>
  <c r="BT70" i="5" s="1"/>
  <c r="BU70" i="5" s="1"/>
  <c r="BV70" i="5" s="1"/>
  <c r="BW70" i="5" s="1"/>
  <c r="BX70" i="5" s="1"/>
  <c r="BY70" i="5" s="1"/>
  <c r="BZ70" i="5" s="1"/>
  <c r="CA70" i="5" s="1"/>
  <c r="CB70" i="5" s="1"/>
  <c r="CC70" i="5" s="1"/>
  <c r="CD70" i="5" s="1"/>
  <c r="CE70" i="5" s="1"/>
  <c r="CF70" i="5" s="1"/>
  <c r="CG70" i="5" s="1"/>
  <c r="CH70" i="5" s="1"/>
  <c r="CI70" i="5" s="1"/>
  <c r="CJ70" i="5" s="1"/>
  <c r="CK70" i="5" s="1"/>
  <c r="CL70" i="5" s="1"/>
  <c r="CM70" i="5" s="1"/>
  <c r="CN70" i="5" s="1"/>
  <c r="D70" i="5"/>
  <c r="D70" i="33" s="1"/>
  <c r="CO66" i="5"/>
  <c r="CO64" i="5"/>
  <c r="D60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E79" i="5" s="1"/>
  <c r="E169" i="5" s="1"/>
  <c r="D28" i="5"/>
  <c r="D18" i="5"/>
  <c r="D18" i="33" s="1"/>
  <c r="E12" i="5"/>
  <c r="E18" i="5" s="1"/>
  <c r="F18" i="5" s="1"/>
  <c r="G18" i="5" s="1"/>
  <c r="H18" i="5" s="1"/>
  <c r="I18" i="5" s="1"/>
  <c r="J18" i="5" s="1"/>
  <c r="K18" i="5" s="1"/>
  <c r="L18" i="5" s="1"/>
  <c r="M18" i="5" s="1"/>
  <c r="N18" i="5" s="1"/>
  <c r="O18" i="5" s="1"/>
  <c r="P18" i="5" s="1"/>
  <c r="Q18" i="5" s="1"/>
  <c r="R18" i="5" s="1"/>
  <c r="S18" i="5" s="1"/>
  <c r="T18" i="5" s="1"/>
  <c r="U18" i="5" s="1"/>
  <c r="V18" i="5" s="1"/>
  <c r="W18" i="5" s="1"/>
  <c r="X18" i="5" s="1"/>
  <c r="Y18" i="5" s="1"/>
  <c r="Z18" i="5" s="1"/>
  <c r="AA18" i="5" s="1"/>
  <c r="AB18" i="5" s="1"/>
  <c r="AC18" i="5" s="1"/>
  <c r="AD18" i="5" s="1"/>
  <c r="AE18" i="5" s="1"/>
  <c r="AF18" i="5" s="1"/>
  <c r="AG18" i="5" s="1"/>
  <c r="AH18" i="5" s="1"/>
  <c r="AI18" i="5" s="1"/>
  <c r="AJ18" i="5" s="1"/>
  <c r="AK18" i="5" s="1"/>
  <c r="AL18" i="5" s="1"/>
  <c r="AM18" i="5" s="1"/>
  <c r="AN18" i="5" s="1"/>
  <c r="AO18" i="5" s="1"/>
  <c r="AP18" i="5" s="1"/>
  <c r="AQ18" i="5" s="1"/>
  <c r="AR18" i="5" s="1"/>
  <c r="AS18" i="5" s="1"/>
  <c r="AT18" i="5" s="1"/>
  <c r="AU18" i="5" s="1"/>
  <c r="AV18" i="5" s="1"/>
  <c r="AW18" i="5" s="1"/>
  <c r="AX18" i="5" s="1"/>
  <c r="AY18" i="5" s="1"/>
  <c r="AZ18" i="5" s="1"/>
  <c r="BA18" i="5" s="1"/>
  <c r="BB18" i="5" s="1"/>
  <c r="BC18" i="5" s="1"/>
  <c r="BD18" i="5" s="1"/>
  <c r="BE18" i="5" s="1"/>
  <c r="BF18" i="5" s="1"/>
  <c r="BG18" i="5" s="1"/>
  <c r="BH18" i="5" s="1"/>
  <c r="BI18" i="5" s="1"/>
  <c r="BJ18" i="5" s="1"/>
  <c r="BK18" i="5" s="1"/>
  <c r="BL18" i="5" s="1"/>
  <c r="BM18" i="5" s="1"/>
  <c r="BN18" i="5" s="1"/>
  <c r="BO18" i="5" s="1"/>
  <c r="BP18" i="5" s="1"/>
  <c r="BQ18" i="5" s="1"/>
  <c r="BR18" i="5" s="1"/>
  <c r="BS18" i="5" s="1"/>
  <c r="BT18" i="5" s="1"/>
  <c r="BU18" i="5" s="1"/>
  <c r="BV18" i="5" s="1"/>
  <c r="BW18" i="5" s="1"/>
  <c r="BX18" i="5" s="1"/>
  <c r="BY18" i="5" s="1"/>
  <c r="BZ18" i="5" s="1"/>
  <c r="CA18" i="5" s="1"/>
  <c r="CB18" i="5" s="1"/>
  <c r="CC18" i="5" s="1"/>
  <c r="CD18" i="5" s="1"/>
  <c r="CE18" i="5" s="1"/>
  <c r="CF18" i="5" s="1"/>
  <c r="CG18" i="5" s="1"/>
  <c r="CH18" i="5" s="1"/>
  <c r="CI18" i="5" s="1"/>
  <c r="CJ18" i="5" s="1"/>
  <c r="CK18" i="5" s="1"/>
  <c r="CL18" i="5" s="1"/>
  <c r="CM18" i="5" s="1"/>
  <c r="CN18" i="5" s="1"/>
  <c r="CO18" i="5" s="1"/>
  <c r="Y10" i="5"/>
  <c r="AC10" i="5" s="1"/>
  <c r="AG10" i="5" s="1"/>
  <c r="AK10" i="5" s="1"/>
  <c r="AO10" i="5" s="1"/>
  <c r="AS10" i="5" s="1"/>
  <c r="AW10" i="5" s="1"/>
  <c r="BA10" i="5" s="1"/>
  <c r="BE10" i="5" s="1"/>
  <c r="BI10" i="5" s="1"/>
  <c r="BM10" i="5" s="1"/>
  <c r="BQ10" i="5" s="1"/>
  <c r="BU10" i="5" s="1"/>
  <c r="BY10" i="5" s="1"/>
  <c r="CC10" i="5" s="1"/>
  <c r="CG10" i="5" s="1"/>
  <c r="CK10" i="5" s="1"/>
  <c r="L10" i="5"/>
  <c r="P10" i="5" s="1"/>
  <c r="T10" i="5" s="1"/>
  <c r="X10" i="5" s="1"/>
  <c r="AB10" i="5" s="1"/>
  <c r="AF10" i="5" s="1"/>
  <c r="AJ10" i="5" s="1"/>
  <c r="AN10" i="5" s="1"/>
  <c r="AR10" i="5" s="1"/>
  <c r="AV10" i="5" s="1"/>
  <c r="AZ10" i="5" s="1"/>
  <c r="BD10" i="5" s="1"/>
  <c r="BH10" i="5" s="1"/>
  <c r="BL10" i="5" s="1"/>
  <c r="BP10" i="5" s="1"/>
  <c r="BT10" i="5" s="1"/>
  <c r="BX10" i="5" s="1"/>
  <c r="CB10" i="5" s="1"/>
  <c r="CF10" i="5" s="1"/>
  <c r="CJ10" i="5" s="1"/>
  <c r="CN10" i="5" s="1"/>
  <c r="K10" i="5"/>
  <c r="O10" i="5" s="1"/>
  <c r="S10" i="5" s="1"/>
  <c r="W10" i="5" s="1"/>
  <c r="AA10" i="5" s="1"/>
  <c r="AE10" i="5" s="1"/>
  <c r="AI10" i="5" s="1"/>
  <c r="AM10" i="5" s="1"/>
  <c r="AQ10" i="5" s="1"/>
  <c r="AU10" i="5" s="1"/>
  <c r="AY10" i="5" s="1"/>
  <c r="BC10" i="5" s="1"/>
  <c r="BG10" i="5" s="1"/>
  <c r="BK10" i="5" s="1"/>
  <c r="BO10" i="5" s="1"/>
  <c r="BS10" i="5" s="1"/>
  <c r="BW10" i="5" s="1"/>
  <c r="CA10" i="5" s="1"/>
  <c r="CE10" i="5" s="1"/>
  <c r="CI10" i="5" s="1"/>
  <c r="CM10" i="5" s="1"/>
  <c r="J10" i="5"/>
  <c r="N10" i="5" s="1"/>
  <c r="R10" i="5" s="1"/>
  <c r="V10" i="5" s="1"/>
  <c r="Z10" i="5" s="1"/>
  <c r="AD10" i="5" s="1"/>
  <c r="AH10" i="5" s="1"/>
  <c r="AL10" i="5" s="1"/>
  <c r="AP10" i="5" s="1"/>
  <c r="AT10" i="5" s="1"/>
  <c r="AX10" i="5" s="1"/>
  <c r="BB10" i="5" s="1"/>
  <c r="BF10" i="5" s="1"/>
  <c r="BJ10" i="5" s="1"/>
  <c r="BN10" i="5" s="1"/>
  <c r="BR10" i="5" s="1"/>
  <c r="BV10" i="5" s="1"/>
  <c r="BZ10" i="5" s="1"/>
  <c r="CD10" i="5" s="1"/>
  <c r="CH10" i="5" s="1"/>
  <c r="CL10" i="5" s="1"/>
  <c r="I10" i="5"/>
  <c r="M10" i="5" s="1"/>
  <c r="Q10" i="5" s="1"/>
  <c r="U10" i="5" s="1"/>
  <c r="D172" i="4"/>
  <c r="E168" i="4"/>
  <c r="D168" i="4"/>
  <c r="D164" i="32" s="1"/>
  <c r="D162" i="4"/>
  <c r="E157" i="4"/>
  <c r="CN156" i="4"/>
  <c r="CM156" i="4"/>
  <c r="CL156" i="4"/>
  <c r="CK156" i="4"/>
  <c r="CJ156" i="4"/>
  <c r="CI156" i="4"/>
  <c r="CH156" i="4"/>
  <c r="CG156" i="4"/>
  <c r="CF156" i="4"/>
  <c r="CE156" i="4"/>
  <c r="CD156" i="4"/>
  <c r="CC156" i="4"/>
  <c r="CB156" i="4"/>
  <c r="CA156" i="4"/>
  <c r="BZ156" i="4"/>
  <c r="BY156" i="4"/>
  <c r="BX156" i="4"/>
  <c r="BW156" i="4"/>
  <c r="BV156" i="4"/>
  <c r="BU156" i="4"/>
  <c r="BT156" i="4"/>
  <c r="BS156" i="4"/>
  <c r="BR156" i="4"/>
  <c r="BQ156" i="4"/>
  <c r="BP156" i="4"/>
  <c r="BO156" i="4"/>
  <c r="BN156" i="4"/>
  <c r="BM156" i="4"/>
  <c r="BL156" i="4"/>
  <c r="BK156" i="4"/>
  <c r="BJ156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D150" i="4"/>
  <c r="D134" i="4"/>
  <c r="E124" i="4"/>
  <c r="D124" i="4"/>
  <c r="D83" i="32"/>
  <c r="W156" i="4"/>
  <c r="V156" i="4"/>
  <c r="U156" i="4"/>
  <c r="T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E69" i="4"/>
  <c r="F69" i="4" s="1"/>
  <c r="G69" i="4" s="1"/>
  <c r="H69" i="4" s="1"/>
  <c r="I69" i="4" s="1"/>
  <c r="J69" i="4" s="1"/>
  <c r="K69" i="4" s="1"/>
  <c r="L69" i="4" s="1"/>
  <c r="M69" i="4" s="1"/>
  <c r="N69" i="4" s="1"/>
  <c r="O69" i="4" s="1"/>
  <c r="P69" i="4" s="1"/>
  <c r="Q69" i="4" s="1"/>
  <c r="R69" i="4" s="1"/>
  <c r="S69" i="4" s="1"/>
  <c r="T69" i="4" s="1"/>
  <c r="U69" i="4" s="1"/>
  <c r="V69" i="4" s="1"/>
  <c r="W69" i="4" s="1"/>
  <c r="X69" i="4" s="1"/>
  <c r="Y69" i="4" s="1"/>
  <c r="Z69" i="4" s="1"/>
  <c r="AA69" i="4" s="1"/>
  <c r="AB69" i="4" s="1"/>
  <c r="AC69" i="4" s="1"/>
  <c r="AD69" i="4" s="1"/>
  <c r="AE69" i="4" s="1"/>
  <c r="AF69" i="4" s="1"/>
  <c r="AG69" i="4" s="1"/>
  <c r="AH69" i="4" s="1"/>
  <c r="AI69" i="4" s="1"/>
  <c r="AJ69" i="4" s="1"/>
  <c r="AK69" i="4" s="1"/>
  <c r="AL69" i="4" s="1"/>
  <c r="AM69" i="4" s="1"/>
  <c r="AN69" i="4" s="1"/>
  <c r="AO69" i="4" s="1"/>
  <c r="AP69" i="4" s="1"/>
  <c r="AQ69" i="4" s="1"/>
  <c r="AR69" i="4" s="1"/>
  <c r="AS69" i="4" s="1"/>
  <c r="AT69" i="4" s="1"/>
  <c r="AU69" i="4" s="1"/>
  <c r="AV69" i="4" s="1"/>
  <c r="AW69" i="4" s="1"/>
  <c r="AX69" i="4" s="1"/>
  <c r="AY69" i="4" s="1"/>
  <c r="AZ69" i="4" s="1"/>
  <c r="BA69" i="4" s="1"/>
  <c r="BB69" i="4" s="1"/>
  <c r="BC69" i="4" s="1"/>
  <c r="BD69" i="4" s="1"/>
  <c r="BE69" i="4" s="1"/>
  <c r="BF69" i="4" s="1"/>
  <c r="BG69" i="4" s="1"/>
  <c r="BH69" i="4" s="1"/>
  <c r="BI69" i="4" s="1"/>
  <c r="BJ69" i="4" s="1"/>
  <c r="BK69" i="4" s="1"/>
  <c r="BL69" i="4" s="1"/>
  <c r="BM69" i="4" s="1"/>
  <c r="BN69" i="4" s="1"/>
  <c r="BO69" i="4" s="1"/>
  <c r="BP69" i="4" s="1"/>
  <c r="BQ69" i="4" s="1"/>
  <c r="BR69" i="4" s="1"/>
  <c r="BS69" i="4" s="1"/>
  <c r="BT69" i="4" s="1"/>
  <c r="BU69" i="4" s="1"/>
  <c r="BV69" i="4" s="1"/>
  <c r="BW69" i="4" s="1"/>
  <c r="BX69" i="4" s="1"/>
  <c r="BY69" i="4" s="1"/>
  <c r="BZ69" i="4" s="1"/>
  <c r="CA69" i="4" s="1"/>
  <c r="CB69" i="4" s="1"/>
  <c r="CC69" i="4" s="1"/>
  <c r="CD69" i="4" s="1"/>
  <c r="CE69" i="4" s="1"/>
  <c r="CF69" i="4" s="1"/>
  <c r="CG69" i="4" s="1"/>
  <c r="CH69" i="4" s="1"/>
  <c r="CI69" i="4" s="1"/>
  <c r="CJ69" i="4" s="1"/>
  <c r="CK69" i="4" s="1"/>
  <c r="CL69" i="4" s="1"/>
  <c r="CM69" i="4" s="1"/>
  <c r="CN69" i="4" s="1"/>
  <c r="D69" i="4"/>
  <c r="D65" i="32" s="1"/>
  <c r="CO65" i="4"/>
  <c r="CO63" i="4"/>
  <c r="D59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D18" i="4"/>
  <c r="D18" i="32" s="1"/>
  <c r="BH14" i="5"/>
  <c r="BG14" i="5"/>
  <c r="BF14" i="5"/>
  <c r="BE14" i="5"/>
  <c r="AF14" i="5"/>
  <c r="AE14" i="5"/>
  <c r="AD14" i="5"/>
  <c r="AC14" i="5"/>
  <c r="E12" i="4"/>
  <c r="F12" i="4" s="1"/>
  <c r="G12" i="4" s="1"/>
  <c r="H12" i="4" s="1"/>
  <c r="I12" i="4" s="1"/>
  <c r="J12" i="4" s="1"/>
  <c r="K12" i="4" s="1"/>
  <c r="L12" i="4" s="1"/>
  <c r="M12" i="4" s="1"/>
  <c r="N12" i="4" s="1"/>
  <c r="O12" i="4" s="1"/>
  <c r="P12" i="4" s="1"/>
  <c r="Q12" i="4" s="1"/>
  <c r="R12" i="4" s="1"/>
  <c r="S12" i="4" s="1"/>
  <c r="T12" i="4" s="1"/>
  <c r="U12" i="4" s="1"/>
  <c r="V12" i="4" s="1"/>
  <c r="W12" i="4" s="1"/>
  <c r="X12" i="4" s="1"/>
  <c r="Y12" i="4" s="1"/>
  <c r="Z12" i="4" s="1"/>
  <c r="AA12" i="4" s="1"/>
  <c r="AB12" i="4" s="1"/>
  <c r="AC12" i="4" s="1"/>
  <c r="AD12" i="4" s="1"/>
  <c r="AE12" i="4" s="1"/>
  <c r="AF12" i="4" s="1"/>
  <c r="AG12" i="4" s="1"/>
  <c r="AH12" i="4" s="1"/>
  <c r="AI12" i="4" s="1"/>
  <c r="AJ12" i="4" s="1"/>
  <c r="AK12" i="4" s="1"/>
  <c r="AL12" i="4" s="1"/>
  <c r="AM12" i="4" s="1"/>
  <c r="AN12" i="4" s="1"/>
  <c r="AO12" i="4" s="1"/>
  <c r="AP12" i="4" s="1"/>
  <c r="AQ12" i="4" s="1"/>
  <c r="AR12" i="4" s="1"/>
  <c r="AS12" i="4" s="1"/>
  <c r="AT12" i="4" s="1"/>
  <c r="AU12" i="4" s="1"/>
  <c r="AV12" i="4" s="1"/>
  <c r="AW12" i="4" s="1"/>
  <c r="AX12" i="4" s="1"/>
  <c r="AY12" i="4" s="1"/>
  <c r="AZ12" i="4" s="1"/>
  <c r="BA12" i="4" s="1"/>
  <c r="BB12" i="4" s="1"/>
  <c r="BC12" i="4" s="1"/>
  <c r="BD12" i="4" s="1"/>
  <c r="BE12" i="4" s="1"/>
  <c r="BF12" i="4" s="1"/>
  <c r="BG12" i="4" s="1"/>
  <c r="BH12" i="4" s="1"/>
  <c r="BI12" i="4" s="1"/>
  <c r="BJ12" i="4" s="1"/>
  <c r="BK12" i="4" s="1"/>
  <c r="BL12" i="4" s="1"/>
  <c r="BM12" i="4" s="1"/>
  <c r="BN12" i="4" s="1"/>
  <c r="BO12" i="4" s="1"/>
  <c r="BP12" i="4" s="1"/>
  <c r="BQ12" i="4" s="1"/>
  <c r="BR12" i="4" s="1"/>
  <c r="BS12" i="4" s="1"/>
  <c r="BT12" i="4" s="1"/>
  <c r="BU12" i="4" s="1"/>
  <c r="BV12" i="4" s="1"/>
  <c r="BW12" i="4" s="1"/>
  <c r="BX12" i="4" s="1"/>
  <c r="BY12" i="4" s="1"/>
  <c r="BZ12" i="4" s="1"/>
  <c r="CA12" i="4" s="1"/>
  <c r="CB12" i="4" s="1"/>
  <c r="CC12" i="4" s="1"/>
  <c r="CD12" i="4" s="1"/>
  <c r="CE12" i="4" s="1"/>
  <c r="CF12" i="4" s="1"/>
  <c r="CG12" i="4" s="1"/>
  <c r="CH12" i="4" s="1"/>
  <c r="CI12" i="4" s="1"/>
  <c r="CJ12" i="4" s="1"/>
  <c r="CK12" i="4" s="1"/>
  <c r="CL12" i="4" s="1"/>
  <c r="CM12" i="4" s="1"/>
  <c r="CN12" i="4" s="1"/>
  <c r="Y10" i="4"/>
  <c r="AC10" i="4" s="1"/>
  <c r="AG10" i="4" s="1"/>
  <c r="AK10" i="4" s="1"/>
  <c r="AO10" i="4" s="1"/>
  <c r="AS10" i="4" s="1"/>
  <c r="AW10" i="4" s="1"/>
  <c r="BA10" i="4" s="1"/>
  <c r="BE10" i="4" s="1"/>
  <c r="BI10" i="4" s="1"/>
  <c r="BM10" i="4" s="1"/>
  <c r="BQ10" i="4" s="1"/>
  <c r="BU10" i="4" s="1"/>
  <c r="BY10" i="4" s="1"/>
  <c r="CC10" i="4" s="1"/>
  <c r="CG10" i="4" s="1"/>
  <c r="CK10" i="4" s="1"/>
  <c r="L10" i="4"/>
  <c r="P10" i="4" s="1"/>
  <c r="T10" i="4" s="1"/>
  <c r="X10" i="4" s="1"/>
  <c r="AB10" i="4" s="1"/>
  <c r="AF10" i="4" s="1"/>
  <c r="AJ10" i="4" s="1"/>
  <c r="AN10" i="4" s="1"/>
  <c r="AR10" i="4" s="1"/>
  <c r="AV10" i="4" s="1"/>
  <c r="AZ10" i="4" s="1"/>
  <c r="BD10" i="4" s="1"/>
  <c r="BH10" i="4" s="1"/>
  <c r="BL10" i="4" s="1"/>
  <c r="BP10" i="4" s="1"/>
  <c r="BT10" i="4" s="1"/>
  <c r="BX10" i="4" s="1"/>
  <c r="CB10" i="4" s="1"/>
  <c r="CF10" i="4" s="1"/>
  <c r="CJ10" i="4" s="1"/>
  <c r="CN10" i="4" s="1"/>
  <c r="K10" i="4"/>
  <c r="O10" i="4" s="1"/>
  <c r="S10" i="4" s="1"/>
  <c r="W10" i="4" s="1"/>
  <c r="AA10" i="4" s="1"/>
  <c r="AE10" i="4" s="1"/>
  <c r="AI10" i="4" s="1"/>
  <c r="AM10" i="4" s="1"/>
  <c r="AQ10" i="4" s="1"/>
  <c r="AU10" i="4" s="1"/>
  <c r="AY10" i="4" s="1"/>
  <c r="BC10" i="4" s="1"/>
  <c r="BG10" i="4" s="1"/>
  <c r="BK10" i="4" s="1"/>
  <c r="BO10" i="4" s="1"/>
  <c r="BS10" i="4" s="1"/>
  <c r="BW10" i="4" s="1"/>
  <c r="CA10" i="4" s="1"/>
  <c r="CE10" i="4" s="1"/>
  <c r="CI10" i="4" s="1"/>
  <c r="CM10" i="4" s="1"/>
  <c r="J10" i="4"/>
  <c r="N10" i="4" s="1"/>
  <c r="R10" i="4" s="1"/>
  <c r="V10" i="4" s="1"/>
  <c r="Z10" i="4" s="1"/>
  <c r="AD10" i="4" s="1"/>
  <c r="AH10" i="4" s="1"/>
  <c r="AL10" i="4" s="1"/>
  <c r="AP10" i="4" s="1"/>
  <c r="AT10" i="4" s="1"/>
  <c r="AX10" i="4" s="1"/>
  <c r="BB10" i="4" s="1"/>
  <c r="BF10" i="4" s="1"/>
  <c r="BJ10" i="4" s="1"/>
  <c r="BN10" i="4" s="1"/>
  <c r="BR10" i="4" s="1"/>
  <c r="BV10" i="4" s="1"/>
  <c r="BZ10" i="4" s="1"/>
  <c r="CD10" i="4" s="1"/>
  <c r="CH10" i="4" s="1"/>
  <c r="CL10" i="4" s="1"/>
  <c r="I10" i="4"/>
  <c r="M10" i="4" s="1"/>
  <c r="Q10" i="4" s="1"/>
  <c r="U10" i="4" s="1"/>
  <c r="F9" i="4"/>
  <c r="F168" i="4"/>
  <c r="D37" i="3"/>
  <c r="D38" i="3" s="1"/>
  <c r="D165" i="4" s="1"/>
  <c r="D12" i="3"/>
  <c r="D117" i="17" l="1"/>
  <c r="K15" i="40"/>
  <c r="W53" i="4"/>
  <c r="AA53" i="4" s="1"/>
  <c r="AE53" i="4" s="1"/>
  <c r="AI53" i="4" s="1"/>
  <c r="AM53" i="4" s="1"/>
  <c r="AQ53" i="4" s="1"/>
  <c r="AU53" i="4" s="1"/>
  <c r="AY53" i="4" s="1"/>
  <c r="BC53" i="4" s="1"/>
  <c r="BG53" i="4" s="1"/>
  <c r="BK53" i="4" s="1"/>
  <c r="BO53" i="4" s="1"/>
  <c r="BS53" i="4" s="1"/>
  <c r="BW53" i="4" s="1"/>
  <c r="AJ14" i="5"/>
  <c r="I23" i="10"/>
  <c r="B23" i="10"/>
  <c r="Z46" i="4" s="1"/>
  <c r="AD46" i="4" s="1"/>
  <c r="AH46" i="4" s="1"/>
  <c r="AL46" i="4" s="1"/>
  <c r="AP46" i="4" s="1"/>
  <c r="AT46" i="4" s="1"/>
  <c r="AX46" i="4" s="1"/>
  <c r="BB46" i="4" s="1"/>
  <c r="BF46" i="4" s="1"/>
  <c r="BJ46" i="4" s="1"/>
  <c r="BN46" i="4" s="1"/>
  <c r="BR46" i="4" s="1"/>
  <c r="BV46" i="4" s="1"/>
  <c r="BZ46" i="4" s="1"/>
  <c r="CD46" i="4" s="1"/>
  <c r="CH46" i="4" s="1"/>
  <c r="CL46" i="4" s="1"/>
  <c r="D23" i="10"/>
  <c r="J23" i="10"/>
  <c r="G23" i="10"/>
  <c r="K23" i="10"/>
  <c r="M23" i="10"/>
  <c r="L23" i="10"/>
  <c r="F23" i="10"/>
  <c r="W46" i="4" s="1"/>
  <c r="AA46" i="4" s="1"/>
  <c r="AE46" i="4" s="1"/>
  <c r="AI46" i="4" s="1"/>
  <c r="AM46" i="4" s="1"/>
  <c r="AQ46" i="4" s="1"/>
  <c r="AU46" i="4" s="1"/>
  <c r="AY46" i="4" s="1"/>
  <c r="BC46" i="4" s="1"/>
  <c r="BG46" i="4" s="1"/>
  <c r="BK46" i="4" s="1"/>
  <c r="BO46" i="4" s="1"/>
  <c r="BS46" i="4" s="1"/>
  <c r="BW46" i="4" s="1"/>
  <c r="CA46" i="4" s="1"/>
  <c r="CE46" i="4" s="1"/>
  <c r="CI46" i="4" s="1"/>
  <c r="CM46" i="4" s="1"/>
  <c r="C23" i="10"/>
  <c r="H23" i="10"/>
  <c r="F81" i="18"/>
  <c r="F84" i="18" s="1"/>
  <c r="F85" i="18" s="1"/>
  <c r="F13" i="35" s="1"/>
  <c r="F16" i="35" s="1"/>
  <c r="F63" i="12" s="1"/>
  <c r="M81" i="18"/>
  <c r="M84" i="18" s="1"/>
  <c r="M85" i="18" s="1"/>
  <c r="M13" i="35" s="1"/>
  <c r="M16" i="35" s="1"/>
  <c r="M63" i="12" s="1"/>
  <c r="E81" i="18"/>
  <c r="E84" i="18" s="1"/>
  <c r="E85" i="18" s="1"/>
  <c r="E13" i="35" s="1"/>
  <c r="L81" i="18"/>
  <c r="L84" i="18" s="1"/>
  <c r="L85" i="18" s="1"/>
  <c r="L13" i="35" s="1"/>
  <c r="L16" i="35" s="1"/>
  <c r="L63" i="12" s="1"/>
  <c r="D81" i="18"/>
  <c r="D84" i="18" s="1"/>
  <c r="D85" i="18" s="1"/>
  <c r="D13" i="35" s="1"/>
  <c r="D16" i="35" s="1"/>
  <c r="D63" i="12" s="1"/>
  <c r="K81" i="18"/>
  <c r="K84" i="18" s="1"/>
  <c r="K85" i="18" s="1"/>
  <c r="K13" i="35" s="1"/>
  <c r="K16" i="35" s="1"/>
  <c r="K63" i="12" s="1"/>
  <c r="C81" i="18"/>
  <c r="C84" i="18" s="1"/>
  <c r="C85" i="18" s="1"/>
  <c r="C13" i="35" s="1"/>
  <c r="C16" i="35" s="1"/>
  <c r="C63" i="12" s="1"/>
  <c r="J81" i="18"/>
  <c r="J84" i="18" s="1"/>
  <c r="J85" i="18" s="1"/>
  <c r="J13" i="35" s="1"/>
  <c r="J16" i="35" s="1"/>
  <c r="J63" i="12" s="1"/>
  <c r="B81" i="18"/>
  <c r="B84" i="18" s="1"/>
  <c r="B85" i="18" s="1"/>
  <c r="B13" i="35" s="1"/>
  <c r="I81" i="18"/>
  <c r="I84" i="18" s="1"/>
  <c r="I85" i="18" s="1"/>
  <c r="I13" i="35" s="1"/>
  <c r="I16" i="35" s="1"/>
  <c r="I63" i="12" s="1"/>
  <c r="H81" i="18"/>
  <c r="H84" i="18" s="1"/>
  <c r="H85" i="18" s="1"/>
  <c r="H13" i="35" s="1"/>
  <c r="G81" i="18"/>
  <c r="G84" i="18" s="1"/>
  <c r="G85" i="18" s="1"/>
  <c r="G13" i="35" s="1"/>
  <c r="G16" i="35" s="1"/>
  <c r="G63" i="12" s="1"/>
  <c r="K69" i="18"/>
  <c r="K82" i="18" s="1"/>
  <c r="K94" i="18" s="1"/>
  <c r="C69" i="18"/>
  <c r="C82" i="18" s="1"/>
  <c r="C94" i="18" s="1"/>
  <c r="J69" i="18"/>
  <c r="J82" i="18" s="1"/>
  <c r="J94" i="18" s="1"/>
  <c r="B69" i="18"/>
  <c r="B82" i="18" s="1"/>
  <c r="B94" i="18" s="1"/>
  <c r="I69" i="18"/>
  <c r="I82" i="18" s="1"/>
  <c r="I94" i="18" s="1"/>
  <c r="H69" i="18"/>
  <c r="H82" i="18" s="1"/>
  <c r="H94" i="18" s="1"/>
  <c r="D69" i="18"/>
  <c r="D82" i="18" s="1"/>
  <c r="D94" i="18" s="1"/>
  <c r="G69" i="18"/>
  <c r="G82" i="18" s="1"/>
  <c r="G94" i="18" s="1"/>
  <c r="F69" i="18"/>
  <c r="F82" i="18" s="1"/>
  <c r="F94" i="18" s="1"/>
  <c r="M69" i="18"/>
  <c r="M82" i="18" s="1"/>
  <c r="M94" i="18" s="1"/>
  <c r="E69" i="18"/>
  <c r="E82" i="18" s="1"/>
  <c r="E94" i="18" s="1"/>
  <c r="L69" i="18"/>
  <c r="L82" i="18" s="1"/>
  <c r="L94" i="18" s="1"/>
  <c r="BL14" i="5"/>
  <c r="AO14" i="5"/>
  <c r="AP14" i="5"/>
  <c r="AQ14" i="5"/>
  <c r="AR14" i="5"/>
  <c r="AG14" i="5"/>
  <c r="AW14" i="5"/>
  <c r="AX14" i="5"/>
  <c r="AY14" i="5"/>
  <c r="AZ14" i="5"/>
  <c r="G27" i="17"/>
  <c r="F32" i="22" s="1"/>
  <c r="F33" i="22" s="1"/>
  <c r="N27" i="17"/>
  <c r="M32" i="22" s="1"/>
  <c r="M33" i="22" s="1"/>
  <c r="F27" i="17"/>
  <c r="E32" i="22" s="1"/>
  <c r="E33" i="22" s="1"/>
  <c r="M27" i="17"/>
  <c r="L32" i="22" s="1"/>
  <c r="L33" i="22" s="1"/>
  <c r="E27" i="17"/>
  <c r="D32" i="22" s="1"/>
  <c r="D33" i="22" s="1"/>
  <c r="K27" i="17"/>
  <c r="J32" i="22" s="1"/>
  <c r="J33" i="22" s="1"/>
  <c r="J27" i="17"/>
  <c r="I32" i="22" s="1"/>
  <c r="I33" i="22" s="1"/>
  <c r="L27" i="17"/>
  <c r="K32" i="22" s="1"/>
  <c r="K33" i="22" s="1"/>
  <c r="D27" i="17"/>
  <c r="C32" i="22" s="1"/>
  <c r="C33" i="22" s="1"/>
  <c r="I27" i="17"/>
  <c r="H32" i="22" s="1"/>
  <c r="H33" i="22" s="1"/>
  <c r="H27" i="17"/>
  <c r="G32" i="22" s="1"/>
  <c r="G33" i="22" s="1"/>
  <c r="AS14" i="5"/>
  <c r="BC14" i="5"/>
  <c r="L13" i="18"/>
  <c r="B44" i="18"/>
  <c r="J44" i="18"/>
  <c r="J46" i="18" s="1"/>
  <c r="C44" i="18"/>
  <c r="C46" i="18" s="1"/>
  <c r="K44" i="18"/>
  <c r="K46" i="18" s="1"/>
  <c r="D44" i="18"/>
  <c r="D46" i="18" s="1"/>
  <c r="L44" i="18"/>
  <c r="L46" i="18" s="1"/>
  <c r="I44" i="18"/>
  <c r="I46" i="18" s="1"/>
  <c r="E44" i="18"/>
  <c r="E46" i="18" s="1"/>
  <c r="M44" i="18"/>
  <c r="M46" i="18" s="1"/>
  <c r="F44" i="18"/>
  <c r="F46" i="18" s="1"/>
  <c r="G44" i="18"/>
  <c r="G46" i="18" s="1"/>
  <c r="H44" i="18"/>
  <c r="H46" i="18" s="1"/>
  <c r="G13" i="19"/>
  <c r="G22" i="19" s="1"/>
  <c r="B49" i="18"/>
  <c r="J49" i="18"/>
  <c r="E50" i="18"/>
  <c r="M50" i="18"/>
  <c r="B50" i="18"/>
  <c r="C49" i="18"/>
  <c r="K49" i="18"/>
  <c r="F50" i="18"/>
  <c r="G49" i="18"/>
  <c r="L50" i="18"/>
  <c r="D49" i="18"/>
  <c r="L49" i="18"/>
  <c r="G50" i="18"/>
  <c r="E49" i="18"/>
  <c r="M49" i="18"/>
  <c r="H50" i="18"/>
  <c r="J50" i="18"/>
  <c r="D50" i="18"/>
  <c r="F49" i="18"/>
  <c r="I50" i="18"/>
  <c r="I49" i="18"/>
  <c r="H49" i="18"/>
  <c r="C50" i="18"/>
  <c r="K50" i="18"/>
  <c r="AV14" i="5"/>
  <c r="E18" i="18"/>
  <c r="D35" i="18"/>
  <c r="L35" i="18"/>
  <c r="E35" i="18"/>
  <c r="M35" i="18"/>
  <c r="F35" i="18"/>
  <c r="B35" i="18"/>
  <c r="G35" i="18"/>
  <c r="K35" i="18"/>
  <c r="H35" i="18"/>
  <c r="J35" i="18"/>
  <c r="I35" i="18"/>
  <c r="C35" i="18"/>
  <c r="I22" i="16"/>
  <c r="C22" i="16"/>
  <c r="C23" i="16" s="1"/>
  <c r="D81" i="5"/>
  <c r="E7" i="16"/>
  <c r="E8" i="16" s="1"/>
  <c r="C10" i="16"/>
  <c r="C11" i="16" s="1"/>
  <c r="C16" i="16"/>
  <c r="C17" i="16" s="1"/>
  <c r="C19" i="16"/>
  <c r="C20" i="16" s="1"/>
  <c r="Q19" i="16"/>
  <c r="C8" i="16"/>
  <c r="V22" i="16"/>
  <c r="E171" i="5"/>
  <c r="E170" i="5"/>
  <c r="S57" i="5"/>
  <c r="S79" i="5"/>
  <c r="H57" i="5"/>
  <c r="H79" i="5"/>
  <c r="L57" i="5"/>
  <c r="L79" i="5"/>
  <c r="P57" i="5"/>
  <c r="P79" i="5"/>
  <c r="T57" i="5"/>
  <c r="T79" i="5"/>
  <c r="K57" i="5"/>
  <c r="K79" i="5"/>
  <c r="I57" i="5"/>
  <c r="I79" i="5"/>
  <c r="M57" i="5"/>
  <c r="M79" i="5"/>
  <c r="Q57" i="5"/>
  <c r="Q79" i="5"/>
  <c r="U57" i="5"/>
  <c r="U79" i="5"/>
  <c r="G57" i="5"/>
  <c r="G79" i="5"/>
  <c r="O57" i="5"/>
  <c r="O79" i="5"/>
  <c r="F57" i="5"/>
  <c r="F79" i="5"/>
  <c r="F169" i="5" s="1"/>
  <c r="J57" i="5"/>
  <c r="J79" i="5"/>
  <c r="N57" i="5"/>
  <c r="N79" i="5"/>
  <c r="R57" i="5"/>
  <c r="R79" i="5"/>
  <c r="V57" i="5"/>
  <c r="V79" i="5"/>
  <c r="E57" i="5"/>
  <c r="S74" i="5"/>
  <c r="U75" i="5"/>
  <c r="F73" i="4"/>
  <c r="H74" i="4"/>
  <c r="G73" i="4"/>
  <c r="I74" i="4"/>
  <c r="O73" i="4"/>
  <c r="Q74" i="4"/>
  <c r="H74" i="5"/>
  <c r="J75" i="5"/>
  <c r="P74" i="5"/>
  <c r="R75" i="5"/>
  <c r="C33" i="18"/>
  <c r="C48" i="18" s="1"/>
  <c r="L33" i="18"/>
  <c r="L48" i="18" s="1"/>
  <c r="I33" i="18"/>
  <c r="I48" i="18" s="1"/>
  <c r="G33" i="18"/>
  <c r="G48" i="18" s="1"/>
  <c r="B33" i="18"/>
  <c r="B48" i="18" s="1"/>
  <c r="K33" i="18"/>
  <c r="K48" i="18" s="1"/>
  <c r="M33" i="18"/>
  <c r="M48" i="18" s="1"/>
  <c r="E33" i="18"/>
  <c r="F33" i="18"/>
  <c r="F48" i="18" s="1"/>
  <c r="J33" i="18"/>
  <c r="J48" i="18" s="1"/>
  <c r="D33" i="18"/>
  <c r="D48" i="18" s="1"/>
  <c r="H33" i="18"/>
  <c r="H48" i="18" s="1"/>
  <c r="N73" i="4"/>
  <c r="P74" i="4"/>
  <c r="G74" i="5"/>
  <c r="I75" i="5"/>
  <c r="O74" i="5"/>
  <c r="Q75" i="5"/>
  <c r="D161" i="32"/>
  <c r="D63" i="4"/>
  <c r="D59" i="32" s="1"/>
  <c r="I74" i="5"/>
  <c r="K75" i="5"/>
  <c r="Q74" i="5"/>
  <c r="S75" i="5"/>
  <c r="H73" i="4"/>
  <c r="J74" i="4"/>
  <c r="P73" i="4"/>
  <c r="R74" i="4"/>
  <c r="I73" i="4"/>
  <c r="K74" i="4"/>
  <c r="Q73" i="4"/>
  <c r="S74" i="4"/>
  <c r="D80" i="4"/>
  <c r="D76" i="32" s="1"/>
  <c r="J74" i="5"/>
  <c r="L75" i="5"/>
  <c r="R74" i="5"/>
  <c r="T75" i="5"/>
  <c r="I10" i="16"/>
  <c r="N19" i="16"/>
  <c r="F8" i="4"/>
  <c r="J73" i="4"/>
  <c r="L74" i="4"/>
  <c r="R73" i="4"/>
  <c r="T74" i="4"/>
  <c r="K74" i="5"/>
  <c r="M75" i="5"/>
  <c r="K73" i="4"/>
  <c r="M74" i="4"/>
  <c r="S73" i="4"/>
  <c r="U74" i="4"/>
  <c r="F75" i="5"/>
  <c r="L74" i="5"/>
  <c r="N75" i="5"/>
  <c r="T74" i="5"/>
  <c r="V75" i="5"/>
  <c r="K17" i="18"/>
  <c r="E29" i="4"/>
  <c r="F74" i="4"/>
  <c r="T73" i="4"/>
  <c r="V74" i="4"/>
  <c r="U74" i="5"/>
  <c r="L73" i="4"/>
  <c r="N74" i="4"/>
  <c r="E74" i="5"/>
  <c r="G75" i="5"/>
  <c r="M74" i="5"/>
  <c r="O75" i="5"/>
  <c r="F29" i="4"/>
  <c r="E73" i="4"/>
  <c r="G74" i="4"/>
  <c r="M73" i="4"/>
  <c r="O74" i="4"/>
  <c r="V29" i="4"/>
  <c r="U73" i="4"/>
  <c r="F74" i="5"/>
  <c r="H75" i="5"/>
  <c r="N74" i="5"/>
  <c r="P75" i="5"/>
  <c r="F32" i="18"/>
  <c r="F47" i="18" s="1"/>
  <c r="E32" i="18"/>
  <c r="E47" i="18" s="1"/>
  <c r="J32" i="18"/>
  <c r="M32" i="18"/>
  <c r="M47" i="18" s="1"/>
  <c r="I32" i="18"/>
  <c r="I47" i="18" s="1"/>
  <c r="D32" i="18"/>
  <c r="D47" i="18" s="1"/>
  <c r="H32" i="18"/>
  <c r="H47" i="18" s="1"/>
  <c r="C32" i="18"/>
  <c r="C47" i="18" s="1"/>
  <c r="L32" i="18"/>
  <c r="K32" i="18"/>
  <c r="K47" i="18" s="1"/>
  <c r="G32" i="18"/>
  <c r="B32" i="18"/>
  <c r="B47" i="18" s="1"/>
  <c r="N19" i="18"/>
  <c r="AT14" i="5"/>
  <c r="BI14" i="5"/>
  <c r="AU14" i="5"/>
  <c r="BJ14" i="5"/>
  <c r="BK14" i="5"/>
  <c r="D4" i="10"/>
  <c r="D30" i="10" s="1"/>
  <c r="H4" i="10"/>
  <c r="H30" i="10" s="1"/>
  <c r="L4" i="10"/>
  <c r="L30" i="10" s="1"/>
  <c r="Y53" i="4" s="1"/>
  <c r="AC53" i="4" s="1"/>
  <c r="AG53" i="4" s="1"/>
  <c r="AK53" i="4" s="1"/>
  <c r="AO53" i="4" s="1"/>
  <c r="AS53" i="4" s="1"/>
  <c r="AW53" i="4" s="1"/>
  <c r="BA53" i="4" s="1"/>
  <c r="BE53" i="4" s="1"/>
  <c r="BI53" i="4" s="1"/>
  <c r="BM53" i="4" s="1"/>
  <c r="BQ53" i="4" s="1"/>
  <c r="BU53" i="4" s="1"/>
  <c r="BY53" i="4" s="1"/>
  <c r="F30" i="5"/>
  <c r="F56" i="5"/>
  <c r="J30" i="5"/>
  <c r="N30" i="5"/>
  <c r="V30" i="5"/>
  <c r="V31" i="5" s="1"/>
  <c r="G30" i="5"/>
  <c r="G56" i="5"/>
  <c r="K30" i="5"/>
  <c r="O30" i="5"/>
  <c r="S30" i="5"/>
  <c r="S31" i="5" s="1"/>
  <c r="H30" i="5"/>
  <c r="H56" i="5"/>
  <c r="L30" i="5"/>
  <c r="P30" i="5"/>
  <c r="T30" i="5"/>
  <c r="T31" i="5" s="1"/>
  <c r="R30" i="5"/>
  <c r="E30" i="5"/>
  <c r="E56" i="5"/>
  <c r="I30" i="5"/>
  <c r="M30" i="5"/>
  <c r="Q30" i="5"/>
  <c r="U30" i="5"/>
  <c r="U31" i="5" s="1"/>
  <c r="AA26" i="5"/>
  <c r="AE26" i="5"/>
  <c r="AB26" i="5"/>
  <c r="AF26" i="5"/>
  <c r="Z26" i="5"/>
  <c r="AD26" i="5"/>
  <c r="Y26" i="5"/>
  <c r="AC26" i="5"/>
  <c r="D79" i="4"/>
  <c r="D75" i="32" s="1"/>
  <c r="I24" i="10"/>
  <c r="H24" i="10"/>
  <c r="G24" i="10"/>
  <c r="W47" i="4" s="1"/>
  <c r="AA47" i="4" s="1"/>
  <c r="AE47" i="4" s="1"/>
  <c r="AI47" i="4" s="1"/>
  <c r="AM47" i="4" s="1"/>
  <c r="AQ47" i="4" s="1"/>
  <c r="AU47" i="4" s="1"/>
  <c r="AY47" i="4" s="1"/>
  <c r="BC47" i="4" s="1"/>
  <c r="BG47" i="4" s="1"/>
  <c r="BK47" i="4" s="1"/>
  <c r="BO47" i="4" s="1"/>
  <c r="BS47" i="4" s="1"/>
  <c r="BW47" i="4" s="1"/>
  <c r="G8" i="16"/>
  <c r="O8" i="16"/>
  <c r="O19" i="16"/>
  <c r="D121" i="4"/>
  <c r="D117" i="32" s="1"/>
  <c r="D118" i="4"/>
  <c r="D114" i="32" s="1"/>
  <c r="O16" i="16"/>
  <c r="U22" i="16"/>
  <c r="E22" i="16"/>
  <c r="X16" i="16"/>
  <c r="D13" i="16"/>
  <c r="U10" i="16"/>
  <c r="P16" i="16"/>
  <c r="M22" i="16"/>
  <c r="U8" i="16"/>
  <c r="L14" i="33"/>
  <c r="L14" i="32"/>
  <c r="P14" i="33"/>
  <c r="P14" i="32"/>
  <c r="L46" i="17"/>
  <c r="L47" i="17" s="1"/>
  <c r="B14" i="18"/>
  <c r="C17" i="18"/>
  <c r="L17" i="18"/>
  <c r="F18" i="18"/>
  <c r="Y10" i="16"/>
  <c r="W16" i="16"/>
  <c r="F19" i="16"/>
  <c r="V19" i="16"/>
  <c r="N22" i="16"/>
  <c r="M14" i="33"/>
  <c r="M14" i="32"/>
  <c r="BB14" i="5"/>
  <c r="Q14" i="33"/>
  <c r="Q14" i="32"/>
  <c r="H10" i="17"/>
  <c r="H11" i="17" s="1"/>
  <c r="K15" i="33"/>
  <c r="K15" i="32"/>
  <c r="F14" i="18"/>
  <c r="D17" i="18"/>
  <c r="I18" i="18"/>
  <c r="N30" i="18"/>
  <c r="E34" i="18"/>
  <c r="W8" i="16"/>
  <c r="L10" i="16"/>
  <c r="H16" i="16"/>
  <c r="W19" i="16"/>
  <c r="F22" i="16"/>
  <c r="N14" i="33"/>
  <c r="N14" i="32"/>
  <c r="R14" i="33"/>
  <c r="R14" i="32"/>
  <c r="G14" i="18"/>
  <c r="G17" i="18"/>
  <c r="M18" i="18"/>
  <c r="O14" i="33"/>
  <c r="O14" i="32"/>
  <c r="S14" i="33"/>
  <c r="S14" i="32"/>
  <c r="D46" i="17"/>
  <c r="D47" i="17" s="1"/>
  <c r="J14" i="18"/>
  <c r="EN37" i="30"/>
  <c r="EN38" i="30" s="1"/>
  <c r="EN39" i="30" s="1"/>
  <c r="EO39" i="30" s="1"/>
  <c r="EO35" i="30"/>
  <c r="EO37" i="30" s="1"/>
  <c r="EO38" i="30" s="1"/>
  <c r="D28" i="33"/>
  <c r="D123" i="5"/>
  <c r="D123" i="33" s="1"/>
  <c r="D120" i="5"/>
  <c r="D120" i="33" s="1"/>
  <c r="D93" i="33"/>
  <c r="D136" i="33"/>
  <c r="D174" i="33"/>
  <c r="D81" i="33"/>
  <c r="D154" i="5"/>
  <c r="D152" i="33"/>
  <c r="D182" i="33"/>
  <c r="D60" i="33"/>
  <c r="D82" i="5"/>
  <c r="D126" i="33"/>
  <c r="D137" i="33"/>
  <c r="D153" i="33"/>
  <c r="D120" i="32"/>
  <c r="D152" i="4"/>
  <c r="D146" i="32"/>
  <c r="D176" i="32"/>
  <c r="G9" i="4"/>
  <c r="D23" i="32"/>
  <c r="D147" i="32"/>
  <c r="D55" i="32"/>
  <c r="D168" i="32"/>
  <c r="D130" i="32"/>
  <c r="D158" i="32"/>
  <c r="D186" i="4"/>
  <c r="E186" i="4" s="1"/>
  <c r="F186" i="4" s="1"/>
  <c r="G186" i="4" s="1"/>
  <c r="H186" i="4" s="1"/>
  <c r="I186" i="4" s="1"/>
  <c r="J186" i="4" s="1"/>
  <c r="K186" i="4" s="1"/>
  <c r="L186" i="4" s="1"/>
  <c r="M186" i="4" s="1"/>
  <c r="N186" i="4" s="1"/>
  <c r="O186" i="4" s="1"/>
  <c r="P186" i="4" s="1"/>
  <c r="Q186" i="4" s="1"/>
  <c r="R186" i="4" s="1"/>
  <c r="S186" i="4" s="1"/>
  <c r="T186" i="4" s="1"/>
  <c r="U186" i="4" s="1"/>
  <c r="V186" i="4" s="1"/>
  <c r="W186" i="4" s="1"/>
  <c r="X186" i="4" s="1"/>
  <c r="Y186" i="4" s="1"/>
  <c r="Z186" i="4" s="1"/>
  <c r="AA186" i="4" s="1"/>
  <c r="AB186" i="4" s="1"/>
  <c r="AC186" i="4" s="1"/>
  <c r="AD186" i="4" s="1"/>
  <c r="AE186" i="4" s="1"/>
  <c r="AF186" i="4" s="1"/>
  <c r="AG186" i="4" s="1"/>
  <c r="AH186" i="4" s="1"/>
  <c r="AI186" i="4" s="1"/>
  <c r="AJ186" i="4" s="1"/>
  <c r="AK186" i="4" s="1"/>
  <c r="AL186" i="4" s="1"/>
  <c r="AM186" i="4" s="1"/>
  <c r="AN186" i="4" s="1"/>
  <c r="AO186" i="4" s="1"/>
  <c r="AP186" i="4" s="1"/>
  <c r="AQ186" i="4" s="1"/>
  <c r="AR186" i="4" s="1"/>
  <c r="AS186" i="4" s="1"/>
  <c r="AT186" i="4" s="1"/>
  <c r="AU186" i="4" s="1"/>
  <c r="AV186" i="4" s="1"/>
  <c r="AW186" i="4" s="1"/>
  <c r="AX186" i="4" s="1"/>
  <c r="AY186" i="4" s="1"/>
  <c r="AZ186" i="4" s="1"/>
  <c r="BA186" i="4" s="1"/>
  <c r="BB186" i="4" s="1"/>
  <c r="BC186" i="4" s="1"/>
  <c r="BD186" i="4" s="1"/>
  <c r="BE186" i="4" s="1"/>
  <c r="BF186" i="4" s="1"/>
  <c r="BG186" i="4" s="1"/>
  <c r="BH186" i="4" s="1"/>
  <c r="BI186" i="4" s="1"/>
  <c r="BJ186" i="4" s="1"/>
  <c r="BK186" i="4" s="1"/>
  <c r="BL186" i="4" s="1"/>
  <c r="BM186" i="4" s="1"/>
  <c r="BN186" i="4" s="1"/>
  <c r="BO186" i="4" s="1"/>
  <c r="BP186" i="4" s="1"/>
  <c r="BQ186" i="4" s="1"/>
  <c r="BR186" i="4" s="1"/>
  <c r="BS186" i="4" s="1"/>
  <c r="BT186" i="4" s="1"/>
  <c r="BU186" i="4" s="1"/>
  <c r="BV186" i="4" s="1"/>
  <c r="BW186" i="4" s="1"/>
  <c r="BX186" i="4" s="1"/>
  <c r="BY186" i="4" s="1"/>
  <c r="BZ186" i="4" s="1"/>
  <c r="CA186" i="4" s="1"/>
  <c r="CB186" i="4" s="1"/>
  <c r="CC186" i="4" s="1"/>
  <c r="CD186" i="4" s="1"/>
  <c r="CE186" i="4" s="1"/>
  <c r="CF186" i="4" s="1"/>
  <c r="CG186" i="4" s="1"/>
  <c r="CH186" i="4" s="1"/>
  <c r="CI186" i="4" s="1"/>
  <c r="CJ186" i="4" s="1"/>
  <c r="CK186" i="4" s="1"/>
  <c r="CL186" i="4" s="1"/>
  <c r="CM186" i="4" s="1"/>
  <c r="CN186" i="4" s="1"/>
  <c r="BD14" i="5"/>
  <c r="BA14" i="5"/>
  <c r="J118" i="4"/>
  <c r="J121" i="4"/>
  <c r="K121" i="4"/>
  <c r="K118" i="4"/>
  <c r="S121" i="4"/>
  <c r="S118" i="4"/>
  <c r="B14" i="6"/>
  <c r="D60" i="4"/>
  <c r="L121" i="4"/>
  <c r="L118" i="4"/>
  <c r="T121" i="4"/>
  <c r="T118" i="4"/>
  <c r="R121" i="4"/>
  <c r="R118" i="4"/>
  <c r="E121" i="4"/>
  <c r="E118" i="4"/>
  <c r="M121" i="4"/>
  <c r="M118" i="4"/>
  <c r="U121" i="4"/>
  <c r="U118" i="4"/>
  <c r="E18" i="4"/>
  <c r="F18" i="4" s="1"/>
  <c r="G18" i="4" s="1"/>
  <c r="H18" i="4" s="1"/>
  <c r="I18" i="4" s="1"/>
  <c r="J18" i="4" s="1"/>
  <c r="K18" i="4" s="1"/>
  <c r="L18" i="4" s="1"/>
  <c r="M18" i="4" s="1"/>
  <c r="N18" i="4" s="1"/>
  <c r="O18" i="4" s="1"/>
  <c r="P18" i="4" s="1"/>
  <c r="Q18" i="4" s="1"/>
  <c r="R18" i="4" s="1"/>
  <c r="S18" i="4" s="1"/>
  <c r="T18" i="4" s="1"/>
  <c r="U18" i="4" s="1"/>
  <c r="V18" i="4" s="1"/>
  <c r="W18" i="4" s="1"/>
  <c r="X18" i="4" s="1"/>
  <c r="Y18" i="4" s="1"/>
  <c r="Z18" i="4" s="1"/>
  <c r="AA18" i="4" s="1"/>
  <c r="AB18" i="4" s="1"/>
  <c r="AC18" i="4" s="1"/>
  <c r="AD18" i="4" s="1"/>
  <c r="AE18" i="4" s="1"/>
  <c r="AF18" i="4" s="1"/>
  <c r="AG18" i="4" s="1"/>
  <c r="AH18" i="4" s="1"/>
  <c r="AI18" i="4" s="1"/>
  <c r="AJ18" i="4" s="1"/>
  <c r="AK18" i="4" s="1"/>
  <c r="AL18" i="4" s="1"/>
  <c r="AM18" i="4" s="1"/>
  <c r="AN18" i="4" s="1"/>
  <c r="AO18" i="4" s="1"/>
  <c r="AP18" i="4" s="1"/>
  <c r="AQ18" i="4" s="1"/>
  <c r="AR18" i="4" s="1"/>
  <c r="AS18" i="4" s="1"/>
  <c r="AT18" i="4" s="1"/>
  <c r="AU18" i="4" s="1"/>
  <c r="AV18" i="4" s="1"/>
  <c r="AW18" i="4" s="1"/>
  <c r="AX18" i="4" s="1"/>
  <c r="AY18" i="4" s="1"/>
  <c r="AZ18" i="4" s="1"/>
  <c r="BA18" i="4" s="1"/>
  <c r="BB18" i="4" s="1"/>
  <c r="BC18" i="4" s="1"/>
  <c r="BD18" i="4" s="1"/>
  <c r="BE18" i="4" s="1"/>
  <c r="BF18" i="4" s="1"/>
  <c r="BG18" i="4" s="1"/>
  <c r="BH18" i="4" s="1"/>
  <c r="BI18" i="4" s="1"/>
  <c r="BJ18" i="4" s="1"/>
  <c r="BK18" i="4" s="1"/>
  <c r="BL18" i="4" s="1"/>
  <c r="BM18" i="4" s="1"/>
  <c r="BN18" i="4" s="1"/>
  <c r="BO18" i="4" s="1"/>
  <c r="BP18" i="4" s="1"/>
  <c r="BQ18" i="4" s="1"/>
  <c r="BR18" i="4" s="1"/>
  <c r="BS18" i="4" s="1"/>
  <c r="BT18" i="4" s="1"/>
  <c r="BU18" i="4" s="1"/>
  <c r="BV18" i="4" s="1"/>
  <c r="BW18" i="4" s="1"/>
  <c r="BX18" i="4" s="1"/>
  <c r="BY18" i="4" s="1"/>
  <c r="BZ18" i="4" s="1"/>
  <c r="CA18" i="4" s="1"/>
  <c r="CB18" i="4" s="1"/>
  <c r="CC18" i="4" s="1"/>
  <c r="CD18" i="4" s="1"/>
  <c r="CE18" i="4" s="1"/>
  <c r="CF18" i="4" s="1"/>
  <c r="CG18" i="4" s="1"/>
  <c r="CH18" i="4" s="1"/>
  <c r="CI18" i="4" s="1"/>
  <c r="CJ18" i="4" s="1"/>
  <c r="CK18" i="4" s="1"/>
  <c r="CL18" i="4" s="1"/>
  <c r="CM18" i="4" s="1"/>
  <c r="CN18" i="4" s="1"/>
  <c r="CO18" i="4" s="1"/>
  <c r="F121" i="4"/>
  <c r="F118" i="4"/>
  <c r="N121" i="4"/>
  <c r="N118" i="4"/>
  <c r="V121" i="4"/>
  <c r="V118" i="4"/>
  <c r="G121" i="4"/>
  <c r="G118" i="4"/>
  <c r="O121" i="4"/>
  <c r="O118" i="4"/>
  <c r="H121" i="4"/>
  <c r="H118" i="4"/>
  <c r="P121" i="4"/>
  <c r="P118" i="4"/>
  <c r="I121" i="4"/>
  <c r="I118" i="4"/>
  <c r="Q121" i="4"/>
  <c r="Q118" i="4"/>
  <c r="S156" i="4"/>
  <c r="E85" i="4"/>
  <c r="C87" i="4"/>
  <c r="F174" i="5"/>
  <c r="H123" i="5"/>
  <c r="H120" i="5"/>
  <c r="P123" i="5"/>
  <c r="P120" i="5"/>
  <c r="F12" i="5"/>
  <c r="G12" i="5" s="1"/>
  <c r="H12" i="5" s="1"/>
  <c r="I12" i="5" s="1"/>
  <c r="J12" i="5" s="1"/>
  <c r="K12" i="5" s="1"/>
  <c r="L12" i="5" s="1"/>
  <c r="M12" i="5" s="1"/>
  <c r="N12" i="5" s="1"/>
  <c r="O12" i="5" s="1"/>
  <c r="P12" i="5" s="1"/>
  <c r="Q12" i="5" s="1"/>
  <c r="R12" i="5" s="1"/>
  <c r="S12" i="5" s="1"/>
  <c r="T12" i="5" s="1"/>
  <c r="U12" i="5" s="1"/>
  <c r="V12" i="5" s="1"/>
  <c r="W12" i="5" s="1"/>
  <c r="X12" i="5" s="1"/>
  <c r="Y12" i="5" s="1"/>
  <c r="Z12" i="5" s="1"/>
  <c r="AA12" i="5" s="1"/>
  <c r="AB12" i="5" s="1"/>
  <c r="AC12" i="5" s="1"/>
  <c r="AD12" i="5" s="1"/>
  <c r="AE12" i="5" s="1"/>
  <c r="AF12" i="5" s="1"/>
  <c r="AG12" i="5" s="1"/>
  <c r="AH12" i="5" s="1"/>
  <c r="AI12" i="5" s="1"/>
  <c r="AJ12" i="5" s="1"/>
  <c r="AK12" i="5" s="1"/>
  <c r="AL12" i="5" s="1"/>
  <c r="AM12" i="5" s="1"/>
  <c r="AN12" i="5" s="1"/>
  <c r="AO12" i="5" s="1"/>
  <c r="AP12" i="5" s="1"/>
  <c r="AQ12" i="5" s="1"/>
  <c r="AR12" i="5" s="1"/>
  <c r="AS12" i="5" s="1"/>
  <c r="AT12" i="5" s="1"/>
  <c r="AU12" i="5" s="1"/>
  <c r="AV12" i="5" s="1"/>
  <c r="AW12" i="5" s="1"/>
  <c r="AX12" i="5" s="1"/>
  <c r="AY12" i="5" s="1"/>
  <c r="AZ12" i="5" s="1"/>
  <c r="BA12" i="5" s="1"/>
  <c r="BB12" i="5" s="1"/>
  <c r="BC12" i="5" s="1"/>
  <c r="BD12" i="5" s="1"/>
  <c r="BE12" i="5" s="1"/>
  <c r="BF12" i="5" s="1"/>
  <c r="BG12" i="5" s="1"/>
  <c r="BH12" i="5" s="1"/>
  <c r="BI12" i="5" s="1"/>
  <c r="BJ12" i="5" s="1"/>
  <c r="BK12" i="5" s="1"/>
  <c r="BL12" i="5" s="1"/>
  <c r="BM12" i="5" s="1"/>
  <c r="BN12" i="5" s="1"/>
  <c r="BO12" i="5" s="1"/>
  <c r="BP12" i="5" s="1"/>
  <c r="BQ12" i="5" s="1"/>
  <c r="BR12" i="5" s="1"/>
  <c r="BS12" i="5" s="1"/>
  <c r="BT12" i="5" s="1"/>
  <c r="BU12" i="5" s="1"/>
  <c r="BV12" i="5" s="1"/>
  <c r="BW12" i="5" s="1"/>
  <c r="BX12" i="5" s="1"/>
  <c r="BY12" i="5" s="1"/>
  <c r="BZ12" i="5" s="1"/>
  <c r="CA12" i="5" s="1"/>
  <c r="CB12" i="5" s="1"/>
  <c r="CC12" i="5" s="1"/>
  <c r="CD12" i="5" s="1"/>
  <c r="CE12" i="5" s="1"/>
  <c r="CF12" i="5" s="1"/>
  <c r="CG12" i="5" s="1"/>
  <c r="CH12" i="5" s="1"/>
  <c r="CI12" i="5" s="1"/>
  <c r="CJ12" i="5" s="1"/>
  <c r="CK12" i="5" s="1"/>
  <c r="CL12" i="5" s="1"/>
  <c r="CM12" i="5" s="1"/>
  <c r="CN12" i="5" s="1"/>
  <c r="K123" i="5"/>
  <c r="K120" i="5"/>
  <c r="S120" i="5"/>
  <c r="S123" i="5"/>
  <c r="E123" i="5"/>
  <c r="E120" i="5"/>
  <c r="M123" i="5"/>
  <c r="M120" i="5"/>
  <c r="U123" i="5"/>
  <c r="U120" i="5"/>
  <c r="F123" i="5"/>
  <c r="F120" i="5"/>
  <c r="N123" i="5"/>
  <c r="N120" i="5"/>
  <c r="V123" i="5"/>
  <c r="V120" i="5"/>
  <c r="G123" i="5"/>
  <c r="G120" i="5"/>
  <c r="O123" i="5"/>
  <c r="O120" i="5"/>
  <c r="I123" i="5"/>
  <c r="I120" i="5"/>
  <c r="Q123" i="5"/>
  <c r="Q120" i="5"/>
  <c r="J123" i="5"/>
  <c r="J120" i="5"/>
  <c r="R123" i="5"/>
  <c r="R120" i="5"/>
  <c r="D159" i="5"/>
  <c r="D61" i="5"/>
  <c r="L123" i="5"/>
  <c r="L120" i="5"/>
  <c r="T123" i="5"/>
  <c r="T120" i="5"/>
  <c r="J158" i="5"/>
  <c r="R158" i="5"/>
  <c r="G87" i="5"/>
  <c r="E87" i="5"/>
  <c r="G159" i="5"/>
  <c r="G126" i="5"/>
  <c r="E151" i="5"/>
  <c r="G20" i="6"/>
  <c r="B16" i="6" s="1"/>
  <c r="J33" i="6"/>
  <c r="J30" i="10"/>
  <c r="B30" i="10"/>
  <c r="C30" i="10"/>
  <c r="N36" i="10"/>
  <c r="J13" i="16"/>
  <c r="N13" i="16"/>
  <c r="N27" i="10"/>
  <c r="I30" i="10"/>
  <c r="V13" i="16"/>
  <c r="H16" i="18"/>
  <c r="G16" i="18"/>
  <c r="F16" i="18"/>
  <c r="M16" i="18"/>
  <c r="E16" i="18"/>
  <c r="L16" i="18"/>
  <c r="D16" i="18"/>
  <c r="K16" i="18"/>
  <c r="C16" i="18"/>
  <c r="J16" i="18"/>
  <c r="B16" i="18"/>
  <c r="I16" i="18"/>
  <c r="Z19" i="16"/>
  <c r="Z16" i="16"/>
  <c r="I8" i="16"/>
  <c r="J19" i="16"/>
  <c r="J16" i="16"/>
  <c r="K8" i="16"/>
  <c r="K19" i="16"/>
  <c r="K16" i="16"/>
  <c r="K10" i="16"/>
  <c r="S19" i="16"/>
  <c r="S16" i="16"/>
  <c r="S10" i="16"/>
  <c r="Z13" i="16"/>
  <c r="H10" i="16"/>
  <c r="P10" i="16"/>
  <c r="X10" i="16"/>
  <c r="F16" i="16"/>
  <c r="N16" i="16"/>
  <c r="V16" i="16"/>
  <c r="E19" i="16"/>
  <c r="M19" i="16"/>
  <c r="U19" i="16"/>
  <c r="L22" i="16"/>
  <c r="T22" i="16"/>
  <c r="M8" i="16"/>
  <c r="C10" i="17"/>
  <c r="L82" i="17"/>
  <c r="L83" i="17" s="1"/>
  <c r="I16" i="16"/>
  <c r="Q16" i="16"/>
  <c r="Y16" i="16"/>
  <c r="H19" i="16"/>
  <c r="P19" i="16"/>
  <c r="X19" i="16"/>
  <c r="G22" i="16"/>
  <c r="O22" i="16"/>
  <c r="W22" i="16"/>
  <c r="I19" i="16"/>
  <c r="H22" i="16"/>
  <c r="P22" i="16"/>
  <c r="X22" i="16"/>
  <c r="E10" i="16"/>
  <c r="M10" i="16"/>
  <c r="Q22" i="16"/>
  <c r="Y22" i="16"/>
  <c r="I28" i="19"/>
  <c r="K19" i="19"/>
  <c r="C19" i="19"/>
  <c r="H28" i="19"/>
  <c r="J19" i="19"/>
  <c r="B19" i="19"/>
  <c r="F28" i="19"/>
  <c r="H19" i="19"/>
  <c r="L28" i="19"/>
  <c r="D28" i="19"/>
  <c r="F19" i="19"/>
  <c r="K28" i="19"/>
  <c r="L10" i="19"/>
  <c r="D10" i="19"/>
  <c r="J28" i="19"/>
  <c r="M19" i="19"/>
  <c r="K10" i="19"/>
  <c r="C10" i="19"/>
  <c r="G28" i="19"/>
  <c r="L19" i="19"/>
  <c r="J10" i="19"/>
  <c r="B10" i="19"/>
  <c r="E28" i="19"/>
  <c r="I19" i="19"/>
  <c r="I10" i="19"/>
  <c r="C28" i="19"/>
  <c r="G19" i="19"/>
  <c r="H10" i="19"/>
  <c r="B28" i="19"/>
  <c r="E19" i="19"/>
  <c r="G10" i="19"/>
  <c r="D19" i="19"/>
  <c r="F10" i="19"/>
  <c r="K29" i="18"/>
  <c r="C29" i="18"/>
  <c r="K13" i="18"/>
  <c r="C13" i="18"/>
  <c r="K82" i="17"/>
  <c r="K83" i="17" s="1"/>
  <c r="C82" i="17"/>
  <c r="K46" i="17"/>
  <c r="K47" i="17" s="1"/>
  <c r="C46" i="17"/>
  <c r="G10" i="17"/>
  <c r="G11" i="17" s="1"/>
  <c r="J29" i="18"/>
  <c r="J31" i="18" s="1"/>
  <c r="B29" i="18"/>
  <c r="B31" i="18" s="1"/>
  <c r="J13" i="18"/>
  <c r="B13" i="18"/>
  <c r="J82" i="17"/>
  <c r="J83" i="17" s="1"/>
  <c r="J46" i="17"/>
  <c r="J47" i="17" s="1"/>
  <c r="N10" i="17"/>
  <c r="N11" i="17" s="1"/>
  <c r="F10" i="17"/>
  <c r="F11" i="17" s="1"/>
  <c r="I29" i="18"/>
  <c r="I31" i="18" s="1"/>
  <c r="I13" i="18"/>
  <c r="I82" i="17"/>
  <c r="I83" i="17" s="1"/>
  <c r="I46" i="17"/>
  <c r="I47" i="17" s="1"/>
  <c r="M10" i="17"/>
  <c r="M11" i="17" s="1"/>
  <c r="E10" i="17"/>
  <c r="E11" i="17" s="1"/>
  <c r="M28" i="19"/>
  <c r="H29" i="18"/>
  <c r="H13" i="18"/>
  <c r="H82" i="17"/>
  <c r="H83" i="17" s="1"/>
  <c r="H46" i="17"/>
  <c r="H47" i="17" s="1"/>
  <c r="L10" i="17"/>
  <c r="L11" i="17" s="1"/>
  <c r="D10" i="17"/>
  <c r="D11" i="17" s="1"/>
  <c r="G29" i="18"/>
  <c r="G31" i="18" s="1"/>
  <c r="G13" i="18"/>
  <c r="G82" i="17"/>
  <c r="G83" i="17" s="1"/>
  <c r="G46" i="17"/>
  <c r="G47" i="17" s="1"/>
  <c r="K10" i="17"/>
  <c r="K11" i="17" s="1"/>
  <c r="F29" i="18"/>
  <c r="F13" i="18"/>
  <c r="N82" i="17"/>
  <c r="N83" i="17" s="1"/>
  <c r="F82" i="17"/>
  <c r="F83" i="17" s="1"/>
  <c r="N46" i="17"/>
  <c r="N47" i="17" s="1"/>
  <c r="F46" i="17"/>
  <c r="F47" i="17" s="1"/>
  <c r="J10" i="17"/>
  <c r="J11" i="17" s="1"/>
  <c r="M10" i="19"/>
  <c r="M29" i="18"/>
  <c r="E29" i="18"/>
  <c r="M13" i="18"/>
  <c r="E13" i="18"/>
  <c r="M82" i="17"/>
  <c r="M83" i="17" s="1"/>
  <c r="E82" i="17"/>
  <c r="E83" i="17" s="1"/>
  <c r="M46" i="17"/>
  <c r="M47" i="17" s="1"/>
  <c r="E46" i="17"/>
  <c r="E47" i="17" s="1"/>
  <c r="I10" i="17"/>
  <c r="I11" i="17" s="1"/>
  <c r="E10" i="19"/>
  <c r="L29" i="18"/>
  <c r="D29" i="18"/>
  <c r="F10" i="16"/>
  <c r="L16" i="16"/>
  <c r="R22" i="16"/>
  <c r="Z22" i="16"/>
  <c r="G10" i="16"/>
  <c r="O10" i="16"/>
  <c r="W10" i="16"/>
  <c r="E16" i="16"/>
  <c r="M16" i="16"/>
  <c r="U16" i="16"/>
  <c r="L19" i="16"/>
  <c r="K22" i="16"/>
  <c r="S22" i="16"/>
  <c r="M36" i="18"/>
  <c r="M51" i="18" s="1"/>
  <c r="E36" i="18"/>
  <c r="E51" i="18" s="1"/>
  <c r="L36" i="18"/>
  <c r="L51" i="18" s="1"/>
  <c r="D36" i="18"/>
  <c r="D51" i="18" s="1"/>
  <c r="K36" i="18"/>
  <c r="K51" i="18" s="1"/>
  <c r="C36" i="18"/>
  <c r="C51" i="18" s="1"/>
  <c r="J36" i="18"/>
  <c r="J51" i="18" s="1"/>
  <c r="B36" i="18"/>
  <c r="B51" i="18" s="1"/>
  <c r="H36" i="18"/>
  <c r="H51" i="18" s="1"/>
  <c r="G36" i="18"/>
  <c r="G51" i="18" s="1"/>
  <c r="I20" i="18"/>
  <c r="I36" i="18"/>
  <c r="I51" i="18" s="1"/>
  <c r="H20" i="18"/>
  <c r="F36" i="18"/>
  <c r="F51" i="18" s="1"/>
  <c r="G20" i="18"/>
  <c r="F20" i="18"/>
  <c r="M20" i="18"/>
  <c r="E20" i="18"/>
  <c r="L20" i="18"/>
  <c r="D20" i="18"/>
  <c r="K20" i="18"/>
  <c r="C20" i="18"/>
  <c r="J20" i="18"/>
  <c r="B20" i="18"/>
  <c r="E14" i="18"/>
  <c r="M14" i="18"/>
  <c r="D82" i="17"/>
  <c r="D83" i="17" s="1"/>
  <c r="D13" i="18"/>
  <c r="O12" i="17"/>
  <c r="I34" i="18"/>
  <c r="H34" i="18"/>
  <c r="G34" i="18"/>
  <c r="L34" i="18"/>
  <c r="D34" i="18"/>
  <c r="K34" i="18"/>
  <c r="C34" i="18"/>
  <c r="H14" i="18"/>
  <c r="E17" i="18"/>
  <c r="M17" i="18"/>
  <c r="G18" i="18"/>
  <c r="I14" i="18"/>
  <c r="F17" i="18"/>
  <c r="H18" i="18"/>
  <c r="B34" i="18"/>
  <c r="C14" i="18"/>
  <c r="K14" i="18"/>
  <c r="H17" i="18"/>
  <c r="B18" i="18"/>
  <c r="J18" i="18"/>
  <c r="F34" i="18"/>
  <c r="O84" i="17"/>
  <c r="D14" i="18"/>
  <c r="L14" i="18"/>
  <c r="I17" i="18"/>
  <c r="C18" i="18"/>
  <c r="K18" i="18"/>
  <c r="J34" i="18"/>
  <c r="B17" i="18"/>
  <c r="J17" i="18"/>
  <c r="D18" i="18"/>
  <c r="L18" i="18"/>
  <c r="M34" i="18"/>
  <c r="B13" i="19"/>
  <c r="B22" i="19" s="1"/>
  <c r="M13" i="19"/>
  <c r="M22" i="19" s="1"/>
  <c r="E13" i="19"/>
  <c r="E22" i="19" s="1"/>
  <c r="K13" i="19"/>
  <c r="K22" i="19" s="1"/>
  <c r="C13" i="19"/>
  <c r="C22" i="19" s="1"/>
  <c r="I13" i="19"/>
  <c r="I22" i="19" s="1"/>
  <c r="D13" i="19"/>
  <c r="D22" i="19" s="1"/>
  <c r="F13" i="19"/>
  <c r="F22" i="19" s="1"/>
  <c r="H13" i="19"/>
  <c r="H22" i="19" s="1"/>
  <c r="J13" i="19"/>
  <c r="J22" i="19" s="1"/>
  <c r="L13" i="19"/>
  <c r="L22" i="19" s="1"/>
  <c r="Y15" i="39" l="1"/>
  <c r="Y15" i="4"/>
  <c r="W15" i="39"/>
  <c r="W15" i="4"/>
  <c r="E117" i="17"/>
  <c r="F117" i="17" s="1"/>
  <c r="G117" i="17" s="1"/>
  <c r="H117" i="17" s="1"/>
  <c r="I117" i="17" s="1"/>
  <c r="J117" i="17" s="1"/>
  <c r="K117" i="17" s="1"/>
  <c r="L117" i="17" s="1"/>
  <c r="L15" i="40"/>
  <c r="M15" i="40" s="1"/>
  <c r="N15" i="40" s="1"/>
  <c r="O15" i="40" s="1"/>
  <c r="P15" i="40" s="1"/>
  <c r="Q15" i="40" s="1"/>
  <c r="R15" i="40" s="1"/>
  <c r="S15" i="40" s="1"/>
  <c r="T15" i="40" s="1"/>
  <c r="U15" i="40" s="1"/>
  <c r="V15" i="40" s="1"/>
  <c r="W15" i="40" s="1"/>
  <c r="X15" i="40" s="1"/>
  <c r="Y15" i="40" s="1"/>
  <c r="Z15" i="40" s="1"/>
  <c r="C117" i="17"/>
  <c r="J15" i="40"/>
  <c r="Z53" i="4"/>
  <c r="AD53" i="4" s="1"/>
  <c r="AH53" i="4" s="1"/>
  <c r="AL53" i="4" s="1"/>
  <c r="AP53" i="4" s="1"/>
  <c r="AT53" i="4" s="1"/>
  <c r="AX53" i="4" s="1"/>
  <c r="BB53" i="4" s="1"/>
  <c r="BF53" i="4" s="1"/>
  <c r="BJ53" i="4" s="1"/>
  <c r="BN53" i="4" s="1"/>
  <c r="BR53" i="4" s="1"/>
  <c r="BV53" i="4" s="1"/>
  <c r="Y46" i="4"/>
  <c r="AC46" i="4" s="1"/>
  <c r="AG46" i="4" s="1"/>
  <c r="AK46" i="4" s="1"/>
  <c r="AO46" i="4" s="1"/>
  <c r="AS46" i="4" s="1"/>
  <c r="AW46" i="4" s="1"/>
  <c r="BA46" i="4" s="1"/>
  <c r="BE46" i="4" s="1"/>
  <c r="BI46" i="4" s="1"/>
  <c r="BM46" i="4" s="1"/>
  <c r="BQ46" i="4" s="1"/>
  <c r="BU46" i="4" s="1"/>
  <c r="BY46" i="4" s="1"/>
  <c r="CC46" i="4" s="1"/>
  <c r="CG46" i="4" s="1"/>
  <c r="CK46" i="4" s="1"/>
  <c r="CO46" i="4" s="1"/>
  <c r="X47" i="4"/>
  <c r="AB47" i="4" s="1"/>
  <c r="AF47" i="4" s="1"/>
  <c r="AJ47" i="4" s="1"/>
  <c r="AN47" i="4" s="1"/>
  <c r="AR47" i="4" s="1"/>
  <c r="AV47" i="4" s="1"/>
  <c r="AZ47" i="4" s="1"/>
  <c r="BD47" i="4" s="1"/>
  <c r="BH47" i="4" s="1"/>
  <c r="BL47" i="4" s="1"/>
  <c r="BP47" i="4" s="1"/>
  <c r="BT47" i="4" s="1"/>
  <c r="BX47" i="4" s="1"/>
  <c r="X53" i="4"/>
  <c r="AB53" i="4" s="1"/>
  <c r="AF53" i="4" s="1"/>
  <c r="AJ53" i="4" s="1"/>
  <c r="AN53" i="4" s="1"/>
  <c r="AR53" i="4" s="1"/>
  <c r="AV53" i="4" s="1"/>
  <c r="AZ53" i="4" s="1"/>
  <c r="BD53" i="4" s="1"/>
  <c r="BH53" i="4" s="1"/>
  <c r="BL53" i="4" s="1"/>
  <c r="BP53" i="4" s="1"/>
  <c r="BT53" i="4" s="1"/>
  <c r="BX53" i="4" s="1"/>
  <c r="X46" i="4"/>
  <c r="AB46" i="4" s="1"/>
  <c r="AF46" i="4" s="1"/>
  <c r="AJ46" i="4" s="1"/>
  <c r="AN46" i="4" s="1"/>
  <c r="AR46" i="4" s="1"/>
  <c r="AV46" i="4" s="1"/>
  <c r="AZ46" i="4" s="1"/>
  <c r="BD46" i="4" s="1"/>
  <c r="BH46" i="4" s="1"/>
  <c r="BL46" i="4" s="1"/>
  <c r="BP46" i="4" s="1"/>
  <c r="BT46" i="4" s="1"/>
  <c r="BX46" i="4" s="1"/>
  <c r="CB46" i="4" s="1"/>
  <c r="CF46" i="4" s="1"/>
  <c r="CJ46" i="4" s="1"/>
  <c r="CN46" i="4" s="1"/>
  <c r="Z20" i="39"/>
  <c r="Z33" i="39" s="1"/>
  <c r="H16" i="35"/>
  <c r="H63" i="12" s="1"/>
  <c r="AB20" i="39"/>
  <c r="E16" i="35"/>
  <c r="E63" i="12" s="1"/>
  <c r="AA20" i="39"/>
  <c r="AM14" i="5"/>
  <c r="AI14" i="5"/>
  <c r="F30" i="4"/>
  <c r="G77" i="4" s="1"/>
  <c r="G76" i="4"/>
  <c r="E30" i="4"/>
  <c r="F76" i="4"/>
  <c r="E76" i="4"/>
  <c r="AK14" i="5"/>
  <c r="V30" i="4"/>
  <c r="V76" i="4"/>
  <c r="AH14" i="5"/>
  <c r="B16" i="35"/>
  <c r="N13" i="35"/>
  <c r="C39" i="20"/>
  <c r="C7" i="22"/>
  <c r="L39" i="20"/>
  <c r="L7" i="22"/>
  <c r="H39" i="20"/>
  <c r="H7" i="22"/>
  <c r="K39" i="20"/>
  <c r="K7" i="22"/>
  <c r="G39" i="20"/>
  <c r="G7" i="22"/>
  <c r="J39" i="20"/>
  <c r="J7" i="22"/>
  <c r="I39" i="20"/>
  <c r="I7" i="22"/>
  <c r="E39" i="20"/>
  <c r="E7" i="22"/>
  <c r="F39" i="20"/>
  <c r="F7" i="22"/>
  <c r="M39" i="20"/>
  <c r="M7" i="22"/>
  <c r="D39" i="20"/>
  <c r="D7" i="22"/>
  <c r="AB25" i="5"/>
  <c r="H69" i="20"/>
  <c r="H72" i="20" s="1"/>
  <c r="H78" i="20"/>
  <c r="H81" i="20" s="1"/>
  <c r="M78" i="20"/>
  <c r="M81" i="20" s="1"/>
  <c r="M69" i="20"/>
  <c r="M72" i="20" s="1"/>
  <c r="C78" i="20"/>
  <c r="C81" i="20" s="1"/>
  <c r="C69" i="20"/>
  <c r="C72" i="20" s="1"/>
  <c r="F78" i="20"/>
  <c r="F81" i="20" s="1"/>
  <c r="F69" i="20"/>
  <c r="F72" i="20" s="1"/>
  <c r="I69" i="20"/>
  <c r="I72" i="20" s="1"/>
  <c r="I78" i="20"/>
  <c r="I81" i="20" s="1"/>
  <c r="J78" i="20"/>
  <c r="J81" i="20" s="1"/>
  <c r="J69" i="20"/>
  <c r="J72" i="20" s="1"/>
  <c r="D78" i="20"/>
  <c r="D81" i="20" s="1"/>
  <c r="D69" i="20"/>
  <c r="D72" i="20" s="1"/>
  <c r="K78" i="20"/>
  <c r="K81" i="20" s="1"/>
  <c r="K69" i="20"/>
  <c r="K72" i="20" s="1"/>
  <c r="L78" i="20"/>
  <c r="L81" i="20" s="1"/>
  <c r="L69" i="20"/>
  <c r="L72" i="20" s="1"/>
  <c r="G78" i="20"/>
  <c r="G81" i="20" s="1"/>
  <c r="G69" i="20"/>
  <c r="G72" i="20" s="1"/>
  <c r="E69" i="20"/>
  <c r="E72" i="20" s="1"/>
  <c r="E78" i="20"/>
  <c r="E81" i="20" s="1"/>
  <c r="M30" i="17"/>
  <c r="L42" i="22" s="1"/>
  <c r="L60" i="20"/>
  <c r="E30" i="17"/>
  <c r="D42" i="22" s="1"/>
  <c r="D60" i="20"/>
  <c r="H30" i="17"/>
  <c r="G42" i="22" s="1"/>
  <c r="G60" i="20"/>
  <c r="F30" i="17"/>
  <c r="E42" i="22" s="1"/>
  <c r="E60" i="20"/>
  <c r="I30" i="17"/>
  <c r="H42" i="22" s="1"/>
  <c r="H60" i="20"/>
  <c r="N30" i="17"/>
  <c r="M42" i="22" s="1"/>
  <c r="M60" i="20"/>
  <c r="D30" i="17"/>
  <c r="C42" i="22" s="1"/>
  <c r="C60" i="20"/>
  <c r="G30" i="17"/>
  <c r="F42" i="22" s="1"/>
  <c r="F60" i="20"/>
  <c r="L30" i="17"/>
  <c r="K42" i="22" s="1"/>
  <c r="K60" i="20"/>
  <c r="J30" i="17"/>
  <c r="I42" i="22" s="1"/>
  <c r="I60" i="20"/>
  <c r="K30" i="17"/>
  <c r="J42" i="22" s="1"/>
  <c r="J60" i="20"/>
  <c r="L71" i="18"/>
  <c r="L72" i="18" s="1"/>
  <c r="G71" i="18"/>
  <c r="G72" i="18" s="1"/>
  <c r="N95" i="18"/>
  <c r="D71" i="18"/>
  <c r="D72" i="18" s="1"/>
  <c r="N84" i="18"/>
  <c r="E71" i="18"/>
  <c r="E72" i="18" s="1"/>
  <c r="F71" i="18"/>
  <c r="F72" i="18" s="1"/>
  <c r="H71" i="18"/>
  <c r="H72" i="18" s="1"/>
  <c r="I71" i="18"/>
  <c r="I72" i="18" s="1"/>
  <c r="C93" i="18"/>
  <c r="C96" i="18" s="1"/>
  <c r="C97" i="18" s="1"/>
  <c r="C22" i="35" s="1"/>
  <c r="C25" i="35" s="1"/>
  <c r="J93" i="18"/>
  <c r="J96" i="18" s="1"/>
  <c r="J97" i="18" s="1"/>
  <c r="J22" i="35" s="1"/>
  <c r="J25" i="35" s="1"/>
  <c r="M71" i="18"/>
  <c r="M72" i="18" s="1"/>
  <c r="N83" i="18"/>
  <c r="K93" i="18"/>
  <c r="K96" i="18" s="1"/>
  <c r="K97" i="18" s="1"/>
  <c r="K22" i="35" s="1"/>
  <c r="K25" i="35" s="1"/>
  <c r="K22" i="18"/>
  <c r="N69" i="18"/>
  <c r="B71" i="18"/>
  <c r="B72" i="18" s="1"/>
  <c r="D93" i="18"/>
  <c r="D96" i="18" s="1"/>
  <c r="D97" i="18" s="1"/>
  <c r="D22" i="35" s="1"/>
  <c r="D25" i="35" s="1"/>
  <c r="J71" i="18"/>
  <c r="J72" i="18" s="1"/>
  <c r="G93" i="18"/>
  <c r="G96" i="18" s="1"/>
  <c r="G97" i="18" s="1"/>
  <c r="G22" i="35" s="1"/>
  <c r="G25" i="35" s="1"/>
  <c r="L93" i="18"/>
  <c r="L96" i="18" s="1"/>
  <c r="L97" i="18" s="1"/>
  <c r="L22" i="35" s="1"/>
  <c r="L25" i="35" s="1"/>
  <c r="C71" i="18"/>
  <c r="C72" i="18" s="1"/>
  <c r="H93" i="18"/>
  <c r="H96" i="18" s="1"/>
  <c r="H97" i="18" s="1"/>
  <c r="H22" i="35" s="1"/>
  <c r="E93" i="18"/>
  <c r="E96" i="18" s="1"/>
  <c r="E97" i="18" s="1"/>
  <c r="E22" i="35" s="1"/>
  <c r="N82" i="18"/>
  <c r="K71" i="18"/>
  <c r="K72" i="18" s="1"/>
  <c r="I93" i="18"/>
  <c r="I96" i="18" s="1"/>
  <c r="I97" i="18" s="1"/>
  <c r="I22" i="35" s="1"/>
  <c r="I25" i="35" s="1"/>
  <c r="M93" i="18"/>
  <c r="M96" i="18" s="1"/>
  <c r="M97" i="18" s="1"/>
  <c r="M22" i="35" s="1"/>
  <c r="B93" i="18"/>
  <c r="B96" i="18" s="1"/>
  <c r="B97" i="18" s="1"/>
  <c r="B22" i="35" s="1"/>
  <c r="N81" i="18"/>
  <c r="F93" i="18"/>
  <c r="F96" i="18" s="1"/>
  <c r="F97" i="18" s="1"/>
  <c r="F22" i="35" s="1"/>
  <c r="F25" i="35" s="1"/>
  <c r="N51" i="18"/>
  <c r="B52" i="18"/>
  <c r="M52" i="18"/>
  <c r="H53" i="18"/>
  <c r="G53" i="18"/>
  <c r="D53" i="18"/>
  <c r="I53" i="18"/>
  <c r="K52" i="18"/>
  <c r="E52" i="18"/>
  <c r="J53" i="18"/>
  <c r="L53" i="18"/>
  <c r="F52" i="18"/>
  <c r="F53" i="18"/>
  <c r="C53" i="18"/>
  <c r="C52" i="18"/>
  <c r="H52" i="18"/>
  <c r="M53" i="18"/>
  <c r="D52" i="18"/>
  <c r="K53" i="18"/>
  <c r="I52" i="18"/>
  <c r="B53" i="18"/>
  <c r="U23" i="16"/>
  <c r="C27" i="17"/>
  <c r="B32" i="22" s="1"/>
  <c r="B33" i="22" s="1"/>
  <c r="N33" i="22" s="1"/>
  <c r="O26" i="17"/>
  <c r="L30" i="20"/>
  <c r="L21" i="20"/>
  <c r="L12" i="20"/>
  <c r="G30" i="20"/>
  <c r="G21" i="20"/>
  <c r="G12" i="20"/>
  <c r="H30" i="20"/>
  <c r="H21" i="20"/>
  <c r="H12" i="20"/>
  <c r="C21" i="20"/>
  <c r="C30" i="20"/>
  <c r="C12" i="20"/>
  <c r="J21" i="20"/>
  <c r="J30" i="20"/>
  <c r="J12" i="20"/>
  <c r="K21" i="20"/>
  <c r="K30" i="20"/>
  <c r="K12" i="20"/>
  <c r="I30" i="20"/>
  <c r="I21" i="20"/>
  <c r="I12" i="20"/>
  <c r="E30" i="20"/>
  <c r="E21" i="20"/>
  <c r="E12" i="20"/>
  <c r="F30" i="20"/>
  <c r="F21" i="20"/>
  <c r="F12" i="20"/>
  <c r="M30" i="20"/>
  <c r="M21" i="20"/>
  <c r="M12" i="20"/>
  <c r="B46" i="18"/>
  <c r="N46" i="18" s="1"/>
  <c r="N44" i="18"/>
  <c r="D30" i="20"/>
  <c r="D21" i="20"/>
  <c r="D12" i="20"/>
  <c r="G37" i="18"/>
  <c r="G47" i="18"/>
  <c r="G52" i="18" s="1"/>
  <c r="J37" i="18"/>
  <c r="J47" i="18"/>
  <c r="J52" i="18" s="1"/>
  <c r="B21" i="18"/>
  <c r="L37" i="18"/>
  <c r="L47" i="18"/>
  <c r="L52" i="18" s="1"/>
  <c r="N50" i="18"/>
  <c r="E38" i="18"/>
  <c r="E48" i="18"/>
  <c r="E53" i="18" s="1"/>
  <c r="N49" i="18"/>
  <c r="D38" i="18"/>
  <c r="I38" i="18"/>
  <c r="K37" i="18"/>
  <c r="E37" i="18"/>
  <c r="J38" i="18"/>
  <c r="L38" i="18"/>
  <c r="F37" i="18"/>
  <c r="F38" i="18"/>
  <c r="C37" i="18"/>
  <c r="H37" i="18"/>
  <c r="M38" i="18"/>
  <c r="C38" i="18"/>
  <c r="D37" i="18"/>
  <c r="K38" i="18"/>
  <c r="I37" i="18"/>
  <c r="B38" i="18"/>
  <c r="B37" i="18"/>
  <c r="M37" i="18"/>
  <c r="H38" i="18"/>
  <c r="G38" i="18"/>
  <c r="C22" i="18"/>
  <c r="M5" i="17"/>
  <c r="L5" i="17"/>
  <c r="L22" i="18"/>
  <c r="J15" i="18"/>
  <c r="B15" i="18"/>
  <c r="N35" i="18"/>
  <c r="G15" i="18"/>
  <c r="J22" i="16"/>
  <c r="I23" i="16" s="1"/>
  <c r="S7" i="16"/>
  <c r="C13" i="16"/>
  <c r="C14" i="16" s="1"/>
  <c r="C28" i="16" s="1"/>
  <c r="Q13" i="16"/>
  <c r="Q10" i="16"/>
  <c r="G16" i="16"/>
  <c r="G17" i="16" s="1"/>
  <c r="G19" i="16"/>
  <c r="G20" i="16" s="1"/>
  <c r="Y11" i="16"/>
  <c r="Y13" i="16"/>
  <c r="Y14" i="16" s="1"/>
  <c r="M17" i="16"/>
  <c r="W20" i="16"/>
  <c r="S23" i="16"/>
  <c r="M23" i="16"/>
  <c r="E20" i="16"/>
  <c r="I11" i="16"/>
  <c r="U20" i="16"/>
  <c r="U11" i="16"/>
  <c r="U17" i="16"/>
  <c r="W17" i="16"/>
  <c r="F170" i="5"/>
  <c r="F63" i="5" s="1"/>
  <c r="F171" i="5"/>
  <c r="G169" i="5"/>
  <c r="E63" i="5"/>
  <c r="E58" i="5"/>
  <c r="AN14" i="5"/>
  <c r="AL14" i="5"/>
  <c r="F22" i="18"/>
  <c r="N20" i="18"/>
  <c r="G22" i="18"/>
  <c r="L21" i="18"/>
  <c r="H9" i="4"/>
  <c r="G84" i="4"/>
  <c r="G124" i="4" s="1"/>
  <c r="M20" i="16"/>
  <c r="F15" i="18"/>
  <c r="F21" i="18"/>
  <c r="CO63" i="5"/>
  <c r="N4" i="10"/>
  <c r="Q8" i="16"/>
  <c r="O20" i="16"/>
  <c r="I22" i="18"/>
  <c r="D22" i="18"/>
  <c r="Q23" i="16"/>
  <c r="I20" i="16"/>
  <c r="N24" i="10"/>
  <c r="BO14" i="5"/>
  <c r="M31" i="5"/>
  <c r="O31" i="5"/>
  <c r="E31" i="5"/>
  <c r="P31" i="5"/>
  <c r="G31" i="5"/>
  <c r="N31" i="5"/>
  <c r="Q31" i="5"/>
  <c r="I31" i="5"/>
  <c r="H31" i="5"/>
  <c r="K31" i="5"/>
  <c r="F31" i="5"/>
  <c r="R31" i="5"/>
  <c r="L31" i="5"/>
  <c r="J31" i="5"/>
  <c r="BM14" i="5"/>
  <c r="BP14" i="5"/>
  <c r="BN14" i="5"/>
  <c r="AA25" i="5"/>
  <c r="AG26" i="5"/>
  <c r="Z25" i="5"/>
  <c r="E149" i="4"/>
  <c r="G8" i="4"/>
  <c r="H8" i="4" s="1"/>
  <c r="D115" i="4"/>
  <c r="D111" i="32" s="1"/>
  <c r="O17" i="16"/>
  <c r="H22" i="18"/>
  <c r="L15" i="33"/>
  <c r="M15" i="33" s="1"/>
  <c r="N15" i="33" s="1"/>
  <c r="O15" i="33" s="1"/>
  <c r="P15" i="33" s="1"/>
  <c r="Q15" i="33" s="1"/>
  <c r="R15" i="33" s="1"/>
  <c r="S15" i="33" s="1"/>
  <c r="T15" i="33" s="1"/>
  <c r="U15" i="33" s="1"/>
  <c r="V15" i="33" s="1"/>
  <c r="W15" i="33" s="1"/>
  <c r="X15" i="33" s="1"/>
  <c r="Y15" i="33" s="1"/>
  <c r="Z15" i="33" s="1"/>
  <c r="L15" i="32"/>
  <c r="M15" i="32" s="1"/>
  <c r="N15" i="32" s="1"/>
  <c r="O15" i="32" s="1"/>
  <c r="P15" i="32" s="1"/>
  <c r="Q15" i="32" s="1"/>
  <c r="R15" i="32" s="1"/>
  <c r="S15" i="32" s="1"/>
  <c r="T15" i="32" s="1"/>
  <c r="U15" i="32" s="1"/>
  <c r="V15" i="32" s="1"/>
  <c r="W15" i="32" s="1"/>
  <c r="X15" i="32" s="1"/>
  <c r="Y15" i="32" s="1"/>
  <c r="Z15" i="32" s="1"/>
  <c r="J15" i="33"/>
  <c r="J15" i="32"/>
  <c r="E17" i="16"/>
  <c r="T14" i="33"/>
  <c r="T14" i="32"/>
  <c r="L13" i="16"/>
  <c r="E23" i="16"/>
  <c r="N14" i="18"/>
  <c r="O23" i="16"/>
  <c r="D61" i="33"/>
  <c r="I9" i="5"/>
  <c r="D181" i="33"/>
  <c r="D117" i="5"/>
  <c r="D117" i="33" s="1"/>
  <c r="D82" i="33"/>
  <c r="D159" i="33"/>
  <c r="D154" i="33"/>
  <c r="D56" i="32"/>
  <c r="D182" i="32"/>
  <c r="D175" i="32"/>
  <c r="D148" i="32"/>
  <c r="N34" i="18"/>
  <c r="L31" i="18"/>
  <c r="K31" i="18"/>
  <c r="E13" i="16"/>
  <c r="Y8" i="16"/>
  <c r="H13" i="16"/>
  <c r="N16" i="18"/>
  <c r="G168" i="4"/>
  <c r="D31" i="18"/>
  <c r="C31" i="18"/>
  <c r="D21" i="18"/>
  <c r="N13" i="19"/>
  <c r="C47" i="17"/>
  <c r="O46" i="17"/>
  <c r="O10" i="17"/>
  <c r="C11" i="17"/>
  <c r="K13" i="16"/>
  <c r="J21" i="18"/>
  <c r="N28" i="19"/>
  <c r="M15" i="18"/>
  <c r="F31" i="18"/>
  <c r="W23" i="16"/>
  <c r="I17" i="16"/>
  <c r="K17" i="16"/>
  <c r="N32" i="18"/>
  <c r="G21" i="18"/>
  <c r="J22" i="18"/>
  <c r="I15" i="18"/>
  <c r="N13" i="18"/>
  <c r="C83" i="17"/>
  <c r="O82" i="17"/>
  <c r="N10" i="19"/>
  <c r="K20" i="16"/>
  <c r="M31" i="18"/>
  <c r="N23" i="10"/>
  <c r="D135" i="5"/>
  <c r="D72" i="5"/>
  <c r="D65" i="5"/>
  <c r="D62" i="5"/>
  <c r="D62" i="33" s="1"/>
  <c r="G174" i="5"/>
  <c r="M11" i="16"/>
  <c r="B22" i="18"/>
  <c r="N17" i="18"/>
  <c r="L15" i="18"/>
  <c r="K15" i="18"/>
  <c r="M22" i="18"/>
  <c r="D43" i="3"/>
  <c r="N36" i="18"/>
  <c r="W13" i="16"/>
  <c r="F13" i="16"/>
  <c r="G23" i="16"/>
  <c r="E31" i="18"/>
  <c r="C21" i="18"/>
  <c r="E21" i="18"/>
  <c r="H21" i="18"/>
  <c r="D133" i="4"/>
  <c r="D71" i="4"/>
  <c r="D64" i="4"/>
  <c r="D61" i="4"/>
  <c r="D57" i="32" s="1"/>
  <c r="H15" i="18"/>
  <c r="P13" i="16"/>
  <c r="G31" i="19"/>
  <c r="D15" i="18"/>
  <c r="C15" i="18"/>
  <c r="E15" i="18"/>
  <c r="O13" i="16"/>
  <c r="H31" i="18"/>
  <c r="N29" i="18"/>
  <c r="N19" i="19"/>
  <c r="S13" i="16"/>
  <c r="Y17" i="16"/>
  <c r="K21" i="18"/>
  <c r="M21" i="18"/>
  <c r="N18" i="18"/>
  <c r="N33" i="18"/>
  <c r="E22" i="18"/>
  <c r="Y23" i="16"/>
  <c r="K23" i="16"/>
  <c r="G13" i="16"/>
  <c r="X13" i="16"/>
  <c r="Y20" i="16"/>
  <c r="I21" i="18"/>
  <c r="N30" i="10"/>
  <c r="H159" i="5"/>
  <c r="H126" i="5"/>
  <c r="H87" i="5"/>
  <c r="D135" i="4"/>
  <c r="D91" i="4"/>
  <c r="Z151" i="39" l="1"/>
  <c r="Z27" i="39"/>
  <c r="Z15" i="4"/>
  <c r="X15" i="4"/>
  <c r="Z15" i="39"/>
  <c r="X15" i="39"/>
  <c r="AA15" i="4"/>
  <c r="W31" i="4"/>
  <c r="W15" i="5"/>
  <c r="W32" i="5" s="1"/>
  <c r="W31" i="39"/>
  <c r="AA15" i="39"/>
  <c r="W16" i="39"/>
  <c r="AC15" i="4"/>
  <c r="Y31" i="4"/>
  <c r="AC15" i="39"/>
  <c r="Y31" i="39"/>
  <c r="AD20" i="39"/>
  <c r="AD33" i="39" s="1"/>
  <c r="M25" i="35"/>
  <c r="M74" i="12" s="1"/>
  <c r="AH20" i="39"/>
  <c r="AD151" i="39"/>
  <c r="AD27" i="39"/>
  <c r="E25" i="35"/>
  <c r="AE20" i="39"/>
  <c r="H25" i="35"/>
  <c r="AF20" i="39"/>
  <c r="AA33" i="39"/>
  <c r="AA151" i="39"/>
  <c r="AA27" i="39"/>
  <c r="Z44" i="39"/>
  <c r="Z29" i="39"/>
  <c r="Z42" i="39"/>
  <c r="Z40" i="39"/>
  <c r="Z43" i="39"/>
  <c r="Z39" i="39"/>
  <c r="Z38" i="39"/>
  <c r="Z34" i="39"/>
  <c r="AB33" i="39"/>
  <c r="AB27" i="39"/>
  <c r="AB151" i="39"/>
  <c r="V77" i="4"/>
  <c r="F77" i="4"/>
  <c r="E77" i="4"/>
  <c r="L74" i="12"/>
  <c r="G74" i="12"/>
  <c r="D74" i="12"/>
  <c r="C74" i="12"/>
  <c r="E74" i="12"/>
  <c r="I74" i="12"/>
  <c r="F74" i="12"/>
  <c r="H74" i="12"/>
  <c r="J74" i="12"/>
  <c r="K74" i="12"/>
  <c r="N16" i="35"/>
  <c r="O16" i="35" s="1"/>
  <c r="B63" i="12"/>
  <c r="F4" i="35"/>
  <c r="F7" i="35" s="1"/>
  <c r="F50" i="12" s="1"/>
  <c r="E4" i="35"/>
  <c r="M4" i="35"/>
  <c r="M7" i="35" s="1"/>
  <c r="M50" i="12" s="1"/>
  <c r="K4" i="35"/>
  <c r="K7" i="35" s="1"/>
  <c r="K50" i="12" s="1"/>
  <c r="G4" i="35"/>
  <c r="G7" i="35" s="1"/>
  <c r="G50" i="12" s="1"/>
  <c r="N22" i="35"/>
  <c r="AG20" i="39" s="1"/>
  <c r="B25" i="35"/>
  <c r="B74" i="12" s="1"/>
  <c r="J4" i="35"/>
  <c r="J7" i="35" s="1"/>
  <c r="J50" i="12" s="1"/>
  <c r="B4" i="35"/>
  <c r="I4" i="35"/>
  <c r="I7" i="35" s="1"/>
  <c r="I50" i="12" s="1"/>
  <c r="L4" i="35"/>
  <c r="L7" i="35" s="1"/>
  <c r="L50" i="12" s="1"/>
  <c r="C4" i="35"/>
  <c r="C7" i="35" s="1"/>
  <c r="C50" i="12" s="1"/>
  <c r="D4" i="35"/>
  <c r="D7" i="35" s="1"/>
  <c r="D50" i="12" s="1"/>
  <c r="H4" i="35"/>
  <c r="K18" i="11"/>
  <c r="K44" i="22"/>
  <c r="K20" i="11" s="1"/>
  <c r="K43" i="11" s="1"/>
  <c r="K66" i="11" s="1"/>
  <c r="H44" i="22"/>
  <c r="H20" i="11" s="1"/>
  <c r="H43" i="11" s="1"/>
  <c r="H66" i="11" s="1"/>
  <c r="H18" i="11"/>
  <c r="L18" i="11"/>
  <c r="L44" i="22"/>
  <c r="L20" i="11" s="1"/>
  <c r="L43" i="11" s="1"/>
  <c r="L66" i="11" s="1"/>
  <c r="F18" i="11"/>
  <c r="F44" i="22"/>
  <c r="F20" i="11" s="1"/>
  <c r="F43" i="11" s="1"/>
  <c r="F66" i="11" s="1"/>
  <c r="E18" i="11"/>
  <c r="E44" i="22"/>
  <c r="E20" i="11" s="1"/>
  <c r="E43" i="11" s="1"/>
  <c r="E66" i="11" s="1"/>
  <c r="J54" i="18"/>
  <c r="J44" i="22"/>
  <c r="J20" i="11" s="1"/>
  <c r="J43" i="11" s="1"/>
  <c r="J66" i="11" s="1"/>
  <c r="J18" i="11"/>
  <c r="C18" i="11"/>
  <c r="C44" i="22"/>
  <c r="C20" i="11" s="1"/>
  <c r="C43" i="11" s="1"/>
  <c r="C66" i="11" s="1"/>
  <c r="G44" i="22"/>
  <c r="G20" i="11" s="1"/>
  <c r="G43" i="11" s="1"/>
  <c r="G66" i="11" s="1"/>
  <c r="G18" i="11"/>
  <c r="I44" i="22"/>
  <c r="I20" i="11" s="1"/>
  <c r="I43" i="11" s="1"/>
  <c r="I66" i="11" s="1"/>
  <c r="I18" i="11"/>
  <c r="M18" i="11"/>
  <c r="M44" i="22"/>
  <c r="M20" i="11" s="1"/>
  <c r="M43" i="11" s="1"/>
  <c r="M66" i="11" s="1"/>
  <c r="D18" i="11"/>
  <c r="D44" i="22"/>
  <c r="D20" i="11" s="1"/>
  <c r="D43" i="11" s="1"/>
  <c r="D66" i="11" s="1"/>
  <c r="B39" i="20"/>
  <c r="B7" i="22"/>
  <c r="B78" i="20"/>
  <c r="B81" i="20" s="1"/>
  <c r="N81" i="20" s="1"/>
  <c r="B69" i="20"/>
  <c r="B72" i="20" s="1"/>
  <c r="N72" i="20" s="1"/>
  <c r="J118" i="17"/>
  <c r="L118" i="17"/>
  <c r="K118" i="17"/>
  <c r="D118" i="17"/>
  <c r="C118" i="17"/>
  <c r="H118" i="17"/>
  <c r="E118" i="17"/>
  <c r="G118" i="17"/>
  <c r="I118" i="17"/>
  <c r="F118" i="17"/>
  <c r="C30" i="17"/>
  <c r="B42" i="22" s="1"/>
  <c r="B60" i="20"/>
  <c r="N96" i="18"/>
  <c r="H54" i="18"/>
  <c r="L54" i="18"/>
  <c r="M54" i="18"/>
  <c r="K54" i="18"/>
  <c r="I54" i="18"/>
  <c r="N72" i="18"/>
  <c r="N71" i="18"/>
  <c r="C54" i="18"/>
  <c r="D54" i="18"/>
  <c r="N94" i="18"/>
  <c r="N93" i="18"/>
  <c r="G54" i="18"/>
  <c r="F54" i="18"/>
  <c r="N53" i="18"/>
  <c r="U14" i="32"/>
  <c r="U14" i="33"/>
  <c r="BS14" i="5"/>
  <c r="BT14" i="5"/>
  <c r="N5" i="17"/>
  <c r="BQ14" i="5"/>
  <c r="BR14" i="5"/>
  <c r="O27" i="17"/>
  <c r="N52" i="18"/>
  <c r="E54" i="18"/>
  <c r="B30" i="20"/>
  <c r="B21" i="20"/>
  <c r="B12" i="20"/>
  <c r="B54" i="18"/>
  <c r="G39" i="18"/>
  <c r="J39" i="18"/>
  <c r="N47" i="18"/>
  <c r="H23" i="18"/>
  <c r="H12" i="10" s="1"/>
  <c r="I39" i="18"/>
  <c r="N48" i="18"/>
  <c r="L39" i="18"/>
  <c r="E39" i="18"/>
  <c r="M39" i="18"/>
  <c r="D39" i="18"/>
  <c r="B39" i="18"/>
  <c r="N37" i="18"/>
  <c r="H39" i="18"/>
  <c r="K39" i="18"/>
  <c r="C39" i="18"/>
  <c r="C23" i="18"/>
  <c r="C12" i="10" s="1"/>
  <c r="F39" i="18"/>
  <c r="I23" i="18"/>
  <c r="I12" i="10" s="1"/>
  <c r="D23" i="18"/>
  <c r="D12" i="10" s="1"/>
  <c r="L23" i="18"/>
  <c r="L12" i="10" s="1"/>
  <c r="J23" i="18"/>
  <c r="J12" i="10" s="1"/>
  <c r="M23" i="18"/>
  <c r="M12" i="10" s="1"/>
  <c r="K23" i="18"/>
  <c r="K12" i="10" s="1"/>
  <c r="E23" i="18"/>
  <c r="E12" i="10" s="1"/>
  <c r="G23" i="18"/>
  <c r="G12" i="10" s="1"/>
  <c r="B23" i="18"/>
  <c r="B12" i="10" s="1"/>
  <c r="F23" i="18"/>
  <c r="F12" i="10" s="1"/>
  <c r="R16" i="16"/>
  <c r="Q17" i="16" s="1"/>
  <c r="M13" i="16"/>
  <c r="M14" i="16" s="1"/>
  <c r="M28" i="16" s="1"/>
  <c r="H30" i="16" s="1"/>
  <c r="T7" i="16"/>
  <c r="S8" i="16" s="1"/>
  <c r="AA8" i="16" s="1"/>
  <c r="AB7" i="13" s="1"/>
  <c r="R19" i="16"/>
  <c r="Q20" i="16" s="1"/>
  <c r="R10" i="16"/>
  <c r="Q11" i="16" s="1"/>
  <c r="U13" i="16"/>
  <c r="U14" i="16" s="1"/>
  <c r="U28" i="16" s="1"/>
  <c r="L30" i="16" s="1"/>
  <c r="I13" i="16"/>
  <c r="I14" i="16" s="1"/>
  <c r="I28" i="16" s="1"/>
  <c r="F30" i="16" s="1"/>
  <c r="K11" i="16"/>
  <c r="K14" i="16"/>
  <c r="G11" i="16"/>
  <c r="O11" i="16"/>
  <c r="G157" i="4"/>
  <c r="I172" i="5"/>
  <c r="H169" i="5"/>
  <c r="G170" i="5"/>
  <c r="G171" i="5"/>
  <c r="E136" i="5"/>
  <c r="G85" i="4"/>
  <c r="I56" i="5"/>
  <c r="I86" i="5"/>
  <c r="I8" i="5"/>
  <c r="J9" i="5"/>
  <c r="J172" i="5" s="1"/>
  <c r="I9" i="4"/>
  <c r="H84" i="4"/>
  <c r="Z15" i="5"/>
  <c r="N31" i="18"/>
  <c r="AA15" i="5"/>
  <c r="AI26" i="5"/>
  <c r="N15" i="18"/>
  <c r="N21" i="18"/>
  <c r="W14" i="16"/>
  <c r="V14" i="33"/>
  <c r="V14" i="32"/>
  <c r="W11" i="16"/>
  <c r="D65" i="33"/>
  <c r="D72" i="33"/>
  <c r="D138" i="5"/>
  <c r="D147" i="5" s="1"/>
  <c r="D135" i="33"/>
  <c r="D129" i="32"/>
  <c r="D131" i="32"/>
  <c r="D87" i="32"/>
  <c r="D60" i="32"/>
  <c r="D67" i="32"/>
  <c r="D136" i="4"/>
  <c r="D145" i="4" s="1"/>
  <c r="BX14" i="5"/>
  <c r="O5" i="17"/>
  <c r="AA23" i="16"/>
  <c r="AB12" i="13" s="1"/>
  <c r="D31" i="19"/>
  <c r="O14" i="16"/>
  <c r="L31" i="19"/>
  <c r="C30" i="16"/>
  <c r="H31" i="19"/>
  <c r="E31" i="19"/>
  <c r="M31" i="19"/>
  <c r="J31" i="19"/>
  <c r="O11" i="17"/>
  <c r="Y28" i="16"/>
  <c r="N30" i="16" s="1"/>
  <c r="K9" i="5"/>
  <c r="K172" i="5" s="1"/>
  <c r="J8" i="5"/>
  <c r="H174" i="5"/>
  <c r="O47" i="17"/>
  <c r="B31" i="19"/>
  <c r="N22" i="19"/>
  <c r="E14" i="16"/>
  <c r="C31" i="19"/>
  <c r="AJ26" i="5"/>
  <c r="H168" i="4"/>
  <c r="E11" i="16"/>
  <c r="G14" i="16"/>
  <c r="F31" i="19"/>
  <c r="O83" i="17"/>
  <c r="K31" i="19"/>
  <c r="N22" i="18"/>
  <c r="N38" i="18"/>
  <c r="I31" i="19"/>
  <c r="E7" i="35" l="1"/>
  <c r="E50" i="12" s="1"/>
  <c r="W20" i="39"/>
  <c r="H7" i="35"/>
  <c r="H50" i="12" s="1"/>
  <c r="X20" i="39"/>
  <c r="AC31" i="39"/>
  <c r="AG15" i="39"/>
  <c r="AG15" i="4"/>
  <c r="AC31" i="4"/>
  <c r="AA31" i="39"/>
  <c r="AE15" i="39"/>
  <c r="AA16" i="39"/>
  <c r="AA31" i="4"/>
  <c r="AE15" i="4"/>
  <c r="X31" i="39"/>
  <c r="AB15" i="39"/>
  <c r="X16" i="39"/>
  <c r="Z31" i="39"/>
  <c r="AD15" i="39"/>
  <c r="Z16" i="39"/>
  <c r="AB15" i="4"/>
  <c r="X31" i="4"/>
  <c r="X15" i="5"/>
  <c r="X32" i="5" s="1"/>
  <c r="AD15" i="4"/>
  <c r="Z31" i="4"/>
  <c r="AG33" i="39"/>
  <c r="AK20" i="39"/>
  <c r="AG27" i="39"/>
  <c r="AG151" i="39"/>
  <c r="Z30" i="39"/>
  <c r="AA43" i="39"/>
  <c r="AA39" i="39"/>
  <c r="AA38" i="39"/>
  <c r="AA40" i="39"/>
  <c r="AA42" i="39"/>
  <c r="AA34" i="39"/>
  <c r="AA44" i="39"/>
  <c r="AA29" i="39"/>
  <c r="AB74" i="39"/>
  <c r="Z73" i="39"/>
  <c r="AF33" i="39"/>
  <c r="AJ20" i="39"/>
  <c r="AF151" i="39"/>
  <c r="AF27" i="39"/>
  <c r="AB43" i="39"/>
  <c r="AB44" i="39"/>
  <c r="AB42" i="39"/>
  <c r="AB40" i="39"/>
  <c r="AB34" i="39"/>
  <c r="AB38" i="39"/>
  <c r="AB39" i="39"/>
  <c r="AB29" i="39"/>
  <c r="AB30" i="39" s="1"/>
  <c r="AA73" i="39"/>
  <c r="AE33" i="39"/>
  <c r="AI20" i="39"/>
  <c r="AE151" i="39"/>
  <c r="AE27" i="39"/>
  <c r="AE74" i="39" s="1"/>
  <c r="AA74" i="39"/>
  <c r="AD44" i="39"/>
  <c r="AD29" i="39"/>
  <c r="AD40" i="39"/>
  <c r="AD38" i="39"/>
  <c r="AD43" i="39"/>
  <c r="AD34" i="39"/>
  <c r="AD42" i="39"/>
  <c r="AD39" i="39"/>
  <c r="AL20" i="39"/>
  <c r="AH33" i="39"/>
  <c r="AH27" i="39"/>
  <c r="AH151" i="39"/>
  <c r="N74" i="12"/>
  <c r="O14" i="35"/>
  <c r="AC21" i="39" s="1"/>
  <c r="AC32" i="39" s="1"/>
  <c r="O12" i="35"/>
  <c r="AC19" i="39" s="1"/>
  <c r="O15" i="35"/>
  <c r="AC22" i="39" s="1"/>
  <c r="O13" i="35"/>
  <c r="AC20" i="39" s="1"/>
  <c r="AC33" i="39" s="1"/>
  <c r="N25" i="35"/>
  <c r="N63" i="12"/>
  <c r="D25" i="36"/>
  <c r="D22" i="36"/>
  <c r="D18" i="36"/>
  <c r="D14" i="36"/>
  <c r="D11" i="36"/>
  <c r="D7" i="36"/>
  <c r="D28" i="36"/>
  <c r="D26" i="36" s="1"/>
  <c r="D54" i="12" s="1"/>
  <c r="D67" i="12" s="1"/>
  <c r="D79" i="12" s="1"/>
  <c r="D12" i="36"/>
  <c r="D13" i="36" s="1"/>
  <c r="C28" i="36"/>
  <c r="C26" i="36" s="1"/>
  <c r="C54" i="12" s="1"/>
  <c r="C67" i="12" s="1"/>
  <c r="C79" i="12" s="1"/>
  <c r="C12" i="36"/>
  <c r="C13" i="36" s="1"/>
  <c r="C25" i="36"/>
  <c r="C22" i="36"/>
  <c r="C18" i="36"/>
  <c r="C14" i="36"/>
  <c r="C11" i="36"/>
  <c r="C9" i="36"/>
  <c r="C7" i="36"/>
  <c r="K28" i="36"/>
  <c r="K12" i="36"/>
  <c r="K13" i="36" s="1"/>
  <c r="K25" i="36"/>
  <c r="K22" i="36"/>
  <c r="K18" i="36"/>
  <c r="K14" i="36"/>
  <c r="K11" i="36"/>
  <c r="K7" i="36"/>
  <c r="G9" i="36"/>
  <c r="G25" i="36"/>
  <c r="G22" i="36"/>
  <c r="G18" i="36"/>
  <c r="G14" i="36"/>
  <c r="G11" i="36"/>
  <c r="G7" i="36"/>
  <c r="G28" i="36"/>
  <c r="G26" i="36" s="1"/>
  <c r="G54" i="12" s="1"/>
  <c r="G67" i="12" s="1"/>
  <c r="G79" i="12" s="1"/>
  <c r="G12" i="36"/>
  <c r="G13" i="36" s="1"/>
  <c r="L25" i="36"/>
  <c r="L22" i="36"/>
  <c r="L18" i="36"/>
  <c r="L14" i="36"/>
  <c r="L11" i="36"/>
  <c r="L7" i="36"/>
  <c r="L12" i="36"/>
  <c r="L13" i="36" s="1"/>
  <c r="L28" i="36"/>
  <c r="L26" i="36" s="1"/>
  <c r="L54" i="12" s="1"/>
  <c r="L67" i="12" s="1"/>
  <c r="L79" i="12" s="1"/>
  <c r="M9" i="36"/>
  <c r="M25" i="36"/>
  <c r="M22" i="36"/>
  <c r="M18" i="36"/>
  <c r="M14" i="36"/>
  <c r="M11" i="36"/>
  <c r="M7" i="36"/>
  <c r="M28" i="36"/>
  <c r="M26" i="36" s="1"/>
  <c r="M54" i="12" s="1"/>
  <c r="M67" i="12" s="1"/>
  <c r="M79" i="12" s="1"/>
  <c r="M12" i="36"/>
  <c r="M13" i="36" s="1"/>
  <c r="H28" i="36"/>
  <c r="H12" i="36"/>
  <c r="H13" i="36" s="1"/>
  <c r="H18" i="36"/>
  <c r="H11" i="36"/>
  <c r="H7" i="36"/>
  <c r="H9" i="36"/>
  <c r="H25" i="36"/>
  <c r="H22" i="36"/>
  <c r="H14" i="36"/>
  <c r="I25" i="36"/>
  <c r="I18" i="36"/>
  <c r="I11" i="36"/>
  <c r="I28" i="36"/>
  <c r="I26" i="36" s="1"/>
  <c r="I54" i="12" s="1"/>
  <c r="I67" i="12" s="1"/>
  <c r="I79" i="12" s="1"/>
  <c r="I12" i="36"/>
  <c r="I13" i="36" s="1"/>
  <c r="I7" i="36"/>
  <c r="I22" i="36"/>
  <c r="I14" i="36"/>
  <c r="I9" i="36"/>
  <c r="E25" i="36"/>
  <c r="E22" i="36"/>
  <c r="E18" i="36"/>
  <c r="E14" i="36"/>
  <c r="E11" i="36"/>
  <c r="E7" i="36"/>
  <c r="E28" i="36"/>
  <c r="E12" i="36"/>
  <c r="E13" i="36" s="1"/>
  <c r="F9" i="36"/>
  <c r="F25" i="36"/>
  <c r="F22" i="36"/>
  <c r="F18" i="36"/>
  <c r="F14" i="36"/>
  <c r="F11" i="36"/>
  <c r="F7" i="36"/>
  <c r="F28" i="36"/>
  <c r="F26" i="36" s="1"/>
  <c r="F54" i="12" s="1"/>
  <c r="F67" i="12" s="1"/>
  <c r="F79" i="12" s="1"/>
  <c r="F12" i="36"/>
  <c r="F13" i="36" s="1"/>
  <c r="J9" i="36"/>
  <c r="J28" i="36"/>
  <c r="J26" i="36" s="1"/>
  <c r="J54" i="12" s="1"/>
  <c r="J67" i="12" s="1"/>
  <c r="J79" i="12" s="1"/>
  <c r="J12" i="36"/>
  <c r="J13" i="36" s="1"/>
  <c r="J25" i="36"/>
  <c r="J22" i="36"/>
  <c r="J18" i="36"/>
  <c r="J14" i="36"/>
  <c r="J11" i="36"/>
  <c r="J7" i="36"/>
  <c r="B7" i="35"/>
  <c r="B50" i="12" s="1"/>
  <c r="N4" i="35"/>
  <c r="L5" i="11"/>
  <c r="H51" i="11"/>
  <c r="F5" i="11"/>
  <c r="D5" i="11"/>
  <c r="B28" i="11"/>
  <c r="E51" i="11"/>
  <c r="C51" i="11"/>
  <c r="J5" i="11"/>
  <c r="I28" i="11"/>
  <c r="J51" i="11"/>
  <c r="B5" i="11"/>
  <c r="I5" i="11"/>
  <c r="D28" i="11"/>
  <c r="J28" i="11"/>
  <c r="M5" i="11"/>
  <c r="M51" i="11"/>
  <c r="H5" i="11"/>
  <c r="G5" i="11"/>
  <c r="F28" i="11"/>
  <c r="M28" i="11"/>
  <c r="G28" i="11"/>
  <c r="L51" i="11"/>
  <c r="E5" i="11"/>
  <c r="C5" i="11"/>
  <c r="E28" i="11"/>
  <c r="B51" i="11"/>
  <c r="F51" i="11"/>
  <c r="I51" i="11"/>
  <c r="K28" i="11"/>
  <c r="H28" i="11"/>
  <c r="D51" i="11"/>
  <c r="K5" i="11"/>
  <c r="C28" i="11"/>
  <c r="L28" i="11"/>
  <c r="G51" i="11"/>
  <c r="K51" i="11"/>
  <c r="D146" i="5"/>
  <c r="D148" i="5" s="1"/>
  <c r="B18" i="11"/>
  <c r="B44" i="22"/>
  <c r="E134" i="4"/>
  <c r="D120" i="17"/>
  <c r="D122" i="17" s="1"/>
  <c r="C120" i="17"/>
  <c r="C122" i="17" s="1"/>
  <c r="N85" i="18"/>
  <c r="N97" i="18"/>
  <c r="C49" i="17"/>
  <c r="H49" i="17"/>
  <c r="H85" i="17" s="1"/>
  <c r="F49" i="17"/>
  <c r="N49" i="17"/>
  <c r="L49" i="17"/>
  <c r="L85" i="17" s="1"/>
  <c r="E120" i="17"/>
  <c r="N54" i="18"/>
  <c r="N23" i="18"/>
  <c r="K28" i="16"/>
  <c r="G30" i="16" s="1"/>
  <c r="T16" i="16"/>
  <c r="S17" i="16" s="1"/>
  <c r="AA17" i="16" s="1"/>
  <c r="AB10" i="13" s="1"/>
  <c r="R13" i="16"/>
  <c r="Q14" i="16" s="1"/>
  <c r="T10" i="16"/>
  <c r="S11" i="16" s="1"/>
  <c r="AA11" i="16" s="1"/>
  <c r="AB8" i="13" s="1"/>
  <c r="T19" i="16"/>
  <c r="S20" i="16" s="1"/>
  <c r="AA20" i="16" s="1"/>
  <c r="AB11" i="13" s="1"/>
  <c r="L13" i="17"/>
  <c r="H13" i="17"/>
  <c r="F13" i="17"/>
  <c r="O28" i="16"/>
  <c r="I30" i="16" s="1"/>
  <c r="G28" i="16"/>
  <c r="E30" i="16" s="1"/>
  <c r="F136" i="5"/>
  <c r="F58" i="5"/>
  <c r="AJ46" i="5"/>
  <c r="G63" i="5"/>
  <c r="I169" i="5"/>
  <c r="H171" i="5"/>
  <c r="H170" i="5"/>
  <c r="H63" i="5" s="1"/>
  <c r="W28" i="16"/>
  <c r="M30" i="16" s="1"/>
  <c r="D9" i="14"/>
  <c r="B10" i="14" s="1"/>
  <c r="H85" i="4"/>
  <c r="H157" i="4"/>
  <c r="H124" i="4"/>
  <c r="J56" i="5"/>
  <c r="J86" i="5"/>
  <c r="I84" i="4"/>
  <c r="J9" i="4"/>
  <c r="I126" i="5"/>
  <c r="I159" i="5"/>
  <c r="I87" i="5"/>
  <c r="AI46" i="5"/>
  <c r="K56" i="5"/>
  <c r="K86" i="5"/>
  <c r="I8" i="4"/>
  <c r="AE25" i="5"/>
  <c r="P46" i="5"/>
  <c r="T46" i="5"/>
  <c r="K46" i="5"/>
  <c r="N46" i="5"/>
  <c r="Q46" i="5"/>
  <c r="V46" i="5"/>
  <c r="L46" i="5"/>
  <c r="G46" i="5"/>
  <c r="J46" i="5"/>
  <c r="M46" i="5"/>
  <c r="X46" i="5"/>
  <c r="R46" i="5"/>
  <c r="U46" i="5"/>
  <c r="H46" i="5"/>
  <c r="S46" i="5"/>
  <c r="W46" i="5"/>
  <c r="F46" i="5"/>
  <c r="I46" i="5"/>
  <c r="O46" i="5"/>
  <c r="E46" i="5"/>
  <c r="Z46" i="5"/>
  <c r="AF46" i="5"/>
  <c r="AA46" i="5"/>
  <c r="AE46" i="5"/>
  <c r="AB46" i="5"/>
  <c r="AC46" i="5"/>
  <c r="Y46" i="5"/>
  <c r="AD46" i="5"/>
  <c r="AD25" i="5"/>
  <c r="AF25" i="5"/>
  <c r="AK26" i="5"/>
  <c r="AK46" i="5" s="1"/>
  <c r="AG46" i="5"/>
  <c r="AA32" i="5"/>
  <c r="Z32" i="5"/>
  <c r="Y15" i="5"/>
  <c r="AC15" i="5"/>
  <c r="W14" i="33"/>
  <c r="Y14" i="33"/>
  <c r="Z14" i="33"/>
  <c r="X14" i="33"/>
  <c r="Y14" i="32"/>
  <c r="X14" i="32"/>
  <c r="W14" i="32"/>
  <c r="Z14" i="32"/>
  <c r="D144" i="4"/>
  <c r="D140" i="32" s="1"/>
  <c r="D147" i="33"/>
  <c r="D138" i="33"/>
  <c r="D141" i="32"/>
  <c r="D132" i="32"/>
  <c r="CO14" i="4"/>
  <c r="CO14" i="5" s="1"/>
  <c r="CN14" i="4"/>
  <c r="CN14" i="5" s="1"/>
  <c r="CE14" i="4"/>
  <c r="CE14" i="5" s="1"/>
  <c r="CK14" i="4"/>
  <c r="CK14" i="5" s="1"/>
  <c r="CB14" i="4"/>
  <c r="BY14" i="5"/>
  <c r="CL14" i="4"/>
  <c r="CL14" i="5" s="1"/>
  <c r="CA14" i="4"/>
  <c r="BZ14" i="4"/>
  <c r="CG14" i="4"/>
  <c r="CG14" i="5" s="1"/>
  <c r="CF14" i="4"/>
  <c r="CF14" i="5" s="1"/>
  <c r="CC14" i="4"/>
  <c r="CI14" i="4"/>
  <c r="CI14" i="5" s="1"/>
  <c r="CM14" i="4"/>
  <c r="CM14" i="5" s="1"/>
  <c r="CD14" i="4"/>
  <c r="CD14" i="5" s="1"/>
  <c r="CJ14" i="4"/>
  <c r="CJ14" i="5" s="1"/>
  <c r="CH14" i="4"/>
  <c r="CH14" i="5" s="1"/>
  <c r="AN26" i="5"/>
  <c r="AN46" i="5" s="1"/>
  <c r="D139" i="5"/>
  <c r="AC25" i="5"/>
  <c r="E28" i="16"/>
  <c r="Y25" i="5"/>
  <c r="N13" i="17"/>
  <c r="I168" i="4"/>
  <c r="N31" i="19"/>
  <c r="AH26" i="5"/>
  <c r="AH46" i="5" s="1"/>
  <c r="D137" i="4"/>
  <c r="C13" i="17"/>
  <c r="AG15" i="5"/>
  <c r="I174" i="5"/>
  <c r="K8" i="5"/>
  <c r="L9" i="5"/>
  <c r="L172" i="5" s="1"/>
  <c r="CA14" i="5" l="1"/>
  <c r="CA49" i="4"/>
  <c r="CE49" i="4" s="1"/>
  <c r="CI49" i="4" s="1"/>
  <c r="CM49" i="4" s="1"/>
  <c r="CA48" i="4"/>
  <c r="CE48" i="4" s="1"/>
  <c r="CI48" i="4" s="1"/>
  <c r="CM48" i="4" s="1"/>
  <c r="CA54" i="4"/>
  <c r="CE54" i="4" s="1"/>
  <c r="CI54" i="4" s="1"/>
  <c r="CM54" i="4" s="1"/>
  <c r="CA51" i="4"/>
  <c r="CE51" i="4" s="1"/>
  <c r="CI51" i="4" s="1"/>
  <c r="CM51" i="4" s="1"/>
  <c r="CA50" i="4"/>
  <c r="CE50" i="4" s="1"/>
  <c r="CI50" i="4" s="1"/>
  <c r="CM50" i="4" s="1"/>
  <c r="CA53" i="4"/>
  <c r="CE53" i="4" s="1"/>
  <c r="CI53" i="4" s="1"/>
  <c r="CM53" i="4" s="1"/>
  <c r="CA47" i="4"/>
  <c r="CE47" i="4" s="1"/>
  <c r="CI47" i="4" s="1"/>
  <c r="CM47" i="4" s="1"/>
  <c r="BZ14" i="5"/>
  <c r="BZ47" i="4"/>
  <c r="CD47" i="4" s="1"/>
  <c r="CH47" i="4" s="1"/>
  <c r="CL47" i="4" s="1"/>
  <c r="BZ50" i="4"/>
  <c r="CD50" i="4" s="1"/>
  <c r="CH50" i="4" s="1"/>
  <c r="CL50" i="4" s="1"/>
  <c r="BZ49" i="4"/>
  <c r="CD49" i="4" s="1"/>
  <c r="CH49" i="4" s="1"/>
  <c r="CL49" i="4" s="1"/>
  <c r="BZ48" i="4"/>
  <c r="CD48" i="4" s="1"/>
  <c r="CH48" i="4" s="1"/>
  <c r="CL48" i="4" s="1"/>
  <c r="BZ54" i="4"/>
  <c r="CD54" i="4" s="1"/>
  <c r="CH54" i="4" s="1"/>
  <c r="CL54" i="4" s="1"/>
  <c r="BZ51" i="4"/>
  <c r="CD51" i="4" s="1"/>
  <c r="CH51" i="4" s="1"/>
  <c r="CL51" i="4" s="1"/>
  <c r="BZ53" i="4"/>
  <c r="CD53" i="4" s="1"/>
  <c r="CH53" i="4" s="1"/>
  <c r="CL53" i="4" s="1"/>
  <c r="CB14" i="5"/>
  <c r="CB48" i="4"/>
  <c r="CF48" i="4" s="1"/>
  <c r="CJ48" i="4" s="1"/>
  <c r="CN48" i="4" s="1"/>
  <c r="CB54" i="4"/>
  <c r="CF54" i="4" s="1"/>
  <c r="CJ54" i="4" s="1"/>
  <c r="CN54" i="4" s="1"/>
  <c r="CB49" i="4"/>
  <c r="CF49" i="4" s="1"/>
  <c r="CJ49" i="4" s="1"/>
  <c r="CN49" i="4" s="1"/>
  <c r="CB51" i="4"/>
  <c r="CF51" i="4" s="1"/>
  <c r="CJ51" i="4" s="1"/>
  <c r="CN51" i="4" s="1"/>
  <c r="CB50" i="4"/>
  <c r="CF50" i="4" s="1"/>
  <c r="CJ50" i="4" s="1"/>
  <c r="CN50" i="4" s="1"/>
  <c r="CB53" i="4"/>
  <c r="CF53" i="4" s="1"/>
  <c r="CJ53" i="4" s="1"/>
  <c r="CN53" i="4" s="1"/>
  <c r="CB47" i="4"/>
  <c r="CF47" i="4" s="1"/>
  <c r="CJ47" i="4" s="1"/>
  <c r="CN47" i="4" s="1"/>
  <c r="X33" i="39"/>
  <c r="X27" i="39"/>
  <c r="X151" i="39"/>
  <c r="CC14" i="5"/>
  <c r="CC47" i="4"/>
  <c r="CG47" i="4" s="1"/>
  <c r="CK47" i="4" s="1"/>
  <c r="CO47" i="4" s="1"/>
  <c r="CC49" i="4"/>
  <c r="CG49" i="4" s="1"/>
  <c r="CK49" i="4" s="1"/>
  <c r="CO49" i="4" s="1"/>
  <c r="CC54" i="4"/>
  <c r="CG54" i="4" s="1"/>
  <c r="CK54" i="4" s="1"/>
  <c r="CO54" i="4" s="1"/>
  <c r="CC50" i="4"/>
  <c r="CG50" i="4" s="1"/>
  <c r="CK50" i="4" s="1"/>
  <c r="CO50" i="4" s="1"/>
  <c r="CC48" i="4"/>
  <c r="CG48" i="4" s="1"/>
  <c r="CK48" i="4" s="1"/>
  <c r="CO48" i="4" s="1"/>
  <c r="CC51" i="4"/>
  <c r="CG51" i="4" s="1"/>
  <c r="CK51" i="4" s="1"/>
  <c r="CO51" i="4" s="1"/>
  <c r="CC53" i="4"/>
  <c r="CG53" i="4" s="1"/>
  <c r="CK53" i="4" s="1"/>
  <c r="CO53" i="4" s="1"/>
  <c r="W33" i="39"/>
  <c r="W151" i="39"/>
  <c r="W27" i="39"/>
  <c r="AD31" i="4"/>
  <c r="AH15" i="4"/>
  <c r="AD15" i="5"/>
  <c r="AD32" i="5" s="1"/>
  <c r="AF15" i="4"/>
  <c r="AB31" i="4"/>
  <c r="AB15" i="5"/>
  <c r="AB32" i="5" s="1"/>
  <c r="Z75" i="39"/>
  <c r="AD31" i="39"/>
  <c r="AH15" i="39"/>
  <c r="AD16" i="39"/>
  <c r="AB31" i="39"/>
  <c r="AF15" i="39"/>
  <c r="AB16" i="39"/>
  <c r="AE31" i="39"/>
  <c r="AI15" i="39"/>
  <c r="AE16" i="39"/>
  <c r="AE31" i="4"/>
  <c r="AI15" i="4"/>
  <c r="AE15" i="5"/>
  <c r="AE32" i="5" s="1"/>
  <c r="Z20" i="4"/>
  <c r="AG31" i="4"/>
  <c r="AK15" i="4"/>
  <c r="AK15" i="39"/>
  <c r="AG31" i="39"/>
  <c r="AG16" i="39"/>
  <c r="F86" i="17"/>
  <c r="C50" i="17"/>
  <c r="N14" i="17"/>
  <c r="E86" i="17"/>
  <c r="D86" i="17"/>
  <c r="C86" i="17"/>
  <c r="M14" i="17"/>
  <c r="N50" i="17"/>
  <c r="M50" i="17"/>
  <c r="K14" i="17"/>
  <c r="J14" i="17"/>
  <c r="K50" i="17"/>
  <c r="I14" i="17"/>
  <c r="L50" i="17"/>
  <c r="N86" i="17"/>
  <c r="M86" i="17"/>
  <c r="J50" i="17"/>
  <c r="H14" i="17"/>
  <c r="H15" i="17" s="1"/>
  <c r="H16" i="17" s="1"/>
  <c r="I50" i="17"/>
  <c r="G14" i="17"/>
  <c r="L86" i="17"/>
  <c r="K86" i="17"/>
  <c r="H50" i="17"/>
  <c r="F14" i="17"/>
  <c r="F15" i="17" s="1"/>
  <c r="F16" i="17" s="1"/>
  <c r="G50" i="17"/>
  <c r="E14" i="17"/>
  <c r="J86" i="17"/>
  <c r="I86" i="17"/>
  <c r="F50" i="17"/>
  <c r="F51" i="17" s="1"/>
  <c r="F52" i="17" s="1"/>
  <c r="E27" i="11" s="1"/>
  <c r="D14" i="17"/>
  <c r="H86" i="17"/>
  <c r="H87" i="17" s="1"/>
  <c r="H88" i="17" s="1"/>
  <c r="G50" i="11" s="1"/>
  <c r="E50" i="17"/>
  <c r="C14" i="17"/>
  <c r="L14" i="17"/>
  <c r="L15" i="17" s="1"/>
  <c r="L16" i="17" s="1"/>
  <c r="G86" i="17"/>
  <c r="D50" i="17"/>
  <c r="N15" i="17"/>
  <c r="N16" i="17" s="1"/>
  <c r="M17" i="22" s="1"/>
  <c r="L87" i="17"/>
  <c r="L88" i="17" s="1"/>
  <c r="K50" i="11" s="1"/>
  <c r="W52" i="39"/>
  <c r="AA20" i="4"/>
  <c r="AH20" i="4" s="1"/>
  <c r="AO20" i="4" s="1"/>
  <c r="AV20" i="4" s="1"/>
  <c r="BC20" i="4" s="1"/>
  <c r="BJ20" i="4" s="1"/>
  <c r="BQ20" i="4" s="1"/>
  <c r="BX20" i="4" s="1"/>
  <c r="AA75" i="39"/>
  <c r="Y20" i="4"/>
  <c r="W20" i="4"/>
  <c r="W33" i="4" s="1"/>
  <c r="AE20" i="4"/>
  <c r="AL20" i="4" s="1"/>
  <c r="AS20" i="4" s="1"/>
  <c r="AZ20" i="4" s="1"/>
  <c r="BG20" i="4" s="1"/>
  <c r="BN20" i="4" s="1"/>
  <c r="BU20" i="4" s="1"/>
  <c r="CB20" i="4" s="1"/>
  <c r="CI20" i="4" s="1"/>
  <c r="X20" i="4"/>
  <c r="X33" i="4" s="1"/>
  <c r="AP20" i="39"/>
  <c r="AL33" i="39"/>
  <c r="AL27" i="39"/>
  <c r="AL151" i="39"/>
  <c r="AA30" i="39"/>
  <c r="AB77" i="39" s="1"/>
  <c r="AG20" i="4"/>
  <c r="AN20" i="4" s="1"/>
  <c r="AU20" i="4" s="1"/>
  <c r="BB20" i="4" s="1"/>
  <c r="BI20" i="4" s="1"/>
  <c r="BP20" i="4" s="1"/>
  <c r="BW20" i="4" s="1"/>
  <c r="CD20" i="4" s="1"/>
  <c r="CK20" i="4" s="1"/>
  <c r="AF20" i="4"/>
  <c r="AM20" i="4" s="1"/>
  <c r="AT20" i="4" s="1"/>
  <c r="BA20" i="4" s="1"/>
  <c r="BH20" i="4" s="1"/>
  <c r="BO20" i="4" s="1"/>
  <c r="BV20" i="4" s="1"/>
  <c r="CC20" i="4" s="1"/>
  <c r="CJ20" i="4" s="1"/>
  <c r="AC20" i="4"/>
  <c r="AJ20" i="4" s="1"/>
  <c r="AQ20" i="4" s="1"/>
  <c r="AX20" i="4" s="1"/>
  <c r="BE20" i="4" s="1"/>
  <c r="BL20" i="4" s="1"/>
  <c r="BS20" i="4" s="1"/>
  <c r="BZ20" i="4" s="1"/>
  <c r="CG20" i="4" s="1"/>
  <c r="CN20" i="4" s="1"/>
  <c r="AD30" i="39"/>
  <c r="AA76" i="39"/>
  <c r="AB20" i="4"/>
  <c r="AI20" i="4" s="1"/>
  <c r="AP20" i="4" s="1"/>
  <c r="AW20" i="4" s="1"/>
  <c r="BD20" i="4" s="1"/>
  <c r="BK20" i="4" s="1"/>
  <c r="BR20" i="4" s="1"/>
  <c r="BY20" i="4" s="1"/>
  <c r="CF20" i="4" s="1"/>
  <c r="CM20" i="4" s="1"/>
  <c r="AE73" i="39"/>
  <c r="AG74" i="39"/>
  <c r="AF34" i="39"/>
  <c r="AF44" i="39"/>
  <c r="AF42" i="39"/>
  <c r="AF39" i="39"/>
  <c r="AF40" i="39"/>
  <c r="AF29" i="39"/>
  <c r="AF30" i="39" s="1"/>
  <c r="AF43" i="39"/>
  <c r="AF38" i="39"/>
  <c r="AI33" i="39"/>
  <c r="AM20" i="39"/>
  <c r="AI151" i="39"/>
  <c r="AI27" i="39"/>
  <c r="AI74" i="39" s="1"/>
  <c r="AD20" i="4"/>
  <c r="AK20" i="4" s="1"/>
  <c r="AR20" i="4" s="1"/>
  <c r="AY20" i="4" s="1"/>
  <c r="BF20" i="4" s="1"/>
  <c r="BM20" i="4" s="1"/>
  <c r="BT20" i="4" s="1"/>
  <c r="CA20" i="4" s="1"/>
  <c r="CH20" i="4" s="1"/>
  <c r="CO20" i="4" s="1"/>
  <c r="AJ33" i="39"/>
  <c r="AN20" i="39"/>
  <c r="AJ151" i="39"/>
  <c r="AJ27" i="39"/>
  <c r="AG42" i="39"/>
  <c r="AG34" i="39"/>
  <c r="AG44" i="39"/>
  <c r="AG40" i="39"/>
  <c r="AG38" i="39"/>
  <c r="AG29" i="39"/>
  <c r="AG43" i="39"/>
  <c r="AG39" i="39"/>
  <c r="AF73" i="39"/>
  <c r="AH74" i="39"/>
  <c r="AH38" i="39"/>
  <c r="AH34" i="39"/>
  <c r="AH29" i="39"/>
  <c r="AH40" i="39"/>
  <c r="AH43" i="39"/>
  <c r="AH39" i="39"/>
  <c r="AG73" i="39"/>
  <c r="AH44" i="39"/>
  <c r="AH42" i="39"/>
  <c r="AE40" i="39"/>
  <c r="AE42" i="39"/>
  <c r="AE38" i="39"/>
  <c r="AE43" i="39"/>
  <c r="AE39" i="39"/>
  <c r="AE29" i="39"/>
  <c r="AF74" i="39"/>
  <c r="AE34" i="39"/>
  <c r="AD73" i="39"/>
  <c r="AE44" i="39"/>
  <c r="AO20" i="39"/>
  <c r="AK33" i="39"/>
  <c r="AK27" i="39"/>
  <c r="AK151" i="39"/>
  <c r="X55" i="39"/>
  <c r="AB55" i="39" s="1"/>
  <c r="AF55" i="39" s="1"/>
  <c r="AJ55" i="39" s="1"/>
  <c r="AN55" i="39" s="1"/>
  <c r="AR55" i="39" s="1"/>
  <c r="AV55" i="39" s="1"/>
  <c r="AZ55" i="39" s="1"/>
  <c r="BD55" i="39" s="1"/>
  <c r="BH55" i="39" s="1"/>
  <c r="BL55" i="39" s="1"/>
  <c r="BP55" i="39" s="1"/>
  <c r="BT55" i="39" s="1"/>
  <c r="BX55" i="39" s="1"/>
  <c r="CB55" i="39" s="1"/>
  <c r="CF55" i="39" s="1"/>
  <c r="CJ55" i="39" s="1"/>
  <c r="CN55" i="39" s="1"/>
  <c r="Y55" i="39"/>
  <c r="AC55" i="39" s="1"/>
  <c r="AG55" i="39" s="1"/>
  <c r="AK55" i="39" s="1"/>
  <c r="AO55" i="39" s="1"/>
  <c r="AS55" i="39" s="1"/>
  <c r="AW55" i="39" s="1"/>
  <c r="BA55" i="39" s="1"/>
  <c r="BE55" i="39" s="1"/>
  <c r="BI55" i="39" s="1"/>
  <c r="BM55" i="39" s="1"/>
  <c r="BQ55" i="39" s="1"/>
  <c r="BU55" i="39" s="1"/>
  <c r="BY55" i="39" s="1"/>
  <c r="CC55" i="39" s="1"/>
  <c r="CG55" i="39" s="1"/>
  <c r="CK55" i="39" s="1"/>
  <c r="CO55" i="39" s="1"/>
  <c r="X52" i="39"/>
  <c r="AB52" i="39" s="1"/>
  <c r="E26" i="36"/>
  <c r="E54" i="12" s="1"/>
  <c r="E67" i="12" s="1"/>
  <c r="E79" i="12" s="1"/>
  <c r="W56" i="39"/>
  <c r="AC151" i="39"/>
  <c r="AC27" i="39"/>
  <c r="AC16" i="39"/>
  <c r="W55" i="39"/>
  <c r="Y52" i="39"/>
  <c r="AC52" i="39" s="1"/>
  <c r="AG52" i="39" s="1"/>
  <c r="AA52" i="39"/>
  <c r="H26" i="36"/>
  <c r="H54" i="12" s="1"/>
  <c r="H67" i="12" s="1"/>
  <c r="H79" i="12" s="1"/>
  <c r="X56" i="39"/>
  <c r="AB56" i="39" s="1"/>
  <c r="AF56" i="39" s="1"/>
  <c r="AJ56" i="39" s="1"/>
  <c r="AN56" i="39" s="1"/>
  <c r="AR56" i="39" s="1"/>
  <c r="AV56" i="39" s="1"/>
  <c r="AZ56" i="39" s="1"/>
  <c r="BD56" i="39" s="1"/>
  <c r="BH56" i="39" s="1"/>
  <c r="BL56" i="39" s="1"/>
  <c r="BP56" i="39" s="1"/>
  <c r="BT56" i="39" s="1"/>
  <c r="BX56" i="39" s="1"/>
  <c r="CB56" i="39" s="1"/>
  <c r="CF56" i="39" s="1"/>
  <c r="CJ56" i="39" s="1"/>
  <c r="CN56" i="39" s="1"/>
  <c r="K26" i="36"/>
  <c r="K54" i="12" s="1"/>
  <c r="K67" i="12" s="1"/>
  <c r="K79" i="12" s="1"/>
  <c r="Y56" i="39"/>
  <c r="AC56" i="39" s="1"/>
  <c r="AG56" i="39" s="1"/>
  <c r="AK56" i="39" s="1"/>
  <c r="AO56" i="39" s="1"/>
  <c r="AS56" i="39" s="1"/>
  <c r="AW56" i="39" s="1"/>
  <c r="BA56" i="39" s="1"/>
  <c r="BE56" i="39" s="1"/>
  <c r="BI56" i="39" s="1"/>
  <c r="BM56" i="39" s="1"/>
  <c r="BQ56" i="39" s="1"/>
  <c r="BU56" i="39" s="1"/>
  <c r="BY56" i="39" s="1"/>
  <c r="CC56" i="39" s="1"/>
  <c r="CG56" i="39" s="1"/>
  <c r="CK56" i="39" s="1"/>
  <c r="CO56" i="39" s="1"/>
  <c r="BU14" i="5"/>
  <c r="BV14" i="5"/>
  <c r="CE20" i="4"/>
  <c r="CL20" i="4" s="1"/>
  <c r="BW14" i="5"/>
  <c r="N50" i="12"/>
  <c r="D8" i="36"/>
  <c r="D5" i="36" s="1"/>
  <c r="N7" i="35"/>
  <c r="O4" i="35" s="1"/>
  <c r="Y20" i="39" s="1"/>
  <c r="B25" i="36"/>
  <c r="B22" i="36"/>
  <c r="B18" i="36"/>
  <c r="N18" i="36" s="1"/>
  <c r="B14" i="36"/>
  <c r="N14" i="36" s="1"/>
  <c r="W14" i="36" s="1"/>
  <c r="B11" i="36"/>
  <c r="N11" i="36" s="1"/>
  <c r="B7" i="36"/>
  <c r="B28" i="36"/>
  <c r="Z56" i="39" s="1"/>
  <c r="AD56" i="39" s="1"/>
  <c r="AH56" i="39" s="1"/>
  <c r="AL56" i="39" s="1"/>
  <c r="AP56" i="39" s="1"/>
  <c r="AT56" i="39" s="1"/>
  <c r="AX56" i="39" s="1"/>
  <c r="BB56" i="39" s="1"/>
  <c r="BF56" i="39" s="1"/>
  <c r="BJ56" i="39" s="1"/>
  <c r="BN56" i="39" s="1"/>
  <c r="BR56" i="39" s="1"/>
  <c r="BV56" i="39" s="1"/>
  <c r="BZ56" i="39" s="1"/>
  <c r="CD56" i="39" s="1"/>
  <c r="CH56" i="39" s="1"/>
  <c r="CL56" i="39" s="1"/>
  <c r="B12" i="36"/>
  <c r="B9" i="36"/>
  <c r="N9" i="36" s="1"/>
  <c r="H8" i="36"/>
  <c r="H5" i="36" s="1"/>
  <c r="L8" i="36"/>
  <c r="L5" i="36" s="1"/>
  <c r="J8" i="36"/>
  <c r="J5" i="36" s="1"/>
  <c r="F8" i="36"/>
  <c r="F5" i="36" s="1"/>
  <c r="E8" i="36"/>
  <c r="E5" i="36" s="1"/>
  <c r="G8" i="36"/>
  <c r="G5" i="36" s="1"/>
  <c r="I8" i="36"/>
  <c r="I5" i="36" s="1"/>
  <c r="M8" i="36"/>
  <c r="M5" i="36" s="1"/>
  <c r="K8" i="36"/>
  <c r="K5" i="36" s="1"/>
  <c r="C8" i="36"/>
  <c r="C5" i="36" s="1"/>
  <c r="D146" i="33"/>
  <c r="N28" i="11"/>
  <c r="N51" i="11"/>
  <c r="N5" i="11"/>
  <c r="N42" i="22"/>
  <c r="N12" i="10"/>
  <c r="F85" i="17"/>
  <c r="F87" i="17" s="1"/>
  <c r="F88" i="17" s="1"/>
  <c r="E50" i="11" s="1"/>
  <c r="N18" i="11"/>
  <c r="N44" i="22"/>
  <c r="B20" i="11"/>
  <c r="B43" i="11" s="1"/>
  <c r="B66" i="11" s="1"/>
  <c r="G58" i="5"/>
  <c r="F134" i="4"/>
  <c r="E122" i="17"/>
  <c r="E63" i="20"/>
  <c r="E89" i="20" s="1"/>
  <c r="E19" i="11" s="1"/>
  <c r="E42" i="11" s="1"/>
  <c r="E65" i="11" s="1"/>
  <c r="G63" i="20"/>
  <c r="G89" i="20" s="1"/>
  <c r="G19" i="11" s="1"/>
  <c r="G42" i="11" s="1"/>
  <c r="G65" i="11" s="1"/>
  <c r="K63" i="20"/>
  <c r="K89" i="20" s="1"/>
  <c r="K19" i="11" s="1"/>
  <c r="K42" i="11" s="1"/>
  <c r="K65" i="11" s="1"/>
  <c r="H51" i="17"/>
  <c r="H52" i="17" s="1"/>
  <c r="G27" i="11" s="1"/>
  <c r="L51" i="17"/>
  <c r="L52" i="17" s="1"/>
  <c r="K27" i="11" s="1"/>
  <c r="E49" i="17"/>
  <c r="E85" i="17" s="1"/>
  <c r="E87" i="17" s="1"/>
  <c r="E88" i="17" s="1"/>
  <c r="D50" i="11" s="1"/>
  <c r="I49" i="17"/>
  <c r="I85" i="17" s="1"/>
  <c r="I87" i="17" s="1"/>
  <c r="I88" i="17" s="1"/>
  <c r="H50" i="11" s="1"/>
  <c r="G49" i="17"/>
  <c r="G85" i="17" s="1"/>
  <c r="G87" i="17" s="1"/>
  <c r="G88" i="17" s="1"/>
  <c r="F50" i="11" s="1"/>
  <c r="D33" i="20"/>
  <c r="L33" i="20"/>
  <c r="E33" i="20"/>
  <c r="M33" i="20"/>
  <c r="F33" i="20"/>
  <c r="B33" i="20"/>
  <c r="G33" i="20"/>
  <c r="K33" i="20"/>
  <c r="H33" i="20"/>
  <c r="I33" i="20"/>
  <c r="C33" i="20"/>
  <c r="J33" i="20"/>
  <c r="B24" i="20"/>
  <c r="C24" i="20"/>
  <c r="D24" i="20"/>
  <c r="E24" i="20"/>
  <c r="F24" i="20"/>
  <c r="G24" i="20"/>
  <c r="H24" i="20"/>
  <c r="I24" i="20"/>
  <c r="J24" i="20"/>
  <c r="K24" i="20"/>
  <c r="L24" i="20"/>
  <c r="M24" i="20"/>
  <c r="F120" i="17"/>
  <c r="I13" i="17"/>
  <c r="E13" i="17"/>
  <c r="G13" i="17"/>
  <c r="G15" i="17" s="1"/>
  <c r="G16" i="17" s="1"/>
  <c r="F17" i="22" s="1"/>
  <c r="Q28" i="16"/>
  <c r="J30" i="16" s="1"/>
  <c r="T13" i="16"/>
  <c r="S14" i="16" s="1"/>
  <c r="G136" i="5"/>
  <c r="J169" i="5"/>
  <c r="I171" i="5"/>
  <c r="I170" i="5"/>
  <c r="K159" i="5"/>
  <c r="K87" i="5"/>
  <c r="K126" i="5"/>
  <c r="I85" i="4"/>
  <c r="I124" i="4"/>
  <c r="I157" i="4"/>
  <c r="L56" i="5"/>
  <c r="L86" i="5"/>
  <c r="D146" i="4"/>
  <c r="E143" i="4" s="1"/>
  <c r="J87" i="5"/>
  <c r="J126" i="5"/>
  <c r="J159" i="5"/>
  <c r="M49" i="17"/>
  <c r="M13" i="17"/>
  <c r="M15" i="17" s="1"/>
  <c r="M16" i="17" s="1"/>
  <c r="L17" i="22" s="1"/>
  <c r="J84" i="4"/>
  <c r="J8" i="4"/>
  <c r="K9" i="4"/>
  <c r="AO26" i="5"/>
  <c r="AO46" i="5" s="1"/>
  <c r="AM26" i="5"/>
  <c r="AM46" i="5" s="1"/>
  <c r="AG32" i="5"/>
  <c r="Y32" i="5"/>
  <c r="AC32" i="5"/>
  <c r="AJ25" i="5"/>
  <c r="D139" i="33"/>
  <c r="D148" i="33"/>
  <c r="D133" i="32"/>
  <c r="K30" i="19"/>
  <c r="K32" i="19" s="1"/>
  <c r="K52" i="11" s="1"/>
  <c r="J168" i="4"/>
  <c r="K12" i="19"/>
  <c r="K14" i="19" s="1"/>
  <c r="H21" i="19"/>
  <c r="H23" i="19" s="1"/>
  <c r="H29" i="11" s="1"/>
  <c r="C15" i="17"/>
  <c r="D138" i="4"/>
  <c r="AL26" i="5"/>
  <c r="AL46" i="5" s="1"/>
  <c r="H30" i="19"/>
  <c r="H32" i="19" s="1"/>
  <c r="H52" i="11" s="1"/>
  <c r="H12" i="19"/>
  <c r="H14" i="19" s="1"/>
  <c r="C85" i="17"/>
  <c r="C51" i="17"/>
  <c r="K21" i="19"/>
  <c r="K23" i="19" s="1"/>
  <c r="K29" i="11" s="1"/>
  <c r="D30" i="16"/>
  <c r="F12" i="19"/>
  <c r="F14" i="19" s="1"/>
  <c r="M12" i="19"/>
  <c r="M14" i="19" s="1"/>
  <c r="AH25" i="5"/>
  <c r="F21" i="19"/>
  <c r="F23" i="19" s="1"/>
  <c r="F29" i="11" s="1"/>
  <c r="D12" i="19"/>
  <c r="D14" i="19" s="1"/>
  <c r="J174" i="5"/>
  <c r="D21" i="19"/>
  <c r="D23" i="19" s="1"/>
  <c r="D140" i="5"/>
  <c r="AR26" i="5"/>
  <c r="AR46" i="5" s="1"/>
  <c r="M9" i="5"/>
  <c r="L8" i="5"/>
  <c r="F30" i="19"/>
  <c r="F32" i="19" s="1"/>
  <c r="F52" i="11" s="1"/>
  <c r="M30" i="19"/>
  <c r="M32" i="19" s="1"/>
  <c r="E145" i="5"/>
  <c r="M21" i="19"/>
  <c r="M23" i="19" s="1"/>
  <c r="N51" i="17"/>
  <c r="N52" i="17" s="1"/>
  <c r="M27" i="11" s="1"/>
  <c r="N85" i="17"/>
  <c r="N87" i="17" s="1"/>
  <c r="N88" i="17" s="1"/>
  <c r="M50" i="11" s="1"/>
  <c r="AE76" i="39" l="1"/>
  <c r="X74" i="39"/>
  <c r="X39" i="39"/>
  <c r="X34" i="39"/>
  <c r="X44" i="39"/>
  <c r="X40" i="39"/>
  <c r="X29" i="39"/>
  <c r="X30" i="39" s="1"/>
  <c r="X43" i="39"/>
  <c r="X38" i="39"/>
  <c r="X42" i="39"/>
  <c r="W73" i="39"/>
  <c r="W44" i="39"/>
  <c r="W43" i="39"/>
  <c r="W34" i="39"/>
  <c r="W39" i="39"/>
  <c r="W38" i="39"/>
  <c r="W42" i="39"/>
  <c r="W40" i="39"/>
  <c r="W29" i="39"/>
  <c r="W74" i="39"/>
  <c r="V73" i="39"/>
  <c r="V180" i="39" s="1"/>
  <c r="V179" i="39" s="1"/>
  <c r="M4" i="11"/>
  <c r="AK31" i="39"/>
  <c r="AO15" i="39"/>
  <c r="AK16" i="39"/>
  <c r="AJ15" i="39"/>
  <c r="AF31" i="39"/>
  <c r="AF16" i="39"/>
  <c r="AF31" i="4"/>
  <c r="AJ15" i="4"/>
  <c r="AF15" i="5"/>
  <c r="AF32" i="5" s="1"/>
  <c r="AK31" i="4"/>
  <c r="AO15" i="4"/>
  <c r="X20" i="5"/>
  <c r="X34" i="5" s="1"/>
  <c r="AA77" i="39"/>
  <c r="AL15" i="39"/>
  <c r="AH31" i="39"/>
  <c r="AH16" i="39"/>
  <c r="AK15" i="5"/>
  <c r="AI31" i="4"/>
  <c r="AM15" i="4"/>
  <c r="AI15" i="5"/>
  <c r="AI32" i="5" s="1"/>
  <c r="AH31" i="4"/>
  <c r="AL15" i="4"/>
  <c r="AH15" i="5"/>
  <c r="AH32" i="5" s="1"/>
  <c r="AB76" i="39"/>
  <c r="AM15" i="39"/>
  <c r="AI31" i="39"/>
  <c r="AI16" i="39"/>
  <c r="E17" i="22"/>
  <c r="E4" i="11"/>
  <c r="K17" i="22"/>
  <c r="K4" i="11"/>
  <c r="G17" i="22"/>
  <c r="G4" i="11"/>
  <c r="O86" i="17"/>
  <c r="E15" i="17"/>
  <c r="E16" i="17" s="1"/>
  <c r="D17" i="22" s="1"/>
  <c r="I15" i="17"/>
  <c r="I16" i="17" s="1"/>
  <c r="H17" i="22" s="1"/>
  <c r="O50" i="17"/>
  <c r="O14" i="17"/>
  <c r="AF75" i="39"/>
  <c r="AG75" i="39"/>
  <c r="AD75" i="39"/>
  <c r="W20" i="5"/>
  <c r="W34" i="5" s="1"/>
  <c r="AE75" i="39"/>
  <c r="AK43" i="39"/>
  <c r="AK40" i="39"/>
  <c r="AJ73" i="39"/>
  <c r="AK29" i="39"/>
  <c r="AL74" i="39"/>
  <c r="AK39" i="39"/>
  <c r="AK44" i="39"/>
  <c r="AK34" i="39"/>
  <c r="AK38" i="39"/>
  <c r="AK42" i="39"/>
  <c r="AM33" i="39"/>
  <c r="AQ20" i="39"/>
  <c r="AM27" i="39"/>
  <c r="AM151" i="39"/>
  <c r="AS20" i="39"/>
  <c r="AO33" i="39"/>
  <c r="AO151" i="39"/>
  <c r="AO27" i="39"/>
  <c r="AJ43" i="39"/>
  <c r="AJ38" i="39"/>
  <c r="AJ29" i="39"/>
  <c r="AJ42" i="39"/>
  <c r="AJ34" i="39"/>
  <c r="AJ44" i="39"/>
  <c r="AI73" i="39"/>
  <c r="AJ40" i="39"/>
  <c r="AJ39" i="39"/>
  <c r="AK74" i="39"/>
  <c r="AN33" i="39"/>
  <c r="AR20" i="39"/>
  <c r="AN27" i="39"/>
  <c r="AN151" i="39"/>
  <c r="AH30" i="39"/>
  <c r="AL44" i="39"/>
  <c r="AK73" i="39"/>
  <c r="AL43" i="39"/>
  <c r="AL29" i="39"/>
  <c r="AL38" i="39"/>
  <c r="AL42" i="39"/>
  <c r="AL39" i="39"/>
  <c r="AL34" i="39"/>
  <c r="AL40" i="39"/>
  <c r="AG76" i="39"/>
  <c r="AG30" i="39"/>
  <c r="AH73" i="39"/>
  <c r="AJ74" i="39"/>
  <c r="AI42" i="39"/>
  <c r="AI34" i="39"/>
  <c r="AI44" i="39"/>
  <c r="AI29" i="39"/>
  <c r="AI38" i="39"/>
  <c r="AI40" i="39"/>
  <c r="AI43" i="39"/>
  <c r="AI39" i="39"/>
  <c r="AE30" i="39"/>
  <c r="AF77" i="39" s="1"/>
  <c r="AF76" i="39"/>
  <c r="AT20" i="39"/>
  <c r="AP33" i="39"/>
  <c r="AP151" i="39"/>
  <c r="AP27" i="39"/>
  <c r="O3" i="35"/>
  <c r="Y19" i="39" s="1"/>
  <c r="AE19" i="4"/>
  <c r="AE52" i="39"/>
  <c r="N22" i="36"/>
  <c r="Z52" i="39"/>
  <c r="AF52" i="39"/>
  <c r="AF72" i="39" s="1"/>
  <c r="AB59" i="39"/>
  <c r="AB60" i="39" s="1"/>
  <c r="AK52" i="39"/>
  <c r="AG150" i="39"/>
  <c r="AG79" i="39" s="1"/>
  <c r="AG59" i="39"/>
  <c r="AG60" i="39" s="1"/>
  <c r="N25" i="36"/>
  <c r="Z55" i="39"/>
  <c r="AD55" i="39" s="1"/>
  <c r="AH55" i="39" s="1"/>
  <c r="AL55" i="39" s="1"/>
  <c r="AP55" i="39" s="1"/>
  <c r="AT55" i="39" s="1"/>
  <c r="AX55" i="39" s="1"/>
  <c r="BB55" i="39" s="1"/>
  <c r="BF55" i="39" s="1"/>
  <c r="BJ55" i="39" s="1"/>
  <c r="BN55" i="39" s="1"/>
  <c r="BR55" i="39" s="1"/>
  <c r="BV55" i="39" s="1"/>
  <c r="BZ55" i="39" s="1"/>
  <c r="CD55" i="39" s="1"/>
  <c r="CH55" i="39" s="1"/>
  <c r="CL55" i="39" s="1"/>
  <c r="AA55" i="39"/>
  <c r="AE55" i="39" s="1"/>
  <c r="AI55" i="39" s="1"/>
  <c r="AM55" i="39" s="1"/>
  <c r="AQ55" i="39" s="1"/>
  <c r="AU55" i="39" s="1"/>
  <c r="AY55" i="39" s="1"/>
  <c r="BC55" i="39" s="1"/>
  <c r="BG55" i="39" s="1"/>
  <c r="BK55" i="39" s="1"/>
  <c r="BO55" i="39" s="1"/>
  <c r="BS55" i="39" s="1"/>
  <c r="BW55" i="39" s="1"/>
  <c r="CA55" i="39" s="1"/>
  <c r="CE55" i="39" s="1"/>
  <c r="CI55" i="39" s="1"/>
  <c r="CM55" i="39" s="1"/>
  <c r="E50" i="40" a="1"/>
  <c r="E50" i="40" s="1"/>
  <c r="F50" i="40" a="1"/>
  <c r="F50" i="40" s="1"/>
  <c r="G50" i="40" a="1"/>
  <c r="G50" i="40" s="1"/>
  <c r="H50" i="40" a="1"/>
  <c r="H50" i="40" s="1"/>
  <c r="I50" i="40" a="1"/>
  <c r="I50" i="40" s="1"/>
  <c r="J50" i="40" a="1"/>
  <c r="J50" i="40" s="1"/>
  <c r="K50" i="40" a="1"/>
  <c r="K50" i="40" s="1"/>
  <c r="L50" i="40" a="1"/>
  <c r="L50" i="40" s="1"/>
  <c r="M50" i="40" a="1"/>
  <c r="M50" i="40" s="1"/>
  <c r="N50" i="40" a="1"/>
  <c r="N50" i="40" s="1"/>
  <c r="O50" i="40" a="1"/>
  <c r="O50" i="40" s="1"/>
  <c r="P50" i="40" a="1"/>
  <c r="P50" i="40" s="1"/>
  <c r="R50" i="40" a="1"/>
  <c r="R50" i="40" s="1"/>
  <c r="S50" i="40" a="1"/>
  <c r="S50" i="40" s="1"/>
  <c r="T50" i="40" a="1"/>
  <c r="T50" i="40" s="1"/>
  <c r="U50" i="40" a="1"/>
  <c r="U50" i="40" s="1"/>
  <c r="V50" i="40" a="1"/>
  <c r="V50" i="40" s="1"/>
  <c r="W50" i="40" a="1"/>
  <c r="W50" i="40" s="1"/>
  <c r="X50" i="40" a="1"/>
  <c r="X50" i="40" s="1"/>
  <c r="Y50" i="40" a="1"/>
  <c r="Y50" i="40" s="1"/>
  <c r="Z50" i="40" a="1"/>
  <c r="Z50" i="40" s="1"/>
  <c r="Y16" i="39"/>
  <c r="X19" i="40" a="1"/>
  <c r="X19" i="40" s="1"/>
  <c r="C19" i="39"/>
  <c r="J19" i="40" a="1"/>
  <c r="J19" i="40" s="1"/>
  <c r="Y19" i="40" a="1"/>
  <c r="Y19" i="40" s="1"/>
  <c r="Q19" i="40" a="1"/>
  <c r="Q19" i="40" s="1"/>
  <c r="K19" i="40" a="1"/>
  <c r="K19" i="40" s="1"/>
  <c r="R19" i="40" a="1"/>
  <c r="R19" i="40" s="1"/>
  <c r="Z19" i="40" a="1"/>
  <c r="Z19" i="40" s="1"/>
  <c r="E19" i="40" a="1"/>
  <c r="E19" i="40" s="1"/>
  <c r="L19" i="40" a="1"/>
  <c r="L19" i="40" s="1"/>
  <c r="S19" i="40" a="1"/>
  <c r="S19" i="40" s="1"/>
  <c r="O19" i="40" a="1"/>
  <c r="O19" i="40" s="1"/>
  <c r="F19" i="40" a="1"/>
  <c r="F19" i="40" s="1"/>
  <c r="M19" i="40" a="1"/>
  <c r="M19" i="40" s="1"/>
  <c r="T19" i="40" a="1"/>
  <c r="T19" i="40" s="1"/>
  <c r="N19" i="40" a="1"/>
  <c r="N19" i="40" s="1"/>
  <c r="G19" i="40" a="1"/>
  <c r="G19" i="40" s="1"/>
  <c r="P19" i="40" a="1"/>
  <c r="P19" i="40" s="1"/>
  <c r="U19" i="40" a="1"/>
  <c r="U19" i="40" s="1"/>
  <c r="H19" i="40" a="1"/>
  <c r="H19" i="40" s="1"/>
  <c r="V19" i="40" a="1"/>
  <c r="V19" i="40" s="1"/>
  <c r="I19" i="40" a="1"/>
  <c r="I19" i="40" s="1"/>
  <c r="W19" i="40" a="1"/>
  <c r="W19" i="40" s="1"/>
  <c r="Y33" i="39"/>
  <c r="AC40" i="39"/>
  <c r="AC42" i="39"/>
  <c r="AC43" i="39"/>
  <c r="AC39" i="39"/>
  <c r="AC34" i="39"/>
  <c r="AC44" i="39"/>
  <c r="AC38" i="39"/>
  <c r="AC29" i="39"/>
  <c r="AB73" i="39"/>
  <c r="AD74" i="39"/>
  <c r="AC74" i="39"/>
  <c r="AC73" i="39"/>
  <c r="AA56" i="39"/>
  <c r="AE56" i="39" s="1"/>
  <c r="AI56" i="39" s="1"/>
  <c r="AM56" i="39" s="1"/>
  <c r="AQ56" i="39" s="1"/>
  <c r="AU56" i="39" s="1"/>
  <c r="AY56" i="39" s="1"/>
  <c r="BC56" i="39" s="1"/>
  <c r="BG56" i="39" s="1"/>
  <c r="BK56" i="39" s="1"/>
  <c r="BO56" i="39" s="1"/>
  <c r="BS56" i="39" s="1"/>
  <c r="BW56" i="39" s="1"/>
  <c r="CA56" i="39" s="1"/>
  <c r="CE56" i="39" s="1"/>
  <c r="CI56" i="39" s="1"/>
  <c r="CM56" i="39" s="1"/>
  <c r="E51" i="40" a="1"/>
  <c r="E51" i="40" s="1"/>
  <c r="O5" i="35"/>
  <c r="Y21" i="39" s="1"/>
  <c r="O7" i="35"/>
  <c r="O6" i="35"/>
  <c r="Y22" i="39" s="1"/>
  <c r="L31" i="36"/>
  <c r="L51" i="12"/>
  <c r="K31" i="36"/>
  <c r="K51" i="12"/>
  <c r="M31" i="36"/>
  <c r="M51" i="12"/>
  <c r="H31" i="36"/>
  <c r="H51" i="12"/>
  <c r="I31" i="36"/>
  <c r="I51" i="12"/>
  <c r="C31" i="36"/>
  <c r="C51" i="12"/>
  <c r="G31" i="36"/>
  <c r="G51" i="12"/>
  <c r="J31" i="36"/>
  <c r="J51" i="12"/>
  <c r="E31" i="36"/>
  <c r="E51" i="12"/>
  <c r="D31" i="36"/>
  <c r="D51" i="12"/>
  <c r="F31" i="36"/>
  <c r="F51" i="12"/>
  <c r="B13" i="36"/>
  <c r="N13" i="36" s="1"/>
  <c r="W13" i="36" s="1"/>
  <c r="N12" i="36"/>
  <c r="W12" i="36" s="1"/>
  <c r="B26" i="36"/>
  <c r="N28" i="36"/>
  <c r="B8" i="36"/>
  <c r="N8" i="36" s="1"/>
  <c r="N7" i="36"/>
  <c r="M52" i="11"/>
  <c r="D29" i="11"/>
  <c r="M29" i="11"/>
  <c r="E21" i="11"/>
  <c r="E6" i="12" s="1"/>
  <c r="G21" i="11"/>
  <c r="G6" i="12" s="1"/>
  <c r="N20" i="11"/>
  <c r="K21" i="11"/>
  <c r="K6" i="12" s="1"/>
  <c r="G134" i="4"/>
  <c r="K6" i="11"/>
  <c r="D6" i="11"/>
  <c r="F6" i="11"/>
  <c r="H6" i="11"/>
  <c r="M6" i="11"/>
  <c r="H136" i="5"/>
  <c r="H58" i="5"/>
  <c r="F4" i="11"/>
  <c r="W19" i="4" s="1"/>
  <c r="D4" i="11"/>
  <c r="L4" i="11"/>
  <c r="Y19" i="4" s="1"/>
  <c r="Y16" i="4" s="1"/>
  <c r="H4" i="11"/>
  <c r="E51" i="17"/>
  <c r="E52" i="17" s="1"/>
  <c r="I51" i="17"/>
  <c r="I52" i="17" s="1"/>
  <c r="F63" i="20"/>
  <c r="F89" i="20" s="1"/>
  <c r="F19" i="11" s="1"/>
  <c r="F42" i="11" s="1"/>
  <c r="F65" i="11" s="1"/>
  <c r="M63" i="20"/>
  <c r="M89" i="20" s="1"/>
  <c r="M19" i="11" s="1"/>
  <c r="M42" i="11" s="1"/>
  <c r="M65" i="11" s="1"/>
  <c r="D63" i="20"/>
  <c r="D89" i="20" s="1"/>
  <c r="D19" i="11" s="1"/>
  <c r="D42" i="11" s="1"/>
  <c r="D65" i="11" s="1"/>
  <c r="F122" i="17"/>
  <c r="H63" i="20"/>
  <c r="H89" i="20" s="1"/>
  <c r="H19" i="11" s="1"/>
  <c r="H42" i="11" s="1"/>
  <c r="H65" i="11" s="1"/>
  <c r="G51" i="17"/>
  <c r="G52" i="17" s="1"/>
  <c r="F27" i="11" s="1"/>
  <c r="AA19" i="4" s="1"/>
  <c r="D49" i="17"/>
  <c r="D85" i="17" s="1"/>
  <c r="G120" i="17"/>
  <c r="AA14" i="16"/>
  <c r="AB9" i="13" s="1"/>
  <c r="AB13" i="13" s="1"/>
  <c r="S28" i="16"/>
  <c r="K30" i="16" s="1"/>
  <c r="J49" i="17"/>
  <c r="J13" i="17"/>
  <c r="J15" i="17" s="1"/>
  <c r="J16" i="17" s="1"/>
  <c r="I17" i="22" s="1"/>
  <c r="D142" i="32"/>
  <c r="I63" i="5"/>
  <c r="M172" i="5"/>
  <c r="K169" i="5"/>
  <c r="J171" i="5"/>
  <c r="J170" i="5"/>
  <c r="J63" i="5" s="1"/>
  <c r="K84" i="4"/>
  <c r="K8" i="4"/>
  <c r="L9" i="4"/>
  <c r="M56" i="5"/>
  <c r="M86" i="5"/>
  <c r="L87" i="5"/>
  <c r="L159" i="5"/>
  <c r="L126" i="5"/>
  <c r="M51" i="17"/>
  <c r="M52" i="17" s="1"/>
  <c r="L27" i="11" s="1"/>
  <c r="AC19" i="4" s="1"/>
  <c r="M85" i="17"/>
  <c r="M87" i="17" s="1"/>
  <c r="J85" i="4"/>
  <c r="J157" i="4"/>
  <c r="J124" i="4"/>
  <c r="AQ26" i="5"/>
  <c r="AQ46" i="5" s="1"/>
  <c r="AI25" i="5"/>
  <c r="AS26" i="5"/>
  <c r="AS46" i="5" s="1"/>
  <c r="AK32" i="5"/>
  <c r="AM25" i="5"/>
  <c r="C21" i="19"/>
  <c r="C23" i="19" s="1"/>
  <c r="C12" i="19"/>
  <c r="C14" i="19" s="1"/>
  <c r="C30" i="19"/>
  <c r="C32" i="19" s="1"/>
  <c r="E30" i="19"/>
  <c r="E32" i="19" s="1"/>
  <c r="E52" i="11" s="1"/>
  <c r="L30" i="19"/>
  <c r="L32" i="19" s="1"/>
  <c r="I21" i="19"/>
  <c r="I23" i="19" s="1"/>
  <c r="L21" i="19"/>
  <c r="L23" i="19" s="1"/>
  <c r="I12" i="19"/>
  <c r="I14" i="19" s="1"/>
  <c r="B30" i="19"/>
  <c r="B32" i="19" s="1"/>
  <c r="B52" i="11" s="1"/>
  <c r="J21" i="19"/>
  <c r="J23" i="19" s="1"/>
  <c r="E12" i="19"/>
  <c r="E14" i="19" s="1"/>
  <c r="L12" i="19"/>
  <c r="L14" i="19" s="1"/>
  <c r="I30" i="19"/>
  <c r="I32" i="19" s="1"/>
  <c r="B21" i="19"/>
  <c r="B23" i="19" s="1"/>
  <c r="B29" i="11" s="1"/>
  <c r="G30" i="19"/>
  <c r="G32" i="19" s="1"/>
  <c r="E21" i="19"/>
  <c r="E23" i="19" s="1"/>
  <c r="E29" i="11" s="1"/>
  <c r="J12" i="19"/>
  <c r="J14" i="19" s="1"/>
  <c r="G21" i="19"/>
  <c r="G23" i="19" s="1"/>
  <c r="J30" i="19"/>
  <c r="J32" i="19" s="1"/>
  <c r="G12" i="19"/>
  <c r="G14" i="19" s="1"/>
  <c r="D140" i="33"/>
  <c r="D134" i="32"/>
  <c r="C58" i="4"/>
  <c r="M8" i="5"/>
  <c r="N9" i="5"/>
  <c r="N172" i="5" s="1"/>
  <c r="AO15" i="5"/>
  <c r="AP26" i="5"/>
  <c r="AP46" i="5" s="1"/>
  <c r="D13" i="17"/>
  <c r="C87" i="17"/>
  <c r="B63" i="20" s="1"/>
  <c r="B89" i="20" s="1"/>
  <c r="B19" i="11" s="1"/>
  <c r="B42" i="11" s="1"/>
  <c r="B65" i="11" s="1"/>
  <c r="D40" i="20"/>
  <c r="M15" i="22"/>
  <c r="M14" i="10" s="1"/>
  <c r="AG25" i="5"/>
  <c r="F15" i="22"/>
  <c r="F14" i="10" s="1"/>
  <c r="H15" i="22"/>
  <c r="H14" i="10" s="1"/>
  <c r="K40" i="20"/>
  <c r="AL25" i="5"/>
  <c r="AV26" i="5"/>
  <c r="AV46" i="5" s="1"/>
  <c r="D30" i="19"/>
  <c r="K15" i="22"/>
  <c r="K14" i="10" s="1"/>
  <c r="D141" i="5"/>
  <c r="K174" i="5"/>
  <c r="D15" i="22"/>
  <c r="D14" i="10" s="1"/>
  <c r="M40" i="20"/>
  <c r="F40" i="20"/>
  <c r="D139" i="4"/>
  <c r="C16" i="17"/>
  <c r="B17" i="22" s="1"/>
  <c r="C52" i="17"/>
  <c r="H40" i="20"/>
  <c r="K168" i="4"/>
  <c r="V72" i="39" l="1"/>
  <c r="V173" i="39" s="1"/>
  <c r="Z51" i="40" a="1"/>
  <c r="Z51" i="40" s="1"/>
  <c r="AA72" i="39"/>
  <c r="X51" i="40" a="1"/>
  <c r="X51" i="40" s="1"/>
  <c r="V51" i="40" a="1"/>
  <c r="V51" i="40" s="1"/>
  <c r="G51" i="40" a="1"/>
  <c r="G51" i="40" s="1"/>
  <c r="F51" i="40" a="1"/>
  <c r="F51" i="40" s="1"/>
  <c r="AA150" i="39"/>
  <c r="AA79" i="39" s="1"/>
  <c r="X59" i="39"/>
  <c r="X60" i="39" s="1"/>
  <c r="W72" i="39"/>
  <c r="W75" i="39"/>
  <c r="Y51" i="40" a="1"/>
  <c r="Y51" i="40" s="1"/>
  <c r="V75" i="39"/>
  <c r="W30" i="39"/>
  <c r="W76" i="39"/>
  <c r="X76" i="39"/>
  <c r="AM31" i="39"/>
  <c r="AQ15" i="39"/>
  <c r="AM16" i="39"/>
  <c r="W51" i="40" a="1"/>
  <c r="W51" i="40" s="1"/>
  <c r="J51" i="40" a="1"/>
  <c r="J51" i="40" s="1"/>
  <c r="AN15" i="4"/>
  <c r="AJ31" i="4"/>
  <c r="AJ15" i="5"/>
  <c r="AJ32" i="5" s="1"/>
  <c r="AL31" i="4"/>
  <c r="AP15" i="4"/>
  <c r="AL15" i="5"/>
  <c r="AL32" i="5" s="1"/>
  <c r="AJ31" i="39"/>
  <c r="AN15" i="39"/>
  <c r="AJ16" i="39"/>
  <c r="AQ15" i="4"/>
  <c r="AM31" i="4"/>
  <c r="AM15" i="5"/>
  <c r="AM32" i="5" s="1"/>
  <c r="AS15" i="39"/>
  <c r="AO31" i="39"/>
  <c r="AO16" i="39"/>
  <c r="Q50" i="40" a="1"/>
  <c r="Q50" i="40" s="1"/>
  <c r="AH76" i="39"/>
  <c r="AP15" i="39"/>
  <c r="AL31" i="39"/>
  <c r="AL16" i="39"/>
  <c r="AO31" i="4"/>
  <c r="AS15" i="4"/>
  <c r="K51" i="40" a="1"/>
  <c r="K51" i="40" s="1"/>
  <c r="I51" i="40" a="1"/>
  <c r="I51" i="40" s="1"/>
  <c r="U51" i="40" a="1"/>
  <c r="U51" i="40" s="1"/>
  <c r="T51" i="40" a="1"/>
  <c r="T51" i="40" s="1"/>
  <c r="S51" i="40" a="1"/>
  <c r="S51" i="40" s="1"/>
  <c r="O51" i="40" a="1"/>
  <c r="O51" i="40" s="1"/>
  <c r="N51" i="40" a="1"/>
  <c r="N51" i="40" s="1"/>
  <c r="M51" i="40" a="1"/>
  <c r="M51" i="40" s="1"/>
  <c r="L51" i="40" a="1"/>
  <c r="L51" i="40" s="1"/>
  <c r="Z72" i="39"/>
  <c r="AK75" i="39"/>
  <c r="AK150" i="39" s="1"/>
  <c r="AK79" i="39" s="1"/>
  <c r="AI75" i="39"/>
  <c r="AJ75" i="39"/>
  <c r="AH75" i="39"/>
  <c r="AH77" i="39"/>
  <c r="AL30" i="39"/>
  <c r="AM40" i="39"/>
  <c r="AL73" i="39"/>
  <c r="AM39" i="39"/>
  <c r="AN74" i="39"/>
  <c r="AM34" i="39"/>
  <c r="AM42" i="39"/>
  <c r="AM44" i="39"/>
  <c r="AM29" i="39"/>
  <c r="AM76" i="39" s="1"/>
  <c r="AM38" i="39"/>
  <c r="AM43" i="39"/>
  <c r="AI30" i="39"/>
  <c r="AI77" i="39" s="1"/>
  <c r="AJ30" i="39"/>
  <c r="AM74" i="39"/>
  <c r="AL76" i="39"/>
  <c r="AK30" i="39"/>
  <c r="AP39" i="39"/>
  <c r="AP38" i="39"/>
  <c r="AP34" i="39"/>
  <c r="AP29" i="39"/>
  <c r="AO73" i="39"/>
  <c r="AP43" i="39"/>
  <c r="AP40" i="39"/>
  <c r="AP44" i="39"/>
  <c r="AP42" i="39"/>
  <c r="AO38" i="39"/>
  <c r="AO40" i="39"/>
  <c r="AO39" i="39"/>
  <c r="AN73" i="39"/>
  <c r="AO34" i="39"/>
  <c r="AO43" i="39"/>
  <c r="AO42" i="39"/>
  <c r="AO44" i="39"/>
  <c r="AO29" i="39"/>
  <c r="AP74" i="39"/>
  <c r="AI76" i="39"/>
  <c r="AQ33" i="39"/>
  <c r="AU20" i="39"/>
  <c r="AQ27" i="39"/>
  <c r="AQ151" i="39"/>
  <c r="AX20" i="39"/>
  <c r="AT33" i="39"/>
  <c r="AT151" i="39"/>
  <c r="AT27" i="39"/>
  <c r="AN34" i="39"/>
  <c r="AN44" i="39"/>
  <c r="AN39" i="39"/>
  <c r="AN40" i="39"/>
  <c r="AM73" i="39"/>
  <c r="AO74" i="39"/>
  <c r="AN38" i="39"/>
  <c r="AN43" i="39"/>
  <c r="AN29" i="39"/>
  <c r="AN42" i="39"/>
  <c r="AW20" i="39"/>
  <c r="AS33" i="39"/>
  <c r="AS151" i="39"/>
  <c r="AS27" i="39"/>
  <c r="AG77" i="39"/>
  <c r="AE77" i="39"/>
  <c r="AR33" i="39"/>
  <c r="AV20" i="39"/>
  <c r="AR151" i="39"/>
  <c r="AR27" i="39"/>
  <c r="Y151" i="39"/>
  <c r="R51" i="40" a="1"/>
  <c r="R51" i="40" s="1"/>
  <c r="Q51" i="40" a="1"/>
  <c r="Q51" i="40" s="1"/>
  <c r="P51" i="40" a="1"/>
  <c r="P51" i="40" s="1"/>
  <c r="H51" i="40" a="1"/>
  <c r="H51" i="40" s="1"/>
  <c r="C56" i="39"/>
  <c r="AC16" i="4"/>
  <c r="AJ19" i="4"/>
  <c r="W16" i="4"/>
  <c r="W16" i="5" s="1"/>
  <c r="W19" i="5" s="1"/>
  <c r="AA16" i="4"/>
  <c r="AH19" i="4"/>
  <c r="AE16" i="4"/>
  <c r="AL19" i="4"/>
  <c r="AG133" i="39"/>
  <c r="AG71" i="39"/>
  <c r="AG61" i="39"/>
  <c r="AB75" i="39"/>
  <c r="AB150" i="39" s="1"/>
  <c r="AB79" i="39" s="1"/>
  <c r="AB72" i="39"/>
  <c r="AC75" i="39"/>
  <c r="AO52" i="39"/>
  <c r="Y27" i="39"/>
  <c r="AB133" i="39"/>
  <c r="AB71" i="39"/>
  <c r="AB61" i="39"/>
  <c r="AJ52" i="39"/>
  <c r="AJ72" i="39" s="1"/>
  <c r="AE72" i="39"/>
  <c r="AF59" i="39"/>
  <c r="AF60" i="39" s="1"/>
  <c r="AF150" i="39"/>
  <c r="AF79" i="39" s="1"/>
  <c r="AD52" i="39"/>
  <c r="AD72" i="39" s="1"/>
  <c r="Z59" i="39"/>
  <c r="Z60" i="39" s="1"/>
  <c r="Z150" i="39"/>
  <c r="Z79" i="39" s="1"/>
  <c r="AD76" i="39"/>
  <c r="AC30" i="39"/>
  <c r="AC59" i="39" s="1"/>
  <c r="AC60" i="39" s="1"/>
  <c r="AC76" i="39"/>
  <c r="C19" i="40"/>
  <c r="Y32" i="39"/>
  <c r="E21" i="40" a="1"/>
  <c r="E21" i="40" s="1"/>
  <c r="F21" i="40" a="1"/>
  <c r="F21" i="40" s="1"/>
  <c r="G21" i="40" a="1"/>
  <c r="G21" i="40" s="1"/>
  <c r="H21" i="40" a="1"/>
  <c r="H21" i="40" s="1"/>
  <c r="I21" i="40" a="1"/>
  <c r="I21" i="40" s="1"/>
  <c r="J21" i="40" a="1"/>
  <c r="J21" i="40" s="1"/>
  <c r="K21" i="40" a="1"/>
  <c r="K21" i="40" s="1"/>
  <c r="L21" i="40" a="1"/>
  <c r="L21" i="40" s="1"/>
  <c r="M21" i="40" a="1"/>
  <c r="M21" i="40" s="1"/>
  <c r="N21" i="40" a="1"/>
  <c r="N21" i="40" s="1"/>
  <c r="O21" i="40" a="1"/>
  <c r="O21" i="40" s="1"/>
  <c r="P21" i="40" a="1"/>
  <c r="P21" i="40" s="1"/>
  <c r="Q21" i="40" a="1"/>
  <c r="Q21" i="40" s="1"/>
  <c r="R21" i="40" a="1"/>
  <c r="R21" i="40" s="1"/>
  <c r="S21" i="40" a="1"/>
  <c r="S21" i="40" s="1"/>
  <c r="T21" i="40" a="1"/>
  <c r="T21" i="40" s="1"/>
  <c r="U21" i="40" a="1"/>
  <c r="U21" i="40" s="1"/>
  <c r="V21" i="40" a="1"/>
  <c r="V21" i="40" s="1"/>
  <c r="W21" i="40" a="1"/>
  <c r="W21" i="40" s="1"/>
  <c r="C21" i="39"/>
  <c r="X21" i="40" a="1"/>
  <c r="X21" i="40" s="1"/>
  <c r="Y21" i="40" a="1"/>
  <c r="Y21" i="40" s="1"/>
  <c r="Z21" i="40" a="1"/>
  <c r="Z21" i="40" s="1"/>
  <c r="C55" i="39"/>
  <c r="AA59" i="39"/>
  <c r="AA60" i="39" s="1"/>
  <c r="E22" i="40" a="1"/>
  <c r="E22" i="40" s="1"/>
  <c r="F22" i="40" a="1"/>
  <c r="F22" i="40" s="1"/>
  <c r="G22" i="40" a="1"/>
  <c r="G22" i="40" s="1"/>
  <c r="H22" i="40" a="1"/>
  <c r="H22" i="40" s="1"/>
  <c r="I22" i="40" a="1"/>
  <c r="I22" i="40" s="1"/>
  <c r="J22" i="40" a="1"/>
  <c r="J22" i="40" s="1"/>
  <c r="K22" i="40" a="1"/>
  <c r="K22" i="40" s="1"/>
  <c r="L22" i="40" a="1"/>
  <c r="L22" i="40" s="1"/>
  <c r="C22" i="39"/>
  <c r="M22" i="40" a="1"/>
  <c r="M22" i="40" s="1"/>
  <c r="N22" i="40" a="1"/>
  <c r="N22" i="40" s="1"/>
  <c r="O22" i="40" a="1"/>
  <c r="O22" i="40" s="1"/>
  <c r="P22" i="40" a="1"/>
  <c r="P22" i="40" s="1"/>
  <c r="Q22" i="40" a="1"/>
  <c r="Q22" i="40" s="1"/>
  <c r="R22" i="40" a="1"/>
  <c r="R22" i="40" s="1"/>
  <c r="S22" i="40" a="1"/>
  <c r="S22" i="40" s="1"/>
  <c r="T22" i="40" a="1"/>
  <c r="T22" i="40" s="1"/>
  <c r="U22" i="40" a="1"/>
  <c r="U22" i="40" s="1"/>
  <c r="V22" i="40" a="1"/>
  <c r="V22" i="40" s="1"/>
  <c r="W22" i="40" a="1"/>
  <c r="W22" i="40" s="1"/>
  <c r="X22" i="40" a="1"/>
  <c r="X22" i="40" s="1"/>
  <c r="Y22" i="40" a="1"/>
  <c r="Y22" i="40" s="1"/>
  <c r="Z22" i="40" a="1"/>
  <c r="Z22" i="40" s="1"/>
  <c r="C50" i="40"/>
  <c r="AI52" i="39"/>
  <c r="AE59" i="39"/>
  <c r="AE60" i="39" s="1"/>
  <c r="AE150" i="39"/>
  <c r="AE79" i="39" s="1"/>
  <c r="X133" i="39"/>
  <c r="X71" i="39"/>
  <c r="X61" i="39"/>
  <c r="J64" i="12"/>
  <c r="J52" i="12"/>
  <c r="J55" i="12" s="1"/>
  <c r="J56" i="12" s="1"/>
  <c r="F64" i="12"/>
  <c r="F52" i="12"/>
  <c r="F55" i="12" s="1"/>
  <c r="F56" i="12" s="1"/>
  <c r="G64" i="12"/>
  <c r="G52" i="12"/>
  <c r="G55" i="12" s="1"/>
  <c r="G56" i="12" s="1"/>
  <c r="M64" i="12"/>
  <c r="M52" i="12"/>
  <c r="M55" i="12" s="1"/>
  <c r="M56" i="12" s="1"/>
  <c r="H64" i="12"/>
  <c r="H52" i="12"/>
  <c r="H55" i="12" s="1"/>
  <c r="H56" i="12" s="1"/>
  <c r="C64" i="12"/>
  <c r="C52" i="12"/>
  <c r="C55" i="12" s="1"/>
  <c r="C56" i="12" s="1"/>
  <c r="K64" i="12"/>
  <c r="K52" i="12"/>
  <c r="K55" i="12" s="1"/>
  <c r="K56" i="12" s="1"/>
  <c r="D64" i="12"/>
  <c r="D52" i="12"/>
  <c r="D55" i="12" s="1"/>
  <c r="D56" i="12" s="1"/>
  <c r="E64" i="12"/>
  <c r="E52" i="12"/>
  <c r="E55" i="12" s="1"/>
  <c r="E56" i="12" s="1"/>
  <c r="I64" i="12"/>
  <c r="I52" i="12"/>
  <c r="I55" i="12" s="1"/>
  <c r="I56" i="12" s="1"/>
  <c r="L64" i="12"/>
  <c r="L52" i="12"/>
  <c r="L55" i="12" s="1"/>
  <c r="L56" i="12" s="1"/>
  <c r="N26" i="36"/>
  <c r="B54" i="12"/>
  <c r="B5" i="36"/>
  <c r="L52" i="11"/>
  <c r="AG21" i="4" s="1"/>
  <c r="AN21" i="4" s="1"/>
  <c r="AU21" i="4" s="1"/>
  <c r="BB21" i="4" s="1"/>
  <c r="BI21" i="4" s="1"/>
  <c r="BP21" i="4" s="1"/>
  <c r="BW21" i="4" s="1"/>
  <c r="CD21" i="4" s="1"/>
  <c r="CK21" i="4" s="1"/>
  <c r="J52" i="11"/>
  <c r="C52" i="11"/>
  <c r="B27" i="11"/>
  <c r="I52" i="11"/>
  <c r="AF21" i="4" s="1"/>
  <c r="AM21" i="4" s="1"/>
  <c r="AT21" i="4" s="1"/>
  <c r="BA21" i="4" s="1"/>
  <c r="BH21" i="4" s="1"/>
  <c r="BO21" i="4" s="1"/>
  <c r="BV21" i="4" s="1"/>
  <c r="CC21" i="4" s="1"/>
  <c r="CJ21" i="4" s="1"/>
  <c r="G29" i="11"/>
  <c r="AA21" i="4" s="1"/>
  <c r="J29" i="11"/>
  <c r="H27" i="11"/>
  <c r="C29" i="11"/>
  <c r="Z21" i="4" s="1"/>
  <c r="L29" i="11"/>
  <c r="AC21" i="4" s="1"/>
  <c r="AJ21" i="4" s="1"/>
  <c r="AQ21" i="4" s="1"/>
  <c r="AX21" i="4" s="1"/>
  <c r="BE21" i="4" s="1"/>
  <c r="BL21" i="4" s="1"/>
  <c r="BS21" i="4" s="1"/>
  <c r="BZ21" i="4" s="1"/>
  <c r="CG21" i="4" s="1"/>
  <c r="CN21" i="4" s="1"/>
  <c r="D27" i="11"/>
  <c r="G52" i="11"/>
  <c r="AE21" i="4" s="1"/>
  <c r="AL21" i="4" s="1"/>
  <c r="AS21" i="4" s="1"/>
  <c r="AZ21" i="4" s="1"/>
  <c r="BG21" i="4" s="1"/>
  <c r="BN21" i="4" s="1"/>
  <c r="BU21" i="4" s="1"/>
  <c r="CB21" i="4" s="1"/>
  <c r="CI21" i="4" s="1"/>
  <c r="I29" i="11"/>
  <c r="K44" i="11"/>
  <c r="K22" i="12" s="1"/>
  <c r="K67" i="11"/>
  <c r="K36" i="12" s="1"/>
  <c r="N43" i="11"/>
  <c r="N66" i="11"/>
  <c r="G44" i="11"/>
  <c r="G22" i="12" s="1"/>
  <c r="G67" i="11"/>
  <c r="G36" i="12" s="1"/>
  <c r="E44" i="11"/>
  <c r="E22" i="12" s="1"/>
  <c r="E67" i="11"/>
  <c r="E36" i="12" s="1"/>
  <c r="D21" i="11"/>
  <c r="D6" i="12" s="1"/>
  <c r="M21" i="11"/>
  <c r="M6" i="12" s="1"/>
  <c r="F21" i="11"/>
  <c r="F6" i="12" s="1"/>
  <c r="H21" i="11"/>
  <c r="H6" i="12" s="1"/>
  <c r="B21" i="11"/>
  <c r="B6" i="12" s="1"/>
  <c r="I58" i="5"/>
  <c r="H134" i="4"/>
  <c r="I6" i="11"/>
  <c r="X21" i="4" s="1"/>
  <c r="X21" i="5" s="1"/>
  <c r="G6" i="11"/>
  <c r="L6" i="11"/>
  <c r="Y21" i="4" s="1"/>
  <c r="E6" i="11"/>
  <c r="C6" i="11"/>
  <c r="J6" i="11"/>
  <c r="I4" i="11"/>
  <c r="B4" i="11"/>
  <c r="M88" i="17"/>
  <c r="L50" i="11" s="1"/>
  <c r="AG19" i="4" s="1"/>
  <c r="L63" i="20"/>
  <c r="L89" i="20" s="1"/>
  <c r="L19" i="11" s="1"/>
  <c r="L42" i="11" s="1"/>
  <c r="L65" i="11" s="1"/>
  <c r="G122" i="17"/>
  <c r="K49" i="17"/>
  <c r="K85" i="17" s="1"/>
  <c r="K87" i="17" s="1"/>
  <c r="H120" i="17"/>
  <c r="K13" i="17"/>
  <c r="K15" i="17" s="1"/>
  <c r="K16" i="17" s="1"/>
  <c r="J17" i="22" s="1"/>
  <c r="AA28" i="16"/>
  <c r="J85" i="17"/>
  <c r="J87" i="17" s="1"/>
  <c r="J51" i="17"/>
  <c r="J52" i="17" s="1"/>
  <c r="I27" i="11" s="1"/>
  <c r="AJ48" i="5"/>
  <c r="AH48" i="5"/>
  <c r="AJ49" i="5"/>
  <c r="I136" i="5"/>
  <c r="AH49" i="5"/>
  <c r="AI49" i="5"/>
  <c r="AH47" i="5"/>
  <c r="L169" i="5"/>
  <c r="K170" i="5"/>
  <c r="K63" i="5" s="1"/>
  <c r="K171" i="5"/>
  <c r="AI47" i="5"/>
  <c r="AI48" i="5"/>
  <c r="N29" i="19"/>
  <c r="N20" i="19"/>
  <c r="M87" i="5"/>
  <c r="M159" i="5"/>
  <c r="M126" i="5"/>
  <c r="L84" i="4"/>
  <c r="M9" i="4"/>
  <c r="L8" i="4"/>
  <c r="N56" i="5"/>
  <c r="N86" i="5"/>
  <c r="N21" i="19"/>
  <c r="K85" i="4"/>
  <c r="K124" i="4"/>
  <c r="K157" i="4"/>
  <c r="AJ47" i="5"/>
  <c r="P49" i="5"/>
  <c r="K49" i="5"/>
  <c r="I49" i="5"/>
  <c r="G49" i="5"/>
  <c r="F49" i="5"/>
  <c r="W49" i="5"/>
  <c r="V49" i="5"/>
  <c r="O49" i="5"/>
  <c r="U49" i="5"/>
  <c r="R49" i="5"/>
  <c r="N49" i="5"/>
  <c r="T49" i="5"/>
  <c r="M49" i="5"/>
  <c r="L49" i="5"/>
  <c r="J49" i="5"/>
  <c r="H49" i="5"/>
  <c r="S49" i="5"/>
  <c r="X49" i="5"/>
  <c r="Q49" i="5"/>
  <c r="E49" i="5"/>
  <c r="AB49" i="5"/>
  <c r="AA49" i="5"/>
  <c r="Z49" i="5"/>
  <c r="AF49" i="5"/>
  <c r="AE49" i="5"/>
  <c r="AD49" i="5"/>
  <c r="AC49" i="5"/>
  <c r="Y49" i="5"/>
  <c r="AW26" i="5"/>
  <c r="AW46" i="5" s="1"/>
  <c r="H47" i="5"/>
  <c r="S47" i="5"/>
  <c r="G47" i="5"/>
  <c r="R47" i="5"/>
  <c r="X47" i="5"/>
  <c r="Q47" i="5"/>
  <c r="E47" i="5"/>
  <c r="V47" i="5"/>
  <c r="L47" i="5"/>
  <c r="F47" i="5"/>
  <c r="I47" i="5"/>
  <c r="O47" i="5"/>
  <c r="P47" i="5"/>
  <c r="K47" i="5"/>
  <c r="U47" i="5"/>
  <c r="J47" i="5"/>
  <c r="M47" i="5"/>
  <c r="W47" i="5"/>
  <c r="N47" i="5"/>
  <c r="T47" i="5"/>
  <c r="AB47" i="5"/>
  <c r="AA47" i="5"/>
  <c r="Z47" i="5"/>
  <c r="AE47" i="5"/>
  <c r="AD47" i="5"/>
  <c r="AF47" i="5"/>
  <c r="Y47" i="5"/>
  <c r="AC47" i="5"/>
  <c r="AU26" i="5"/>
  <c r="AU46" i="5" s="1"/>
  <c r="AN25" i="5"/>
  <c r="AN49" i="5" s="1"/>
  <c r="L48" i="5"/>
  <c r="V48" i="5"/>
  <c r="N48" i="5"/>
  <c r="J48" i="5"/>
  <c r="X48" i="5"/>
  <c r="M48" i="5"/>
  <c r="P48" i="5"/>
  <c r="K48" i="5"/>
  <c r="G48" i="5"/>
  <c r="E48" i="5"/>
  <c r="U48" i="5"/>
  <c r="Q48" i="5"/>
  <c r="W48" i="5"/>
  <c r="O48" i="5"/>
  <c r="R48" i="5"/>
  <c r="F48" i="5"/>
  <c r="T48" i="5"/>
  <c r="I48" i="5"/>
  <c r="H48" i="5"/>
  <c r="S48" i="5"/>
  <c r="AB48" i="5"/>
  <c r="AA48" i="5"/>
  <c r="Z48" i="5"/>
  <c r="AE48" i="5"/>
  <c r="AF48" i="5"/>
  <c r="AD48" i="5"/>
  <c r="Y48" i="5"/>
  <c r="AC48" i="5"/>
  <c r="AL47" i="5"/>
  <c r="AL48" i="5"/>
  <c r="AL49" i="5"/>
  <c r="AM49" i="5"/>
  <c r="AM48" i="5"/>
  <c r="AM47" i="5"/>
  <c r="AG49" i="5"/>
  <c r="AG48" i="5"/>
  <c r="AG47" i="5"/>
  <c r="AO32" i="5"/>
  <c r="AQ25" i="5"/>
  <c r="E15" i="22"/>
  <c r="E14" i="10" s="1"/>
  <c r="I15" i="22"/>
  <c r="I14" i="10" s="1"/>
  <c r="N11" i="19"/>
  <c r="B12" i="19"/>
  <c r="C40" i="20"/>
  <c r="J15" i="22"/>
  <c r="J14" i="10" s="1"/>
  <c r="J40" i="20"/>
  <c r="L40" i="20"/>
  <c r="E40" i="20"/>
  <c r="B40" i="20"/>
  <c r="G15" i="22"/>
  <c r="G14" i="10" s="1"/>
  <c r="G40" i="20"/>
  <c r="L15" i="22"/>
  <c r="L14" i="10" s="1"/>
  <c r="I40" i="20"/>
  <c r="B15" i="22"/>
  <c r="B14" i="10" s="1"/>
  <c r="C15" i="22"/>
  <c r="C14" i="10" s="1"/>
  <c r="D141" i="33"/>
  <c r="D135" i="32"/>
  <c r="L168" i="4"/>
  <c r="L174" i="5"/>
  <c r="AZ26" i="5"/>
  <c r="AZ46" i="5" s="1"/>
  <c r="AK25" i="5"/>
  <c r="C88" i="17"/>
  <c r="AT26" i="5"/>
  <c r="AT46" i="5" s="1"/>
  <c r="AS15" i="5"/>
  <c r="AP25" i="5"/>
  <c r="N8" i="5"/>
  <c r="O9" i="5"/>
  <c r="O172" i="5" s="1"/>
  <c r="D65" i="4"/>
  <c r="D66" i="5"/>
  <c r="D15" i="17"/>
  <c r="N23" i="19"/>
  <c r="D51" i="17"/>
  <c r="D32" i="19"/>
  <c r="D52" i="11" s="1"/>
  <c r="N30" i="19"/>
  <c r="W173" i="39" l="1"/>
  <c r="AL77" i="39"/>
  <c r="AK59" i="39"/>
  <c r="AK60" i="39" s="1"/>
  <c r="W77" i="39"/>
  <c r="W180" i="39" s="1"/>
  <c r="X77" i="39"/>
  <c r="W59" i="39"/>
  <c r="W60" i="39" s="1"/>
  <c r="V172" i="39"/>
  <c r="W172" i="39" s="1"/>
  <c r="V150" i="39"/>
  <c r="AD21" i="4"/>
  <c r="AK21" i="4" s="1"/>
  <c r="AR21" i="4" s="1"/>
  <c r="AY21" i="4" s="1"/>
  <c r="BF21" i="4" s="1"/>
  <c r="BM21" i="4" s="1"/>
  <c r="BT21" i="4" s="1"/>
  <c r="CA21" i="4" s="1"/>
  <c r="CH21" i="4" s="1"/>
  <c r="CO21" i="4" s="1"/>
  <c r="W150" i="39"/>
  <c r="W79" i="39" s="1"/>
  <c r="V120" i="39"/>
  <c r="AH21" i="4"/>
  <c r="AO21" i="4" s="1"/>
  <c r="AV21" i="4" s="1"/>
  <c r="BC21" i="4" s="1"/>
  <c r="BJ21" i="4" s="1"/>
  <c r="BQ21" i="4" s="1"/>
  <c r="BX21" i="4" s="1"/>
  <c r="CE21" i="4" s="1"/>
  <c r="CL21" i="4" s="1"/>
  <c r="AA21" i="5"/>
  <c r="AR15" i="39"/>
  <c r="AN31" i="39"/>
  <c r="AN76" i="39" s="1"/>
  <c r="AN16" i="39"/>
  <c r="AT15" i="4"/>
  <c r="AP31" i="4"/>
  <c r="AP15" i="5"/>
  <c r="AP32" i="5" s="1"/>
  <c r="AS31" i="39"/>
  <c r="AW15" i="39"/>
  <c r="AS16" i="39"/>
  <c r="AC21" i="5"/>
  <c r="W21" i="4"/>
  <c r="W21" i="5" s="1"/>
  <c r="AS31" i="4"/>
  <c r="AW15" i="4"/>
  <c r="AQ31" i="4"/>
  <c r="AU15" i="4"/>
  <c r="AQ15" i="5"/>
  <c r="AQ32" i="5" s="1"/>
  <c r="AK76" i="39"/>
  <c r="AU15" i="39"/>
  <c r="AQ31" i="39"/>
  <c r="AQ16" i="39"/>
  <c r="AB21" i="4"/>
  <c r="AJ76" i="39"/>
  <c r="AP31" i="39"/>
  <c r="AT15" i="39"/>
  <c r="AP16" i="39"/>
  <c r="AR15" i="4"/>
  <c r="AN31" i="4"/>
  <c r="AN15" i="5"/>
  <c r="AN32" i="5" s="1"/>
  <c r="C51" i="40"/>
  <c r="AL75" i="39"/>
  <c r="AN75" i="39"/>
  <c r="AM75" i="39"/>
  <c r="AK77" i="39"/>
  <c r="AO75" i="39"/>
  <c r="AQ34" i="39"/>
  <c r="AQ44" i="39"/>
  <c r="AQ29" i="39"/>
  <c r="AQ38" i="39"/>
  <c r="AR74" i="39"/>
  <c r="AP73" i="39"/>
  <c r="AQ43" i="39"/>
  <c r="AQ39" i="39"/>
  <c r="AQ40" i="39"/>
  <c r="AQ42" i="39"/>
  <c r="AQ76" i="39" s="1"/>
  <c r="AN30" i="39"/>
  <c r="AU33" i="39"/>
  <c r="AY20" i="39"/>
  <c r="AU151" i="39"/>
  <c r="AU27" i="39"/>
  <c r="BA20" i="39"/>
  <c r="AW33" i="39"/>
  <c r="AW27" i="39"/>
  <c r="AW151" i="39"/>
  <c r="AJ77" i="39"/>
  <c r="AR44" i="39"/>
  <c r="AR40" i="39"/>
  <c r="AR43" i="39"/>
  <c r="AR39" i="39"/>
  <c r="AR38" i="39"/>
  <c r="AR29" i="39"/>
  <c r="AR30" i="39" s="1"/>
  <c r="AR42" i="39"/>
  <c r="AR34" i="39"/>
  <c r="AQ73" i="39"/>
  <c r="AP30" i="39"/>
  <c r="AV33" i="39"/>
  <c r="AZ20" i="39"/>
  <c r="AV151" i="39"/>
  <c r="AV27" i="39"/>
  <c r="AO30" i="39"/>
  <c r="AP76" i="39"/>
  <c r="AQ74" i="39"/>
  <c r="AM30" i="39"/>
  <c r="AT44" i="39"/>
  <c r="AT43" i="39"/>
  <c r="AT42" i="39"/>
  <c r="AT39" i="39"/>
  <c r="AT38" i="39"/>
  <c r="AT29" i="39"/>
  <c r="AS73" i="39"/>
  <c r="AU74" i="39"/>
  <c r="AT40" i="39"/>
  <c r="AT34" i="39"/>
  <c r="AS74" i="39"/>
  <c r="AS44" i="39"/>
  <c r="AS38" i="39"/>
  <c r="AR73" i="39"/>
  <c r="AS34" i="39"/>
  <c r="AS43" i="39"/>
  <c r="AS39" i="39"/>
  <c r="AS42" i="39"/>
  <c r="AS29" i="39"/>
  <c r="AS40" i="39"/>
  <c r="AT74" i="39"/>
  <c r="BB20" i="39"/>
  <c r="AX33" i="39"/>
  <c r="AX151" i="39"/>
  <c r="AX27" i="39"/>
  <c r="AS19" i="4"/>
  <c r="AL16" i="4"/>
  <c r="AL16" i="5" s="1"/>
  <c r="AL19" i="5" s="1"/>
  <c r="AG16" i="4"/>
  <c r="AN19" i="4"/>
  <c r="AO19" i="4"/>
  <c r="AH16" i="4"/>
  <c r="W53" i="5"/>
  <c r="W153" i="5"/>
  <c r="W28" i="5"/>
  <c r="AJ16" i="4"/>
  <c r="AQ19" i="4"/>
  <c r="C22" i="40"/>
  <c r="AA71" i="39"/>
  <c r="AA133" i="39"/>
  <c r="AA61" i="39"/>
  <c r="AC150" i="39"/>
  <c r="AC79" i="39" s="1"/>
  <c r="AC71" i="39"/>
  <c r="AC133" i="39"/>
  <c r="AC61" i="39"/>
  <c r="Y43" i="39"/>
  <c r="Y39" i="39"/>
  <c r="Y40" i="39"/>
  <c r="Y38" i="39"/>
  <c r="Y42" i="39"/>
  <c r="Y34" i="39"/>
  <c r="Y44" i="39"/>
  <c r="Y29" i="39"/>
  <c r="X73" i="39"/>
  <c r="Z74" i="39"/>
  <c r="Y74" i="39"/>
  <c r="Y73" i="39"/>
  <c r="AD77" i="39"/>
  <c r="AC77" i="39"/>
  <c r="C21" i="40"/>
  <c r="E28" i="40" a="1"/>
  <c r="E28" i="40" s="1"/>
  <c r="F28" i="40" a="1"/>
  <c r="F28" i="40" s="1"/>
  <c r="G28" i="40" a="1"/>
  <c r="G28" i="40" s="1"/>
  <c r="H28" i="40" a="1"/>
  <c r="H28" i="40" s="1"/>
  <c r="I28" i="40" a="1"/>
  <c r="I28" i="40" s="1"/>
  <c r="J28" i="40" a="1"/>
  <c r="J28" i="40" s="1"/>
  <c r="K28" i="40" a="1"/>
  <c r="K28" i="40" s="1"/>
  <c r="L28" i="40" a="1"/>
  <c r="L28" i="40" s="1"/>
  <c r="C32" i="39"/>
  <c r="M28" i="40" a="1"/>
  <c r="M28" i="40" s="1"/>
  <c r="N28" i="40" a="1"/>
  <c r="N28" i="40" s="1"/>
  <c r="O28" i="40" a="1"/>
  <c r="O28" i="40" s="1"/>
  <c r="P28" i="40" a="1"/>
  <c r="P28" i="40" s="1"/>
  <c r="Q28" i="40" a="1"/>
  <c r="Q28" i="40" s="1"/>
  <c r="R28" i="40" a="1"/>
  <c r="R28" i="40" s="1"/>
  <c r="S28" i="40" a="1"/>
  <c r="S28" i="40" s="1"/>
  <c r="T28" i="40" a="1"/>
  <c r="T28" i="40" s="1"/>
  <c r="U28" i="40" a="1"/>
  <c r="U28" i="40" s="1"/>
  <c r="V28" i="40" a="1"/>
  <c r="V28" i="40" s="1"/>
  <c r="W28" i="40" a="1"/>
  <c r="W28" i="40" s="1"/>
  <c r="X28" i="40" a="1"/>
  <c r="X28" i="40" s="1"/>
  <c r="Y28" i="40" a="1"/>
  <c r="Y28" i="40" s="1"/>
  <c r="Z28" i="40" a="1"/>
  <c r="Z28" i="40" s="1"/>
  <c r="AK71" i="39"/>
  <c r="AK133" i="39"/>
  <c r="AK61" i="39"/>
  <c r="Z71" i="39"/>
  <c r="Z61" i="39"/>
  <c r="Z133" i="39"/>
  <c r="AS52" i="39"/>
  <c r="AO59" i="39"/>
  <c r="AO60" i="39" s="1"/>
  <c r="AO150" i="39"/>
  <c r="AO79" i="39" s="1"/>
  <c r="AH52" i="39"/>
  <c r="AH72" i="39" s="1"/>
  <c r="AD59" i="39"/>
  <c r="AD60" i="39" s="1"/>
  <c r="AC72" i="39"/>
  <c r="AD150" i="39"/>
  <c r="AD79" i="39" s="1"/>
  <c r="AF61" i="39"/>
  <c r="AF71" i="39"/>
  <c r="AF133" i="39"/>
  <c r="AE61" i="39"/>
  <c r="AE133" i="39"/>
  <c r="AE71" i="39"/>
  <c r="AM52" i="39"/>
  <c r="AI150" i="39"/>
  <c r="AI79" i="39" s="1"/>
  <c r="AI59" i="39"/>
  <c r="AI60" i="39" s="1"/>
  <c r="AN52" i="39"/>
  <c r="AN72" i="39" s="1"/>
  <c r="AJ59" i="39"/>
  <c r="AJ60" i="39" s="1"/>
  <c r="AI72" i="39"/>
  <c r="AJ150" i="39"/>
  <c r="AJ79" i="39" s="1"/>
  <c r="D75" i="12"/>
  <c r="D68" i="12"/>
  <c r="D65" i="12"/>
  <c r="M75" i="12"/>
  <c r="M68" i="12"/>
  <c r="M65" i="12"/>
  <c r="G75" i="12"/>
  <c r="G65" i="12"/>
  <c r="G68" i="12"/>
  <c r="K75" i="12"/>
  <c r="K68" i="12"/>
  <c r="K65" i="12"/>
  <c r="I75" i="12"/>
  <c r="I65" i="12"/>
  <c r="I68" i="12"/>
  <c r="C75" i="12"/>
  <c r="C68" i="12"/>
  <c r="C65" i="12"/>
  <c r="F75" i="12"/>
  <c r="F68" i="12"/>
  <c r="F65" i="12"/>
  <c r="L75" i="12"/>
  <c r="L65" i="12"/>
  <c r="L68" i="12"/>
  <c r="E75" i="12"/>
  <c r="E68" i="12"/>
  <c r="E65" i="12"/>
  <c r="H75" i="12"/>
  <c r="H65" i="12"/>
  <c r="H68" i="12"/>
  <c r="J75" i="12"/>
  <c r="J68" i="12"/>
  <c r="J65" i="12"/>
  <c r="N5" i="36"/>
  <c r="B51" i="12"/>
  <c r="B67" i="12"/>
  <c r="N54" i="12"/>
  <c r="B31" i="36"/>
  <c r="N31" i="36" s="1"/>
  <c r="N52" i="11"/>
  <c r="N29" i="11"/>
  <c r="B50" i="11"/>
  <c r="M44" i="11"/>
  <c r="M22" i="12" s="1"/>
  <c r="M67" i="11"/>
  <c r="M36" i="12" s="1"/>
  <c r="B67" i="11"/>
  <c r="B36" i="12" s="1"/>
  <c r="D44" i="11"/>
  <c r="D22" i="12" s="1"/>
  <c r="D67" i="11"/>
  <c r="D36" i="12" s="1"/>
  <c r="H44" i="11"/>
  <c r="H22" i="12" s="1"/>
  <c r="H67" i="11"/>
  <c r="H36" i="12" s="1"/>
  <c r="F44" i="11"/>
  <c r="F22" i="12" s="1"/>
  <c r="F67" i="11"/>
  <c r="F36" i="12" s="1"/>
  <c r="J136" i="5"/>
  <c r="J58" i="5"/>
  <c r="K58" i="5"/>
  <c r="B44" i="11"/>
  <c r="B22" i="12" s="1"/>
  <c r="I134" i="4"/>
  <c r="L21" i="11"/>
  <c r="L6" i="12" s="1"/>
  <c r="Z21" i="5"/>
  <c r="J4" i="11"/>
  <c r="X19" i="4" s="1"/>
  <c r="O49" i="17"/>
  <c r="J88" i="17"/>
  <c r="I63" i="20"/>
  <c r="I89" i="20" s="1"/>
  <c r="I19" i="11" s="1"/>
  <c r="I42" i="11" s="1"/>
  <c r="I65" i="11" s="1"/>
  <c r="H122" i="17"/>
  <c r="K88" i="17"/>
  <c r="J63" i="20"/>
  <c r="J89" i="20" s="1"/>
  <c r="J19" i="11" s="1"/>
  <c r="J42" i="11" s="1"/>
  <c r="J65" i="11" s="1"/>
  <c r="K51" i="17"/>
  <c r="K52" i="17" s="1"/>
  <c r="J27" i="11" s="1"/>
  <c r="AB19" i="4" s="1"/>
  <c r="O29" i="17"/>
  <c r="O30" i="17"/>
  <c r="I120" i="17"/>
  <c r="I122" i="17" s="1"/>
  <c r="B15" i="20"/>
  <c r="B8" i="22"/>
  <c r="O13" i="17"/>
  <c r="D44" i="3"/>
  <c r="N39" i="18"/>
  <c r="M169" i="5"/>
  <c r="L171" i="5"/>
  <c r="L170" i="5"/>
  <c r="L63" i="5" s="1"/>
  <c r="AN47" i="5"/>
  <c r="AN48" i="5"/>
  <c r="AY26" i="5"/>
  <c r="AY46" i="5" s="1"/>
  <c r="L85" i="4"/>
  <c r="L157" i="4"/>
  <c r="L124" i="4"/>
  <c r="O56" i="5"/>
  <c r="O86" i="5"/>
  <c r="N159" i="5"/>
  <c r="N126" i="5"/>
  <c r="N87" i="5"/>
  <c r="M84" i="4"/>
  <c r="N9" i="4"/>
  <c r="M8" i="4"/>
  <c r="AR25" i="5"/>
  <c r="AR47" i="5" s="1"/>
  <c r="BA26" i="5"/>
  <c r="BA46" i="5" s="1"/>
  <c r="AL53" i="5"/>
  <c r="AP47" i="5"/>
  <c r="AP49" i="5"/>
  <c r="AP48" i="5"/>
  <c r="AS32" i="5"/>
  <c r="AQ49" i="5"/>
  <c r="AQ48" i="5"/>
  <c r="AQ47" i="5"/>
  <c r="AK49" i="5"/>
  <c r="AK47" i="5"/>
  <c r="AK48" i="5"/>
  <c r="N24" i="20"/>
  <c r="N40" i="20"/>
  <c r="H15" i="20"/>
  <c r="F15" i="20"/>
  <c r="N15" i="22"/>
  <c r="D15" i="20"/>
  <c r="M15" i="20"/>
  <c r="N12" i="19"/>
  <c r="B14" i="19"/>
  <c r="B6" i="11" s="1"/>
  <c r="N6" i="11" s="1"/>
  <c r="D66" i="33"/>
  <c r="D61" i="32"/>
  <c r="K8" i="22"/>
  <c r="O8" i="5"/>
  <c r="P9" i="5"/>
  <c r="P172" i="5" s="1"/>
  <c r="AT25" i="5"/>
  <c r="AW15" i="5"/>
  <c r="D52" i="17"/>
  <c r="AO25" i="5"/>
  <c r="M174" i="5"/>
  <c r="D87" i="17"/>
  <c r="C63" i="20" s="1"/>
  <c r="C89" i="20" s="1"/>
  <c r="C19" i="11" s="1"/>
  <c r="C42" i="11" s="1"/>
  <c r="C65" i="11" s="1"/>
  <c r="O85" i="17"/>
  <c r="D8" i="22"/>
  <c r="D78" i="4"/>
  <c r="D66" i="4"/>
  <c r="H8" i="22"/>
  <c r="AX26" i="5"/>
  <c r="AX46" i="5" s="1"/>
  <c r="M8" i="22"/>
  <c r="F8" i="22"/>
  <c r="D80" i="5"/>
  <c r="D67" i="5"/>
  <c r="K15" i="20"/>
  <c r="N32" i="19"/>
  <c r="D16" i="17"/>
  <c r="C17" i="22" s="1"/>
  <c r="O15" i="17"/>
  <c r="BD26" i="5"/>
  <c r="BD46" i="5" s="1"/>
  <c r="M168" i="4"/>
  <c r="AO76" i="39" l="1"/>
  <c r="X72" i="39"/>
  <c r="X173" i="39" s="1"/>
  <c r="Y75" i="39"/>
  <c r="V79" i="39"/>
  <c r="V80" i="39"/>
  <c r="V122" i="39" s="1"/>
  <c r="V152" i="39"/>
  <c r="W71" i="39"/>
  <c r="W61" i="39"/>
  <c r="W133" i="39"/>
  <c r="AP77" i="39"/>
  <c r="Y72" i="39"/>
  <c r="AY15" i="39"/>
  <c r="AU31" i="39"/>
  <c r="AU16" i="39"/>
  <c r="AX15" i="4"/>
  <c r="AT31" i="4"/>
  <c r="AT15" i="5"/>
  <c r="AT32" i="5" s="1"/>
  <c r="AU31" i="4"/>
  <c r="AY15" i="4"/>
  <c r="AU15" i="5"/>
  <c r="AU32" i="5" s="1"/>
  <c r="AW31" i="4"/>
  <c r="BA15" i="4"/>
  <c r="BA15" i="5" s="1"/>
  <c r="AR31" i="4"/>
  <c r="AV15" i="4"/>
  <c r="AR15" i="5"/>
  <c r="AR32" i="5" s="1"/>
  <c r="AT31" i="39"/>
  <c r="AX15" i="39"/>
  <c r="AT16" i="39"/>
  <c r="AR31" i="39"/>
  <c r="AS76" i="39" s="1"/>
  <c r="AV15" i="39"/>
  <c r="AR16" i="39"/>
  <c r="AI21" i="4"/>
  <c r="AP21" i="4" s="1"/>
  <c r="AW21" i="4" s="1"/>
  <c r="BD21" i="4" s="1"/>
  <c r="BK21" i="4" s="1"/>
  <c r="BR21" i="4" s="1"/>
  <c r="BY21" i="4" s="1"/>
  <c r="CF21" i="4" s="1"/>
  <c r="CM21" i="4" s="1"/>
  <c r="AB21" i="5"/>
  <c r="AS75" i="39"/>
  <c r="AW31" i="39"/>
  <c r="BA15" i="39"/>
  <c r="AW16" i="39"/>
  <c r="AN77" i="39"/>
  <c r="AR75" i="39"/>
  <c r="AP75" i="39"/>
  <c r="AQ75" i="39"/>
  <c r="AW29" i="39"/>
  <c r="AV73" i="39"/>
  <c r="AW40" i="39"/>
  <c r="AW38" i="39"/>
  <c r="AW34" i="39"/>
  <c r="AW43" i="39"/>
  <c r="AW44" i="39"/>
  <c r="AW42" i="39"/>
  <c r="AW39" i="39"/>
  <c r="AX74" i="39"/>
  <c r="AT76" i="39"/>
  <c r="AS30" i="39"/>
  <c r="AS59" i="39" s="1"/>
  <c r="AS60" i="39" s="1"/>
  <c r="BE20" i="39"/>
  <c r="BA33" i="39"/>
  <c r="BA151" i="39"/>
  <c r="BA27" i="39"/>
  <c r="AU44" i="39"/>
  <c r="AU43" i="39"/>
  <c r="AU29" i="39"/>
  <c r="AU42" i="39"/>
  <c r="AT73" i="39"/>
  <c r="AU34" i="39"/>
  <c r="AU39" i="39"/>
  <c r="AU38" i="39"/>
  <c r="AU40" i="39"/>
  <c r="AV74" i="39"/>
  <c r="AU76" i="39"/>
  <c r="AT30" i="39"/>
  <c r="AM77" i="39"/>
  <c r="AR76" i="39"/>
  <c r="AQ30" i="39"/>
  <c r="AY33" i="39"/>
  <c r="BC20" i="39"/>
  <c r="AY27" i="39"/>
  <c r="AY74" i="39" s="1"/>
  <c r="AY151" i="39"/>
  <c r="AO77" i="39"/>
  <c r="AX34" i="39"/>
  <c r="AX40" i="39"/>
  <c r="AX44" i="39"/>
  <c r="AX39" i="39"/>
  <c r="AX29" i="39"/>
  <c r="AX38" i="39"/>
  <c r="AX43" i="39"/>
  <c r="AW73" i="39"/>
  <c r="AX42" i="39"/>
  <c r="AV38" i="39"/>
  <c r="AV44" i="39"/>
  <c r="AW74" i="39"/>
  <c r="AV42" i="39"/>
  <c r="AV40" i="39"/>
  <c r="AV39" i="39"/>
  <c r="AV34" i="39"/>
  <c r="AV29" i="39"/>
  <c r="AV30" i="39" s="1"/>
  <c r="AU73" i="39"/>
  <c r="AV43" i="39"/>
  <c r="AZ33" i="39"/>
  <c r="BD20" i="39"/>
  <c r="AZ151" i="39"/>
  <c r="AZ27" i="39"/>
  <c r="BF20" i="39"/>
  <c r="BB33" i="39"/>
  <c r="BB151" i="39"/>
  <c r="BB27" i="39"/>
  <c r="X16" i="4"/>
  <c r="X16" i="5" s="1"/>
  <c r="X19" i="5" s="1"/>
  <c r="AB16" i="4"/>
  <c r="AB16" i="5" s="1"/>
  <c r="AB19" i="5" s="1"/>
  <c r="AB53" i="5" s="1"/>
  <c r="AI19" i="4"/>
  <c r="AX19" i="4"/>
  <c r="AQ16" i="4"/>
  <c r="W120" i="5"/>
  <c r="W30" i="5"/>
  <c r="W31" i="5" s="1"/>
  <c r="W123" i="5"/>
  <c r="W75" i="5"/>
  <c r="V74" i="5"/>
  <c r="W57" i="5"/>
  <c r="W79" i="5"/>
  <c r="AV19" i="4"/>
  <c r="AO16" i="4"/>
  <c r="AU19" i="4"/>
  <c r="AN16" i="4"/>
  <c r="AZ19" i="4"/>
  <c r="AS16" i="4"/>
  <c r="AQ52" i="39"/>
  <c r="AM59" i="39"/>
  <c r="AM60" i="39" s="1"/>
  <c r="AM150" i="39"/>
  <c r="AM79" i="39" s="1"/>
  <c r="AO133" i="39"/>
  <c r="AO71" i="39"/>
  <c r="AO61" i="39"/>
  <c r="AW52" i="39"/>
  <c r="AS150" i="39"/>
  <c r="AS79" i="39" s="1"/>
  <c r="Y150" i="39"/>
  <c r="Y79" i="39" s="1"/>
  <c r="C28" i="40"/>
  <c r="X180" i="39"/>
  <c r="Z76" i="39"/>
  <c r="Y30" i="39"/>
  <c r="Y59" i="39" s="1"/>
  <c r="Y76" i="39"/>
  <c r="AD61" i="39"/>
  <c r="AD71" i="39"/>
  <c r="AD133" i="39"/>
  <c r="AR52" i="39"/>
  <c r="AN59" i="39"/>
  <c r="AN60" i="39" s="1"/>
  <c r="AM72" i="39"/>
  <c r="AN150" i="39"/>
  <c r="AN79" i="39" s="1"/>
  <c r="AJ133" i="39"/>
  <c r="AJ71" i="39"/>
  <c r="AJ61" i="39"/>
  <c r="AL52" i="39"/>
  <c r="AG72" i="39"/>
  <c r="AH59" i="39"/>
  <c r="AH60" i="39" s="1"/>
  <c r="AH150" i="39"/>
  <c r="AH79" i="39" s="1"/>
  <c r="AI71" i="39"/>
  <c r="AI61" i="39"/>
  <c r="AI133" i="39"/>
  <c r="X75" i="39"/>
  <c r="AH16" i="5"/>
  <c r="AH19" i="5" s="1"/>
  <c r="AH53" i="5" s="1"/>
  <c r="C80" i="12"/>
  <c r="C77" i="12"/>
  <c r="J80" i="12"/>
  <c r="J77" i="12"/>
  <c r="G80" i="12"/>
  <c r="G77" i="12"/>
  <c r="I80" i="12"/>
  <c r="I77" i="12"/>
  <c r="H80" i="12"/>
  <c r="H77" i="12"/>
  <c r="M77" i="12"/>
  <c r="M80" i="12"/>
  <c r="L77" i="12"/>
  <c r="L80" i="12"/>
  <c r="F80" i="12"/>
  <c r="F77" i="12"/>
  <c r="K80" i="12"/>
  <c r="K77" i="12"/>
  <c r="E77" i="12"/>
  <c r="E80" i="12"/>
  <c r="D77" i="12"/>
  <c r="D80" i="12"/>
  <c r="B79" i="12"/>
  <c r="N79" i="12" s="1"/>
  <c r="N67" i="12"/>
  <c r="B64" i="12"/>
  <c r="N51" i="12"/>
  <c r="B52" i="12"/>
  <c r="I50" i="11"/>
  <c r="C27" i="11"/>
  <c r="J50" i="11"/>
  <c r="C44" i="11"/>
  <c r="C22" i="12" s="1"/>
  <c r="K136" i="5"/>
  <c r="L44" i="11"/>
  <c r="L22" i="12" s="1"/>
  <c r="L67" i="11"/>
  <c r="L36" i="12" s="1"/>
  <c r="J134" i="4"/>
  <c r="I21" i="11"/>
  <c r="I6" i="12" s="1"/>
  <c r="J21" i="11"/>
  <c r="J6" i="12" s="1"/>
  <c r="N19" i="11"/>
  <c r="C21" i="11"/>
  <c r="C6" i="12" s="1"/>
  <c r="C4" i="11"/>
  <c r="N17" i="22"/>
  <c r="D19" i="22"/>
  <c r="D8" i="11" s="1"/>
  <c r="D31" i="11" s="1"/>
  <c r="D54" i="11" s="1"/>
  <c r="F19" i="22"/>
  <c r="F8" i="11" s="1"/>
  <c r="F31" i="11" s="1"/>
  <c r="F54" i="11" s="1"/>
  <c r="M19" i="22"/>
  <c r="M8" i="11" s="1"/>
  <c r="M31" i="11" s="1"/>
  <c r="M54" i="11" s="1"/>
  <c r="H19" i="22"/>
  <c r="H8" i="11" s="1"/>
  <c r="K19" i="22"/>
  <c r="K8" i="11" s="1"/>
  <c r="B19" i="22"/>
  <c r="B8" i="11" s="1"/>
  <c r="B31" i="11" s="1"/>
  <c r="M42" i="20"/>
  <c r="D42" i="20"/>
  <c r="K42" i="20"/>
  <c r="F42" i="20"/>
  <c r="B42" i="20"/>
  <c r="H42" i="20"/>
  <c r="N89" i="20"/>
  <c r="N63" i="20"/>
  <c r="AA16" i="5"/>
  <c r="AA19" i="5" s="1"/>
  <c r="AA53" i="5" s="1"/>
  <c r="O51" i="17"/>
  <c r="J120" i="17"/>
  <c r="AE20" i="5"/>
  <c r="AE34" i="5" s="1"/>
  <c r="N169" i="5"/>
  <c r="M170" i="5"/>
  <c r="M63" i="5" s="1"/>
  <c r="M171" i="5"/>
  <c r="AR48" i="5"/>
  <c r="AR49" i="5"/>
  <c r="P56" i="5"/>
  <c r="P86" i="5"/>
  <c r="N84" i="4"/>
  <c r="N8" i="4"/>
  <c r="O9" i="4"/>
  <c r="M157" i="4"/>
  <c r="M124" i="4"/>
  <c r="M85" i="4"/>
  <c r="O87" i="5"/>
  <c r="O159" i="5"/>
  <c r="O126" i="5"/>
  <c r="AV25" i="5"/>
  <c r="AV48" i="5" s="1"/>
  <c r="AU25" i="5"/>
  <c r="AU48" i="5" s="1"/>
  <c r="BE26" i="5"/>
  <c r="BE46" i="5" s="1"/>
  <c r="BC26" i="5"/>
  <c r="BC46" i="5" s="1"/>
  <c r="AW32" i="5"/>
  <c r="AO49" i="5"/>
  <c r="AO47" i="5"/>
  <c r="AO48" i="5"/>
  <c r="AT47" i="5"/>
  <c r="AT48" i="5"/>
  <c r="AT49" i="5"/>
  <c r="N15" i="10"/>
  <c r="N33" i="20"/>
  <c r="N14" i="10"/>
  <c r="AF20" i="5"/>
  <c r="AF34" i="5" s="1"/>
  <c r="AB20" i="5"/>
  <c r="AB34" i="5" s="1"/>
  <c r="AC20" i="5"/>
  <c r="AC34" i="5" s="1"/>
  <c r="Z20" i="5"/>
  <c r="Z34" i="5" s="1"/>
  <c r="AY25" i="5"/>
  <c r="AD20" i="5"/>
  <c r="AD34" i="5" s="1"/>
  <c r="AA20" i="5"/>
  <c r="AA34" i="5" s="1"/>
  <c r="J15" i="20"/>
  <c r="C15" i="20"/>
  <c r="I15" i="20"/>
  <c r="L15" i="20"/>
  <c r="J8" i="22"/>
  <c r="C8" i="22"/>
  <c r="E8" i="22"/>
  <c r="I8" i="22"/>
  <c r="L8" i="22"/>
  <c r="G15" i="20"/>
  <c r="N14" i="19"/>
  <c r="Y21" i="5"/>
  <c r="E15" i="20"/>
  <c r="G8" i="22"/>
  <c r="D67" i="33"/>
  <c r="D80" i="33"/>
  <c r="D62" i="32"/>
  <c r="D74" i="32"/>
  <c r="BH26" i="5"/>
  <c r="BH46" i="5" s="1"/>
  <c r="D124" i="5"/>
  <c r="D83" i="5"/>
  <c r="N168" i="4"/>
  <c r="D81" i="4"/>
  <c r="N174" i="5"/>
  <c r="P8" i="5"/>
  <c r="Q9" i="5"/>
  <c r="Q172" i="5" s="1"/>
  <c r="O16" i="17"/>
  <c r="AS25" i="5"/>
  <c r="BB26" i="5"/>
  <c r="BB46" i="5" s="1"/>
  <c r="D88" i="17"/>
  <c r="O87" i="17"/>
  <c r="O52" i="17"/>
  <c r="V81" i="39" l="1"/>
  <c r="AR77" i="39"/>
  <c r="Y173" i="39"/>
  <c r="Z173" i="39" s="1"/>
  <c r="AA173" i="39" s="1"/>
  <c r="AB173" i="39" s="1"/>
  <c r="AC173" i="39" s="1"/>
  <c r="AD173" i="39" s="1"/>
  <c r="AE173" i="39" s="1"/>
  <c r="AF173" i="39" s="1"/>
  <c r="W149" i="39"/>
  <c r="V174" i="39"/>
  <c r="V98" i="39"/>
  <c r="V99" i="39" s="1"/>
  <c r="V163" i="39"/>
  <c r="AV31" i="4"/>
  <c r="AZ15" i="4"/>
  <c r="AV15" i="5"/>
  <c r="AV32" i="5" s="1"/>
  <c r="AV31" i="39"/>
  <c r="AZ15" i="39"/>
  <c r="AV16" i="39"/>
  <c r="BE15" i="4"/>
  <c r="BA31" i="4"/>
  <c r="AY31" i="4"/>
  <c r="BC15" i="4"/>
  <c r="AY15" i="5"/>
  <c r="AY32" i="5" s="1"/>
  <c r="AX31" i="4"/>
  <c r="BB15" i="4"/>
  <c r="AX15" i="5"/>
  <c r="AX32" i="5" s="1"/>
  <c r="BE15" i="39"/>
  <c r="BA31" i="39"/>
  <c r="BA16" i="39"/>
  <c r="BC15" i="39"/>
  <c r="AY31" i="39"/>
  <c r="AY16" i="39"/>
  <c r="AX31" i="39"/>
  <c r="BB15" i="39"/>
  <c r="AX16" i="39"/>
  <c r="AF19" i="4"/>
  <c r="AF16" i="4" s="1"/>
  <c r="AF16" i="5" s="1"/>
  <c r="AF19" i="5" s="1"/>
  <c r="AF53" i="5" s="1"/>
  <c r="AW75" i="39"/>
  <c r="AW150" i="39" s="1"/>
  <c r="AW79" i="39" s="1"/>
  <c r="AV75" i="39"/>
  <c r="AS77" i="39"/>
  <c r="AT77" i="39"/>
  <c r="BB29" i="39"/>
  <c r="BB39" i="39"/>
  <c r="BB38" i="39"/>
  <c r="BB43" i="39"/>
  <c r="BB42" i="39"/>
  <c r="BB34" i="39"/>
  <c r="BB44" i="39"/>
  <c r="BB40" i="39"/>
  <c r="BA73" i="39"/>
  <c r="AU30" i="39"/>
  <c r="AV77" i="39" s="1"/>
  <c r="AV76" i="39"/>
  <c r="BJ20" i="39"/>
  <c r="BF33" i="39"/>
  <c r="BF151" i="39"/>
  <c r="BF27" i="39"/>
  <c r="AX30" i="39"/>
  <c r="BA34" i="39"/>
  <c r="BA44" i="39"/>
  <c r="BA40" i="39"/>
  <c r="BA43" i="39"/>
  <c r="AZ73" i="39"/>
  <c r="BB74" i="39"/>
  <c r="BA29" i="39"/>
  <c r="BA38" i="39"/>
  <c r="BA39" i="39"/>
  <c r="BA42" i="39"/>
  <c r="AT75" i="39"/>
  <c r="AZ40" i="39"/>
  <c r="AZ42" i="39"/>
  <c r="AZ43" i="39"/>
  <c r="AY73" i="39"/>
  <c r="AZ39" i="39"/>
  <c r="AZ34" i="39"/>
  <c r="BA74" i="39"/>
  <c r="AZ29" i="39"/>
  <c r="AZ44" i="39"/>
  <c r="AZ38" i="39"/>
  <c r="BI20" i="39"/>
  <c r="BE33" i="39"/>
  <c r="BE27" i="39"/>
  <c r="BE151" i="39"/>
  <c r="AU75" i="39"/>
  <c r="BD33" i="39"/>
  <c r="BH20" i="39"/>
  <c r="BD27" i="39"/>
  <c r="BD151" i="39"/>
  <c r="AY34" i="39"/>
  <c r="AY40" i="39"/>
  <c r="AY44" i="39"/>
  <c r="AY39" i="39"/>
  <c r="AY42" i="39"/>
  <c r="AZ74" i="39"/>
  <c r="AY43" i="39"/>
  <c r="AX73" i="39"/>
  <c r="AY38" i="39"/>
  <c r="AY29" i="39"/>
  <c r="BC33" i="39"/>
  <c r="BG20" i="39"/>
  <c r="BC27" i="39"/>
  <c r="BC151" i="39"/>
  <c r="AW76" i="39"/>
  <c r="AX76" i="39"/>
  <c r="AW30" i="39"/>
  <c r="AW59" i="39" s="1"/>
  <c r="AW60" i="39" s="1"/>
  <c r="AQ77" i="39"/>
  <c r="AM19" i="4"/>
  <c r="BE19" i="4"/>
  <c r="AX16" i="4"/>
  <c r="AX16" i="5" s="1"/>
  <c r="AX19" i="5" s="1"/>
  <c r="BG19" i="4"/>
  <c r="AZ16" i="4"/>
  <c r="AP19" i="4"/>
  <c r="AI16" i="4"/>
  <c r="BB19" i="4"/>
  <c r="AU16" i="4"/>
  <c r="K31" i="11"/>
  <c r="B54" i="11"/>
  <c r="H31" i="11"/>
  <c r="N27" i="11"/>
  <c r="Z19" i="4"/>
  <c r="Z16" i="4" s="1"/>
  <c r="Z16" i="5" s="1"/>
  <c r="Z19" i="5" s="1"/>
  <c r="Z53" i="5" s="1"/>
  <c r="BC19" i="4"/>
  <c r="AV16" i="4"/>
  <c r="X53" i="5"/>
  <c r="X153" i="5"/>
  <c r="X28" i="5"/>
  <c r="AP52" i="39"/>
  <c r="AK72" i="39"/>
  <c r="AL59" i="39"/>
  <c r="AL60" i="39" s="1"/>
  <c r="AL150" i="39"/>
  <c r="AL79" i="39" s="1"/>
  <c r="Y60" i="39"/>
  <c r="AN61" i="39"/>
  <c r="AN133" i="39"/>
  <c r="AN71" i="39"/>
  <c r="Z77" i="39"/>
  <c r="Y77" i="39"/>
  <c r="AV52" i="39"/>
  <c r="AV72" i="39" s="1"/>
  <c r="AR59" i="39"/>
  <c r="AR60" i="39" s="1"/>
  <c r="AQ72" i="39"/>
  <c r="AR150" i="39"/>
  <c r="AR79" i="39" s="1"/>
  <c r="AR72" i="39"/>
  <c r="AL72" i="39"/>
  <c r="AS61" i="39"/>
  <c r="AS133" i="39"/>
  <c r="AS71" i="39"/>
  <c r="AM71" i="39"/>
  <c r="AM61" i="39"/>
  <c r="AM133" i="39"/>
  <c r="X150" i="39"/>
  <c r="X172" i="39"/>
  <c r="BA52" i="39"/>
  <c r="AU52" i="39"/>
  <c r="AP72" i="39"/>
  <c r="AQ59" i="39"/>
  <c r="AQ60" i="39" s="1"/>
  <c r="AQ150" i="39"/>
  <c r="AQ79" i="39" s="1"/>
  <c r="AH133" i="39"/>
  <c r="AH71" i="39"/>
  <c r="AH61" i="39"/>
  <c r="AG173" i="39"/>
  <c r="AH173" i="39" s="1"/>
  <c r="AI173" i="39" s="1"/>
  <c r="AJ173" i="39" s="1"/>
  <c r="AH21" i="5"/>
  <c r="AF21" i="5"/>
  <c r="AD21" i="5"/>
  <c r="B55" i="12"/>
  <c r="N52" i="12"/>
  <c r="N53" i="12" s="1"/>
  <c r="B75" i="12"/>
  <c r="N64" i="12"/>
  <c r="B65" i="12"/>
  <c r="N65" i="12" s="1"/>
  <c r="N66" i="12" s="1"/>
  <c r="B68" i="12"/>
  <c r="N68" i="12" s="1"/>
  <c r="N69" i="12" s="1"/>
  <c r="L136" i="5"/>
  <c r="H92" i="20"/>
  <c r="H11" i="10" s="1"/>
  <c r="H7" i="11"/>
  <c r="H30" i="11" s="1"/>
  <c r="B92" i="20"/>
  <c r="B11" i="10" s="1"/>
  <c r="B7" i="11"/>
  <c r="B30" i="11" s="1"/>
  <c r="F92" i="20"/>
  <c r="F11" i="10" s="1"/>
  <c r="F7" i="11"/>
  <c r="F30" i="11" s="1"/>
  <c r="F53" i="11" s="1"/>
  <c r="K92" i="20"/>
  <c r="K11" i="10" s="1"/>
  <c r="K7" i="11"/>
  <c r="D92" i="20"/>
  <c r="D11" i="10" s="1"/>
  <c r="D7" i="11"/>
  <c r="M92" i="20"/>
  <c r="M11" i="10" s="1"/>
  <c r="M7" i="11"/>
  <c r="M30" i="11" s="1"/>
  <c r="M53" i="11" s="1"/>
  <c r="L58" i="5"/>
  <c r="N4" i="11"/>
  <c r="N21" i="11"/>
  <c r="O19" i="11" s="1"/>
  <c r="C50" i="11"/>
  <c r="J44" i="11"/>
  <c r="J22" i="12" s="1"/>
  <c r="J67" i="11"/>
  <c r="J36" i="12" s="1"/>
  <c r="C67" i="11"/>
  <c r="C36" i="12" s="1"/>
  <c r="I44" i="11"/>
  <c r="I22" i="12" s="1"/>
  <c r="I67" i="11"/>
  <c r="I36" i="12" s="1"/>
  <c r="N42" i="11"/>
  <c r="D30" i="11"/>
  <c r="D53" i="11" s="1"/>
  <c r="G19" i="22"/>
  <c r="G8" i="11" s="1"/>
  <c r="G31" i="11" s="1"/>
  <c r="G54" i="11" s="1"/>
  <c r="L19" i="22"/>
  <c r="L8" i="11" s="1"/>
  <c r="L31" i="11" s="1"/>
  <c r="L54" i="11" s="1"/>
  <c r="J19" i="22"/>
  <c r="J8" i="11" s="1"/>
  <c r="J31" i="11" s="1"/>
  <c r="J54" i="11" s="1"/>
  <c r="I19" i="22"/>
  <c r="I8" i="11" s="1"/>
  <c r="I31" i="11" s="1"/>
  <c r="I54" i="11" s="1"/>
  <c r="E19" i="22"/>
  <c r="E8" i="11" s="1"/>
  <c r="C19" i="22"/>
  <c r="C8" i="11" s="1"/>
  <c r="C31" i="11" s="1"/>
  <c r="C54" i="11" s="1"/>
  <c r="AX25" i="5"/>
  <c r="AX48" i="5" s="1"/>
  <c r="C42" i="20"/>
  <c r="E42" i="20"/>
  <c r="I42" i="20"/>
  <c r="J42" i="20"/>
  <c r="G42" i="20"/>
  <c r="L42" i="20"/>
  <c r="J122" i="17"/>
  <c r="L120" i="17"/>
  <c r="K120" i="17"/>
  <c r="K122" i="17" s="1"/>
  <c r="AE33" i="4"/>
  <c r="N87" i="20"/>
  <c r="AV49" i="5"/>
  <c r="N15" i="20"/>
  <c r="O169" i="5"/>
  <c r="N171" i="5"/>
  <c r="N170" i="5"/>
  <c r="N63" i="5" s="1"/>
  <c r="AU49" i="5"/>
  <c r="L134" i="4"/>
  <c r="K134" i="4"/>
  <c r="AV47" i="5"/>
  <c r="AU47" i="5"/>
  <c r="M58" i="5"/>
  <c r="M136" i="5"/>
  <c r="N85" i="4"/>
  <c r="N124" i="4"/>
  <c r="N157" i="4"/>
  <c r="O84" i="4"/>
  <c r="O8" i="4"/>
  <c r="P9" i="4"/>
  <c r="Q56" i="5"/>
  <c r="Q86" i="5"/>
  <c r="P159" i="5"/>
  <c r="P126" i="5"/>
  <c r="P87" i="5"/>
  <c r="BG26" i="5"/>
  <c r="BG46" i="5" s="1"/>
  <c r="N8" i="22"/>
  <c r="AZ25" i="5"/>
  <c r="AZ49" i="5" s="1"/>
  <c r="BI26" i="5"/>
  <c r="BI46" i="5" s="1"/>
  <c r="Y33" i="4"/>
  <c r="Y20" i="5"/>
  <c r="Y34" i="5" s="1"/>
  <c r="AY49" i="5"/>
  <c r="AY48" i="5"/>
  <c r="AY47" i="5"/>
  <c r="BA32" i="5"/>
  <c r="AS49" i="5"/>
  <c r="AS47" i="5"/>
  <c r="AS48" i="5"/>
  <c r="AC33" i="4"/>
  <c r="AF33" i="4"/>
  <c r="AA33" i="4"/>
  <c r="AD33" i="4"/>
  <c r="Z33" i="4"/>
  <c r="AB33" i="4"/>
  <c r="AH20" i="5"/>
  <c r="AH34" i="5" s="1"/>
  <c r="AI20" i="5"/>
  <c r="AI34" i="5" s="1"/>
  <c r="AJ20" i="5"/>
  <c r="AJ34" i="5" s="1"/>
  <c r="N6" i="12"/>
  <c r="D124" i="33"/>
  <c r="D83" i="33"/>
  <c r="D77" i="32"/>
  <c r="D118" i="32"/>
  <c r="BL26" i="5"/>
  <c r="BL46" i="5" s="1"/>
  <c r="O168" i="4"/>
  <c r="BF26" i="5"/>
  <c r="BF46" i="5" s="1"/>
  <c r="O88" i="17"/>
  <c r="AW25" i="5"/>
  <c r="BE15" i="5"/>
  <c r="O174" i="5"/>
  <c r="BB25" i="5"/>
  <c r="R9" i="5"/>
  <c r="R172" i="5" s="1"/>
  <c r="Q8" i="5"/>
  <c r="D163" i="4"/>
  <c r="V90" i="39" l="1"/>
  <c r="V164" i="39"/>
  <c r="W152" i="39"/>
  <c r="W80" i="39"/>
  <c r="H53" i="11"/>
  <c r="B53" i="11"/>
  <c r="BE31" i="39"/>
  <c r="BI15" i="39"/>
  <c r="BE16" i="39"/>
  <c r="BF15" i="4"/>
  <c r="BB31" i="4"/>
  <c r="BB15" i="5"/>
  <c r="BB32" i="5" s="1"/>
  <c r="BC31" i="4"/>
  <c r="BG15" i="4"/>
  <c r="BG16" i="4" s="1"/>
  <c r="BC15" i="5"/>
  <c r="BC32" i="5" s="1"/>
  <c r="AU77" i="39"/>
  <c r="BI15" i="4"/>
  <c r="BE31" i="4"/>
  <c r="BB31" i="39"/>
  <c r="BF15" i="39"/>
  <c r="BB16" i="39"/>
  <c r="AZ31" i="39"/>
  <c r="AZ76" i="39" s="1"/>
  <c r="BD15" i="39"/>
  <c r="AZ16" i="39"/>
  <c r="BG15" i="39"/>
  <c r="BC31" i="39"/>
  <c r="BC16" i="39"/>
  <c r="BD15" i="4"/>
  <c r="AZ31" i="4"/>
  <c r="AZ15" i="5"/>
  <c r="AZ32" i="5" s="1"/>
  <c r="K30" i="11"/>
  <c r="AZ75" i="39"/>
  <c r="BA75" i="39"/>
  <c r="BM20" i="39"/>
  <c r="BI33" i="39"/>
  <c r="BI151" i="39"/>
  <c r="BI27" i="39"/>
  <c r="BB73" i="39"/>
  <c r="BC38" i="39"/>
  <c r="BC39" i="39"/>
  <c r="BC29" i="39"/>
  <c r="BC42" i="39"/>
  <c r="BC34" i="39"/>
  <c r="BC44" i="39"/>
  <c r="BC43" i="39"/>
  <c r="BC40" i="39"/>
  <c r="BD74" i="39"/>
  <c r="AY30" i="39"/>
  <c r="AY77" i="39" s="1"/>
  <c r="AX75" i="39"/>
  <c r="BB30" i="39"/>
  <c r="AY76" i="39"/>
  <c r="AZ30" i="39"/>
  <c r="BF38" i="39"/>
  <c r="BF42" i="39"/>
  <c r="BF34" i="39"/>
  <c r="BF40" i="39"/>
  <c r="BF44" i="39"/>
  <c r="BE73" i="39"/>
  <c r="BF43" i="39"/>
  <c r="BF39" i="39"/>
  <c r="BF29" i="39"/>
  <c r="BD29" i="39"/>
  <c r="BD39" i="39"/>
  <c r="BD38" i="39"/>
  <c r="BD43" i="39"/>
  <c r="BD42" i="39"/>
  <c r="BD34" i="39"/>
  <c r="BD44" i="39"/>
  <c r="BD40" i="39"/>
  <c r="BC73" i="39"/>
  <c r="BE74" i="39"/>
  <c r="BH33" i="39"/>
  <c r="BL20" i="39"/>
  <c r="BH27" i="39"/>
  <c r="BH151" i="39"/>
  <c r="BC74" i="39"/>
  <c r="AW77" i="39"/>
  <c r="AX77" i="39"/>
  <c r="AY75" i="39"/>
  <c r="BN20" i="39"/>
  <c r="BJ33" i="39"/>
  <c r="BJ27" i="39"/>
  <c r="BJ151" i="39"/>
  <c r="BG33" i="39"/>
  <c r="BK20" i="39"/>
  <c r="BG151" i="39"/>
  <c r="BG27" i="39"/>
  <c r="BD73" i="39"/>
  <c r="BF74" i="39"/>
  <c r="BE43" i="39"/>
  <c r="BE39" i="39"/>
  <c r="BE40" i="39"/>
  <c r="BE29" i="39"/>
  <c r="BE38" i="39"/>
  <c r="BE42" i="39"/>
  <c r="BE34" i="39"/>
  <c r="BE44" i="39"/>
  <c r="BB76" i="39"/>
  <c r="BA30" i="39"/>
  <c r="BB77" i="39" s="1"/>
  <c r="N36" i="12"/>
  <c r="N22" i="12"/>
  <c r="H54" i="11"/>
  <c r="X79" i="5"/>
  <c r="X123" i="5"/>
  <c r="X120" i="5"/>
  <c r="X30" i="5"/>
  <c r="X31" i="5" s="1"/>
  <c r="W74" i="5"/>
  <c r="X57" i="5"/>
  <c r="X75" i="5"/>
  <c r="BI19" i="4"/>
  <c r="BB16" i="4"/>
  <c r="E31" i="11"/>
  <c r="N31" i="11" s="1"/>
  <c r="AW19" i="4"/>
  <c r="AP16" i="4"/>
  <c r="AP16" i="5" s="1"/>
  <c r="AP19" i="5" s="1"/>
  <c r="AP53" i="5" s="1"/>
  <c r="BN19" i="4"/>
  <c r="N50" i="11"/>
  <c r="AD19" i="4"/>
  <c r="BJ19" i="4"/>
  <c r="BC16" i="4"/>
  <c r="BL19" i="4"/>
  <c r="BE16" i="4"/>
  <c r="K54" i="11"/>
  <c r="AT19" i="4"/>
  <c r="AM16" i="4"/>
  <c r="X79" i="39"/>
  <c r="AY52" i="39"/>
  <c r="AU59" i="39"/>
  <c r="AU60" i="39" s="1"/>
  <c r="AU150" i="39"/>
  <c r="AU79" i="39" s="1"/>
  <c r="AQ133" i="39"/>
  <c r="AQ61" i="39"/>
  <c r="AQ71" i="39"/>
  <c r="AW133" i="39"/>
  <c r="AW61" i="39"/>
  <c r="AW71" i="39"/>
  <c r="AR133" i="39"/>
  <c r="AR71" i="39"/>
  <c r="AR61" i="39"/>
  <c r="Y180" i="39"/>
  <c r="AZ52" i="39"/>
  <c r="AZ72" i="39" s="1"/>
  <c r="AU72" i="39"/>
  <c r="AV59" i="39"/>
  <c r="AV60" i="39" s="1"/>
  <c r="AV150" i="39"/>
  <c r="AV79" i="39" s="1"/>
  <c r="BE52" i="39"/>
  <c r="BA59" i="39"/>
  <c r="BA60" i="39" s="1"/>
  <c r="BA150" i="39"/>
  <c r="BA79" i="39" s="1"/>
  <c r="Y172" i="39"/>
  <c r="Z172" i="39" s="1"/>
  <c r="AA172" i="39" s="1"/>
  <c r="AB172" i="39" s="1"/>
  <c r="AC172" i="39" s="1"/>
  <c r="AD172" i="39" s="1"/>
  <c r="AE172" i="39" s="1"/>
  <c r="AF172" i="39" s="1"/>
  <c r="AG172" i="39" s="1"/>
  <c r="AH172" i="39" s="1"/>
  <c r="AI172" i="39" s="1"/>
  <c r="AJ172" i="39" s="1"/>
  <c r="AK172" i="39" s="1"/>
  <c r="AL172" i="39" s="1"/>
  <c r="AM172" i="39" s="1"/>
  <c r="AN172" i="39" s="1"/>
  <c r="AO172" i="39" s="1"/>
  <c r="AP172" i="39" s="1"/>
  <c r="AQ172" i="39" s="1"/>
  <c r="AR172" i="39" s="1"/>
  <c r="AS172" i="39" s="1"/>
  <c r="AT172" i="39" s="1"/>
  <c r="AU172" i="39" s="1"/>
  <c r="AV172" i="39" s="1"/>
  <c r="AW172" i="39" s="1"/>
  <c r="AX172" i="39" s="1"/>
  <c r="AL133" i="39"/>
  <c r="AL61" i="39"/>
  <c r="AL71" i="39"/>
  <c r="AK173" i="39"/>
  <c r="AT52" i="39"/>
  <c r="AO72" i="39"/>
  <c r="AP59" i="39"/>
  <c r="AP150" i="39"/>
  <c r="AP79" i="39" s="1"/>
  <c r="Y71" i="39"/>
  <c r="Y61" i="39"/>
  <c r="Y133" i="39"/>
  <c r="AJ16" i="5"/>
  <c r="AJ19" i="5" s="1"/>
  <c r="AJ53" i="5" s="1"/>
  <c r="N75" i="12"/>
  <c r="B80" i="12"/>
  <c r="N80" i="12" s="1"/>
  <c r="B77" i="12"/>
  <c r="N77" i="12" s="1"/>
  <c r="N78" i="12" s="1"/>
  <c r="N55" i="12"/>
  <c r="B56" i="12"/>
  <c r="N56" i="12" s="1"/>
  <c r="N57" i="12" s="1"/>
  <c r="L92" i="20"/>
  <c r="L11" i="10" s="1"/>
  <c r="L7" i="11"/>
  <c r="L30" i="11" s="1"/>
  <c r="L53" i="11" s="1"/>
  <c r="J92" i="20"/>
  <c r="J11" i="10" s="1"/>
  <c r="J7" i="11"/>
  <c r="I92" i="20"/>
  <c r="I11" i="10" s="1"/>
  <c r="I7" i="11"/>
  <c r="I30" i="11" s="1"/>
  <c r="I53" i="11" s="1"/>
  <c r="E92" i="20"/>
  <c r="E11" i="10" s="1"/>
  <c r="E7" i="11"/>
  <c r="G92" i="20"/>
  <c r="G11" i="10" s="1"/>
  <c r="G7" i="11"/>
  <c r="G30" i="11" s="1"/>
  <c r="G53" i="11" s="1"/>
  <c r="C92" i="20"/>
  <c r="C11" i="10" s="1"/>
  <c r="C7" i="11"/>
  <c r="O18" i="11"/>
  <c r="O20" i="11"/>
  <c r="O21" i="11"/>
  <c r="N65" i="11"/>
  <c r="N67" i="11"/>
  <c r="N44" i="11"/>
  <c r="M9" i="11"/>
  <c r="B9" i="11"/>
  <c r="D9" i="11"/>
  <c r="H9" i="11"/>
  <c r="K9" i="11"/>
  <c r="F9" i="11"/>
  <c r="N8" i="11"/>
  <c r="D51" i="3" s="1"/>
  <c r="J30" i="11"/>
  <c r="J53" i="11" s="1"/>
  <c r="C30" i="11"/>
  <c r="C53" i="11" s="1"/>
  <c r="AX49" i="5"/>
  <c r="AX47" i="5"/>
  <c r="N19" i="22"/>
  <c r="N42" i="20"/>
  <c r="N92" i="20" s="1"/>
  <c r="AN16" i="5"/>
  <c r="AN19" i="5" s="1"/>
  <c r="AN53" i="5" s="1"/>
  <c r="L122" i="17"/>
  <c r="P169" i="5"/>
  <c r="O170" i="5"/>
  <c r="O63" i="5" s="1"/>
  <c r="O171" i="5"/>
  <c r="N58" i="5"/>
  <c r="N136" i="5"/>
  <c r="BK26" i="5"/>
  <c r="BK46" i="5" s="1"/>
  <c r="P84" i="4"/>
  <c r="P8" i="4"/>
  <c r="Q9" i="4"/>
  <c r="O124" i="4"/>
  <c r="O157" i="4"/>
  <c r="O85" i="4"/>
  <c r="AZ47" i="5"/>
  <c r="AZ48" i="5"/>
  <c r="R56" i="5"/>
  <c r="R86" i="5"/>
  <c r="Q126" i="5"/>
  <c r="Q87" i="5"/>
  <c r="Q159" i="5"/>
  <c r="BD25" i="5"/>
  <c r="BD48" i="5" s="1"/>
  <c r="BM26" i="5"/>
  <c r="BM46" i="5" s="1"/>
  <c r="BC25" i="5"/>
  <c r="BC47" i="5" s="1"/>
  <c r="AG33" i="4"/>
  <c r="AG20" i="5"/>
  <c r="AG34" i="5" s="1"/>
  <c r="AX53" i="5"/>
  <c r="AW49" i="5"/>
  <c r="AW48" i="5"/>
  <c r="AW47" i="5"/>
  <c r="BB47" i="5"/>
  <c r="BB48" i="5"/>
  <c r="BB49" i="5"/>
  <c r="BE32" i="5"/>
  <c r="AH33" i="4"/>
  <c r="AX38" i="5"/>
  <c r="AJ33" i="4"/>
  <c r="AI33" i="4"/>
  <c r="BB16" i="5"/>
  <c r="AK20" i="5"/>
  <c r="AK34" i="5" s="1"/>
  <c r="AN20" i="5"/>
  <c r="AN34" i="5" s="1"/>
  <c r="AM20" i="5"/>
  <c r="AM34" i="5" s="1"/>
  <c r="AL20" i="5"/>
  <c r="AL34" i="5" s="1"/>
  <c r="D159" i="32"/>
  <c r="BF25" i="5"/>
  <c r="BJ26" i="5"/>
  <c r="BJ46" i="5" s="1"/>
  <c r="R8" i="5"/>
  <c r="S9" i="5"/>
  <c r="S172" i="5" s="1"/>
  <c r="P174" i="5"/>
  <c r="Y16" i="5"/>
  <c r="Y19" i="5" s="1"/>
  <c r="AC16" i="5"/>
  <c r="AC19" i="5" s="1"/>
  <c r="BI15" i="5"/>
  <c r="BA25" i="5"/>
  <c r="BP26" i="5"/>
  <c r="BP46" i="5" s="1"/>
  <c r="D164" i="4"/>
  <c r="D90" i="4"/>
  <c r="P168" i="4"/>
  <c r="BA76" i="39" l="1"/>
  <c r="W22" i="4"/>
  <c r="X149" i="39"/>
  <c r="W174" i="39"/>
  <c r="V183" i="39"/>
  <c r="V182" i="39" s="1"/>
  <c r="W161" i="39"/>
  <c r="W165" i="39" s="1"/>
  <c r="V92" i="39"/>
  <c r="V94" i="39" s="1"/>
  <c r="V95" i="39" s="1"/>
  <c r="V107" i="39"/>
  <c r="BB19" i="5"/>
  <c r="Y22" i="4"/>
  <c r="BM15" i="4"/>
  <c r="BI31" i="4"/>
  <c r="E30" i="11"/>
  <c r="K53" i="11"/>
  <c r="AG22" i="4" s="1"/>
  <c r="AN22" i="4" s="1"/>
  <c r="AU22" i="4" s="1"/>
  <c r="BB22" i="4" s="1"/>
  <c r="BI22" i="4" s="1"/>
  <c r="BP22" i="4" s="1"/>
  <c r="BW22" i="4" s="1"/>
  <c r="CD22" i="4" s="1"/>
  <c r="CK22" i="4" s="1"/>
  <c r="AC22" i="4"/>
  <c r="BB75" i="39"/>
  <c r="BK15" i="4"/>
  <c r="BG31" i="4"/>
  <c r="BG15" i="5"/>
  <c r="BG32" i="5" s="1"/>
  <c r="BH15" i="4"/>
  <c r="BD31" i="4"/>
  <c r="BD15" i="5"/>
  <c r="BD32" i="5" s="1"/>
  <c r="BC76" i="39"/>
  <c r="BG31" i="39"/>
  <c r="BK15" i="39"/>
  <c r="BG16" i="39"/>
  <c r="BJ15" i="4"/>
  <c r="BF31" i="4"/>
  <c r="BF15" i="5"/>
  <c r="BF32" i="5" s="1"/>
  <c r="BC75" i="39"/>
  <c r="W22" i="5"/>
  <c r="W32" i="4"/>
  <c r="W34" i="4"/>
  <c r="W45" i="5"/>
  <c r="BD31" i="39"/>
  <c r="BE76" i="39" s="1"/>
  <c r="BH15" i="39"/>
  <c r="BD16" i="39"/>
  <c r="BM15" i="39"/>
  <c r="BI31" i="39"/>
  <c r="BI16" i="39"/>
  <c r="Z22" i="4"/>
  <c r="BJ15" i="39"/>
  <c r="BF31" i="39"/>
  <c r="BF16" i="39"/>
  <c r="AD22" i="4"/>
  <c r="AK22" i="4" s="1"/>
  <c r="AR22" i="4" s="1"/>
  <c r="AY22" i="4" s="1"/>
  <c r="BF22" i="4" s="1"/>
  <c r="BM22" i="4" s="1"/>
  <c r="BT22" i="4" s="1"/>
  <c r="CA22" i="4" s="1"/>
  <c r="CH22" i="4" s="1"/>
  <c r="CO22" i="4" s="1"/>
  <c r="AB22" i="4"/>
  <c r="AI22" i="4" s="1"/>
  <c r="AP22" i="4" s="1"/>
  <c r="AW22" i="4" s="1"/>
  <c r="BD22" i="4" s="1"/>
  <c r="BK22" i="4" s="1"/>
  <c r="BR22" i="4" s="1"/>
  <c r="BY22" i="4" s="1"/>
  <c r="CF22" i="4" s="1"/>
  <c r="CM22" i="4" s="1"/>
  <c r="X22" i="4"/>
  <c r="AF22" i="4"/>
  <c r="AM22" i="4" s="1"/>
  <c r="AT22" i="4" s="1"/>
  <c r="BA22" i="4" s="1"/>
  <c r="BH22" i="4" s="1"/>
  <c r="BO22" i="4" s="1"/>
  <c r="BV22" i="4" s="1"/>
  <c r="CC22" i="4" s="1"/>
  <c r="CJ22" i="4" s="1"/>
  <c r="BL33" i="39"/>
  <c r="BP20" i="39"/>
  <c r="BL151" i="39"/>
  <c r="BL27" i="39"/>
  <c r="BG74" i="39"/>
  <c r="AZ77" i="39"/>
  <c r="AY172" i="39"/>
  <c r="BA77" i="39"/>
  <c r="BD30" i="39"/>
  <c r="BI43" i="39"/>
  <c r="BI39" i="39"/>
  <c r="BI38" i="39"/>
  <c r="BI29" i="39"/>
  <c r="BI44" i="39"/>
  <c r="BH73" i="39"/>
  <c r="BJ74" i="39"/>
  <c r="BI40" i="39"/>
  <c r="BI42" i="39"/>
  <c r="BI34" i="39"/>
  <c r="BH39" i="39"/>
  <c r="BH44" i="39"/>
  <c r="BH38" i="39"/>
  <c r="BH29" i="39"/>
  <c r="BH42" i="39"/>
  <c r="BH34" i="39"/>
  <c r="BI74" i="39"/>
  <c r="BG73" i="39"/>
  <c r="BH40" i="39"/>
  <c r="BH43" i="39"/>
  <c r="BG42" i="39"/>
  <c r="BG34" i="39"/>
  <c r="BG44" i="39"/>
  <c r="BG29" i="39"/>
  <c r="BH74" i="39"/>
  <c r="BF73" i="39"/>
  <c r="BG43" i="39"/>
  <c r="BG39" i="39"/>
  <c r="BG40" i="39"/>
  <c r="BG38" i="39"/>
  <c r="BI73" i="39"/>
  <c r="BJ40" i="39"/>
  <c r="BJ44" i="39"/>
  <c r="BJ43" i="39"/>
  <c r="BJ39" i="39"/>
  <c r="BJ34" i="39"/>
  <c r="BJ29" i="39"/>
  <c r="BJ42" i="39"/>
  <c r="BJ38" i="39"/>
  <c r="BE75" i="39"/>
  <c r="BE150" i="39" s="1"/>
  <c r="BE79" i="39" s="1"/>
  <c r="BD75" i="39"/>
  <c r="BF76" i="39"/>
  <c r="BE30" i="39"/>
  <c r="BE59" i="39" s="1"/>
  <c r="BE60" i="39" s="1"/>
  <c r="BK33" i="39"/>
  <c r="BO20" i="39"/>
  <c r="BK27" i="39"/>
  <c r="BK151" i="39"/>
  <c r="BR20" i="39"/>
  <c r="BN33" i="39"/>
  <c r="BN27" i="39"/>
  <c r="BN151" i="39"/>
  <c r="BD76" i="39"/>
  <c r="BC30" i="39"/>
  <c r="BQ20" i="39"/>
  <c r="BM33" i="39"/>
  <c r="BM27" i="39"/>
  <c r="BM151" i="39"/>
  <c r="BF30" i="39"/>
  <c r="BJ16" i="4"/>
  <c r="BQ19" i="4"/>
  <c r="AD16" i="4"/>
  <c r="AD16" i="5" s="1"/>
  <c r="AD19" i="5" s="1"/>
  <c r="AD53" i="5" s="1"/>
  <c r="AK19" i="4"/>
  <c r="BU19" i="4"/>
  <c r="BS19" i="4"/>
  <c r="BD19" i="4"/>
  <c r="AW16" i="4"/>
  <c r="BA19" i="4"/>
  <c r="AT16" i="4"/>
  <c r="AT16" i="5" s="1"/>
  <c r="AT19" i="5" s="1"/>
  <c r="AT53" i="5" s="1"/>
  <c r="E54" i="11"/>
  <c r="BI16" i="4"/>
  <c r="BP19" i="4"/>
  <c r="AT72" i="39"/>
  <c r="AU133" i="39"/>
  <c r="AU71" i="39"/>
  <c r="AU61" i="39"/>
  <c r="BA61" i="39"/>
  <c r="BA133" i="39"/>
  <c r="BA71" i="39"/>
  <c r="AV133" i="39"/>
  <c r="AV71" i="39"/>
  <c r="AV61" i="39"/>
  <c r="BC52" i="39"/>
  <c r="AY59" i="39"/>
  <c r="AY60" i="39" s="1"/>
  <c r="AY150" i="39"/>
  <c r="AY79" i="39" s="1"/>
  <c r="BI52" i="39"/>
  <c r="BD52" i="39"/>
  <c r="AY72" i="39"/>
  <c r="AZ59" i="39"/>
  <c r="AZ60" i="39" s="1"/>
  <c r="AZ150" i="39"/>
  <c r="AZ79" i="39" s="1"/>
  <c r="AP60" i="39"/>
  <c r="AX52" i="39"/>
  <c r="AS72" i="39"/>
  <c r="AT59" i="39"/>
  <c r="AT60" i="39" s="1"/>
  <c r="AT150" i="39"/>
  <c r="AT79" i="39" s="1"/>
  <c r="AL173" i="39"/>
  <c r="Z180" i="39"/>
  <c r="AA180" i="39" s="1"/>
  <c r="AB180" i="39" s="1"/>
  <c r="AC180" i="39" s="1"/>
  <c r="AD180" i="39" s="1"/>
  <c r="AE180" i="39" s="1"/>
  <c r="AF180" i="39" s="1"/>
  <c r="AG180" i="39" s="1"/>
  <c r="AH180" i="39" s="1"/>
  <c r="AI180" i="39" s="1"/>
  <c r="AJ180" i="39" s="1"/>
  <c r="AK180" i="39" s="1"/>
  <c r="AL180" i="39" s="1"/>
  <c r="AM180" i="39" s="1"/>
  <c r="AN180" i="39" s="1"/>
  <c r="AO180" i="39" s="1"/>
  <c r="AP180" i="39" s="1"/>
  <c r="AQ180" i="39" s="1"/>
  <c r="AR180" i="39" s="1"/>
  <c r="AS180" i="39" s="1"/>
  <c r="AT180" i="39" s="1"/>
  <c r="AU180" i="39" s="1"/>
  <c r="AV180" i="39" s="1"/>
  <c r="AW180" i="39" s="1"/>
  <c r="AX180" i="39" s="1"/>
  <c r="AY180" i="39" s="1"/>
  <c r="AZ180" i="39" s="1"/>
  <c r="AI16" i="5"/>
  <c r="AI19" i="5" s="1"/>
  <c r="AI53" i="5" s="1"/>
  <c r="AJ21" i="5"/>
  <c r="AE16" i="5"/>
  <c r="AE19" i="5" s="1"/>
  <c r="AE53" i="5" s="1"/>
  <c r="N81" i="12"/>
  <c r="O80" i="12"/>
  <c r="K4" i="12"/>
  <c r="D4" i="12"/>
  <c r="B4" i="12"/>
  <c r="M4" i="12"/>
  <c r="F4" i="12"/>
  <c r="H4" i="12"/>
  <c r="F32" i="11"/>
  <c r="F20" i="12" s="1"/>
  <c r="F55" i="11"/>
  <c r="F34" i="12" s="1"/>
  <c r="B32" i="11"/>
  <c r="B20" i="12" s="1"/>
  <c r="B55" i="11"/>
  <c r="B34" i="12" s="1"/>
  <c r="K32" i="11"/>
  <c r="K20" i="12" s="1"/>
  <c r="K55" i="11"/>
  <c r="K34" i="12" s="1"/>
  <c r="M32" i="11"/>
  <c r="M20" i="12" s="1"/>
  <c r="M55" i="11"/>
  <c r="M34" i="12" s="1"/>
  <c r="C32" i="11"/>
  <c r="C20" i="12" s="1"/>
  <c r="C55" i="11"/>
  <c r="C34" i="12" s="1"/>
  <c r="H32" i="11"/>
  <c r="H20" i="12" s="1"/>
  <c r="O41" i="11"/>
  <c r="O43" i="11"/>
  <c r="O44" i="11"/>
  <c r="D32" i="11"/>
  <c r="D20" i="12" s="1"/>
  <c r="D55" i="11"/>
  <c r="D34" i="12" s="1"/>
  <c r="O42" i="11"/>
  <c r="G9" i="11"/>
  <c r="J9" i="11"/>
  <c r="E9" i="11"/>
  <c r="I9" i="11"/>
  <c r="L9" i="11"/>
  <c r="L55" i="11"/>
  <c r="L34" i="12" s="1"/>
  <c r="N7" i="11"/>
  <c r="D45" i="3" s="1"/>
  <c r="C9" i="11"/>
  <c r="AQ16" i="5"/>
  <c r="AQ19" i="5" s="1"/>
  <c r="AQ53" i="5" s="1"/>
  <c r="AF34" i="4"/>
  <c r="AB27" i="5"/>
  <c r="BO26" i="5"/>
  <c r="BO46" i="5" s="1"/>
  <c r="BD49" i="5"/>
  <c r="Q169" i="5"/>
  <c r="P171" i="5"/>
  <c r="P170" i="5"/>
  <c r="P63" i="5" s="1"/>
  <c r="BC48" i="5"/>
  <c r="N134" i="4"/>
  <c r="M134" i="4"/>
  <c r="BD47" i="5"/>
  <c r="BC49" i="5"/>
  <c r="O58" i="5"/>
  <c r="O136" i="5"/>
  <c r="D119" i="4" a="1"/>
  <c r="D119" i="4" s="1"/>
  <c r="D115" i="32" s="1"/>
  <c r="R159" i="5"/>
  <c r="R126" i="5"/>
  <c r="R87" i="5"/>
  <c r="Q84" i="4"/>
  <c r="R9" i="4"/>
  <c r="Q8" i="4"/>
  <c r="S56" i="5"/>
  <c r="S86" i="5"/>
  <c r="P85" i="4"/>
  <c r="P157" i="4"/>
  <c r="P124" i="4"/>
  <c r="BQ26" i="5"/>
  <c r="BQ46" i="5" s="1"/>
  <c r="BH25" i="5"/>
  <c r="BH47" i="5" s="1"/>
  <c r="BG25" i="5"/>
  <c r="BG49" i="5" s="1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Z38" i="5"/>
  <c r="AB38" i="5"/>
  <c r="AD38" i="5"/>
  <c r="AA38" i="5"/>
  <c r="AF38" i="5"/>
  <c r="AJ38" i="5"/>
  <c r="AL38" i="5"/>
  <c r="AI38" i="5"/>
  <c r="AH38" i="5"/>
  <c r="AP38" i="5"/>
  <c r="AN38" i="5"/>
  <c r="BI32" i="5"/>
  <c r="BF47" i="5"/>
  <c r="BF49" i="5"/>
  <c r="BF48" i="5"/>
  <c r="BA49" i="5"/>
  <c r="BA47" i="5"/>
  <c r="BA48" i="5"/>
  <c r="AC53" i="5"/>
  <c r="AC45" i="5"/>
  <c r="AC38" i="5"/>
  <c r="BB53" i="5"/>
  <c r="BB38" i="5"/>
  <c r="Y53" i="5"/>
  <c r="Y38" i="5"/>
  <c r="AK33" i="4"/>
  <c r="BK25" i="5"/>
  <c r="AQ20" i="5"/>
  <c r="AQ34" i="5" s="1"/>
  <c r="AP20" i="5"/>
  <c r="AP34" i="5" s="1"/>
  <c r="AM33" i="4"/>
  <c r="BL25" i="5"/>
  <c r="AL33" i="4"/>
  <c r="AR20" i="5"/>
  <c r="AR34" i="5" s="1"/>
  <c r="AO20" i="5"/>
  <c r="AO34" i="5" s="1"/>
  <c r="AN33" i="4"/>
  <c r="AC27" i="5"/>
  <c r="D86" i="32"/>
  <c r="D160" i="32"/>
  <c r="BT26" i="5"/>
  <c r="BT46" i="5" s="1"/>
  <c r="S8" i="5"/>
  <c r="T9" i="5"/>
  <c r="T172" i="5" s="1"/>
  <c r="Q168" i="4"/>
  <c r="BM15" i="5"/>
  <c r="D183" i="4"/>
  <c r="E161" i="4"/>
  <c r="E165" i="4" s="1"/>
  <c r="BN26" i="5"/>
  <c r="BN46" i="5" s="1"/>
  <c r="BJ25" i="5"/>
  <c r="Q174" i="5"/>
  <c r="BE25" i="5"/>
  <c r="AF32" i="4" l="1"/>
  <c r="AF45" i="5"/>
  <c r="AF22" i="5"/>
  <c r="AF35" i="5" s="1"/>
  <c r="BA180" i="39"/>
  <c r="BB180" i="39" s="1"/>
  <c r="BF75" i="39"/>
  <c r="BG76" i="39"/>
  <c r="V109" i="39"/>
  <c r="V110" i="39" s="1"/>
  <c r="V108" i="39"/>
  <c r="W93" i="39"/>
  <c r="V171" i="39"/>
  <c r="V170" i="39" s="1"/>
  <c r="W140" i="39"/>
  <c r="W181" i="39" s="1"/>
  <c r="W179" i="39" s="1"/>
  <c r="W91" i="39"/>
  <c r="W135" i="39"/>
  <c r="W136" i="39" s="1"/>
  <c r="W144" i="39" s="1"/>
  <c r="W145" i="39" s="1"/>
  <c r="W137" i="39" s="1"/>
  <c r="W138" i="39" s="1"/>
  <c r="W139" i="39" s="1"/>
  <c r="W65" i="39" s="1"/>
  <c r="W78" i="39" s="1"/>
  <c r="W122" i="39" s="1"/>
  <c r="W63" i="39"/>
  <c r="W64" i="39" s="1"/>
  <c r="W176" i="39"/>
  <c r="W175" i="39" s="1"/>
  <c r="V187" i="39"/>
  <c r="V117" i="39" s="1"/>
  <c r="V116" i="39"/>
  <c r="X152" i="39"/>
  <c r="X80" i="39"/>
  <c r="AT38" i="5"/>
  <c r="BD77" i="39"/>
  <c r="X32" i="4"/>
  <c r="X22" i="5"/>
  <c r="X34" i="4"/>
  <c r="X45" i="5"/>
  <c r="BL15" i="39"/>
  <c r="BH31" i="39"/>
  <c r="BH16" i="39"/>
  <c r="BI75" i="39"/>
  <c r="BI150" i="39" s="1"/>
  <c r="BI79" i="39" s="1"/>
  <c r="BL15" i="4"/>
  <c r="BH31" i="4"/>
  <c r="BH15" i="5"/>
  <c r="BH32" i="5" s="1"/>
  <c r="BJ31" i="39"/>
  <c r="BN15" i="39"/>
  <c r="BJ16" i="39"/>
  <c r="W33" i="5"/>
  <c r="W35" i="5"/>
  <c r="BK31" i="4"/>
  <c r="BO15" i="4"/>
  <c r="BK15" i="5"/>
  <c r="BK32" i="5" s="1"/>
  <c r="AJ22" i="4"/>
  <c r="AQ22" i="4" s="1"/>
  <c r="AX22" i="4" s="1"/>
  <c r="BE22" i="4" s="1"/>
  <c r="BL22" i="4" s="1"/>
  <c r="BS22" i="4" s="1"/>
  <c r="BZ22" i="4" s="1"/>
  <c r="CG22" i="4" s="1"/>
  <c r="CN22" i="4" s="1"/>
  <c r="AC32" i="4"/>
  <c r="AC22" i="5"/>
  <c r="AC34" i="4"/>
  <c r="AE45" i="5"/>
  <c r="BJ31" i="4"/>
  <c r="BN15" i="4"/>
  <c r="BJ15" i="5"/>
  <c r="BJ32" i="5" s="1"/>
  <c r="E53" i="11"/>
  <c r="AE22" i="4" s="1"/>
  <c r="AA22" i="4"/>
  <c r="AH22" i="4" s="1"/>
  <c r="AO22" i="4" s="1"/>
  <c r="AV22" i="4" s="1"/>
  <c r="BC22" i="4" s="1"/>
  <c r="BJ22" i="4" s="1"/>
  <c r="BQ22" i="4" s="1"/>
  <c r="BX22" i="4" s="1"/>
  <c r="CE22" i="4" s="1"/>
  <c r="CL22" i="4" s="1"/>
  <c r="AB32" i="4"/>
  <c r="BK31" i="39"/>
  <c r="BO15" i="39"/>
  <c r="BK16" i="39"/>
  <c r="BM31" i="4"/>
  <c r="BQ15" i="4"/>
  <c r="BQ15" i="5" s="1"/>
  <c r="BQ15" i="39"/>
  <c r="BM31" i="39"/>
  <c r="BM16" i="39"/>
  <c r="BO33" i="39"/>
  <c r="BS20" i="39"/>
  <c r="BO151" i="39"/>
  <c r="BO27" i="39"/>
  <c r="BO74" i="39" s="1"/>
  <c r="BH76" i="39"/>
  <c r="BG30" i="39"/>
  <c r="BG77" i="39" s="1"/>
  <c r="BL42" i="39"/>
  <c r="BL29" i="39"/>
  <c r="BL43" i="39"/>
  <c r="BL39" i="39"/>
  <c r="BL38" i="39"/>
  <c r="BK73" i="39"/>
  <c r="BL44" i="39"/>
  <c r="BL34" i="39"/>
  <c r="BL40" i="39"/>
  <c r="BF77" i="39"/>
  <c r="BJ30" i="39"/>
  <c r="BK40" i="39"/>
  <c r="BK43" i="39"/>
  <c r="BK39" i="39"/>
  <c r="BK29" i="39"/>
  <c r="BK42" i="39"/>
  <c r="BK34" i="39"/>
  <c r="BK44" i="39"/>
  <c r="BK38" i="39"/>
  <c r="BJ73" i="39"/>
  <c r="BL74" i="39"/>
  <c r="BP33" i="39"/>
  <c r="BT20" i="39"/>
  <c r="BP27" i="39"/>
  <c r="BP151" i="39"/>
  <c r="BI30" i="39"/>
  <c r="BI59" i="39" s="1"/>
  <c r="BI60" i="39" s="1"/>
  <c r="BJ76" i="39"/>
  <c r="BM74" i="39"/>
  <c r="BM42" i="39"/>
  <c r="BM34" i="39"/>
  <c r="BN74" i="39"/>
  <c r="BM44" i="39"/>
  <c r="BM29" i="39"/>
  <c r="BM38" i="39"/>
  <c r="BM40" i="39"/>
  <c r="BM43" i="39"/>
  <c r="BM39" i="39"/>
  <c r="BL73" i="39"/>
  <c r="BH75" i="39"/>
  <c r="BK74" i="39"/>
  <c r="BN43" i="39"/>
  <c r="BN40" i="39"/>
  <c r="BN42" i="39"/>
  <c r="BN38" i="39"/>
  <c r="BN34" i="39"/>
  <c r="BN44" i="39"/>
  <c r="BN29" i="39"/>
  <c r="BN39" i="39"/>
  <c r="BM73" i="39"/>
  <c r="BG75" i="39"/>
  <c r="BU20" i="39"/>
  <c r="BQ33" i="39"/>
  <c r="BQ27" i="39"/>
  <c r="BQ151" i="39"/>
  <c r="BV20" i="39"/>
  <c r="BR33" i="39"/>
  <c r="BR151" i="39"/>
  <c r="BR27" i="39"/>
  <c r="BH30" i="39"/>
  <c r="BI76" i="39"/>
  <c r="BC77" i="39"/>
  <c r="AZ172" i="39"/>
  <c r="BE77" i="39"/>
  <c r="BZ19" i="4"/>
  <c r="AE38" i="5"/>
  <c r="CB19" i="4"/>
  <c r="N54" i="11"/>
  <c r="BK19" i="4"/>
  <c r="BD16" i="4"/>
  <c r="BH19" i="4"/>
  <c r="BA16" i="4"/>
  <c r="AR19" i="4"/>
  <c r="AK16" i="4"/>
  <c r="BW19" i="4"/>
  <c r="BX19" i="4"/>
  <c r="BG52" i="39"/>
  <c r="BC150" i="39"/>
  <c r="BC79" i="39" s="1"/>
  <c r="BC59" i="39"/>
  <c r="BC60" i="39" s="1"/>
  <c r="BB52" i="39"/>
  <c r="AW72" i="39"/>
  <c r="AX59" i="39"/>
  <c r="AX150" i="39"/>
  <c r="BH52" i="39"/>
  <c r="BD59" i="39"/>
  <c r="BD60" i="39" s="1"/>
  <c r="BC72" i="39"/>
  <c r="BD150" i="39"/>
  <c r="BD79" i="39" s="1"/>
  <c r="BD72" i="39"/>
  <c r="BE133" i="39"/>
  <c r="BE71" i="39"/>
  <c r="BE61" i="39"/>
  <c r="AM173" i="39"/>
  <c r="AN173" i="39" s="1"/>
  <c r="AO173" i="39" s="1"/>
  <c r="AP173" i="39" s="1"/>
  <c r="AQ173" i="39" s="1"/>
  <c r="AR173" i="39" s="1"/>
  <c r="AS173" i="39" s="1"/>
  <c r="AT173" i="39" s="1"/>
  <c r="AU173" i="39" s="1"/>
  <c r="AV173" i="39" s="1"/>
  <c r="BM52" i="39"/>
  <c r="BH72" i="39"/>
  <c r="W146" i="39"/>
  <c r="X143" i="39" s="1"/>
  <c r="AT133" i="39"/>
  <c r="AT71" i="39"/>
  <c r="AT61" i="39"/>
  <c r="AP133" i="39"/>
  <c r="AP61" i="39"/>
  <c r="AP71" i="39"/>
  <c r="AX72" i="39"/>
  <c r="AZ61" i="39"/>
  <c r="AZ133" i="39"/>
  <c r="AZ71" i="39"/>
  <c r="AY71" i="39"/>
  <c r="AY61" i="39"/>
  <c r="AY133" i="39"/>
  <c r="AG16" i="5"/>
  <c r="AG19" i="5" s="1"/>
  <c r="AG53" i="5" s="1"/>
  <c r="AI21" i="5"/>
  <c r="AM16" i="5"/>
  <c r="AM19" i="5" s="1"/>
  <c r="AM53" i="5" s="1"/>
  <c r="AE21" i="5"/>
  <c r="E4" i="12"/>
  <c r="L4" i="12"/>
  <c r="I4" i="12"/>
  <c r="C4" i="12"/>
  <c r="J4" i="12"/>
  <c r="G4" i="12"/>
  <c r="J32" i="11"/>
  <c r="J20" i="12" s="1"/>
  <c r="J55" i="11"/>
  <c r="J34" i="12" s="1"/>
  <c r="E32" i="11"/>
  <c r="E20" i="12" s="1"/>
  <c r="E55" i="11"/>
  <c r="E34" i="12" s="1"/>
  <c r="G32" i="11"/>
  <c r="G20" i="12" s="1"/>
  <c r="G55" i="11"/>
  <c r="G34" i="12" s="1"/>
  <c r="N53" i="11"/>
  <c r="H55" i="11"/>
  <c r="H34" i="12" s="1"/>
  <c r="I32" i="11"/>
  <c r="I20" i="12" s="1"/>
  <c r="I55" i="11"/>
  <c r="I34" i="12" s="1"/>
  <c r="N9" i="11"/>
  <c r="Z22" i="5"/>
  <c r="Z33" i="5" s="1"/>
  <c r="Z34" i="4"/>
  <c r="Z45" i="5"/>
  <c r="Z32" i="4"/>
  <c r="N30" i="11"/>
  <c r="L32" i="11"/>
  <c r="L20" i="12" s="1"/>
  <c r="Y32" i="4"/>
  <c r="AB34" i="4"/>
  <c r="AB45" i="5"/>
  <c r="AA45" i="5"/>
  <c r="AB22" i="5"/>
  <c r="AB33" i="5" s="1"/>
  <c r="AA34" i="4"/>
  <c r="N11" i="10"/>
  <c r="Y22" i="5"/>
  <c r="Y33" i="5" s="1"/>
  <c r="Y45" i="5"/>
  <c r="Y34" i="4"/>
  <c r="AA27" i="5"/>
  <c r="Y27" i="5"/>
  <c r="AV16" i="5"/>
  <c r="AV19" i="5" s="1"/>
  <c r="AF33" i="5"/>
  <c r="AD34" i="4"/>
  <c r="AD32" i="4"/>
  <c r="AD22" i="5"/>
  <c r="AD35" i="5" s="1"/>
  <c r="AQ38" i="5"/>
  <c r="AU16" i="5"/>
  <c r="AU19" i="5" s="1"/>
  <c r="Z27" i="5"/>
  <c r="Z28" i="5" s="1"/>
  <c r="Z79" i="5" s="1"/>
  <c r="AD45" i="5"/>
  <c r="AG32" i="4"/>
  <c r="AO33" i="4"/>
  <c r="R169" i="5"/>
  <c r="Q170" i="5"/>
  <c r="Q63" i="5" s="1"/>
  <c r="Q171" i="5"/>
  <c r="E181" i="4"/>
  <c r="BH48" i="5"/>
  <c r="BH49" i="5"/>
  <c r="O134" i="4"/>
  <c r="BG47" i="5"/>
  <c r="P58" i="5"/>
  <c r="P136" i="5"/>
  <c r="BG48" i="5"/>
  <c r="Z153" i="5"/>
  <c r="R84" i="4"/>
  <c r="R8" i="4"/>
  <c r="S9" i="4"/>
  <c r="S87" i="5"/>
  <c r="S159" i="5"/>
  <c r="S126" i="5"/>
  <c r="T56" i="5"/>
  <c r="T86" i="5"/>
  <c r="Q85" i="4"/>
  <c r="Q124" i="4"/>
  <c r="Q157" i="4"/>
  <c r="S37" i="5"/>
  <c r="V37" i="5"/>
  <c r="Q37" i="5"/>
  <c r="I37" i="5"/>
  <c r="U37" i="5"/>
  <c r="L37" i="5"/>
  <c r="O37" i="5"/>
  <c r="J37" i="5"/>
  <c r="G37" i="5"/>
  <c r="K37" i="5"/>
  <c r="T37" i="5"/>
  <c r="R37" i="5"/>
  <c r="M37" i="5"/>
  <c r="E37" i="5"/>
  <c r="P37" i="5"/>
  <c r="H37" i="5"/>
  <c r="N37" i="5"/>
  <c r="F37" i="5"/>
  <c r="BU26" i="5"/>
  <c r="BU46" i="5" s="1"/>
  <c r="N36" i="5"/>
  <c r="S36" i="5"/>
  <c r="G36" i="5"/>
  <c r="T36" i="5"/>
  <c r="H36" i="5"/>
  <c r="J36" i="5"/>
  <c r="V36" i="5"/>
  <c r="K36" i="5"/>
  <c r="Q36" i="5"/>
  <c r="I36" i="5"/>
  <c r="U36" i="5"/>
  <c r="L36" i="5"/>
  <c r="E36" i="5"/>
  <c r="P36" i="5"/>
  <c r="F36" i="5"/>
  <c r="O36" i="5"/>
  <c r="R36" i="5"/>
  <c r="M36" i="5"/>
  <c r="AH34" i="4"/>
  <c r="AH45" i="5"/>
  <c r="BS26" i="5"/>
  <c r="BS46" i="5" s="1"/>
  <c r="BM32" i="5"/>
  <c r="BK49" i="5"/>
  <c r="BK48" i="5"/>
  <c r="BK47" i="5"/>
  <c r="BJ47" i="5"/>
  <c r="BJ48" i="5"/>
  <c r="BJ49" i="5"/>
  <c r="BE49" i="5"/>
  <c r="BE47" i="5"/>
  <c r="BE48" i="5"/>
  <c r="BL49" i="5"/>
  <c r="BL48" i="5"/>
  <c r="BL47" i="5"/>
  <c r="AI22" i="5"/>
  <c r="AV20" i="5"/>
  <c r="AV34" i="5" s="1"/>
  <c r="AK32" i="4"/>
  <c r="AU20" i="5"/>
  <c r="AU34" i="5" s="1"/>
  <c r="AT20" i="5"/>
  <c r="AT34" i="5" s="1"/>
  <c r="AR33" i="4"/>
  <c r="AH32" i="4"/>
  <c r="AH22" i="5"/>
  <c r="AQ33" i="4"/>
  <c r="AS20" i="5"/>
  <c r="AS34" i="5" s="1"/>
  <c r="AP33" i="4"/>
  <c r="AA22" i="5"/>
  <c r="D179" i="32"/>
  <c r="BN25" i="5"/>
  <c r="R168" i="4"/>
  <c r="BR26" i="5"/>
  <c r="BR46" i="5" s="1"/>
  <c r="AF27" i="5"/>
  <c r="D182" i="4"/>
  <c r="BI25" i="5"/>
  <c r="U9" i="5"/>
  <c r="U172" i="5" s="1"/>
  <c r="T8" i="5"/>
  <c r="BX26" i="5"/>
  <c r="BX46" i="5" s="1"/>
  <c r="R174" i="5"/>
  <c r="W66" i="39" l="1"/>
  <c r="W185" i="39" s="1"/>
  <c r="W184" i="39" s="1"/>
  <c r="BM75" i="39"/>
  <c r="Y149" i="39"/>
  <c r="X174" i="39"/>
  <c r="V177" i="39"/>
  <c r="V115" i="39"/>
  <c r="Z35" i="5"/>
  <c r="W120" i="39"/>
  <c r="AA32" i="4"/>
  <c r="W81" i="39"/>
  <c r="W98" i="39" s="1"/>
  <c r="W99" i="39" s="1"/>
  <c r="BU15" i="39"/>
  <c r="BQ31" i="39"/>
  <c r="BQ16" i="39"/>
  <c r="BL31" i="4"/>
  <c r="BP15" i="4"/>
  <c r="BL15" i="5"/>
  <c r="BL32" i="5" s="1"/>
  <c r="BL16" i="4"/>
  <c r="BU15" i="4"/>
  <c r="BQ31" i="4"/>
  <c r="AC33" i="5"/>
  <c r="AC35" i="5"/>
  <c r="BQ16" i="4"/>
  <c r="BS15" i="39"/>
  <c r="BO31" i="39"/>
  <c r="BO16" i="39"/>
  <c r="BL31" i="39"/>
  <c r="BP15" i="39"/>
  <c r="BL16" i="39"/>
  <c r="BS15" i="4"/>
  <c r="BO31" i="4"/>
  <c r="BO15" i="5"/>
  <c r="BO32" i="5" s="1"/>
  <c r="BK76" i="39"/>
  <c r="X33" i="5"/>
  <c r="X35" i="5"/>
  <c r="AL22" i="4"/>
  <c r="AS22" i="4" s="1"/>
  <c r="AZ22" i="4" s="1"/>
  <c r="BG22" i="4" s="1"/>
  <c r="BN22" i="4" s="1"/>
  <c r="BU22" i="4" s="1"/>
  <c r="CB22" i="4" s="1"/>
  <c r="CI22" i="4" s="1"/>
  <c r="AE22" i="5"/>
  <c r="AE34" i="4"/>
  <c r="AE32" i="4"/>
  <c r="BN31" i="39"/>
  <c r="BN76" i="39" s="1"/>
  <c r="BR15" i="39"/>
  <c r="BN16" i="39"/>
  <c r="BN31" i="4"/>
  <c r="BR15" i="4"/>
  <c r="BN15" i="5"/>
  <c r="BN32" i="5" s="1"/>
  <c r="BN16" i="4"/>
  <c r="BK75" i="39"/>
  <c r="BZ20" i="39"/>
  <c r="BV33" i="39"/>
  <c r="BV27" i="39"/>
  <c r="BV151" i="39"/>
  <c r="BO44" i="39"/>
  <c r="BO29" i="39"/>
  <c r="BO34" i="39"/>
  <c r="BO40" i="39"/>
  <c r="BO39" i="39"/>
  <c r="BO43" i="39"/>
  <c r="BO38" i="39"/>
  <c r="BP74" i="39"/>
  <c r="BO42" i="39"/>
  <c r="BN73" i="39"/>
  <c r="BL75" i="39"/>
  <c r="BJ75" i="39"/>
  <c r="BQ38" i="39"/>
  <c r="BQ29" i="39"/>
  <c r="BQ42" i="39"/>
  <c r="BQ40" i="39"/>
  <c r="BQ34" i="39"/>
  <c r="BP73" i="39"/>
  <c r="BQ44" i="39"/>
  <c r="BQ39" i="39"/>
  <c r="BQ43" i="39"/>
  <c r="BR74" i="39"/>
  <c r="BS33" i="39"/>
  <c r="BW20" i="39"/>
  <c r="BS151" i="39"/>
  <c r="BS27" i="39"/>
  <c r="BS74" i="39" s="1"/>
  <c r="BM30" i="39"/>
  <c r="BM59" i="39" s="1"/>
  <c r="BM60" i="39" s="1"/>
  <c r="BY20" i="39"/>
  <c r="BU33" i="39"/>
  <c r="BU27" i="39"/>
  <c r="BU151" i="39"/>
  <c r="BP34" i="39"/>
  <c r="BP39" i="39"/>
  <c r="BP29" i="39"/>
  <c r="BP38" i="39"/>
  <c r="BP42" i="39"/>
  <c r="BP44" i="39"/>
  <c r="BO73" i="39"/>
  <c r="BP40" i="39"/>
  <c r="BP43" i="39"/>
  <c r="BQ74" i="39"/>
  <c r="BI77" i="39"/>
  <c r="BJ77" i="39"/>
  <c r="BT33" i="39"/>
  <c r="BX20" i="39"/>
  <c r="BT151" i="39"/>
  <c r="BT27" i="39"/>
  <c r="BN30" i="39"/>
  <c r="BC180" i="39"/>
  <c r="BK30" i="39"/>
  <c r="BL76" i="39"/>
  <c r="BH77" i="39"/>
  <c r="BA172" i="39"/>
  <c r="BB172" i="39" s="1"/>
  <c r="BC172" i="39" s="1"/>
  <c r="BD172" i="39" s="1"/>
  <c r="BE172" i="39" s="1"/>
  <c r="BF172" i="39" s="1"/>
  <c r="BG172" i="39" s="1"/>
  <c r="BH172" i="39" s="1"/>
  <c r="BI172" i="39" s="1"/>
  <c r="BM76" i="39"/>
  <c r="BL30" i="39"/>
  <c r="BR40" i="39"/>
  <c r="BR29" i="39"/>
  <c r="BR44" i="39"/>
  <c r="BR43" i="39"/>
  <c r="BR38" i="39"/>
  <c r="BR34" i="39"/>
  <c r="BR39" i="39"/>
  <c r="BR42" i="39"/>
  <c r="BQ73" i="39"/>
  <c r="N20" i="12"/>
  <c r="O5" i="11"/>
  <c r="BH16" i="4"/>
  <c r="BO19" i="4"/>
  <c r="BK16" i="4"/>
  <c r="BR19" i="4"/>
  <c r="CG19" i="4"/>
  <c r="CE19" i="4"/>
  <c r="CD19" i="4"/>
  <c r="CI19" i="4"/>
  <c r="AY19" i="4"/>
  <c r="AR16" i="4"/>
  <c r="AR16" i="5" s="1"/>
  <c r="AR19" i="5" s="1"/>
  <c r="AG38" i="5"/>
  <c r="N34" i="12"/>
  <c r="BD133" i="39"/>
  <c r="BD71" i="39"/>
  <c r="BD61" i="39"/>
  <c r="AW173" i="39"/>
  <c r="AX173" i="39" s="1"/>
  <c r="AY173" i="39" s="1"/>
  <c r="AZ173" i="39" s="1"/>
  <c r="BI133" i="39"/>
  <c r="BI71" i="39"/>
  <c r="BI61" i="39"/>
  <c r="BL52" i="39"/>
  <c r="BL72" i="39" s="1"/>
  <c r="BH59" i="39"/>
  <c r="BH60" i="39" s="1"/>
  <c r="BG72" i="39"/>
  <c r="BH150" i="39"/>
  <c r="BH79" i="39" s="1"/>
  <c r="BF52" i="39"/>
  <c r="BF72" i="39" s="1"/>
  <c r="BA72" i="39"/>
  <c r="BB59" i="39"/>
  <c r="BB150" i="39"/>
  <c r="BB79" i="39" s="1"/>
  <c r="BQ52" i="39"/>
  <c r="BM150" i="39"/>
  <c r="BM79" i="39" s="1"/>
  <c r="BC133" i="39"/>
  <c r="BC61" i="39"/>
  <c r="BC71" i="39"/>
  <c r="BB72" i="39"/>
  <c r="BK52" i="39"/>
  <c r="BG59" i="39"/>
  <c r="BG60" i="39" s="1"/>
  <c r="BG150" i="39"/>
  <c r="BG79" i="39" s="1"/>
  <c r="AX79" i="39"/>
  <c r="W163" i="39"/>
  <c r="AX60" i="39"/>
  <c r="AM38" i="5"/>
  <c r="AP21" i="5"/>
  <c r="AG21" i="5"/>
  <c r="AQ21" i="5"/>
  <c r="AM21" i="5"/>
  <c r="AL21" i="5"/>
  <c r="AK16" i="5"/>
  <c r="AK19" i="5" s="1"/>
  <c r="AK53" i="5" s="1"/>
  <c r="N4" i="12"/>
  <c r="O7" i="11"/>
  <c r="N32" i="11"/>
  <c r="O27" i="11" s="1"/>
  <c r="O8" i="11"/>
  <c r="O9" i="11"/>
  <c r="N55" i="11"/>
  <c r="O4" i="11"/>
  <c r="O6" i="11"/>
  <c r="Y153" i="5"/>
  <c r="AB153" i="5"/>
  <c r="AB28" i="5"/>
  <c r="AB57" i="5" s="1"/>
  <c r="AB35" i="5"/>
  <c r="Y28" i="5"/>
  <c r="Y57" i="5" s="1"/>
  <c r="Y35" i="5"/>
  <c r="AZ16" i="5"/>
  <c r="AZ19" i="5" s="1"/>
  <c r="AV53" i="5"/>
  <c r="AV38" i="5"/>
  <c r="AD33" i="5"/>
  <c r="AG34" i="4"/>
  <c r="AG45" i="5"/>
  <c r="AG22" i="5"/>
  <c r="AG33" i="5" s="1"/>
  <c r="AU53" i="5"/>
  <c r="AU38" i="5"/>
  <c r="S169" i="5"/>
  <c r="R170" i="5"/>
  <c r="R63" i="5" s="1"/>
  <c r="R171" i="5"/>
  <c r="Z57" i="5"/>
  <c r="Z30" i="5"/>
  <c r="Z31" i="5" s="1"/>
  <c r="BW26" i="5"/>
  <c r="BW46" i="5" s="1"/>
  <c r="P134" i="4"/>
  <c r="Q58" i="5"/>
  <c r="Q136" i="5"/>
  <c r="S84" i="4"/>
  <c r="S8" i="4"/>
  <c r="T9" i="4"/>
  <c r="U56" i="5"/>
  <c r="U86" i="5"/>
  <c r="T87" i="5"/>
  <c r="T159" i="5"/>
  <c r="T126" i="5"/>
  <c r="R157" i="4"/>
  <c r="R85" i="4"/>
  <c r="R124" i="4"/>
  <c r="BO25" i="5"/>
  <c r="BO47" i="5" s="1"/>
  <c r="AL45" i="5"/>
  <c r="AI45" i="5"/>
  <c r="AJ45" i="5"/>
  <c r="BY26" i="5"/>
  <c r="BY46" i="5" s="1"/>
  <c r="AS33" i="4"/>
  <c r="BP25" i="5"/>
  <c r="BP47" i="5" s="1"/>
  <c r="BN47" i="5"/>
  <c r="BN49" i="5"/>
  <c r="BN48" i="5"/>
  <c r="AC153" i="5"/>
  <c r="AI33" i="5"/>
  <c r="AI35" i="5"/>
  <c r="BQ32" i="5"/>
  <c r="AH33" i="5"/>
  <c r="AH35" i="5"/>
  <c r="AA33" i="5"/>
  <c r="AA35" i="5"/>
  <c r="BI49" i="5"/>
  <c r="BI47" i="5"/>
  <c r="BI48" i="5"/>
  <c r="AC28" i="5"/>
  <c r="AJ32" i="4"/>
  <c r="AJ34" i="4"/>
  <c r="AI32" i="4"/>
  <c r="AI34" i="4"/>
  <c r="BJ16" i="5"/>
  <c r="BJ19" i="5" s="1"/>
  <c r="AZ20" i="5"/>
  <c r="AZ34" i="5" s="1"/>
  <c r="AJ27" i="5"/>
  <c r="AV33" i="4"/>
  <c r="AW20" i="5"/>
  <c r="AW34" i="5" s="1"/>
  <c r="AX20" i="5"/>
  <c r="AX34" i="5" s="1"/>
  <c r="BT25" i="5"/>
  <c r="AY20" i="5"/>
  <c r="AY34" i="5" s="1"/>
  <c r="AM34" i="4"/>
  <c r="AT33" i="4"/>
  <c r="AU33" i="4"/>
  <c r="AL32" i="4"/>
  <c r="AL34" i="4"/>
  <c r="AL22" i="5"/>
  <c r="AD27" i="5"/>
  <c r="AJ22" i="5"/>
  <c r="AA153" i="5"/>
  <c r="AA28" i="5"/>
  <c r="D178" i="32"/>
  <c r="AK34" i="4"/>
  <c r="AF28" i="5"/>
  <c r="AF153" i="5"/>
  <c r="BV26" i="5"/>
  <c r="BV46" i="5" s="1"/>
  <c r="BR25" i="5"/>
  <c r="CB26" i="5"/>
  <c r="CB46" i="5" s="1"/>
  <c r="S168" i="4"/>
  <c r="U8" i="5"/>
  <c r="V9" i="5"/>
  <c r="V172" i="5" s="1"/>
  <c r="E135" i="4"/>
  <c r="E91" i="4"/>
  <c r="E63" i="4"/>
  <c r="BU15" i="5"/>
  <c r="BM25" i="5"/>
  <c r="S174" i="5"/>
  <c r="AK22" i="5"/>
  <c r="AK33" i="5" s="1"/>
  <c r="BN75" i="39" l="1"/>
  <c r="BM77" i="39"/>
  <c r="BJ172" i="39"/>
  <c r="BK172" i="39" s="1"/>
  <c r="V189" i="39"/>
  <c r="V190" i="39"/>
  <c r="AK38" i="5"/>
  <c r="Y80" i="39"/>
  <c r="Y152" i="39"/>
  <c r="BR31" i="39"/>
  <c r="BV15" i="39"/>
  <c r="BR16" i="39"/>
  <c r="BW15" i="39"/>
  <c r="BS31" i="39"/>
  <c r="BS16" i="39"/>
  <c r="AE33" i="5"/>
  <c r="AE35" i="5"/>
  <c r="BU31" i="4"/>
  <c r="BY15" i="4"/>
  <c r="BU16" i="4"/>
  <c r="BP31" i="4"/>
  <c r="BT15" i="4"/>
  <c r="BP15" i="5"/>
  <c r="BP32" i="5" s="1"/>
  <c r="BP16" i="4"/>
  <c r="BS31" i="4"/>
  <c r="BW15" i="4"/>
  <c r="BS15" i="5"/>
  <c r="BS32" i="5" s="1"/>
  <c r="BS16" i="4"/>
  <c r="BO76" i="39"/>
  <c r="BV15" i="4"/>
  <c r="BR31" i="4"/>
  <c r="BR15" i="5"/>
  <c r="BR32" i="5" s="1"/>
  <c r="BP31" i="39"/>
  <c r="BQ76" i="39" s="1"/>
  <c r="BT15" i="39"/>
  <c r="BP16" i="39"/>
  <c r="BY15" i="39"/>
  <c r="BU31" i="39"/>
  <c r="BU16" i="39"/>
  <c r="BO75" i="39"/>
  <c r="BQ75" i="39"/>
  <c r="BP75" i="39"/>
  <c r="BR76" i="39"/>
  <c r="BQ30" i="39"/>
  <c r="BL77" i="39"/>
  <c r="BN77" i="39"/>
  <c r="BL172" i="39"/>
  <c r="BU74" i="39"/>
  <c r="BU44" i="39"/>
  <c r="BU39" i="39"/>
  <c r="BU29" i="39"/>
  <c r="BU34" i="39"/>
  <c r="BT73" i="39"/>
  <c r="BU43" i="39"/>
  <c r="BU40" i="39"/>
  <c r="BU38" i="39"/>
  <c r="BV74" i="39"/>
  <c r="BU42" i="39"/>
  <c r="BX33" i="39"/>
  <c r="CB20" i="39"/>
  <c r="BX151" i="39"/>
  <c r="BX27" i="39"/>
  <c r="CC20" i="39"/>
  <c r="BY33" i="39"/>
  <c r="BY27" i="39"/>
  <c r="BY151" i="39"/>
  <c r="BK77" i="39"/>
  <c r="BD180" i="39"/>
  <c r="BE180" i="39" s="1"/>
  <c r="BF180" i="39" s="1"/>
  <c r="BG180" i="39" s="1"/>
  <c r="BH180" i="39" s="1"/>
  <c r="BI180" i="39" s="1"/>
  <c r="BJ180" i="39" s="1"/>
  <c r="BR30" i="39"/>
  <c r="BS42" i="39"/>
  <c r="BS34" i="39"/>
  <c r="BT74" i="39"/>
  <c r="BS43" i="39"/>
  <c r="BS44" i="39"/>
  <c r="BR73" i="39"/>
  <c r="BS29" i="39"/>
  <c r="BS39" i="39"/>
  <c r="BS40" i="39"/>
  <c r="BS38" i="39"/>
  <c r="BV39" i="39"/>
  <c r="BV38" i="39"/>
  <c r="BU73" i="39"/>
  <c r="BV40" i="39"/>
  <c r="BV42" i="39"/>
  <c r="BV34" i="39"/>
  <c r="BV44" i="39"/>
  <c r="BV29" i="39"/>
  <c r="BV43" i="39"/>
  <c r="BW33" i="39"/>
  <c r="CA20" i="39"/>
  <c r="BW27" i="39"/>
  <c r="BW151" i="39"/>
  <c r="CD20" i="39"/>
  <c r="BZ33" i="39"/>
  <c r="BZ27" i="39"/>
  <c r="BZ151" i="39"/>
  <c r="BT29" i="39"/>
  <c r="BT34" i="39"/>
  <c r="BT42" i="39"/>
  <c r="BT44" i="39"/>
  <c r="BT38" i="39"/>
  <c r="BT43" i="39"/>
  <c r="BT39" i="39"/>
  <c r="BT40" i="39"/>
  <c r="BS73" i="39"/>
  <c r="BP30" i="39"/>
  <c r="BO30" i="39"/>
  <c r="BA173" i="39"/>
  <c r="BB173" i="39" s="1"/>
  <c r="BC173" i="39" s="1"/>
  <c r="BD173" i="39" s="1"/>
  <c r="BF19" i="4"/>
  <c r="AY16" i="4"/>
  <c r="AY16" i="5" s="1"/>
  <c r="AY19" i="5" s="1"/>
  <c r="AY38" i="5" s="1"/>
  <c r="CL19" i="4"/>
  <c r="BY19" i="4"/>
  <c r="BR16" i="4"/>
  <c r="AR53" i="5"/>
  <c r="AR38" i="5"/>
  <c r="CN19" i="4"/>
  <c r="BO16" i="4"/>
  <c r="BV19" i="4"/>
  <c r="CK19" i="4"/>
  <c r="BJ52" i="39"/>
  <c r="BJ72" i="39" s="1"/>
  <c r="BE72" i="39"/>
  <c r="BF150" i="39"/>
  <c r="BF79" i="39" s="1"/>
  <c r="BF59" i="39"/>
  <c r="BH133" i="39"/>
  <c r="BH71" i="39"/>
  <c r="BH61" i="39"/>
  <c r="BG61" i="39"/>
  <c r="BG133" i="39"/>
  <c r="BG71" i="39"/>
  <c r="BM133" i="39"/>
  <c r="BM71" i="39"/>
  <c r="BM61" i="39"/>
  <c r="BP52" i="39"/>
  <c r="BP72" i="39" s="1"/>
  <c r="BK72" i="39"/>
  <c r="BL59" i="39"/>
  <c r="BL60" i="39" s="1"/>
  <c r="BL150" i="39"/>
  <c r="BL79" i="39" s="1"/>
  <c r="AX71" i="39"/>
  <c r="AX61" i="39"/>
  <c r="AX133" i="39"/>
  <c r="BO52" i="39"/>
  <c r="BK59" i="39"/>
  <c r="BK60" i="39" s="1"/>
  <c r="BK150" i="39"/>
  <c r="BK79" i="39" s="1"/>
  <c r="BU52" i="39"/>
  <c r="BQ59" i="39"/>
  <c r="BQ60" i="39" s="1"/>
  <c r="BQ150" i="39"/>
  <c r="BQ79" i="39" s="1"/>
  <c r="W90" i="39"/>
  <c r="W121" i="39"/>
  <c r="W164" i="39"/>
  <c r="BB60" i="39"/>
  <c r="AK45" i="5"/>
  <c r="AO16" i="5"/>
  <c r="AO19" i="5" s="1"/>
  <c r="AO45" i="5" s="1"/>
  <c r="AN21" i="5"/>
  <c r="AX21" i="5"/>
  <c r="AT21" i="5"/>
  <c r="AK21" i="5"/>
  <c r="O28" i="11"/>
  <c r="Y74" i="5"/>
  <c r="Y30" i="5"/>
  <c r="Y31" i="5" s="1"/>
  <c r="O32" i="11"/>
  <c r="O29" i="11"/>
  <c r="O30" i="11"/>
  <c r="O31" i="11"/>
  <c r="Y75" i="5"/>
  <c r="X74" i="5"/>
  <c r="Z75" i="5"/>
  <c r="AB30" i="5"/>
  <c r="AB31" i="5" s="1"/>
  <c r="AB79" i="5"/>
  <c r="Y79" i="5"/>
  <c r="BD16" i="5"/>
  <c r="BD19" i="5" s="1"/>
  <c r="AZ53" i="5"/>
  <c r="AZ38" i="5"/>
  <c r="AG35" i="5"/>
  <c r="BC16" i="5"/>
  <c r="BC19" i="5" s="1"/>
  <c r="AM32" i="4"/>
  <c r="T169" i="5"/>
  <c r="S170" i="5"/>
  <c r="S63" i="5" s="1"/>
  <c r="S171" i="5"/>
  <c r="AA57" i="5"/>
  <c r="AA79" i="5"/>
  <c r="AF57" i="5"/>
  <c r="AF79" i="5"/>
  <c r="AC57" i="5"/>
  <c r="AC79" i="5"/>
  <c r="AG27" i="5"/>
  <c r="AG153" i="5" s="1"/>
  <c r="AM22" i="5"/>
  <c r="AM35" i="5" s="1"/>
  <c r="BO48" i="5"/>
  <c r="Q134" i="4"/>
  <c r="BO49" i="5"/>
  <c r="BP48" i="5"/>
  <c r="R58" i="5"/>
  <c r="R136" i="5"/>
  <c r="AW33" i="4"/>
  <c r="U87" i="5"/>
  <c r="U159" i="5"/>
  <c r="U126" i="5"/>
  <c r="V56" i="5"/>
  <c r="V86" i="5"/>
  <c r="T84" i="4"/>
  <c r="U9" i="4"/>
  <c r="T8" i="4"/>
  <c r="S85" i="4"/>
  <c r="S157" i="4"/>
  <c r="S124" i="4"/>
  <c r="AB75" i="5"/>
  <c r="Z74" i="5"/>
  <c r="AA75" i="5"/>
  <c r="AA74" i="5"/>
  <c r="BS25" i="5"/>
  <c r="BS48" i="5" s="1"/>
  <c r="AM45" i="5"/>
  <c r="CA26" i="5"/>
  <c r="CA46" i="5" s="1"/>
  <c r="AB74" i="5"/>
  <c r="AC75" i="5"/>
  <c r="BP49" i="5"/>
  <c r="AN45" i="5"/>
  <c r="CC26" i="5"/>
  <c r="CC46" i="5" s="1"/>
  <c r="AP45" i="5"/>
  <c r="AC30" i="5"/>
  <c r="BJ53" i="5"/>
  <c r="BJ38" i="5"/>
  <c r="AK35" i="5"/>
  <c r="BU32" i="5"/>
  <c r="AJ33" i="5"/>
  <c r="AJ35" i="5"/>
  <c r="BM49" i="5"/>
  <c r="BM48" i="5"/>
  <c r="BM47" i="5"/>
  <c r="BT49" i="5"/>
  <c r="BT48" i="5"/>
  <c r="BT47" i="5"/>
  <c r="BR47" i="5"/>
  <c r="BR48" i="5"/>
  <c r="BR49" i="5"/>
  <c r="AF30" i="5"/>
  <c r="AA30" i="5"/>
  <c r="AL33" i="5"/>
  <c r="AL35" i="5"/>
  <c r="AJ153" i="5"/>
  <c r="AG28" i="5"/>
  <c r="BN16" i="5"/>
  <c r="BN19" i="5" s="1"/>
  <c r="BR16" i="5"/>
  <c r="BR19" i="5" s="1"/>
  <c r="AH27" i="5"/>
  <c r="AP22" i="5"/>
  <c r="AP34" i="4"/>
  <c r="AP32" i="4"/>
  <c r="BW25" i="5"/>
  <c r="AQ32" i="4"/>
  <c r="BC20" i="5"/>
  <c r="BC34" i="5" s="1"/>
  <c r="BX25" i="5"/>
  <c r="AX33" i="4"/>
  <c r="BA20" i="5"/>
  <c r="BA34" i="5" s="1"/>
  <c r="BD20" i="5"/>
  <c r="BD34" i="5" s="1"/>
  <c r="AY33" i="4"/>
  <c r="BB20" i="5"/>
  <c r="BB34" i="5" s="1"/>
  <c r="AZ33" i="4"/>
  <c r="AD153" i="5"/>
  <c r="AD28" i="5"/>
  <c r="AD79" i="5" s="1"/>
  <c r="AN34" i="4"/>
  <c r="AN22" i="5"/>
  <c r="AN32" i="4"/>
  <c r="AE27" i="5"/>
  <c r="AJ28" i="5"/>
  <c r="AO34" i="4"/>
  <c r="BZ26" i="5"/>
  <c r="BZ46" i="5" s="1"/>
  <c r="BY15" i="5"/>
  <c r="AO22" i="5"/>
  <c r="AO33" i="5" s="1"/>
  <c r="AO32" i="4"/>
  <c r="CF26" i="5"/>
  <c r="CF46" i="5" s="1"/>
  <c r="BV25" i="5"/>
  <c r="T168" i="4"/>
  <c r="T174" i="5"/>
  <c r="BQ25" i="5"/>
  <c r="V8" i="5"/>
  <c r="W9" i="5"/>
  <c r="W172" i="5" s="1"/>
  <c r="Y174" i="39" l="1"/>
  <c r="Z149" i="39"/>
  <c r="BR75" i="39"/>
  <c r="BX15" i="4"/>
  <c r="BT31" i="4"/>
  <c r="BT15" i="5"/>
  <c r="BT32" i="5" s="1"/>
  <c r="BU75" i="39"/>
  <c r="BU150" i="39" s="1"/>
  <c r="BU79" i="39" s="1"/>
  <c r="CC15" i="39"/>
  <c r="BY31" i="39"/>
  <c r="BY16" i="39"/>
  <c r="BK180" i="39"/>
  <c r="BL180" i="39" s="1"/>
  <c r="BM180" i="39" s="1"/>
  <c r="BN180" i="39" s="1"/>
  <c r="BY31" i="4"/>
  <c r="CC15" i="4"/>
  <c r="BX15" i="39"/>
  <c r="BT31" i="39"/>
  <c r="BU76" i="39" s="1"/>
  <c r="BT16" i="39"/>
  <c r="BZ15" i="4"/>
  <c r="BV31" i="4"/>
  <c r="BV15" i="5"/>
  <c r="BV32" i="5" s="1"/>
  <c r="CA15" i="39"/>
  <c r="BW31" i="39"/>
  <c r="BW16" i="39"/>
  <c r="BP76" i="39"/>
  <c r="BW31" i="4"/>
  <c r="CA15" i="4"/>
  <c r="BW15" i="5"/>
  <c r="BW32" i="5" s="1"/>
  <c r="BW16" i="4"/>
  <c r="BV31" i="39"/>
  <c r="BZ15" i="39"/>
  <c r="BV16" i="39"/>
  <c r="BQ77" i="39"/>
  <c r="BT75" i="39"/>
  <c r="BS75" i="39"/>
  <c r="CB33" i="39"/>
  <c r="CF20" i="39"/>
  <c r="CB27" i="39"/>
  <c r="CB151" i="39"/>
  <c r="BS76" i="39"/>
  <c r="BO77" i="39"/>
  <c r="BT76" i="39"/>
  <c r="BS30" i="39"/>
  <c r="BV30" i="39"/>
  <c r="BT30" i="39"/>
  <c r="BY44" i="39"/>
  <c r="BY39" i="39"/>
  <c r="BY42" i="39"/>
  <c r="BX73" i="39"/>
  <c r="BY43" i="39"/>
  <c r="BY38" i="39"/>
  <c r="BY29" i="39"/>
  <c r="BY40" i="39"/>
  <c r="BY34" i="39"/>
  <c r="BZ74" i="39"/>
  <c r="BZ39" i="39"/>
  <c r="BY73" i="39"/>
  <c r="BZ43" i="39"/>
  <c r="BZ42" i="39"/>
  <c r="CA74" i="39"/>
  <c r="BZ34" i="39"/>
  <c r="BZ29" i="39"/>
  <c r="BZ40" i="39"/>
  <c r="BZ38" i="39"/>
  <c r="BZ44" i="39"/>
  <c r="BM172" i="39"/>
  <c r="CG20" i="39"/>
  <c r="CC33" i="39"/>
  <c r="CC151" i="39"/>
  <c r="CC27" i="39"/>
  <c r="CH20" i="39"/>
  <c r="CD33" i="39"/>
  <c r="CD27" i="39"/>
  <c r="CD151" i="39"/>
  <c r="BW74" i="39"/>
  <c r="BR77" i="39"/>
  <c r="BX40" i="39"/>
  <c r="BX42" i="39"/>
  <c r="BX44" i="39"/>
  <c r="BX43" i="39"/>
  <c r="BX39" i="39"/>
  <c r="BX34" i="39"/>
  <c r="BX38" i="39"/>
  <c r="BW73" i="39"/>
  <c r="BX29" i="39"/>
  <c r="BY74" i="39"/>
  <c r="BW40" i="39"/>
  <c r="BX74" i="39"/>
  <c r="BW38" i="39"/>
  <c r="BW39" i="39"/>
  <c r="BW42" i="39"/>
  <c r="BW29" i="39"/>
  <c r="BV73" i="39"/>
  <c r="BW34" i="39"/>
  <c r="BW43" i="39"/>
  <c r="BW44" i="39"/>
  <c r="CA33" i="39"/>
  <c r="CE20" i="39"/>
  <c r="CA27" i="39"/>
  <c r="CA151" i="39"/>
  <c r="BU30" i="39"/>
  <c r="BU59" i="39" s="1"/>
  <c r="BU60" i="39" s="1"/>
  <c r="BV76" i="39"/>
  <c r="BP77" i="39"/>
  <c r="CC19" i="4"/>
  <c r="BV16" i="4"/>
  <c r="BF16" i="4"/>
  <c r="BF16" i="5" s="1"/>
  <c r="BF19" i="5" s="1"/>
  <c r="BM19" i="4"/>
  <c r="AY53" i="5"/>
  <c r="AO53" i="5"/>
  <c r="CF19" i="4"/>
  <c r="BY16" i="4"/>
  <c r="W92" i="39"/>
  <c r="W94" i="39" s="1"/>
  <c r="W95" i="39" s="1"/>
  <c r="W107" i="39"/>
  <c r="W183" i="39"/>
  <c r="W182" i="39" s="1"/>
  <c r="X161" i="39"/>
  <c r="BF60" i="39"/>
  <c r="BB133" i="39"/>
  <c r="BB61" i="39"/>
  <c r="BB71" i="39"/>
  <c r="BQ61" i="39"/>
  <c r="BQ71" i="39"/>
  <c r="BQ133" i="39"/>
  <c r="BE173" i="39"/>
  <c r="BF173" i="39" s="1"/>
  <c r="BG173" i="39" s="1"/>
  <c r="BH173" i="39" s="1"/>
  <c r="BN52" i="39"/>
  <c r="BN72" i="39" s="1"/>
  <c r="BJ59" i="39"/>
  <c r="BJ60" i="39" s="1"/>
  <c r="BI72" i="39"/>
  <c r="BJ150" i="39"/>
  <c r="BJ79" i="39" s="1"/>
  <c r="BY52" i="39"/>
  <c r="BL133" i="39"/>
  <c r="BL71" i="39"/>
  <c r="BL61" i="39"/>
  <c r="BT52" i="39"/>
  <c r="BT72" i="39" s="1"/>
  <c r="BP59" i="39"/>
  <c r="BP60" i="39" s="1"/>
  <c r="BO72" i="39"/>
  <c r="BP150" i="39"/>
  <c r="BP79" i="39" s="1"/>
  <c r="BK133" i="39"/>
  <c r="BK71" i="39"/>
  <c r="BK61" i="39"/>
  <c r="BS52" i="39"/>
  <c r="BO59" i="39"/>
  <c r="BO60" i="39" s="1"/>
  <c r="BO150" i="39"/>
  <c r="BO79" i="39" s="1"/>
  <c r="X88" i="39"/>
  <c r="AO38" i="5"/>
  <c r="AU21" i="5"/>
  <c r="AO21" i="5"/>
  <c r="AS16" i="5"/>
  <c r="AS19" i="5" s="1"/>
  <c r="AS53" i="5" s="1"/>
  <c r="AR21" i="5"/>
  <c r="BH16" i="5"/>
  <c r="BH19" i="5" s="1"/>
  <c r="BD38" i="5"/>
  <c r="BD53" i="5"/>
  <c r="BC53" i="5"/>
  <c r="BC38" i="5"/>
  <c r="BG16" i="5"/>
  <c r="BG19" i="5" s="1"/>
  <c r="BS47" i="5"/>
  <c r="AM33" i="5"/>
  <c r="BA33" i="4"/>
  <c r="U169" i="5"/>
  <c r="T171" i="5"/>
  <c r="T170" i="5"/>
  <c r="T63" i="5" s="1"/>
  <c r="CE26" i="5"/>
  <c r="CE46" i="5" s="1"/>
  <c r="AG57" i="5"/>
  <c r="AG79" i="5"/>
  <c r="AJ57" i="5"/>
  <c r="AJ79" i="5"/>
  <c r="AD75" i="5"/>
  <c r="AD57" i="5"/>
  <c r="AK27" i="5"/>
  <c r="AK153" i="5" s="1"/>
  <c r="BS49" i="5"/>
  <c r="AQ34" i="4"/>
  <c r="AQ22" i="5"/>
  <c r="AQ33" i="5" s="1"/>
  <c r="R134" i="4"/>
  <c r="S58" i="5"/>
  <c r="S136" i="5"/>
  <c r="CO58" i="5"/>
  <c r="T85" i="4"/>
  <c r="T157" i="4"/>
  <c r="T124" i="4"/>
  <c r="W56" i="5"/>
  <c r="W86" i="5"/>
  <c r="V159" i="5"/>
  <c r="V126" i="5"/>
  <c r="V87" i="5"/>
  <c r="U84" i="4"/>
  <c r="U8" i="4"/>
  <c r="V9" i="4"/>
  <c r="AF74" i="5"/>
  <c r="AR45" i="5"/>
  <c r="AF31" i="5"/>
  <c r="AC31" i="5"/>
  <c r="AT45" i="5"/>
  <c r="CG26" i="5"/>
  <c r="CG46" i="5" s="1"/>
  <c r="AG75" i="5"/>
  <c r="AC74" i="5"/>
  <c r="AQ45" i="5"/>
  <c r="AA31" i="5"/>
  <c r="BR53" i="5"/>
  <c r="BR38" i="5"/>
  <c r="BN53" i="5"/>
  <c r="BN38" i="5"/>
  <c r="BQ49" i="5"/>
  <c r="BQ47" i="5"/>
  <c r="BQ48" i="5"/>
  <c r="BV48" i="5"/>
  <c r="BV47" i="5"/>
  <c r="BV49" i="5"/>
  <c r="BY32" i="5"/>
  <c r="AP33" i="5"/>
  <c r="AP35" i="5"/>
  <c r="AG30" i="5"/>
  <c r="BX49" i="5"/>
  <c r="BX48" i="5"/>
  <c r="BX47" i="5"/>
  <c r="BW49" i="5"/>
  <c r="BW47" i="5"/>
  <c r="BW48" i="5"/>
  <c r="AJ30" i="5"/>
  <c r="AN33" i="5"/>
  <c r="AN35" i="5"/>
  <c r="AD30" i="5"/>
  <c r="AO35" i="5"/>
  <c r="BB33" i="4"/>
  <c r="BF20" i="5"/>
  <c r="BF34" i="5" s="1"/>
  <c r="AN27" i="5"/>
  <c r="AN28" i="5" s="1"/>
  <c r="BG20" i="5"/>
  <c r="BG34" i="5" s="1"/>
  <c r="AH28" i="5"/>
  <c r="AH79" i="5" s="1"/>
  <c r="AH153" i="5"/>
  <c r="AL27" i="5"/>
  <c r="BH20" i="5"/>
  <c r="BH34" i="5" s="1"/>
  <c r="BC33" i="4"/>
  <c r="BD33" i="4"/>
  <c r="BE20" i="5"/>
  <c r="BE34" i="5" s="1"/>
  <c r="CB25" i="5"/>
  <c r="AU22" i="5"/>
  <c r="AT34" i="4"/>
  <c r="AT22" i="5"/>
  <c r="AT32" i="4"/>
  <c r="AE153" i="5"/>
  <c r="AE28" i="5"/>
  <c r="AI27" i="5"/>
  <c r="AR22" i="5"/>
  <c r="AR34" i="4"/>
  <c r="AR32" i="4"/>
  <c r="BU25" i="5"/>
  <c r="CD26" i="5"/>
  <c r="CD46" i="5" s="1"/>
  <c r="U174" i="5"/>
  <c r="U168" i="4"/>
  <c r="AS34" i="4"/>
  <c r="AS22" i="5"/>
  <c r="AS33" i="5" s="1"/>
  <c r="AS32" i="4"/>
  <c r="CC15" i="5"/>
  <c r="W8" i="5"/>
  <c r="X9" i="5"/>
  <c r="X172" i="5" s="1"/>
  <c r="BZ25" i="5"/>
  <c r="CJ26" i="5"/>
  <c r="CJ46" i="5" s="1"/>
  <c r="AS38" i="5" l="1"/>
  <c r="Z152" i="39"/>
  <c r="Z80" i="39"/>
  <c r="BZ31" i="39"/>
  <c r="CD15" i="39"/>
  <c r="BZ16" i="39"/>
  <c r="BX31" i="39"/>
  <c r="BY76" i="39" s="1"/>
  <c r="CB15" i="39"/>
  <c r="BX16" i="39"/>
  <c r="CG15" i="4"/>
  <c r="CC31" i="4"/>
  <c r="CA31" i="4"/>
  <c r="CE15" i="4"/>
  <c r="CA15" i="5"/>
  <c r="CA32" i="5" s="1"/>
  <c r="BO180" i="39"/>
  <c r="BP180" i="39" s="1"/>
  <c r="BQ180" i="39" s="1"/>
  <c r="BR180" i="39" s="1"/>
  <c r="CG15" i="39"/>
  <c r="CC31" i="39"/>
  <c r="CC16" i="39"/>
  <c r="CA31" i="39"/>
  <c r="CE15" i="39"/>
  <c r="CA16" i="39"/>
  <c r="BX31" i="4"/>
  <c r="CB15" i="4"/>
  <c r="BX15" i="5"/>
  <c r="BX32" i="5" s="1"/>
  <c r="BX16" i="4"/>
  <c r="BZ31" i="4"/>
  <c r="CD15" i="4"/>
  <c r="BZ15" i="5"/>
  <c r="BZ32" i="5" s="1"/>
  <c r="BZ16" i="4"/>
  <c r="BY75" i="39"/>
  <c r="BY150" i="39" s="1"/>
  <c r="BY79" i="39" s="1"/>
  <c r="BX75" i="39"/>
  <c r="BW75" i="39"/>
  <c r="CC44" i="39"/>
  <c r="CC42" i="39"/>
  <c r="CC34" i="39"/>
  <c r="CC38" i="39"/>
  <c r="CC29" i="39"/>
  <c r="CC43" i="39"/>
  <c r="CC39" i="39"/>
  <c r="CB73" i="39"/>
  <c r="CC40" i="39"/>
  <c r="CD74" i="39"/>
  <c r="BW30" i="39"/>
  <c r="BW77" i="39" s="1"/>
  <c r="CK20" i="39"/>
  <c r="CG33" i="39"/>
  <c r="CG27" i="39"/>
  <c r="CG151" i="39"/>
  <c r="BN172" i="39"/>
  <c r="CB40" i="39"/>
  <c r="CB29" i="39"/>
  <c r="CB39" i="39"/>
  <c r="CA73" i="39"/>
  <c r="CB43" i="39"/>
  <c r="CB38" i="39"/>
  <c r="CB42" i="39"/>
  <c r="CC74" i="39"/>
  <c r="CB44" i="39"/>
  <c r="CB34" i="39"/>
  <c r="CF33" i="39"/>
  <c r="CJ20" i="39"/>
  <c r="CF27" i="39"/>
  <c r="CF151" i="39"/>
  <c r="BT77" i="39"/>
  <c r="BX30" i="39"/>
  <c r="BS77" i="39"/>
  <c r="BU77" i="39"/>
  <c r="BV77" i="39"/>
  <c r="BY30" i="39"/>
  <c r="BZ76" i="39"/>
  <c r="CD38" i="39"/>
  <c r="CD39" i="39"/>
  <c r="CD43" i="39"/>
  <c r="CD34" i="39"/>
  <c r="CD42" i="39"/>
  <c r="CD44" i="39"/>
  <c r="CC73" i="39"/>
  <c r="CD29" i="39"/>
  <c r="CD40" i="39"/>
  <c r="CL20" i="39"/>
  <c r="CH33" i="39"/>
  <c r="CH151" i="39"/>
  <c r="CH27" i="39"/>
  <c r="BW76" i="39"/>
  <c r="CE33" i="39"/>
  <c r="CI20" i="39"/>
  <c r="CE151" i="39"/>
  <c r="CE27" i="39"/>
  <c r="CE74" i="39" s="1"/>
  <c r="BV75" i="39"/>
  <c r="CA40" i="39"/>
  <c r="CA44" i="39"/>
  <c r="CA39" i="39"/>
  <c r="CB74" i="39"/>
  <c r="CA34" i="39"/>
  <c r="CA43" i="39"/>
  <c r="CA38" i="39"/>
  <c r="BZ73" i="39"/>
  <c r="CA42" i="39"/>
  <c r="CA29" i="39"/>
  <c r="CA76" i="39" s="1"/>
  <c r="BZ30" i="39"/>
  <c r="CJ19" i="4"/>
  <c r="CC16" i="4"/>
  <c r="BF38" i="5"/>
  <c r="BF53" i="5"/>
  <c r="BM16" i="4"/>
  <c r="BT19" i="4"/>
  <c r="CM19" i="4"/>
  <c r="W171" i="39"/>
  <c r="W170" i="39" s="1"/>
  <c r="X93" i="39"/>
  <c r="BU61" i="39"/>
  <c r="BU133" i="39"/>
  <c r="BU71" i="39"/>
  <c r="CC52" i="39"/>
  <c r="X165" i="39"/>
  <c r="W116" i="39"/>
  <c r="W187" i="39"/>
  <c r="W117" i="39" s="1"/>
  <c r="W118" i="39"/>
  <c r="BW52" i="39"/>
  <c r="BS59" i="39"/>
  <c r="BS60" i="39" s="1"/>
  <c r="BS150" i="39"/>
  <c r="BS79" i="39" s="1"/>
  <c r="BP133" i="39"/>
  <c r="BP61" i="39"/>
  <c r="BP71" i="39"/>
  <c r="BJ133" i="39"/>
  <c r="BJ71" i="39"/>
  <c r="BJ61" i="39"/>
  <c r="BI173" i="39"/>
  <c r="BJ173" i="39" s="1"/>
  <c r="BK173" i="39" s="1"/>
  <c r="BL173" i="39" s="1"/>
  <c r="BX52" i="39"/>
  <c r="BX72" i="39" s="1"/>
  <c r="BS72" i="39"/>
  <c r="BT59" i="39"/>
  <c r="BT60" i="39" s="1"/>
  <c r="BT150" i="39"/>
  <c r="BT79" i="39" s="1"/>
  <c r="BR52" i="39"/>
  <c r="BM72" i="39"/>
  <c r="BN150" i="39"/>
  <c r="BN79" i="39" s="1"/>
  <c r="BN59" i="39"/>
  <c r="BN60" i="39" s="1"/>
  <c r="BF133" i="39"/>
  <c r="BF71" i="39"/>
  <c r="BF61" i="39"/>
  <c r="BO133" i="39"/>
  <c r="BO71" i="39"/>
  <c r="BO61" i="39"/>
  <c r="W109" i="39"/>
  <c r="W110" i="39" s="1"/>
  <c r="W108" i="39"/>
  <c r="AS45" i="5"/>
  <c r="AV21" i="5"/>
  <c r="AW16" i="5"/>
  <c r="AW19" i="5" s="1"/>
  <c r="AW38" i="5" s="1"/>
  <c r="BB21" i="5"/>
  <c r="AS21" i="5"/>
  <c r="AY21" i="5"/>
  <c r="AQ35" i="5"/>
  <c r="BL16" i="5"/>
  <c r="BL19" i="5" s="1"/>
  <c r="BH53" i="5"/>
  <c r="BH38" i="5"/>
  <c r="BK16" i="5"/>
  <c r="BK19" i="5" s="1"/>
  <c r="BG38" i="5"/>
  <c r="BG53" i="5"/>
  <c r="V169" i="5"/>
  <c r="U171" i="5"/>
  <c r="U170" i="5"/>
  <c r="U63" i="5" s="1"/>
  <c r="AK28" i="5"/>
  <c r="AK79" i="5" s="1"/>
  <c r="AE57" i="5"/>
  <c r="AE79" i="5"/>
  <c r="AN57" i="5"/>
  <c r="AN79" i="5"/>
  <c r="AH75" i="5"/>
  <c r="AH57" i="5"/>
  <c r="AU34" i="4"/>
  <c r="S134" i="4"/>
  <c r="AU32" i="4"/>
  <c r="T58" i="5"/>
  <c r="T136" i="5"/>
  <c r="AW34" i="4"/>
  <c r="X56" i="5"/>
  <c r="X86" i="5"/>
  <c r="W87" i="5"/>
  <c r="W159" i="5"/>
  <c r="W126" i="5"/>
  <c r="U157" i="4"/>
  <c r="U124" i="4"/>
  <c r="U85" i="4"/>
  <c r="CI26" i="5"/>
  <c r="CI46" i="5" s="1"/>
  <c r="V84" i="4"/>
  <c r="V8" i="4"/>
  <c r="W9" i="4"/>
  <c r="AF75" i="5"/>
  <c r="AD74" i="5"/>
  <c r="AE74" i="5"/>
  <c r="CO26" i="5"/>
  <c r="CO46" i="5" s="1"/>
  <c r="AE75" i="5"/>
  <c r="AU45" i="5"/>
  <c r="AV45" i="5"/>
  <c r="AX45" i="5"/>
  <c r="CM26" i="5"/>
  <c r="CM46" i="5" s="1"/>
  <c r="BE33" i="4"/>
  <c r="AE55" i="5"/>
  <c r="AH52" i="5"/>
  <c r="CA25" i="5"/>
  <c r="CA48" i="5" s="1"/>
  <c r="CK26" i="5"/>
  <c r="CK46" i="5" s="1"/>
  <c r="C45" i="4"/>
  <c r="AG74" i="5"/>
  <c r="AJ31" i="5"/>
  <c r="AG31" i="5"/>
  <c r="AR33" i="5"/>
  <c r="AR35" i="5"/>
  <c r="AH30" i="5"/>
  <c r="BZ48" i="5"/>
  <c r="BZ47" i="5"/>
  <c r="BZ49" i="5"/>
  <c r="AT33" i="5"/>
  <c r="AT35" i="5"/>
  <c r="AN30" i="5"/>
  <c r="AD31" i="5"/>
  <c r="CB49" i="5"/>
  <c r="CB48" i="5"/>
  <c r="CB47" i="5"/>
  <c r="BU49" i="5"/>
  <c r="BU48" i="5"/>
  <c r="BU47" i="5"/>
  <c r="AS35" i="5"/>
  <c r="CC32" i="5"/>
  <c r="AU33" i="5"/>
  <c r="AU35" i="5"/>
  <c r="AE30" i="5"/>
  <c r="AN153" i="5"/>
  <c r="BV16" i="5"/>
  <c r="BV19" i="5" s="1"/>
  <c r="AO27" i="5"/>
  <c r="AO28" i="5" s="1"/>
  <c r="AO79" i="5" s="1"/>
  <c r="BI20" i="5"/>
  <c r="BI34" i="5" s="1"/>
  <c r="AX22" i="5"/>
  <c r="AX32" i="4"/>
  <c r="AX34" i="4"/>
  <c r="AL28" i="5"/>
  <c r="AL153" i="5"/>
  <c r="CE25" i="5"/>
  <c r="BG33" i="4"/>
  <c r="BF33" i="4"/>
  <c r="AP27" i="5"/>
  <c r="CF25" i="5"/>
  <c r="BZ16" i="5"/>
  <c r="BL20" i="5"/>
  <c r="BL34" i="5" s="1"/>
  <c r="BJ20" i="5"/>
  <c r="BJ34" i="5" s="1"/>
  <c r="AR27" i="5"/>
  <c r="AR153" i="5" s="1"/>
  <c r="BH33" i="4"/>
  <c r="AY34" i="4"/>
  <c r="BK20" i="5"/>
  <c r="BK34" i="5" s="1"/>
  <c r="AI28" i="5"/>
  <c r="AI153" i="5"/>
  <c r="AV34" i="4"/>
  <c r="AV22" i="5"/>
  <c r="AV32" i="4"/>
  <c r="AM27" i="5"/>
  <c r="CD25" i="5"/>
  <c r="AW22" i="5"/>
  <c r="AW33" i="5" s="1"/>
  <c r="AW32" i="4"/>
  <c r="V168" i="4"/>
  <c r="CG15" i="5"/>
  <c r="BY25" i="5"/>
  <c r="X8" i="5"/>
  <c r="Y9" i="5"/>
  <c r="CH26" i="5"/>
  <c r="CH46" i="5" s="1"/>
  <c r="CL26" i="5"/>
  <c r="CL46" i="5" s="1"/>
  <c r="CN26" i="5"/>
  <c r="CN46" i="5" s="1"/>
  <c r="V174" i="5"/>
  <c r="BX76" i="39" l="1"/>
  <c r="BZ19" i="5"/>
  <c r="AA149" i="39"/>
  <c r="Z174" i="39"/>
  <c r="CK15" i="39"/>
  <c r="CG31" i="39"/>
  <c r="CG16" i="39"/>
  <c r="CE31" i="4"/>
  <c r="CI15" i="4"/>
  <c r="CE16" i="4"/>
  <c r="CE15" i="5"/>
  <c r="CE32" i="5" s="1"/>
  <c r="CH15" i="4"/>
  <c r="CD31" i="4"/>
  <c r="CD16" i="4"/>
  <c r="CD15" i="5"/>
  <c r="CD32" i="5" s="1"/>
  <c r="CG31" i="4"/>
  <c r="CK15" i="4"/>
  <c r="CK15" i="5" s="1"/>
  <c r="CG16" i="4"/>
  <c r="CF15" i="39"/>
  <c r="CB31" i="39"/>
  <c r="CB16" i="39"/>
  <c r="CB31" i="4"/>
  <c r="CF15" i="4"/>
  <c r="CB15" i="5"/>
  <c r="CB32" i="5" s="1"/>
  <c r="CB16" i="4"/>
  <c r="CH15" i="39"/>
  <c r="CD31" i="39"/>
  <c r="CD16" i="39"/>
  <c r="CE31" i="39"/>
  <c r="CI15" i="39"/>
  <c r="CE16" i="39"/>
  <c r="AW45" i="5"/>
  <c r="CC75" i="39"/>
  <c r="CC150" i="39" s="1"/>
  <c r="CC79" i="39" s="1"/>
  <c r="CB75" i="39"/>
  <c r="BZ75" i="39"/>
  <c r="CI33" i="39"/>
  <c r="CM20" i="39"/>
  <c r="CI27" i="39"/>
  <c r="CI74" i="39" s="1"/>
  <c r="CI151" i="39"/>
  <c r="CD30" i="39"/>
  <c r="BZ77" i="39"/>
  <c r="CB76" i="39"/>
  <c r="CA30" i="39"/>
  <c r="CA75" i="39"/>
  <c r="BX77" i="39"/>
  <c r="BO172" i="39"/>
  <c r="CE39" i="39"/>
  <c r="CF74" i="39"/>
  <c r="CE42" i="39"/>
  <c r="CE43" i="39"/>
  <c r="CE38" i="39"/>
  <c r="CE34" i="39"/>
  <c r="CE44" i="39"/>
  <c r="CD73" i="39"/>
  <c r="CE29" i="39"/>
  <c r="CE40" i="39"/>
  <c r="BY59" i="39"/>
  <c r="BY60" i="39" s="1"/>
  <c r="BY133" i="39" s="1"/>
  <c r="CB30" i="39"/>
  <c r="CC76" i="39"/>
  <c r="CH38" i="39"/>
  <c r="CH43" i="39"/>
  <c r="CH40" i="39"/>
  <c r="CH39" i="39"/>
  <c r="CH34" i="39"/>
  <c r="CH44" i="39"/>
  <c r="CH29" i="39"/>
  <c r="CG73" i="39"/>
  <c r="CH42" i="39"/>
  <c r="CF39" i="39"/>
  <c r="CF38" i="39"/>
  <c r="CE73" i="39"/>
  <c r="CF42" i="39"/>
  <c r="CF29" i="39"/>
  <c r="CF43" i="39"/>
  <c r="CF40" i="39"/>
  <c r="CF34" i="39"/>
  <c r="CF44" i="39"/>
  <c r="CG74" i="39"/>
  <c r="CG38" i="39"/>
  <c r="CG34" i="39"/>
  <c r="CG40" i="39"/>
  <c r="CG43" i="39"/>
  <c r="CG44" i="39"/>
  <c r="CG29" i="39"/>
  <c r="CG42" i="39"/>
  <c r="CF73" i="39"/>
  <c r="CG39" i="39"/>
  <c r="CH74" i="39"/>
  <c r="CL33" i="39"/>
  <c r="CL27" i="39"/>
  <c r="CL151" i="39"/>
  <c r="BY77" i="39"/>
  <c r="CJ33" i="39"/>
  <c r="CN20" i="39"/>
  <c r="CJ151" i="39"/>
  <c r="CJ27" i="39"/>
  <c r="CO20" i="39"/>
  <c r="CK33" i="39"/>
  <c r="CK151" i="39"/>
  <c r="CK27" i="39"/>
  <c r="BS180" i="39"/>
  <c r="CC30" i="39"/>
  <c r="CD76" i="39"/>
  <c r="BT16" i="4"/>
  <c r="CA19" i="4"/>
  <c r="X140" i="39"/>
  <c r="X91" i="39"/>
  <c r="X63" i="39"/>
  <c r="X64" i="39" s="1"/>
  <c r="X176" i="39"/>
  <c r="X135" i="39"/>
  <c r="X136" i="39" s="1"/>
  <c r="X144" i="39" s="1"/>
  <c r="BN133" i="39"/>
  <c r="BN61" i="39"/>
  <c r="BN71" i="39"/>
  <c r="CG52" i="39"/>
  <c r="BM173" i="39"/>
  <c r="BN173" i="39" s="1"/>
  <c r="BO173" i="39" s="1"/>
  <c r="BP173" i="39" s="1"/>
  <c r="BV52" i="39"/>
  <c r="BV72" i="39" s="1"/>
  <c r="BQ72" i="39"/>
  <c r="BR150" i="39"/>
  <c r="BR79" i="39" s="1"/>
  <c r="BR59" i="39"/>
  <c r="BR60" i="39" s="1"/>
  <c r="BR72" i="39"/>
  <c r="BS133" i="39"/>
  <c r="BS71" i="39"/>
  <c r="BS61" i="39"/>
  <c r="BT61" i="39"/>
  <c r="BT133" i="39"/>
  <c r="BT71" i="39"/>
  <c r="CA52" i="39"/>
  <c r="BW59" i="39"/>
  <c r="BW60" i="39" s="1"/>
  <c r="BW150" i="39"/>
  <c r="BW79" i="39" s="1"/>
  <c r="W177" i="39"/>
  <c r="W115" i="39"/>
  <c r="CB52" i="39"/>
  <c r="CB72" i="39" s="1"/>
  <c r="BX59" i="39"/>
  <c r="BX60" i="39" s="1"/>
  <c r="BW72" i="39"/>
  <c r="BX150" i="39"/>
  <c r="BX79" i="39" s="1"/>
  <c r="AW53" i="5"/>
  <c r="AW21" i="5"/>
  <c r="BC21" i="5"/>
  <c r="BA16" i="5"/>
  <c r="BA19" i="5" s="1"/>
  <c r="BA45" i="5" s="1"/>
  <c r="AZ21" i="5"/>
  <c r="BF21" i="5"/>
  <c r="BP16" i="5"/>
  <c r="BP19" i="5" s="1"/>
  <c r="BL53" i="5"/>
  <c r="BL38" i="5"/>
  <c r="BO16" i="5"/>
  <c r="BO19" i="5" s="1"/>
  <c r="BK53" i="5"/>
  <c r="BK38" i="5"/>
  <c r="AK75" i="5"/>
  <c r="AJ74" i="5"/>
  <c r="AN54" i="5"/>
  <c r="AH51" i="5"/>
  <c r="AE44" i="5"/>
  <c r="AH44" i="5"/>
  <c r="AE50" i="5"/>
  <c r="AH50" i="5"/>
  <c r="AN50" i="5"/>
  <c r="AK50" i="5"/>
  <c r="AK44" i="5"/>
  <c r="AN44" i="5"/>
  <c r="AE52" i="5"/>
  <c r="AN51" i="5"/>
  <c r="AE51" i="5"/>
  <c r="AK57" i="5"/>
  <c r="AN55" i="5"/>
  <c r="AH55" i="5"/>
  <c r="W169" i="5"/>
  <c r="V170" i="5"/>
  <c r="V63" i="5" s="1"/>
  <c r="V171" i="5"/>
  <c r="AK30" i="5"/>
  <c r="AK55" i="5"/>
  <c r="BA34" i="4"/>
  <c r="AL57" i="5"/>
  <c r="AL79" i="5"/>
  <c r="AI57" i="5"/>
  <c r="AI79" i="5"/>
  <c r="AO75" i="5"/>
  <c r="AO57" i="5"/>
  <c r="AO153" i="5"/>
  <c r="CA47" i="5"/>
  <c r="T134" i="4"/>
  <c r="CA49" i="5"/>
  <c r="U58" i="5"/>
  <c r="U136" i="5"/>
  <c r="BI33" i="4"/>
  <c r="AR28" i="5"/>
  <c r="AH54" i="5"/>
  <c r="Y56" i="5"/>
  <c r="Y86" i="5"/>
  <c r="AE54" i="5"/>
  <c r="W84" i="4"/>
  <c r="W8" i="4"/>
  <c r="X9" i="4"/>
  <c r="AN52" i="5"/>
  <c r="AK52" i="5"/>
  <c r="V157" i="4"/>
  <c r="V124" i="4"/>
  <c r="V85" i="4"/>
  <c r="AK51" i="5"/>
  <c r="AK54" i="5"/>
  <c r="X159" i="5"/>
  <c r="X126" i="5"/>
  <c r="X87" i="5"/>
  <c r="AJ75" i="5"/>
  <c r="AH74" i="5"/>
  <c r="AI74" i="5"/>
  <c r="BB45" i="5"/>
  <c r="AZ45" i="5"/>
  <c r="V52" i="5"/>
  <c r="K52" i="5"/>
  <c r="X52" i="5"/>
  <c r="F52" i="5"/>
  <c r="J52" i="5"/>
  <c r="N52" i="5"/>
  <c r="G52" i="5"/>
  <c r="P52" i="5"/>
  <c r="I52" i="5"/>
  <c r="Q52" i="5"/>
  <c r="O52" i="5"/>
  <c r="S52" i="5"/>
  <c r="W52" i="5"/>
  <c r="T52" i="5"/>
  <c r="R52" i="5"/>
  <c r="E52" i="5"/>
  <c r="M52" i="5"/>
  <c r="H52" i="5"/>
  <c r="L52" i="5"/>
  <c r="U52" i="5"/>
  <c r="Z52" i="5"/>
  <c r="AB52" i="5"/>
  <c r="Y52" i="5"/>
  <c r="AF52" i="5"/>
  <c r="AC52" i="5"/>
  <c r="AA52" i="5"/>
  <c r="AG52" i="5"/>
  <c r="AJ52" i="5"/>
  <c r="AD52" i="5"/>
  <c r="G55" i="5"/>
  <c r="O55" i="5"/>
  <c r="V55" i="5"/>
  <c r="S55" i="5"/>
  <c r="L55" i="5"/>
  <c r="T55" i="5"/>
  <c r="E55" i="5"/>
  <c r="Q55" i="5"/>
  <c r="J55" i="5"/>
  <c r="H55" i="5"/>
  <c r="F55" i="5"/>
  <c r="N55" i="5"/>
  <c r="K55" i="5"/>
  <c r="W55" i="5"/>
  <c r="P55" i="5"/>
  <c r="X55" i="5"/>
  <c r="R55" i="5"/>
  <c r="I55" i="5"/>
  <c r="M55" i="5"/>
  <c r="U55" i="5"/>
  <c r="Z55" i="5"/>
  <c r="AB55" i="5"/>
  <c r="Y55" i="5"/>
  <c r="AC55" i="5"/>
  <c r="AA55" i="5"/>
  <c r="AF55" i="5"/>
  <c r="AG55" i="5"/>
  <c r="AJ55" i="5"/>
  <c r="AD55" i="5"/>
  <c r="AE31" i="5"/>
  <c r="F51" i="5"/>
  <c r="G51" i="5"/>
  <c r="O51" i="5"/>
  <c r="L51" i="5"/>
  <c r="T51" i="5"/>
  <c r="E51" i="5"/>
  <c r="I51" i="5"/>
  <c r="Q51" i="5"/>
  <c r="K51" i="5"/>
  <c r="S51" i="5"/>
  <c r="W51" i="5"/>
  <c r="H51" i="5"/>
  <c r="R51" i="5"/>
  <c r="M51" i="5"/>
  <c r="P51" i="5"/>
  <c r="X51" i="5"/>
  <c r="U51" i="5"/>
  <c r="J51" i="5"/>
  <c r="N51" i="5"/>
  <c r="V51" i="5"/>
  <c r="Z51" i="5"/>
  <c r="AB51" i="5"/>
  <c r="Y51" i="5"/>
  <c r="AA51" i="5"/>
  <c r="AC51" i="5"/>
  <c r="AF51" i="5"/>
  <c r="AJ51" i="5"/>
  <c r="AD51" i="5"/>
  <c r="AG51" i="5"/>
  <c r="AN74" i="5"/>
  <c r="AK74" i="5"/>
  <c r="AN31" i="5"/>
  <c r="AH31" i="5"/>
  <c r="AI75" i="5"/>
  <c r="F44" i="5"/>
  <c r="K44" i="5"/>
  <c r="S44" i="5"/>
  <c r="P44" i="5"/>
  <c r="E44" i="5"/>
  <c r="M44" i="5"/>
  <c r="N44" i="5"/>
  <c r="G44" i="5"/>
  <c r="T44" i="5"/>
  <c r="U44" i="5"/>
  <c r="O44" i="5"/>
  <c r="W44" i="5"/>
  <c r="H44" i="5"/>
  <c r="L44" i="5"/>
  <c r="J44" i="5"/>
  <c r="V44" i="5"/>
  <c r="X44" i="5"/>
  <c r="R44" i="5"/>
  <c r="I44" i="5"/>
  <c r="Q44" i="5"/>
  <c r="AB44" i="5"/>
  <c r="Z44" i="5"/>
  <c r="Y44" i="5"/>
  <c r="AC44" i="5"/>
  <c r="AF44" i="5"/>
  <c r="AA44" i="5"/>
  <c r="AJ44" i="5"/>
  <c r="AD44" i="5"/>
  <c r="AG44" i="5"/>
  <c r="AL75" i="5"/>
  <c r="AY32" i="4"/>
  <c r="AY45" i="5"/>
  <c r="N54" i="5"/>
  <c r="W54" i="5"/>
  <c r="H54" i="5"/>
  <c r="P54" i="5"/>
  <c r="M54" i="5"/>
  <c r="J54" i="5"/>
  <c r="O54" i="5"/>
  <c r="X54" i="5"/>
  <c r="R54" i="5"/>
  <c r="U54" i="5"/>
  <c r="F54" i="5"/>
  <c r="V54" i="5"/>
  <c r="K54" i="5"/>
  <c r="L54" i="5"/>
  <c r="I54" i="5"/>
  <c r="Q54" i="5"/>
  <c r="G54" i="5"/>
  <c r="S54" i="5"/>
  <c r="T54" i="5"/>
  <c r="E54" i="5"/>
  <c r="Z54" i="5"/>
  <c r="AB54" i="5"/>
  <c r="Y54" i="5"/>
  <c r="AF54" i="5"/>
  <c r="AA54" i="5"/>
  <c r="AC54" i="5"/>
  <c r="AG54" i="5"/>
  <c r="AD54" i="5"/>
  <c r="AJ54" i="5"/>
  <c r="J50" i="5"/>
  <c r="S50" i="5"/>
  <c r="X50" i="5"/>
  <c r="U50" i="5"/>
  <c r="V50" i="5"/>
  <c r="L50" i="5"/>
  <c r="F50" i="5"/>
  <c r="N50" i="5"/>
  <c r="G50" i="5"/>
  <c r="K50" i="5"/>
  <c r="R50" i="5"/>
  <c r="I50" i="5"/>
  <c r="Q50" i="5"/>
  <c r="O50" i="5"/>
  <c r="W50" i="5"/>
  <c r="H50" i="5"/>
  <c r="P50" i="5"/>
  <c r="T50" i="5"/>
  <c r="E50" i="5"/>
  <c r="M50" i="5"/>
  <c r="AB50" i="5"/>
  <c r="Z50" i="5"/>
  <c r="Y50" i="5"/>
  <c r="AA50" i="5"/>
  <c r="AC50" i="5"/>
  <c r="AF50" i="5"/>
  <c r="AJ50" i="5"/>
  <c r="AG50" i="5"/>
  <c r="AD50" i="5"/>
  <c r="BZ53" i="5"/>
  <c r="BZ38" i="5"/>
  <c r="C46" i="5"/>
  <c r="CD48" i="5"/>
  <c r="CD47" i="5"/>
  <c r="CD49" i="5"/>
  <c r="AL55" i="5"/>
  <c r="AL54" i="5"/>
  <c r="AL51" i="5"/>
  <c r="AL52" i="5"/>
  <c r="AL50" i="5"/>
  <c r="AL44" i="5"/>
  <c r="AL30" i="5"/>
  <c r="CF49" i="5"/>
  <c r="CF48" i="5"/>
  <c r="CF47" i="5"/>
  <c r="BY49" i="5"/>
  <c r="BY48" i="5"/>
  <c r="BY47" i="5"/>
  <c r="CE49" i="5"/>
  <c r="CE48" i="5"/>
  <c r="CE47" i="5"/>
  <c r="AW35" i="5"/>
  <c r="AO55" i="5"/>
  <c r="AO54" i="5"/>
  <c r="AO51" i="5"/>
  <c r="AO52" i="5"/>
  <c r="AO50" i="5"/>
  <c r="AO44" i="5"/>
  <c r="AO30" i="5"/>
  <c r="CG32" i="5"/>
  <c r="AI55" i="5"/>
  <c r="AI52" i="5"/>
  <c r="AI54" i="5"/>
  <c r="AI51" i="5"/>
  <c r="AI50" i="5"/>
  <c r="AI44" i="5"/>
  <c r="AI30" i="5"/>
  <c r="BV53" i="5"/>
  <c r="BV38" i="5"/>
  <c r="AV33" i="5"/>
  <c r="AV35" i="5"/>
  <c r="AX33" i="5"/>
  <c r="AX35" i="5"/>
  <c r="AS27" i="5"/>
  <c r="AS28" i="5" s="1"/>
  <c r="AY22" i="5"/>
  <c r="AT27" i="5"/>
  <c r="BK33" i="4"/>
  <c r="BL33" i="4"/>
  <c r="AZ27" i="5"/>
  <c r="CJ25" i="5"/>
  <c r="BJ33" i="4"/>
  <c r="AW27" i="5"/>
  <c r="CM25" i="5"/>
  <c r="CI25" i="5"/>
  <c r="BO20" i="5"/>
  <c r="BO34" i="5" s="1"/>
  <c r="BB32" i="4"/>
  <c r="BB34" i="4"/>
  <c r="BB22" i="5"/>
  <c r="BC22" i="5"/>
  <c r="BE34" i="4"/>
  <c r="BN20" i="5"/>
  <c r="BN34" i="5" s="1"/>
  <c r="BP20" i="5"/>
  <c r="BP34" i="5" s="1"/>
  <c r="CD16" i="5"/>
  <c r="CD19" i="5" s="1"/>
  <c r="AV27" i="5"/>
  <c r="AV153" i="5" s="1"/>
  <c r="AP28" i="5"/>
  <c r="AP153" i="5"/>
  <c r="BM20" i="5"/>
  <c r="BM34" i="5" s="1"/>
  <c r="AZ34" i="4"/>
  <c r="AZ32" i="4"/>
  <c r="AZ22" i="5"/>
  <c r="AQ27" i="5"/>
  <c r="AM153" i="5"/>
  <c r="AM28" i="5"/>
  <c r="AM79" i="5" s="1"/>
  <c r="Z9" i="5"/>
  <c r="Y8" i="5"/>
  <c r="CH25" i="5"/>
  <c r="CL25" i="5"/>
  <c r="CC25" i="5"/>
  <c r="W168" i="4"/>
  <c r="BA22" i="5"/>
  <c r="BA33" i="5" s="1"/>
  <c r="BA32" i="4"/>
  <c r="W174" i="5"/>
  <c r="C26" i="5"/>
  <c r="AA152" i="39" l="1"/>
  <c r="AA80" i="39"/>
  <c r="CF31" i="39"/>
  <c r="CJ15" i="39"/>
  <c r="CF16" i="39"/>
  <c r="CG75" i="39"/>
  <c r="CO15" i="4"/>
  <c r="CO31" i="4" s="1"/>
  <c r="CK31" i="4"/>
  <c r="CK16" i="4"/>
  <c r="CI31" i="39"/>
  <c r="CM15" i="39"/>
  <c r="CI16" i="39"/>
  <c r="CH31" i="4"/>
  <c r="CL15" i="4"/>
  <c r="CH15" i="5"/>
  <c r="CH32" i="5" s="1"/>
  <c r="CH31" i="39"/>
  <c r="CH76" i="39" s="1"/>
  <c r="CL15" i="39"/>
  <c r="CH16" i="39"/>
  <c r="CI31" i="4"/>
  <c r="CM15" i="4"/>
  <c r="CI16" i="4"/>
  <c r="CI15" i="5"/>
  <c r="CI32" i="5" s="1"/>
  <c r="CJ15" i="4"/>
  <c r="CF31" i="4"/>
  <c r="CF15" i="5"/>
  <c r="CF32" i="5" s="1"/>
  <c r="CF16" i="4"/>
  <c r="CK31" i="39"/>
  <c r="CO15" i="39"/>
  <c r="CK16" i="39"/>
  <c r="CE75" i="39"/>
  <c r="BY61" i="39"/>
  <c r="BY71" i="39"/>
  <c r="CD75" i="39"/>
  <c r="CF75" i="39"/>
  <c r="CC77" i="39"/>
  <c r="CD77" i="39"/>
  <c r="BT180" i="39"/>
  <c r="BU180" i="39" s="1"/>
  <c r="BV180" i="39" s="1"/>
  <c r="BW180" i="39" s="1"/>
  <c r="BX180" i="39" s="1"/>
  <c r="BY180" i="39" s="1"/>
  <c r="BZ180" i="39" s="1"/>
  <c r="CF30" i="39"/>
  <c r="CG76" i="39"/>
  <c r="CK74" i="39"/>
  <c r="CK29" i="39"/>
  <c r="CJ73" i="39"/>
  <c r="CK42" i="39"/>
  <c r="CK40" i="39"/>
  <c r="CK34" i="39"/>
  <c r="CK39" i="39"/>
  <c r="CK44" i="39"/>
  <c r="CL74" i="39"/>
  <c r="CK43" i="39"/>
  <c r="CK38" i="39"/>
  <c r="CI34" i="39"/>
  <c r="CI29" i="39"/>
  <c r="CI39" i="39"/>
  <c r="CJ74" i="39"/>
  <c r="CI38" i="39"/>
  <c r="CI44" i="39"/>
  <c r="CI43" i="39"/>
  <c r="CI42" i="39"/>
  <c r="CI40" i="39"/>
  <c r="CH73" i="39"/>
  <c r="CM33" i="39"/>
  <c r="CM27" i="39"/>
  <c r="CM151" i="39"/>
  <c r="CL42" i="39"/>
  <c r="CL34" i="39"/>
  <c r="CL44" i="39"/>
  <c r="CK73" i="39"/>
  <c r="CL43" i="39"/>
  <c r="CL40" i="39"/>
  <c r="CL38" i="39"/>
  <c r="CL39" i="39"/>
  <c r="CL29" i="39"/>
  <c r="CO33" i="39"/>
  <c r="CO27" i="39"/>
  <c r="CG30" i="39"/>
  <c r="CG59" i="39" s="1"/>
  <c r="CG60" i="39" s="1"/>
  <c r="CB77" i="39"/>
  <c r="CA77" i="39"/>
  <c r="CF76" i="39"/>
  <c r="CE30" i="39"/>
  <c r="CE77" i="39" s="1"/>
  <c r="CI73" i="39"/>
  <c r="CJ38" i="39"/>
  <c r="CJ29" i="39"/>
  <c r="CJ40" i="39"/>
  <c r="CJ44" i="39"/>
  <c r="CJ39" i="39"/>
  <c r="CJ42" i="39"/>
  <c r="CJ43" i="39"/>
  <c r="CJ34" i="39"/>
  <c r="BP172" i="39"/>
  <c r="BQ172" i="39" s="1"/>
  <c r="BR172" i="39" s="1"/>
  <c r="BS172" i="39" s="1"/>
  <c r="BT172" i="39" s="1"/>
  <c r="BU172" i="39" s="1"/>
  <c r="BV172" i="39" s="1"/>
  <c r="BW172" i="39" s="1"/>
  <c r="BX172" i="39" s="1"/>
  <c r="BY172" i="39" s="1"/>
  <c r="BZ172" i="39" s="1"/>
  <c r="CA172" i="39" s="1"/>
  <c r="CB172" i="39" s="1"/>
  <c r="CC172" i="39" s="1"/>
  <c r="CD172" i="39" s="1"/>
  <c r="CC59" i="39"/>
  <c r="CC60" i="39" s="1"/>
  <c r="CC133" i="39" s="1"/>
  <c r="CE76" i="39"/>
  <c r="CN33" i="39"/>
  <c r="CN151" i="39"/>
  <c r="CN27" i="39"/>
  <c r="G20" i="40" a="1"/>
  <c r="G20" i="40" s="1"/>
  <c r="C20" i="39"/>
  <c r="R20" i="40" a="1"/>
  <c r="R20" i="40" s="1"/>
  <c r="T20" i="40" a="1"/>
  <c r="T20" i="40" s="1"/>
  <c r="H20" i="40" a="1"/>
  <c r="H20" i="40" s="1"/>
  <c r="W20" i="40" a="1"/>
  <c r="W20" i="40" s="1"/>
  <c r="P20" i="40" a="1"/>
  <c r="P20" i="40" s="1"/>
  <c r="E20" i="40" a="1"/>
  <c r="E20" i="40" s="1"/>
  <c r="S20" i="40" a="1"/>
  <c r="S20" i="40" s="1"/>
  <c r="F20" i="40" a="1"/>
  <c r="F20" i="40" s="1"/>
  <c r="L20" i="40" a="1"/>
  <c r="L20" i="40" s="1"/>
  <c r="X20" i="40" a="1"/>
  <c r="X20" i="40" s="1"/>
  <c r="N20" i="40" a="1"/>
  <c r="N20" i="40" s="1"/>
  <c r="O20" i="40" a="1"/>
  <c r="O20" i="40" s="1"/>
  <c r="Q20" i="40" a="1"/>
  <c r="Q20" i="40" s="1"/>
  <c r="I20" i="40" a="1"/>
  <c r="I20" i="40" s="1"/>
  <c r="Y20" i="40" a="1"/>
  <c r="Y20" i="40" s="1"/>
  <c r="K20" i="40" a="1"/>
  <c r="K20" i="40" s="1"/>
  <c r="Z20" i="40" a="1"/>
  <c r="Z20" i="40" s="1"/>
  <c r="J20" i="40" a="1"/>
  <c r="J20" i="40" s="1"/>
  <c r="V20" i="40" a="1"/>
  <c r="V20" i="40" s="1"/>
  <c r="U20" i="40" a="1"/>
  <c r="U20" i="40" s="1"/>
  <c r="M20" i="40" a="1"/>
  <c r="M20" i="40" s="1"/>
  <c r="CH30" i="39"/>
  <c r="BA53" i="5"/>
  <c r="BA38" i="5"/>
  <c r="CH19" i="4"/>
  <c r="CA16" i="4"/>
  <c r="CE52" i="39"/>
  <c r="CA59" i="39"/>
  <c r="CA60" i="39" s="1"/>
  <c r="CA150" i="39"/>
  <c r="CA79" i="39" s="1"/>
  <c r="BW133" i="39"/>
  <c r="BW71" i="39"/>
  <c r="BW61" i="39"/>
  <c r="BX71" i="39"/>
  <c r="BX61" i="39"/>
  <c r="BX133" i="39"/>
  <c r="X145" i="39"/>
  <c r="X137" i="39" s="1"/>
  <c r="X138" i="39" s="1"/>
  <c r="X139" i="39" s="1"/>
  <c r="X65" i="39" s="1"/>
  <c r="X78" i="39" s="1"/>
  <c r="Y176" i="39"/>
  <c r="X175" i="39"/>
  <c r="BR133" i="39"/>
  <c r="BR71" i="39"/>
  <c r="BR61" i="39"/>
  <c r="W190" i="39"/>
  <c r="W189" i="39"/>
  <c r="CK52" i="39"/>
  <c r="CF72" i="39"/>
  <c r="CG150" i="39"/>
  <c r="CG79" i="39" s="1"/>
  <c r="CF52" i="39"/>
  <c r="CA72" i="39"/>
  <c r="CB59" i="39"/>
  <c r="CB60" i="39" s="1"/>
  <c r="CB150" i="39"/>
  <c r="CB79" i="39" s="1"/>
  <c r="BQ173" i="39"/>
  <c r="BR173" i="39" s="1"/>
  <c r="BS173" i="39" s="1"/>
  <c r="BT173" i="39" s="1"/>
  <c r="X136" i="40" a="1"/>
  <c r="X136" i="40" s="1"/>
  <c r="Y136" i="40" a="1"/>
  <c r="Y136" i="40" s="1"/>
  <c r="R136" i="40" a="1"/>
  <c r="R136" i="40" s="1"/>
  <c r="F136" i="40" a="1"/>
  <c r="F136" i="40" s="1"/>
  <c r="L136" i="40" a="1"/>
  <c r="L136" i="40" s="1"/>
  <c r="X181" i="39"/>
  <c r="Z136" i="40" a="1"/>
  <c r="Z136" i="40" s="1"/>
  <c r="C140" i="39"/>
  <c r="V136" i="40" a="1"/>
  <c r="V136" i="40" s="1"/>
  <c r="J136" i="40" a="1"/>
  <c r="J136" i="40" s="1"/>
  <c r="W136" i="40" a="1"/>
  <c r="W136" i="40" s="1"/>
  <c r="P136" i="40" a="1"/>
  <c r="P136" i="40" s="1"/>
  <c r="I136" i="40" a="1"/>
  <c r="I136" i="40" s="1"/>
  <c r="N136" i="40" a="1"/>
  <c r="N136" i="40" s="1"/>
  <c r="S136" i="40" a="1"/>
  <c r="S136" i="40" s="1"/>
  <c r="O136" i="40" a="1"/>
  <c r="O136" i="40" s="1"/>
  <c r="U136" i="40" a="1"/>
  <c r="U136" i="40" s="1"/>
  <c r="M136" i="40" a="1"/>
  <c r="M136" i="40" s="1"/>
  <c r="E136" i="40" a="1"/>
  <c r="E136" i="40" s="1"/>
  <c r="K136" i="40" a="1"/>
  <c r="K136" i="40" s="1"/>
  <c r="T136" i="40" a="1"/>
  <c r="T136" i="40" s="1"/>
  <c r="Q136" i="40" a="1"/>
  <c r="Q136" i="40" s="1"/>
  <c r="H136" i="40" a="1"/>
  <c r="H136" i="40" s="1"/>
  <c r="G136" i="40" a="1"/>
  <c r="G136" i="40" s="1"/>
  <c r="BZ52" i="39"/>
  <c r="BU72" i="39"/>
  <c r="BV150" i="39"/>
  <c r="BV79" i="39" s="1"/>
  <c r="BV59" i="39"/>
  <c r="BV60" i="39" s="1"/>
  <c r="BJ21" i="5"/>
  <c r="BE16" i="5"/>
  <c r="BE19" i="5" s="1"/>
  <c r="BE38" i="5" s="1"/>
  <c r="BD21" i="5"/>
  <c r="BA21" i="5"/>
  <c r="BG21" i="5"/>
  <c r="BP53" i="5"/>
  <c r="BP38" i="5"/>
  <c r="BT16" i="5"/>
  <c r="BT19" i="5" s="1"/>
  <c r="BS16" i="5"/>
  <c r="BS19" i="5" s="1"/>
  <c r="BO53" i="5"/>
  <c r="BO38" i="5"/>
  <c r="BC34" i="4"/>
  <c r="AK31" i="5"/>
  <c r="X169" i="5"/>
  <c r="W170" i="5"/>
  <c r="W63" i="5" s="1"/>
  <c r="W171" i="5"/>
  <c r="T59" i="4"/>
  <c r="T60" i="4" s="1"/>
  <c r="T60" i="5"/>
  <c r="T61" i="5" s="1"/>
  <c r="AS57" i="5"/>
  <c r="AS79" i="5"/>
  <c r="AR52" i="5"/>
  <c r="AR79" i="5"/>
  <c r="AP57" i="5"/>
  <c r="AP79" i="5"/>
  <c r="AM75" i="5"/>
  <c r="AM57" i="5"/>
  <c r="AR57" i="5"/>
  <c r="AR51" i="5"/>
  <c r="AR54" i="5"/>
  <c r="AR44" i="5"/>
  <c r="AR55" i="5"/>
  <c r="BM33" i="4"/>
  <c r="BC32" i="4"/>
  <c r="AR30" i="5"/>
  <c r="AR31" i="5" s="1"/>
  <c r="AR50" i="5"/>
  <c r="U134" i="4"/>
  <c r="AS153" i="5"/>
  <c r="V58" i="5"/>
  <c r="V136" i="5"/>
  <c r="AV28" i="5"/>
  <c r="Y152" i="5"/>
  <c r="Y81" i="5" s="1"/>
  <c r="X84" i="4"/>
  <c r="Y9" i="4"/>
  <c r="X8" i="4"/>
  <c r="Z56" i="5"/>
  <c r="Z152" i="5" s="1"/>
  <c r="Z81" i="5" s="1"/>
  <c r="Z86" i="5"/>
  <c r="W157" i="4"/>
  <c r="W85" i="4"/>
  <c r="W124" i="4"/>
  <c r="Y159" i="5"/>
  <c r="Y126" i="5"/>
  <c r="Y87" i="5"/>
  <c r="Q73" i="5"/>
  <c r="R152" i="5"/>
  <c r="R81" i="5" s="1"/>
  <c r="R60" i="5"/>
  <c r="R61" i="5" s="1"/>
  <c r="L152" i="5"/>
  <c r="L81" i="5" s="1"/>
  <c r="K73" i="5"/>
  <c r="L60" i="5"/>
  <c r="L61" i="5" s="1"/>
  <c r="T73" i="5"/>
  <c r="U152" i="5"/>
  <c r="U81" i="5" s="1"/>
  <c r="L73" i="5"/>
  <c r="M152" i="5"/>
  <c r="M81" i="5" s="1"/>
  <c r="M60" i="5"/>
  <c r="M61" i="5" s="1"/>
  <c r="K152" i="5"/>
  <c r="K81" i="5" s="1"/>
  <c r="J73" i="5"/>
  <c r="K60" i="5"/>
  <c r="K61" i="5" s="1"/>
  <c r="E59" i="4"/>
  <c r="E60" i="4" s="1"/>
  <c r="T72" i="4"/>
  <c r="G72" i="4"/>
  <c r="H59" i="4"/>
  <c r="H60" i="4" s="1"/>
  <c r="J72" i="4"/>
  <c r="K59" i="4"/>
  <c r="K60" i="4" s="1"/>
  <c r="AO74" i="5"/>
  <c r="BD45" i="5"/>
  <c r="AR74" i="5"/>
  <c r="AO31" i="5"/>
  <c r="X73" i="5"/>
  <c r="W73" i="5"/>
  <c r="X152" i="5"/>
  <c r="X81" i="5" s="1"/>
  <c r="G73" i="5"/>
  <c r="H152" i="5"/>
  <c r="H81" i="5" s="1"/>
  <c r="H60" i="5"/>
  <c r="H61" i="5" s="1"/>
  <c r="T152" i="5"/>
  <c r="T81" i="5" s="1"/>
  <c r="S73" i="5"/>
  <c r="E152" i="5"/>
  <c r="E60" i="5"/>
  <c r="E61" i="5" s="1"/>
  <c r="E73" i="5"/>
  <c r="F152" i="5"/>
  <c r="F81" i="5" s="1"/>
  <c r="F60" i="5"/>
  <c r="F61" i="5" s="1"/>
  <c r="U72" i="4"/>
  <c r="P72" i="4"/>
  <c r="Q59" i="4"/>
  <c r="Q60" i="4" s="1"/>
  <c r="S72" i="4"/>
  <c r="F72" i="4"/>
  <c r="G59" i="4"/>
  <c r="G60" i="4" s="1"/>
  <c r="AS75" i="5"/>
  <c r="AN75" i="5"/>
  <c r="AL74" i="5"/>
  <c r="AM74" i="5"/>
  <c r="BF45" i="5"/>
  <c r="AI31" i="5"/>
  <c r="AL31" i="5"/>
  <c r="P73" i="5"/>
  <c r="Q152" i="5"/>
  <c r="Q81" i="5" s="1"/>
  <c r="Q60" i="5"/>
  <c r="Q61" i="5" s="1"/>
  <c r="U73" i="5"/>
  <c r="V152" i="5"/>
  <c r="V81" i="5" s="1"/>
  <c r="V73" i="5"/>
  <c r="W152" i="5"/>
  <c r="W81" i="5" s="1"/>
  <c r="F73" i="5"/>
  <c r="G152" i="5"/>
  <c r="G81" i="5" s="1"/>
  <c r="G60" i="5"/>
  <c r="G61" i="5" s="1"/>
  <c r="O73" i="5"/>
  <c r="P152" i="5"/>
  <c r="P81" i="5" s="1"/>
  <c r="P60" i="5"/>
  <c r="P61" i="5" s="1"/>
  <c r="M72" i="4"/>
  <c r="N59" i="4"/>
  <c r="N60" i="4" s="1"/>
  <c r="E72" i="4"/>
  <c r="E173" i="4" s="1"/>
  <c r="F59" i="4"/>
  <c r="F60" i="4" s="1"/>
  <c r="L72" i="4"/>
  <c r="M59" i="4"/>
  <c r="M60" i="4" s="1"/>
  <c r="O72" i="4"/>
  <c r="P59" i="4"/>
  <c r="P60" i="4" s="1"/>
  <c r="R72" i="4"/>
  <c r="S59" i="4"/>
  <c r="S60" i="4" s="1"/>
  <c r="BC45" i="5"/>
  <c r="H73" i="5"/>
  <c r="I152" i="5"/>
  <c r="I81" i="5" s="1"/>
  <c r="I60" i="5"/>
  <c r="I61" i="5" s="1"/>
  <c r="I73" i="5"/>
  <c r="J152" i="5"/>
  <c r="J81" i="5" s="1"/>
  <c r="J60" i="5"/>
  <c r="J61" i="5" s="1"/>
  <c r="O152" i="5"/>
  <c r="O81" i="5" s="1"/>
  <c r="N73" i="5"/>
  <c r="O60" i="5"/>
  <c r="O61" i="5" s="1"/>
  <c r="N152" i="5"/>
  <c r="N81" i="5" s="1"/>
  <c r="M73" i="5"/>
  <c r="N60" i="5"/>
  <c r="N61" i="5" s="1"/>
  <c r="R73" i="5"/>
  <c r="S152" i="5"/>
  <c r="S81" i="5" s="1"/>
  <c r="S60" i="5"/>
  <c r="S61" i="5" s="1"/>
  <c r="I72" i="4"/>
  <c r="J59" i="4"/>
  <c r="J60" i="4" s="1"/>
  <c r="Q72" i="4"/>
  <c r="R59" i="4"/>
  <c r="R60" i="4" s="1"/>
  <c r="H72" i="4"/>
  <c r="I59" i="4"/>
  <c r="I60" i="4" s="1"/>
  <c r="K72" i="4"/>
  <c r="L59" i="4"/>
  <c r="L60" i="4" s="1"/>
  <c r="N72" i="4"/>
  <c r="O59" i="4"/>
  <c r="O60" i="4" s="1"/>
  <c r="AP75" i="5"/>
  <c r="CI49" i="5"/>
  <c r="CI47" i="5"/>
  <c r="CI48" i="5"/>
  <c r="CC49" i="5"/>
  <c r="CC48" i="5"/>
  <c r="CC47" i="5"/>
  <c r="AP55" i="5"/>
  <c r="AP51" i="5"/>
  <c r="AP54" i="5"/>
  <c r="AP50" i="5"/>
  <c r="AP52" i="5"/>
  <c r="AP44" i="5"/>
  <c r="AP30" i="5"/>
  <c r="AZ153" i="5"/>
  <c r="AY33" i="5"/>
  <c r="AY35" i="5"/>
  <c r="AS55" i="5"/>
  <c r="AS54" i="5"/>
  <c r="AS51" i="5"/>
  <c r="AS52" i="5"/>
  <c r="AS50" i="5"/>
  <c r="AS44" i="5"/>
  <c r="AS30" i="5"/>
  <c r="CM49" i="5"/>
  <c r="CM47" i="5"/>
  <c r="CM48" i="5"/>
  <c r="CK32" i="5"/>
  <c r="C32" i="5" s="1"/>
  <c r="CD53" i="5"/>
  <c r="CD38" i="5"/>
  <c r="BC33" i="5"/>
  <c r="BC35" i="5"/>
  <c r="AZ28" i="5"/>
  <c r="AZ33" i="5"/>
  <c r="AZ35" i="5"/>
  <c r="CL48" i="5"/>
  <c r="CL47" i="5"/>
  <c r="CL49" i="5"/>
  <c r="CJ49" i="5"/>
  <c r="CJ48" i="5"/>
  <c r="CJ47" i="5"/>
  <c r="AM55" i="5"/>
  <c r="AM54" i="5"/>
  <c r="AM52" i="5"/>
  <c r="AM50" i="5"/>
  <c r="AM51" i="5"/>
  <c r="AM44" i="5"/>
  <c r="AM30" i="5"/>
  <c r="BA35" i="5"/>
  <c r="CH48" i="5"/>
  <c r="CH47" i="5"/>
  <c r="CH49" i="5"/>
  <c r="BB33" i="5"/>
  <c r="BB35" i="5"/>
  <c r="BG22" i="5"/>
  <c r="BS20" i="5"/>
  <c r="BS34" i="5" s="1"/>
  <c r="AT28" i="5"/>
  <c r="AT79" i="5" s="1"/>
  <c r="AT153" i="5"/>
  <c r="BT20" i="5"/>
  <c r="BT34" i="5" s="1"/>
  <c r="BN33" i="4"/>
  <c r="BO33" i="4"/>
  <c r="BQ20" i="5"/>
  <c r="BQ34" i="5" s="1"/>
  <c r="BP33" i="4"/>
  <c r="BR20" i="5"/>
  <c r="BR34" i="5" s="1"/>
  <c r="BI34" i="4"/>
  <c r="BF34" i="4"/>
  <c r="BF22" i="5"/>
  <c r="BF32" i="4"/>
  <c r="BD27" i="5"/>
  <c r="AX27" i="5"/>
  <c r="AQ28" i="5"/>
  <c r="AQ79" i="5" s="1"/>
  <c r="AQ153" i="5"/>
  <c r="BD32" i="4"/>
  <c r="BD34" i="4"/>
  <c r="BD22" i="5"/>
  <c r="AU27" i="5"/>
  <c r="AW153" i="5"/>
  <c r="AW28" i="5"/>
  <c r="CO15" i="5"/>
  <c r="Z8" i="5"/>
  <c r="AA9" i="5"/>
  <c r="X174" i="5"/>
  <c r="X168" i="4"/>
  <c r="CN25" i="5"/>
  <c r="BE22" i="5"/>
  <c r="BE33" i="5" s="1"/>
  <c r="BE32" i="4"/>
  <c r="CG25" i="5"/>
  <c r="CE172" i="39" l="1"/>
  <c r="CF172" i="39" s="1"/>
  <c r="CG172" i="39" s="1"/>
  <c r="BE45" i="5"/>
  <c r="BE53" i="5"/>
  <c r="CI76" i="39"/>
  <c r="AB149" i="39"/>
  <c r="AA174" i="39"/>
  <c r="CL31" i="39"/>
  <c r="CL16" i="39"/>
  <c r="CL31" i="4"/>
  <c r="CL16" i="4"/>
  <c r="CL15" i="5"/>
  <c r="CL32" i="5" s="1"/>
  <c r="CO31" i="39"/>
  <c r="CO16" i="39"/>
  <c r="CM31" i="39"/>
  <c r="CM16" i="39"/>
  <c r="CN15" i="4"/>
  <c r="CJ31" i="4"/>
  <c r="CJ15" i="5"/>
  <c r="CJ32" i="5" s="1"/>
  <c r="CJ16" i="4"/>
  <c r="CM31" i="4"/>
  <c r="CM15" i="5"/>
  <c r="CM32" i="5" s="1"/>
  <c r="CM16" i="4"/>
  <c r="CJ31" i="39"/>
  <c r="CN15" i="39"/>
  <c r="CJ16" i="39"/>
  <c r="CC61" i="39"/>
  <c r="CC71" i="39"/>
  <c r="CJ75" i="39"/>
  <c r="CI75" i="39"/>
  <c r="CH75" i="39"/>
  <c r="CH172" i="39" s="1"/>
  <c r="CK75" i="39"/>
  <c r="CN43" i="39"/>
  <c r="CN34" i="39"/>
  <c r="CN44" i="39"/>
  <c r="CN42" i="39"/>
  <c r="CN39" i="39"/>
  <c r="CN29" i="39"/>
  <c r="CM73" i="39"/>
  <c r="CN40" i="39"/>
  <c r="CN38" i="39"/>
  <c r="T23" i="40" a="1"/>
  <c r="T23" i="40" s="1"/>
  <c r="G23" i="40" a="1"/>
  <c r="G23" i="40" s="1"/>
  <c r="X23" i="40" a="1"/>
  <c r="X23" i="40" s="1"/>
  <c r="M23" i="40" a="1"/>
  <c r="M23" i="40" s="1"/>
  <c r="L23" i="40" a="1"/>
  <c r="L23" i="40" s="1"/>
  <c r="K23" i="40" a="1"/>
  <c r="K23" i="40" s="1"/>
  <c r="W23" i="40" a="1"/>
  <c r="W23" i="40" s="1"/>
  <c r="J23" i="40" a="1"/>
  <c r="J23" i="40" s="1"/>
  <c r="Y23" i="40" a="1"/>
  <c r="Y23" i="40" s="1"/>
  <c r="I23" i="40" a="1"/>
  <c r="I23" i="40" s="1"/>
  <c r="U23" i="40" a="1"/>
  <c r="U23" i="40" s="1"/>
  <c r="N23" i="40" a="1"/>
  <c r="N23" i="40" s="1"/>
  <c r="E23" i="40" a="1"/>
  <c r="E23" i="40" s="1"/>
  <c r="O23" i="40" a="1"/>
  <c r="O23" i="40" s="1"/>
  <c r="H23" i="40" a="1"/>
  <c r="H23" i="40" s="1"/>
  <c r="S23" i="40" a="1"/>
  <c r="S23" i="40" s="1"/>
  <c r="Z23" i="40" a="1"/>
  <c r="Z23" i="40" s="1"/>
  <c r="C27" i="39"/>
  <c r="V23" i="40" a="1"/>
  <c r="V23" i="40" s="1"/>
  <c r="R23" i="40" a="1"/>
  <c r="R23" i="40" s="1"/>
  <c r="Q23" i="40" a="1"/>
  <c r="Q23" i="40" s="1"/>
  <c r="P23" i="40" a="1"/>
  <c r="P23" i="40" s="1"/>
  <c r="F23" i="40" a="1"/>
  <c r="F23" i="40" s="1"/>
  <c r="G147" i="40" a="1"/>
  <c r="G147" i="40" s="1"/>
  <c r="Z147" i="40" a="1"/>
  <c r="Z147" i="40" s="1"/>
  <c r="W147" i="40" a="1"/>
  <c r="W147" i="40" s="1"/>
  <c r="T147" i="40" a="1"/>
  <c r="T147" i="40" s="1"/>
  <c r="R147" i="40" a="1"/>
  <c r="R147" i="40" s="1"/>
  <c r="U147" i="40" a="1"/>
  <c r="U147" i="40" s="1"/>
  <c r="E147" i="40" a="1"/>
  <c r="E147" i="40" s="1"/>
  <c r="F147" i="40" a="1"/>
  <c r="F147" i="40" s="1"/>
  <c r="Q147" i="40" a="1"/>
  <c r="Q147" i="40" s="1"/>
  <c r="C151" i="39"/>
  <c r="I147" i="40" a="1"/>
  <c r="I147" i="40" s="1"/>
  <c r="L147" i="40" a="1"/>
  <c r="L147" i="40" s="1"/>
  <c r="O147" i="40" a="1"/>
  <c r="O147" i="40" s="1"/>
  <c r="J147" i="40" a="1"/>
  <c r="J147" i="40" s="1"/>
  <c r="M147" i="40" a="1"/>
  <c r="M147" i="40" s="1"/>
  <c r="N147" i="40" a="1"/>
  <c r="N147" i="40" s="1"/>
  <c r="X147" i="40" a="1"/>
  <c r="X147" i="40" s="1"/>
  <c r="H147" i="40" a="1"/>
  <c r="H147" i="40" s="1"/>
  <c r="S147" i="40" a="1"/>
  <c r="S147" i="40" s="1"/>
  <c r="P147" i="40" a="1"/>
  <c r="P147" i="40" s="1"/>
  <c r="Y147" i="40" a="1"/>
  <c r="Y147" i="40" s="1"/>
  <c r="K147" i="40" a="1"/>
  <c r="K147" i="40" s="1"/>
  <c r="V147" i="40" a="1"/>
  <c r="V147" i="40" s="1"/>
  <c r="CG77" i="39"/>
  <c r="CH77" i="39"/>
  <c r="R29" i="40" a="1"/>
  <c r="R29" i="40" s="1"/>
  <c r="K29" i="40" a="1"/>
  <c r="K29" i="40" s="1"/>
  <c r="J29" i="40" a="1"/>
  <c r="J29" i="40" s="1"/>
  <c r="W29" i="40" a="1"/>
  <c r="W29" i="40" s="1"/>
  <c r="Z29" i="40" a="1"/>
  <c r="Z29" i="40" s="1"/>
  <c r="T29" i="40" a="1"/>
  <c r="T29" i="40" s="1"/>
  <c r="C33" i="39"/>
  <c r="V29" i="40" a="1"/>
  <c r="V29" i="40" s="1"/>
  <c r="G29" i="40" a="1"/>
  <c r="G29" i="40" s="1"/>
  <c r="I29" i="40" a="1"/>
  <c r="I29" i="40" s="1"/>
  <c r="N29" i="40" a="1"/>
  <c r="N29" i="40" s="1"/>
  <c r="X29" i="40" a="1"/>
  <c r="X29" i="40" s="1"/>
  <c r="Q29" i="40" a="1"/>
  <c r="Q29" i="40" s="1"/>
  <c r="O29" i="40" a="1"/>
  <c r="O29" i="40" s="1"/>
  <c r="F29" i="40" a="1"/>
  <c r="F29" i="40" s="1"/>
  <c r="L29" i="40" a="1"/>
  <c r="L29" i="40" s="1"/>
  <c r="Y29" i="40" a="1"/>
  <c r="Y29" i="40" s="1"/>
  <c r="M29" i="40" a="1"/>
  <c r="M29" i="40" s="1"/>
  <c r="H29" i="40" a="1"/>
  <c r="H29" i="40" s="1"/>
  <c r="P29" i="40" a="1"/>
  <c r="P29" i="40" s="1"/>
  <c r="S29" i="40" a="1"/>
  <c r="S29" i="40" s="1"/>
  <c r="E29" i="40" a="1"/>
  <c r="E29" i="40" s="1"/>
  <c r="U29" i="40" a="1"/>
  <c r="U29" i="40" s="1"/>
  <c r="CM44" i="39"/>
  <c r="CM40" i="39"/>
  <c r="CM43" i="39"/>
  <c r="CM34" i="39"/>
  <c r="CL75" i="39" s="1"/>
  <c r="CN74" i="39"/>
  <c r="CM39" i="39"/>
  <c r="CM38" i="39"/>
  <c r="CM29" i="39"/>
  <c r="CM42" i="39"/>
  <c r="CL73" i="39"/>
  <c r="CO44" i="39"/>
  <c r="CN73" i="39"/>
  <c r="CO43" i="39"/>
  <c r="CO42" i="39"/>
  <c r="CO39" i="39"/>
  <c r="CO40" i="39"/>
  <c r="CO29" i="39"/>
  <c r="CO30" i="39" s="1"/>
  <c r="CO34" i="39"/>
  <c r="CO38" i="39"/>
  <c r="C20" i="40"/>
  <c r="CL30" i="39"/>
  <c r="CA180" i="39"/>
  <c r="CK76" i="39"/>
  <c r="CJ30" i="39"/>
  <c r="CF77" i="39"/>
  <c r="CM74" i="39"/>
  <c r="CK30" i="39"/>
  <c r="CK59" i="39" s="1"/>
  <c r="CK60" i="39" s="1"/>
  <c r="CL76" i="39"/>
  <c r="CJ76" i="39"/>
  <c r="CI30" i="39"/>
  <c r="CO19" i="4"/>
  <c r="CO16" i="4" s="1"/>
  <c r="CH16" i="4"/>
  <c r="CH16" i="5" s="1"/>
  <c r="CH19" i="5" s="1"/>
  <c r="CH53" i="5" s="1"/>
  <c r="CJ52" i="39"/>
  <c r="CJ72" i="39" s="1"/>
  <c r="CE72" i="39"/>
  <c r="CF59" i="39"/>
  <c r="CF60" i="39" s="1"/>
  <c r="CF150" i="39"/>
  <c r="CF79" i="39" s="1"/>
  <c r="X146" i="39"/>
  <c r="Y143" i="39" s="1"/>
  <c r="X122" i="39"/>
  <c r="X120" i="39"/>
  <c r="X81" i="39"/>
  <c r="CG133" i="39"/>
  <c r="CG71" i="39"/>
  <c r="CG61" i="39"/>
  <c r="CO52" i="39"/>
  <c r="CK150" i="39"/>
  <c r="CK79" i="39" s="1"/>
  <c r="X179" i="39"/>
  <c r="Y181" i="39"/>
  <c r="Z176" i="39"/>
  <c r="Y175" i="39"/>
  <c r="C136" i="40"/>
  <c r="X66" i="39"/>
  <c r="X185" i="39" s="1"/>
  <c r="X184" i="39" s="1"/>
  <c r="CD52" i="39"/>
  <c r="CD72" i="39" s="1"/>
  <c r="BY72" i="39"/>
  <c r="BZ150" i="39"/>
  <c r="BZ79" i="39" s="1"/>
  <c r="BZ59" i="39"/>
  <c r="BZ60" i="39" s="1"/>
  <c r="CA133" i="39"/>
  <c r="CA71" i="39"/>
  <c r="CA61" i="39"/>
  <c r="BU173" i="39"/>
  <c r="BV173" i="39" s="1"/>
  <c r="BW173" i="39" s="1"/>
  <c r="BX173" i="39" s="1"/>
  <c r="BZ72" i="39"/>
  <c r="BV61" i="39"/>
  <c r="BV71" i="39"/>
  <c r="BV133" i="39"/>
  <c r="CB133" i="39"/>
  <c r="CB71" i="39"/>
  <c r="CB61" i="39"/>
  <c r="CI52" i="39"/>
  <c r="CE59" i="39"/>
  <c r="CE60" i="39" s="1"/>
  <c r="CE150" i="39"/>
  <c r="CE79" i="39" s="1"/>
  <c r="BE21" i="5"/>
  <c r="BI16" i="5"/>
  <c r="BI19" i="5" s="1"/>
  <c r="BI38" i="5" s="1"/>
  <c r="BK21" i="5"/>
  <c r="BH21" i="5"/>
  <c r="BN21" i="5"/>
  <c r="BX16" i="5"/>
  <c r="BX19" i="5" s="1"/>
  <c r="BT53" i="5"/>
  <c r="BT38" i="5"/>
  <c r="BS38" i="5"/>
  <c r="BS53" i="5"/>
  <c r="BW16" i="5"/>
  <c r="BW19" i="5" s="1"/>
  <c r="Y169" i="5"/>
  <c r="X171" i="5"/>
  <c r="X170" i="5"/>
  <c r="X63" i="5" s="1"/>
  <c r="U59" i="4"/>
  <c r="U60" i="4" s="1"/>
  <c r="U133" i="4" s="1"/>
  <c r="U60" i="5"/>
  <c r="U61" i="5" s="1"/>
  <c r="U62" i="5" s="1"/>
  <c r="AW57" i="5"/>
  <c r="AW79" i="5"/>
  <c r="AV57" i="5"/>
  <c r="AV79" i="5"/>
  <c r="AZ57" i="5"/>
  <c r="AZ79" i="5"/>
  <c r="AV54" i="5"/>
  <c r="AT75" i="5"/>
  <c r="AT57" i="5"/>
  <c r="AV55" i="5"/>
  <c r="AQ75" i="5"/>
  <c r="AQ57" i="5"/>
  <c r="AV44" i="5"/>
  <c r="AV50" i="5"/>
  <c r="AV30" i="5"/>
  <c r="AV31" i="5" s="1"/>
  <c r="AV51" i="5"/>
  <c r="AV52" i="5"/>
  <c r="V134" i="4"/>
  <c r="BQ33" i="4"/>
  <c r="Y73" i="5"/>
  <c r="W58" i="5"/>
  <c r="W136" i="5"/>
  <c r="BG32" i="4"/>
  <c r="BG34" i="4"/>
  <c r="AA56" i="5"/>
  <c r="Z73" i="5" s="1"/>
  <c r="AA86" i="5"/>
  <c r="Z159" i="5"/>
  <c r="Z126" i="5"/>
  <c r="Z87" i="5"/>
  <c r="Y84" i="4"/>
  <c r="Z9" i="4"/>
  <c r="Y8" i="4"/>
  <c r="X124" i="4"/>
  <c r="X85" i="4"/>
  <c r="X157" i="4"/>
  <c r="R61" i="4"/>
  <c r="R71" i="4"/>
  <c r="R133" i="4"/>
  <c r="O72" i="5"/>
  <c r="O62" i="5"/>
  <c r="O135" i="5"/>
  <c r="M61" i="4"/>
  <c r="M133" i="4"/>
  <c r="M71" i="4"/>
  <c r="G135" i="5"/>
  <c r="G72" i="5"/>
  <c r="G62" i="5"/>
  <c r="G71" i="4"/>
  <c r="G61" i="4"/>
  <c r="G133" i="4"/>
  <c r="T135" i="5"/>
  <c r="T72" i="5"/>
  <c r="T62" i="5"/>
  <c r="K133" i="4"/>
  <c r="K71" i="4"/>
  <c r="K61" i="4"/>
  <c r="E133" i="4"/>
  <c r="E136" i="4" s="1"/>
  <c r="E64" i="4"/>
  <c r="E71" i="4"/>
  <c r="E61" i="4"/>
  <c r="L72" i="5"/>
  <c r="L135" i="5"/>
  <c r="L62" i="5"/>
  <c r="AV74" i="5"/>
  <c r="AM31" i="5"/>
  <c r="I71" i="4"/>
  <c r="I133" i="4"/>
  <c r="I61" i="4"/>
  <c r="N72" i="5"/>
  <c r="N62" i="5"/>
  <c r="N135" i="5"/>
  <c r="P71" i="4"/>
  <c r="P133" i="4"/>
  <c r="P61" i="4"/>
  <c r="P62" i="5"/>
  <c r="P72" i="5"/>
  <c r="P135" i="5"/>
  <c r="Q62" i="5"/>
  <c r="Q72" i="5"/>
  <c r="Q135" i="5"/>
  <c r="Q61" i="4"/>
  <c r="Q133" i="4"/>
  <c r="Q71" i="4"/>
  <c r="E179" i="5"/>
  <c r="F179" i="5" s="1"/>
  <c r="G179" i="5" s="1"/>
  <c r="H179" i="5" s="1"/>
  <c r="I179" i="5" s="1"/>
  <c r="J179" i="5" s="1"/>
  <c r="K179" i="5" s="1"/>
  <c r="L179" i="5" s="1"/>
  <c r="M179" i="5" s="1"/>
  <c r="N179" i="5" s="1"/>
  <c r="O179" i="5" s="1"/>
  <c r="P179" i="5" s="1"/>
  <c r="Q179" i="5" s="1"/>
  <c r="R179" i="5" s="1"/>
  <c r="S179" i="5" s="1"/>
  <c r="T179" i="5" s="1"/>
  <c r="U179" i="5" s="1"/>
  <c r="V179" i="5" s="1"/>
  <c r="W179" i="5" s="1"/>
  <c r="X179" i="5" s="1"/>
  <c r="BJ45" i="5"/>
  <c r="BA27" i="5"/>
  <c r="BA153" i="5" s="1"/>
  <c r="BH45" i="5"/>
  <c r="C25" i="4"/>
  <c r="C46" i="4"/>
  <c r="C47" i="4"/>
  <c r="C48" i="4"/>
  <c r="AS31" i="5"/>
  <c r="L61" i="4"/>
  <c r="L133" i="4"/>
  <c r="L71" i="4"/>
  <c r="S72" i="5"/>
  <c r="S62" i="5"/>
  <c r="S135" i="5"/>
  <c r="I72" i="5"/>
  <c r="I62" i="5"/>
  <c r="I135" i="5"/>
  <c r="S61" i="4"/>
  <c r="S133" i="4"/>
  <c r="S71" i="4"/>
  <c r="N133" i="4"/>
  <c r="N71" i="4"/>
  <c r="N61" i="4"/>
  <c r="F173" i="4"/>
  <c r="G173" i="4" s="1"/>
  <c r="H173" i="4" s="1"/>
  <c r="I173" i="4" s="1"/>
  <c r="J173" i="4" s="1"/>
  <c r="K173" i="4" s="1"/>
  <c r="L173" i="4" s="1"/>
  <c r="M173" i="4" s="1"/>
  <c r="N173" i="4" s="1"/>
  <c r="O173" i="4" s="1"/>
  <c r="P173" i="4" s="1"/>
  <c r="Q173" i="4" s="1"/>
  <c r="R173" i="4" s="1"/>
  <c r="S173" i="4" s="1"/>
  <c r="T173" i="4" s="1"/>
  <c r="U173" i="4" s="1"/>
  <c r="T133" i="4"/>
  <c r="T71" i="4"/>
  <c r="T61" i="4"/>
  <c r="E135" i="5"/>
  <c r="E138" i="5" s="1"/>
  <c r="E62" i="5"/>
  <c r="E72" i="5"/>
  <c r="E65" i="5"/>
  <c r="M62" i="5"/>
  <c r="M72" i="5"/>
  <c r="M135" i="5"/>
  <c r="AR75" i="5"/>
  <c r="AP74" i="5"/>
  <c r="AQ74" i="5"/>
  <c r="AS74" i="5"/>
  <c r="BG45" i="5"/>
  <c r="AP31" i="5"/>
  <c r="O61" i="4"/>
  <c r="O71" i="4"/>
  <c r="O133" i="4"/>
  <c r="J71" i="4"/>
  <c r="J61" i="4"/>
  <c r="J133" i="4"/>
  <c r="J72" i="5"/>
  <c r="J62" i="5"/>
  <c r="J135" i="5"/>
  <c r="F71" i="4"/>
  <c r="F61" i="4"/>
  <c r="F133" i="4"/>
  <c r="F135" i="5"/>
  <c r="F72" i="5"/>
  <c r="F62" i="5"/>
  <c r="E81" i="5"/>
  <c r="E154" i="5"/>
  <c r="E82" i="5"/>
  <c r="H135" i="5"/>
  <c r="H62" i="5"/>
  <c r="H72" i="5"/>
  <c r="AW75" i="5"/>
  <c r="H61" i="4"/>
  <c r="H71" i="4"/>
  <c r="H133" i="4"/>
  <c r="K62" i="5"/>
  <c r="K135" i="5"/>
  <c r="K72" i="5"/>
  <c r="R135" i="5"/>
  <c r="R72" i="5"/>
  <c r="R62" i="5"/>
  <c r="BD33" i="5"/>
  <c r="BD35" i="5"/>
  <c r="AT55" i="5"/>
  <c r="AT51" i="5"/>
  <c r="AT52" i="5"/>
  <c r="AT50" i="5"/>
  <c r="AT54" i="5"/>
  <c r="AT44" i="5"/>
  <c r="AT30" i="5"/>
  <c r="CG49" i="5"/>
  <c r="CG48" i="5"/>
  <c r="CG47" i="5"/>
  <c r="CO32" i="5"/>
  <c r="AW55" i="5"/>
  <c r="AW54" i="5"/>
  <c r="AW51" i="5"/>
  <c r="AW52" i="5"/>
  <c r="AW50" i="5"/>
  <c r="AW44" i="5"/>
  <c r="AW30" i="5"/>
  <c r="BG33" i="5"/>
  <c r="BG35" i="5"/>
  <c r="CN49" i="5"/>
  <c r="CN48" i="5"/>
  <c r="CN47" i="5"/>
  <c r="AQ54" i="5"/>
  <c r="AQ55" i="5"/>
  <c r="AQ52" i="5"/>
  <c r="AQ51" i="5"/>
  <c r="AQ50" i="5"/>
  <c r="AQ44" i="5"/>
  <c r="AQ30" i="5"/>
  <c r="BF33" i="5"/>
  <c r="BF35" i="5"/>
  <c r="AZ55" i="5"/>
  <c r="AZ52" i="5"/>
  <c r="AZ54" i="5"/>
  <c r="AZ44" i="5"/>
  <c r="AZ51" i="5"/>
  <c r="AZ50" i="5"/>
  <c r="AZ30" i="5"/>
  <c r="BE35" i="5"/>
  <c r="BD153" i="5"/>
  <c r="BD28" i="5"/>
  <c r="BX20" i="5"/>
  <c r="BX34" i="5" s="1"/>
  <c r="BS33" i="4"/>
  <c r="AX153" i="5"/>
  <c r="AX28" i="5"/>
  <c r="BT33" i="4"/>
  <c r="BK22" i="5"/>
  <c r="BB27" i="5"/>
  <c r="BR33" i="4"/>
  <c r="BV20" i="5"/>
  <c r="BV34" i="5" s="1"/>
  <c r="BJ32" i="4"/>
  <c r="BJ34" i="4"/>
  <c r="BJ22" i="5"/>
  <c r="BW20" i="5"/>
  <c r="BW34" i="5" s="1"/>
  <c r="AU28" i="5"/>
  <c r="AU79" i="5" s="1"/>
  <c r="AU153" i="5"/>
  <c r="AY27" i="5"/>
  <c r="BH34" i="4"/>
  <c r="BH22" i="5"/>
  <c r="BH32" i="4"/>
  <c r="AA8" i="5"/>
  <c r="AB9" i="5"/>
  <c r="Y168" i="4"/>
  <c r="CL16" i="5"/>
  <c r="CL19" i="5" s="1"/>
  <c r="BI22" i="5"/>
  <c r="BI33" i="5" s="1"/>
  <c r="BI32" i="4"/>
  <c r="CK25" i="5"/>
  <c r="CO25" i="5"/>
  <c r="Y174" i="5"/>
  <c r="CH38" i="5" l="1"/>
  <c r="AB80" i="39"/>
  <c r="AB152" i="39"/>
  <c r="BI53" i="5"/>
  <c r="CN31" i="4"/>
  <c r="C31" i="4" s="1"/>
  <c r="CN16" i="4"/>
  <c r="CN15" i="5"/>
  <c r="CN32" i="5" s="1"/>
  <c r="BI45" i="5"/>
  <c r="CK77" i="39"/>
  <c r="CM76" i="39"/>
  <c r="CN31" i="39"/>
  <c r="CN16" i="39"/>
  <c r="CM75" i="39"/>
  <c r="C75" i="39" s="1"/>
  <c r="CN75" i="39"/>
  <c r="CJ77" i="39"/>
  <c r="U71" i="40" a="1"/>
  <c r="U71" i="40" s="1"/>
  <c r="E71" i="40" a="1"/>
  <c r="E71" i="40" s="1"/>
  <c r="F71" i="40" a="1"/>
  <c r="F71" i="40" s="1"/>
  <c r="Q71" i="40" a="1"/>
  <c r="Q71" i="40" s="1"/>
  <c r="T71" i="40" a="1"/>
  <c r="T71" i="40" s="1"/>
  <c r="N71" i="40" a="1"/>
  <c r="N71" i="40" s="1"/>
  <c r="G71" i="40" a="1"/>
  <c r="G71" i="40" s="1"/>
  <c r="R71" i="40" a="1"/>
  <c r="R71" i="40" s="1"/>
  <c r="I71" i="40" a="1"/>
  <c r="I71" i="40" s="1"/>
  <c r="X71" i="40" a="1"/>
  <c r="X71" i="40" s="1"/>
  <c r="L71" i="40" a="1"/>
  <c r="L71" i="40" s="1"/>
  <c r="O71" i="40" a="1"/>
  <c r="O71" i="40" s="1"/>
  <c r="H71" i="40" a="1"/>
  <c r="H71" i="40" s="1"/>
  <c r="S71" i="40" a="1"/>
  <c r="S71" i="40" s="1"/>
  <c r="V71" i="40" a="1"/>
  <c r="V71" i="40" s="1"/>
  <c r="Z71" i="40" a="1"/>
  <c r="Z71" i="40" s="1"/>
  <c r="Y71" i="40" a="1"/>
  <c r="Y71" i="40" s="1"/>
  <c r="W71" i="40" a="1"/>
  <c r="W71" i="40" s="1"/>
  <c r="K71" i="40" a="1"/>
  <c r="K71" i="40" s="1"/>
  <c r="J71" i="40" a="1"/>
  <c r="J71" i="40" s="1"/>
  <c r="M71" i="40" a="1"/>
  <c r="M71" i="40" s="1"/>
  <c r="P71" i="40" a="1"/>
  <c r="P71" i="40" s="1"/>
  <c r="C29" i="40"/>
  <c r="CI77" i="39"/>
  <c r="CN76" i="39"/>
  <c r="CM30" i="39"/>
  <c r="CM77" i="39" s="1"/>
  <c r="CL77" i="39"/>
  <c r="N34" i="40" a="1"/>
  <c r="N34" i="40" s="1"/>
  <c r="J34" i="40" a="1"/>
  <c r="J34" i="40" s="1"/>
  <c r="M34" i="40" a="1"/>
  <c r="M34" i="40" s="1"/>
  <c r="O34" i="40" a="1"/>
  <c r="O34" i="40" s="1"/>
  <c r="S34" i="40" a="1"/>
  <c r="S34" i="40" s="1"/>
  <c r="E34" i="40" a="1"/>
  <c r="E34" i="40" s="1"/>
  <c r="C38" i="39"/>
  <c r="G34" i="40" a="1"/>
  <c r="G34" i="40" s="1"/>
  <c r="T34" i="40" a="1"/>
  <c r="T34" i="40" s="1"/>
  <c r="V34" i="40" a="1"/>
  <c r="V34" i="40" s="1"/>
  <c r="F34" i="40" a="1"/>
  <c r="F34" i="40" s="1"/>
  <c r="K34" i="40" a="1"/>
  <c r="K34" i="40" s="1"/>
  <c r="Q34" i="40" a="1"/>
  <c r="Q34" i="40" s="1"/>
  <c r="U34" i="40" a="1"/>
  <c r="U34" i="40" s="1"/>
  <c r="I34" i="40" a="1"/>
  <c r="I34" i="40" s="1"/>
  <c r="X34" i="40" a="1"/>
  <c r="X34" i="40" s="1"/>
  <c r="P34" i="40" a="1"/>
  <c r="P34" i="40" s="1"/>
  <c r="Z34" i="40" a="1"/>
  <c r="Z34" i="40" s="1"/>
  <c r="W34" i="40" a="1"/>
  <c r="W34" i="40" s="1"/>
  <c r="H34" i="40" a="1"/>
  <c r="H34" i="40" s="1"/>
  <c r="R34" i="40" a="1"/>
  <c r="R34" i="40" s="1"/>
  <c r="L34" i="40" a="1"/>
  <c r="L34" i="40" s="1"/>
  <c r="Y34" i="40" a="1"/>
  <c r="Y34" i="40" s="1"/>
  <c r="Y70" i="40" a="1"/>
  <c r="Y70" i="40" s="1"/>
  <c r="N70" i="40" a="1"/>
  <c r="N70" i="40" s="1"/>
  <c r="F70" i="40" a="1"/>
  <c r="F70" i="40" s="1"/>
  <c r="H70" i="40" a="1"/>
  <c r="H70" i="40" s="1"/>
  <c r="U70" i="40" a="1"/>
  <c r="U70" i="40" s="1"/>
  <c r="L70" i="40" a="1"/>
  <c r="L70" i="40" s="1"/>
  <c r="V70" i="40" a="1"/>
  <c r="V70" i="40" s="1"/>
  <c r="O70" i="40" a="1"/>
  <c r="O70" i="40" s="1"/>
  <c r="W70" i="40" a="1"/>
  <c r="W70" i="40" s="1"/>
  <c r="C74" i="39"/>
  <c r="M70" i="40" a="1"/>
  <c r="M70" i="40" s="1"/>
  <c r="G70" i="40" a="1"/>
  <c r="G70" i="40" s="1"/>
  <c r="S70" i="40" a="1"/>
  <c r="S70" i="40" s="1"/>
  <c r="T70" i="40" a="1"/>
  <c r="T70" i="40" s="1"/>
  <c r="Z70" i="40" a="1"/>
  <c r="Z70" i="40" s="1"/>
  <c r="P70" i="40" a="1"/>
  <c r="P70" i="40" s="1"/>
  <c r="R70" i="40" a="1"/>
  <c r="R70" i="40" s="1"/>
  <c r="X70" i="40" a="1"/>
  <c r="X70" i="40" s="1"/>
  <c r="I70" i="40" a="1"/>
  <c r="I70" i="40" s="1"/>
  <c r="E70" i="40" a="1"/>
  <c r="E70" i="40" s="1"/>
  <c r="Q70" i="40" a="1"/>
  <c r="Q70" i="40" s="1"/>
  <c r="K70" i="40" a="1"/>
  <c r="K70" i="40" s="1"/>
  <c r="J70" i="40" a="1"/>
  <c r="J70" i="40" s="1"/>
  <c r="C40" i="39"/>
  <c r="C147" i="40"/>
  <c r="C23" i="40"/>
  <c r="CN30" i="39"/>
  <c r="P25" i="40" a="1"/>
  <c r="P25" i="40" s="1"/>
  <c r="Q25" i="40" a="1"/>
  <c r="Q25" i="40" s="1"/>
  <c r="X25" i="40" a="1"/>
  <c r="X25" i="40" s="1"/>
  <c r="R25" i="40" a="1"/>
  <c r="R25" i="40" s="1"/>
  <c r="M25" i="40" a="1"/>
  <c r="M25" i="40" s="1"/>
  <c r="G25" i="40" a="1"/>
  <c r="G25" i="40" s="1"/>
  <c r="W25" i="40" a="1"/>
  <c r="W25" i="40" s="1"/>
  <c r="O25" i="40" a="1"/>
  <c r="O25" i="40" s="1"/>
  <c r="H25" i="40" a="1"/>
  <c r="H25" i="40" s="1"/>
  <c r="I25" i="40" a="1"/>
  <c r="I25" i="40" s="1"/>
  <c r="S25" i="40" a="1"/>
  <c r="S25" i="40" s="1"/>
  <c r="K25" i="40" a="1"/>
  <c r="K25" i="40" s="1"/>
  <c r="E25" i="40" a="1"/>
  <c r="E25" i="40" s="1"/>
  <c r="U25" i="40" a="1"/>
  <c r="U25" i="40" s="1"/>
  <c r="J25" i="40" a="1"/>
  <c r="J25" i="40" s="1"/>
  <c r="Y25" i="40" a="1"/>
  <c r="Y25" i="40" s="1"/>
  <c r="T25" i="40" a="1"/>
  <c r="T25" i="40" s="1"/>
  <c r="Z25" i="40" a="1"/>
  <c r="Z25" i="40" s="1"/>
  <c r="V25" i="40" a="1"/>
  <c r="V25" i="40" s="1"/>
  <c r="N25" i="40" a="1"/>
  <c r="N25" i="40" s="1"/>
  <c r="L25" i="40" a="1"/>
  <c r="L25" i="40" s="1"/>
  <c r="C29" i="39"/>
  <c r="F25" i="40" a="1"/>
  <c r="F25" i="40" s="1"/>
  <c r="CB180" i="39"/>
  <c r="CC180" i="39" s="1"/>
  <c r="CD180" i="39" s="1"/>
  <c r="CE180" i="39" s="1"/>
  <c r="CF180" i="39" s="1"/>
  <c r="CG180" i="39" s="1"/>
  <c r="CH180" i="39" s="1"/>
  <c r="CI180" i="39" s="1"/>
  <c r="CJ180" i="39" s="1"/>
  <c r="CK180" i="39" s="1"/>
  <c r="CL180" i="39" s="1"/>
  <c r="O35" i="40" a="1"/>
  <c r="O35" i="40" s="1"/>
  <c r="N35" i="40" a="1"/>
  <c r="N35" i="40" s="1"/>
  <c r="F35" i="40" a="1"/>
  <c r="F35" i="40" s="1"/>
  <c r="M35" i="40" a="1"/>
  <c r="M35" i="40" s="1"/>
  <c r="W35" i="40" a="1"/>
  <c r="W35" i="40" s="1"/>
  <c r="L35" i="40" a="1"/>
  <c r="L35" i="40" s="1"/>
  <c r="E35" i="40" a="1"/>
  <c r="E35" i="40" s="1"/>
  <c r="R35" i="40" a="1"/>
  <c r="R35" i="40" s="1"/>
  <c r="Z35" i="40" a="1"/>
  <c r="Z35" i="40" s="1"/>
  <c r="X35" i="40" a="1"/>
  <c r="X35" i="40" s="1"/>
  <c r="C39" i="39"/>
  <c r="P35" i="40" a="1"/>
  <c r="P35" i="40" s="1"/>
  <c r="V35" i="40" a="1"/>
  <c r="V35" i="40" s="1"/>
  <c r="H35" i="40" a="1"/>
  <c r="H35" i="40" s="1"/>
  <c r="T35" i="40" a="1"/>
  <c r="T35" i="40" s="1"/>
  <c r="Q35" i="40" a="1"/>
  <c r="Q35" i="40" s="1"/>
  <c r="U35" i="40" a="1"/>
  <c r="U35" i="40" s="1"/>
  <c r="S35" i="40" a="1"/>
  <c r="S35" i="40" s="1"/>
  <c r="Y35" i="40" a="1"/>
  <c r="Y35" i="40" s="1"/>
  <c r="K35" i="40" a="1"/>
  <c r="K35" i="40" s="1"/>
  <c r="I35" i="40" a="1"/>
  <c r="I35" i="40" s="1"/>
  <c r="J35" i="40" a="1"/>
  <c r="J35" i="40" s="1"/>
  <c r="G35" i="40" a="1"/>
  <c r="G35" i="40" s="1"/>
  <c r="P37" i="40" a="1"/>
  <c r="P37" i="40" s="1"/>
  <c r="F37" i="40" a="1"/>
  <c r="F37" i="40" s="1"/>
  <c r="I37" i="40" a="1"/>
  <c r="I37" i="40" s="1"/>
  <c r="R37" i="40" a="1"/>
  <c r="R37" i="40" s="1"/>
  <c r="W37" i="40" a="1"/>
  <c r="W37" i="40" s="1"/>
  <c r="U37" i="40" a="1"/>
  <c r="U37" i="40" s="1"/>
  <c r="C42" i="39"/>
  <c r="X37" i="40" a="1"/>
  <c r="X37" i="40" s="1"/>
  <c r="Y37" i="40" a="1"/>
  <c r="Y37" i="40" s="1"/>
  <c r="V37" i="40" a="1"/>
  <c r="V37" i="40" s="1"/>
  <c r="Q37" i="40" a="1"/>
  <c r="Q37" i="40" s="1"/>
  <c r="K37" i="40" a="1"/>
  <c r="K37" i="40" s="1"/>
  <c r="Z37" i="40" a="1"/>
  <c r="Z37" i="40" s="1"/>
  <c r="T37" i="40" a="1"/>
  <c r="T37" i="40" s="1"/>
  <c r="N37" i="40" a="1"/>
  <c r="N37" i="40" s="1"/>
  <c r="J37" i="40" a="1"/>
  <c r="J37" i="40" s="1"/>
  <c r="L37" i="40" a="1"/>
  <c r="L37" i="40" s="1"/>
  <c r="E37" i="40" a="1"/>
  <c r="E37" i="40" s="1"/>
  <c r="G37" i="40" a="1"/>
  <c r="G37" i="40" s="1"/>
  <c r="S37" i="40" a="1"/>
  <c r="S37" i="40" s="1"/>
  <c r="O37" i="40" a="1"/>
  <c r="O37" i="40" s="1"/>
  <c r="H37" i="40" a="1"/>
  <c r="H37" i="40" s="1"/>
  <c r="M37" i="40" a="1"/>
  <c r="M37" i="40" s="1"/>
  <c r="K39" i="40" a="1"/>
  <c r="K39" i="40" s="1"/>
  <c r="N39" i="40" a="1"/>
  <c r="N39" i="40" s="1"/>
  <c r="S39" i="40" a="1"/>
  <c r="S39" i="40" s="1"/>
  <c r="E39" i="40" a="1"/>
  <c r="E39" i="40" s="1"/>
  <c r="P39" i="40" a="1"/>
  <c r="P39" i="40" s="1"/>
  <c r="J39" i="40" a="1"/>
  <c r="J39" i="40" s="1"/>
  <c r="R39" i="40" a="1"/>
  <c r="R39" i="40" s="1"/>
  <c r="V39" i="40" a="1"/>
  <c r="V39" i="40" s="1"/>
  <c r="Z39" i="40" a="1"/>
  <c r="Z39" i="40" s="1"/>
  <c r="U39" i="40" a="1"/>
  <c r="U39" i="40" s="1"/>
  <c r="O39" i="40" a="1"/>
  <c r="O39" i="40" s="1"/>
  <c r="G39" i="40" a="1"/>
  <c r="G39" i="40" s="1"/>
  <c r="Y39" i="40" a="1"/>
  <c r="Y39" i="40" s="1"/>
  <c r="C44" i="39"/>
  <c r="W39" i="40" a="1"/>
  <c r="W39" i="40" s="1"/>
  <c r="H39" i="40" a="1"/>
  <c r="H39" i="40" s="1"/>
  <c r="I39" i="40" a="1"/>
  <c r="I39" i="40" s="1"/>
  <c r="L39" i="40" a="1"/>
  <c r="L39" i="40" s="1"/>
  <c r="F39" i="40" a="1"/>
  <c r="F39" i="40" s="1"/>
  <c r="T39" i="40" a="1"/>
  <c r="T39" i="40" s="1"/>
  <c r="M39" i="40" a="1"/>
  <c r="M39" i="40" s="1"/>
  <c r="X39" i="40" a="1"/>
  <c r="X39" i="40" s="1"/>
  <c r="Q39" i="40" a="1"/>
  <c r="Q39" i="40" s="1"/>
  <c r="CI172" i="39"/>
  <c r="CJ172" i="39" s="1"/>
  <c r="CK172" i="39" s="1"/>
  <c r="CL172" i="39" s="1"/>
  <c r="CM172" i="39" s="1"/>
  <c r="CN172" i="39" s="1"/>
  <c r="V168" i="40" s="1" a="1"/>
  <c r="V168" i="40" s="1"/>
  <c r="L168" i="40" a="1"/>
  <c r="L168" i="40" s="1"/>
  <c r="H168" i="40" a="1"/>
  <c r="H168" i="40" s="1"/>
  <c r="G168" i="40" a="1"/>
  <c r="G168" i="40" s="1"/>
  <c r="S168" i="40" a="1"/>
  <c r="S168" i="40" s="1"/>
  <c r="W30" i="40" a="1"/>
  <c r="W30" i="40" s="1"/>
  <c r="Z30" i="40" a="1"/>
  <c r="Z30" i="40" s="1"/>
  <c r="Y30" i="40" a="1"/>
  <c r="Y30" i="40" s="1"/>
  <c r="G30" i="40" a="1"/>
  <c r="G30" i="40" s="1"/>
  <c r="J30" i="40" a="1"/>
  <c r="J30" i="40" s="1"/>
  <c r="S30" i="40" a="1"/>
  <c r="S30" i="40" s="1"/>
  <c r="C34" i="39"/>
  <c r="R30" i="40" a="1"/>
  <c r="R30" i="40" s="1"/>
  <c r="F30" i="40" a="1"/>
  <c r="F30" i="40" s="1"/>
  <c r="K30" i="40" a="1"/>
  <c r="K30" i="40" s="1"/>
  <c r="V30" i="40" a="1"/>
  <c r="V30" i="40" s="1"/>
  <c r="T30" i="40" a="1"/>
  <c r="T30" i="40" s="1"/>
  <c r="L30" i="40" a="1"/>
  <c r="L30" i="40" s="1"/>
  <c r="H30" i="40" a="1"/>
  <c r="H30" i="40" s="1"/>
  <c r="P30" i="40" a="1"/>
  <c r="P30" i="40" s="1"/>
  <c r="I30" i="40" a="1"/>
  <c r="I30" i="40" s="1"/>
  <c r="E30" i="40" a="1"/>
  <c r="E30" i="40" s="1"/>
  <c r="M30" i="40" a="1"/>
  <c r="M30" i="40" s="1"/>
  <c r="Q30" i="40" a="1"/>
  <c r="Q30" i="40" s="1"/>
  <c r="X30" i="40" a="1"/>
  <c r="X30" i="40" s="1"/>
  <c r="O30" i="40" a="1"/>
  <c r="O30" i="40" s="1"/>
  <c r="N30" i="40" a="1"/>
  <c r="N30" i="40" s="1"/>
  <c r="U30" i="40" a="1"/>
  <c r="U30" i="40" s="1"/>
  <c r="I69" i="40" a="1"/>
  <c r="I69" i="40" s="1"/>
  <c r="R69" i="40" a="1"/>
  <c r="R69" i="40" s="1"/>
  <c r="H69" i="40" a="1"/>
  <c r="H69" i="40" s="1"/>
  <c r="O69" i="40" a="1"/>
  <c r="O69" i="40" s="1"/>
  <c r="P69" i="40" a="1"/>
  <c r="P69" i="40" s="1"/>
  <c r="U69" i="40" a="1"/>
  <c r="U69" i="40" s="1"/>
  <c r="Z69" i="40" a="1"/>
  <c r="Z69" i="40" s="1"/>
  <c r="S69" i="40" a="1"/>
  <c r="S69" i="40" s="1"/>
  <c r="W69" i="40" a="1"/>
  <c r="W69" i="40" s="1"/>
  <c r="X69" i="40" a="1"/>
  <c r="X69" i="40" s="1"/>
  <c r="F69" i="40" a="1"/>
  <c r="F69" i="40" s="1"/>
  <c r="T69" i="40" a="1"/>
  <c r="T69" i="40" s="1"/>
  <c r="Q69" i="40" a="1"/>
  <c r="Q69" i="40" s="1"/>
  <c r="J69" i="40" a="1"/>
  <c r="J69" i="40" s="1"/>
  <c r="N69" i="40" a="1"/>
  <c r="N69" i="40" s="1"/>
  <c r="L69" i="40" a="1"/>
  <c r="L69" i="40" s="1"/>
  <c r="V69" i="40" a="1"/>
  <c r="V69" i="40" s="1"/>
  <c r="E69" i="40" a="1"/>
  <c r="E69" i="40" s="1"/>
  <c r="K69" i="40" a="1"/>
  <c r="K69" i="40" s="1"/>
  <c r="M69" i="40" a="1"/>
  <c r="M69" i="40" s="1"/>
  <c r="G69" i="40" a="1"/>
  <c r="G69" i="40" s="1"/>
  <c r="Y69" i="40" a="1"/>
  <c r="Y69" i="40" s="1"/>
  <c r="C73" i="39"/>
  <c r="S38" i="40" a="1"/>
  <c r="S38" i="40" s="1"/>
  <c r="F38" i="40" a="1"/>
  <c r="F38" i="40" s="1"/>
  <c r="Z38" i="40" a="1"/>
  <c r="Z38" i="40" s="1"/>
  <c r="P38" i="40" a="1"/>
  <c r="P38" i="40" s="1"/>
  <c r="J38" i="40" a="1"/>
  <c r="J38" i="40" s="1"/>
  <c r="C43" i="39"/>
  <c r="K38" i="40" a="1"/>
  <c r="K38" i="40" s="1"/>
  <c r="R38" i="40" a="1"/>
  <c r="R38" i="40" s="1"/>
  <c r="G38" i="40" a="1"/>
  <c r="G38" i="40" s="1"/>
  <c r="E38" i="40" a="1"/>
  <c r="E38" i="40" s="1"/>
  <c r="M38" i="40" a="1"/>
  <c r="M38" i="40" s="1"/>
  <c r="O38" i="40" a="1"/>
  <c r="O38" i="40" s="1"/>
  <c r="H38" i="40" a="1"/>
  <c r="H38" i="40" s="1"/>
  <c r="V38" i="40" a="1"/>
  <c r="V38" i="40" s="1"/>
  <c r="I38" i="40" a="1"/>
  <c r="I38" i="40" s="1"/>
  <c r="W38" i="40" a="1"/>
  <c r="W38" i="40" s="1"/>
  <c r="Y38" i="40" a="1"/>
  <c r="Y38" i="40" s="1"/>
  <c r="X38" i="40" a="1"/>
  <c r="X38" i="40" s="1"/>
  <c r="L38" i="40" a="1"/>
  <c r="L38" i="40" s="1"/>
  <c r="T38" i="40" a="1"/>
  <c r="T38" i="40" s="1"/>
  <c r="N38" i="40" a="1"/>
  <c r="N38" i="40" s="1"/>
  <c r="U38" i="40" a="1"/>
  <c r="U38" i="40" s="1"/>
  <c r="Q38" i="40" a="1"/>
  <c r="Q38" i="40" s="1"/>
  <c r="CK133" i="39"/>
  <c r="CK71" i="39"/>
  <c r="CK61" i="39"/>
  <c r="CO59" i="39"/>
  <c r="CO60" i="39" s="1"/>
  <c r="BZ133" i="39"/>
  <c r="BZ61" i="39"/>
  <c r="BZ71" i="39"/>
  <c r="CE133" i="39"/>
  <c r="CE71" i="39"/>
  <c r="CE61" i="39"/>
  <c r="X163" i="39"/>
  <c r="X98" i="39"/>
  <c r="X99" i="39" s="1"/>
  <c r="CM52" i="39"/>
  <c r="CI59" i="39"/>
  <c r="CI60" i="39" s="1"/>
  <c r="CI150" i="39"/>
  <c r="CI79" i="39" s="1"/>
  <c r="BY173" i="39"/>
  <c r="BZ173" i="39" s="1"/>
  <c r="CA173" i="39" s="1"/>
  <c r="CB173" i="39" s="1"/>
  <c r="CH52" i="39"/>
  <c r="CH72" i="39" s="1"/>
  <c r="CC72" i="39"/>
  <c r="CD150" i="39"/>
  <c r="CD79" i="39" s="1"/>
  <c r="CD59" i="39"/>
  <c r="CD60" i="39" s="1"/>
  <c r="AA176" i="39"/>
  <c r="Z175" i="39"/>
  <c r="CF133" i="39"/>
  <c r="CF71" i="39"/>
  <c r="CF61" i="39"/>
  <c r="Y179" i="39"/>
  <c r="Z181" i="39"/>
  <c r="CN52" i="39"/>
  <c r="CJ59" i="39"/>
  <c r="CJ60" i="39" s="1"/>
  <c r="CI72" i="39"/>
  <c r="CJ150" i="39"/>
  <c r="CJ79" i="39" s="1"/>
  <c r="BI21" i="5"/>
  <c r="BR21" i="5"/>
  <c r="BL21" i="5"/>
  <c r="BO21" i="5"/>
  <c r="BM16" i="5"/>
  <c r="BM19" i="5" s="1"/>
  <c r="BM53" i="5" s="1"/>
  <c r="CB16" i="5"/>
  <c r="CB19" i="5" s="1"/>
  <c r="BX38" i="5"/>
  <c r="BX53" i="5"/>
  <c r="CA16" i="5"/>
  <c r="CA19" i="5" s="1"/>
  <c r="BW53" i="5"/>
  <c r="BW38" i="5"/>
  <c r="U135" i="5"/>
  <c r="U61" i="4"/>
  <c r="U71" i="4"/>
  <c r="Z169" i="5"/>
  <c r="Y171" i="5"/>
  <c r="Y58" i="5" s="1"/>
  <c r="Y170" i="5"/>
  <c r="Y63" i="5" s="1"/>
  <c r="U72" i="5"/>
  <c r="V59" i="4"/>
  <c r="V60" i="4" s="1"/>
  <c r="V71" i="4" s="1"/>
  <c r="V60" i="5"/>
  <c r="V61" i="5" s="1"/>
  <c r="Y179" i="5"/>
  <c r="Z179" i="5" s="1"/>
  <c r="AX57" i="5"/>
  <c r="AX79" i="5"/>
  <c r="BD57" i="5"/>
  <c r="BD79" i="5"/>
  <c r="AA152" i="5"/>
  <c r="AA81" i="5" s="1"/>
  <c r="AU75" i="5"/>
  <c r="AU57" i="5"/>
  <c r="BK32" i="4"/>
  <c r="W134" i="4"/>
  <c r="BA28" i="5"/>
  <c r="BA79" i="5" s="1"/>
  <c r="BM34" i="4"/>
  <c r="X58" i="5"/>
  <c r="X136" i="5"/>
  <c r="Z84" i="4"/>
  <c r="AA9" i="4"/>
  <c r="Z8" i="4"/>
  <c r="AB56" i="5"/>
  <c r="AA73" i="5" s="1"/>
  <c r="AB86" i="5"/>
  <c r="BK34" i="4"/>
  <c r="AA159" i="5"/>
  <c r="AA126" i="5"/>
  <c r="AA87" i="5"/>
  <c r="Y85" i="4"/>
  <c r="Y157" i="4"/>
  <c r="Y124" i="4"/>
  <c r="BN45" i="5"/>
  <c r="BK45" i="5"/>
  <c r="E145" i="4"/>
  <c r="E137" i="4" s="1"/>
  <c r="E138" i="4" s="1"/>
  <c r="E139" i="4" s="1"/>
  <c r="E65" i="4" s="1"/>
  <c r="E144" i="4"/>
  <c r="BU33" i="4"/>
  <c r="BU20" i="5"/>
  <c r="BU34" i="5" s="1"/>
  <c r="BL45" i="5"/>
  <c r="AZ31" i="5"/>
  <c r="AW74" i="5"/>
  <c r="F151" i="5"/>
  <c r="AX75" i="5"/>
  <c r="AV75" i="5"/>
  <c r="AT74" i="5"/>
  <c r="AU74" i="5"/>
  <c r="AW31" i="5"/>
  <c r="AT31" i="5"/>
  <c r="E146" i="5"/>
  <c r="E147" i="5"/>
  <c r="E139" i="5" s="1"/>
  <c r="E140" i="5" s="1"/>
  <c r="E141" i="5" s="1"/>
  <c r="E66" i="5" s="1"/>
  <c r="CL53" i="5"/>
  <c r="CL38" i="5"/>
  <c r="BH33" i="5"/>
  <c r="BH35" i="5"/>
  <c r="C25" i="5"/>
  <c r="CK49" i="5"/>
  <c r="C49" i="5" s="1"/>
  <c r="CK48" i="5"/>
  <c r="C48" i="5" s="1"/>
  <c r="CK47" i="5"/>
  <c r="C47" i="5" s="1"/>
  <c r="BJ33" i="5"/>
  <c r="BJ35" i="5"/>
  <c r="AX55" i="5"/>
  <c r="AX54" i="5"/>
  <c r="AX51" i="5"/>
  <c r="AX50" i="5"/>
  <c r="AX52" i="5"/>
  <c r="AX44" i="5"/>
  <c r="AX30" i="5"/>
  <c r="BD52" i="5"/>
  <c r="BD55" i="5"/>
  <c r="BD54" i="5"/>
  <c r="BD51" i="5"/>
  <c r="BD44" i="5"/>
  <c r="BD50" i="5"/>
  <c r="BD30" i="5"/>
  <c r="CO49" i="5"/>
  <c r="CO48" i="5"/>
  <c r="CO47" i="5"/>
  <c r="BK33" i="5"/>
  <c r="BK35" i="5"/>
  <c r="AU55" i="5"/>
  <c r="AU54" i="5"/>
  <c r="AU52" i="5"/>
  <c r="AU50" i="5"/>
  <c r="AU51" i="5"/>
  <c r="AU44" i="5"/>
  <c r="AU30" i="5"/>
  <c r="AQ31" i="5"/>
  <c r="BI35" i="5"/>
  <c r="BE27" i="5"/>
  <c r="BE28" i="5" s="1"/>
  <c r="CB20" i="5"/>
  <c r="CB34" i="5" s="1"/>
  <c r="BV33" i="4"/>
  <c r="BJ27" i="5"/>
  <c r="BX33" i="4"/>
  <c r="BW33" i="4"/>
  <c r="BN34" i="4"/>
  <c r="BN22" i="5"/>
  <c r="BN32" i="4"/>
  <c r="BZ20" i="5"/>
  <c r="BZ34" i="5" s="1"/>
  <c r="BY20" i="5"/>
  <c r="BY34" i="5" s="1"/>
  <c r="BF27" i="5"/>
  <c r="BH27" i="5"/>
  <c r="BH28" i="5" s="1"/>
  <c r="CA20" i="5"/>
  <c r="CA34" i="5" s="1"/>
  <c r="BB28" i="5"/>
  <c r="BB153" i="5"/>
  <c r="BC27" i="5"/>
  <c r="BL32" i="4"/>
  <c r="BL22" i="5"/>
  <c r="BL34" i="4"/>
  <c r="AY28" i="5"/>
  <c r="AY153" i="5"/>
  <c r="Z174" i="5"/>
  <c r="AC9" i="5"/>
  <c r="AB8" i="5"/>
  <c r="BM22" i="5"/>
  <c r="BM33" i="5" s="1"/>
  <c r="BM32" i="4"/>
  <c r="Z168" i="4"/>
  <c r="AC149" i="39" l="1"/>
  <c r="AB174" i="39"/>
  <c r="V27" i="40" a="1"/>
  <c r="V27" i="40" s="1"/>
  <c r="C31" i="39"/>
  <c r="S27" i="40" a="1"/>
  <c r="S27" i="40" s="1"/>
  <c r="P27" i="40" a="1"/>
  <c r="P27" i="40" s="1"/>
  <c r="U27" i="40" a="1"/>
  <c r="U27" i="40" s="1"/>
  <c r="I27" i="40" a="1"/>
  <c r="I27" i="40" s="1"/>
  <c r="N27" i="40" a="1"/>
  <c r="N27" i="40" s="1"/>
  <c r="Q27" i="40" a="1"/>
  <c r="Q27" i="40" s="1"/>
  <c r="Z27" i="40" a="1"/>
  <c r="Z27" i="40" s="1"/>
  <c r="Y27" i="40" a="1"/>
  <c r="Y27" i="40" s="1"/>
  <c r="M27" i="40" a="1"/>
  <c r="M27" i="40" s="1"/>
  <c r="G27" i="40" a="1"/>
  <c r="G27" i="40" s="1"/>
  <c r="O27" i="40" a="1"/>
  <c r="O27" i="40" s="1"/>
  <c r="R27" i="40" a="1"/>
  <c r="R27" i="40" s="1"/>
  <c r="T27" i="40" a="1"/>
  <c r="T27" i="40" s="1"/>
  <c r="K27" i="40" a="1"/>
  <c r="K27" i="40" s="1"/>
  <c r="J27" i="40" a="1"/>
  <c r="J27" i="40" s="1"/>
  <c r="H27" i="40" a="1"/>
  <c r="H27" i="40" s="1"/>
  <c r="L27" i="40" a="1"/>
  <c r="L27" i="40" s="1"/>
  <c r="W27" i="40" a="1"/>
  <c r="W27" i="40" s="1"/>
  <c r="F27" i="40" a="1"/>
  <c r="F27" i="40" s="1"/>
  <c r="X27" i="40" a="1"/>
  <c r="X27" i="40" s="1"/>
  <c r="E27" i="40" a="1"/>
  <c r="E27" i="40" s="1"/>
  <c r="CM180" i="39"/>
  <c r="C38" i="40"/>
  <c r="Q168" i="40" a="1"/>
  <c r="Q168" i="40" s="1"/>
  <c r="C25" i="40"/>
  <c r="Q26" i="40" a="1"/>
  <c r="Q26" i="40" s="1"/>
  <c r="T26" i="40" a="1"/>
  <c r="T26" i="40" s="1"/>
  <c r="G26" i="40" a="1"/>
  <c r="G26" i="40" s="1"/>
  <c r="F26" i="40" a="1"/>
  <c r="F26" i="40" s="1"/>
  <c r="U26" i="40" a="1"/>
  <c r="U26" i="40" s="1"/>
  <c r="K26" i="40" a="1"/>
  <c r="K26" i="40" s="1"/>
  <c r="E26" i="40" a="1"/>
  <c r="E26" i="40" s="1"/>
  <c r="C30" i="39"/>
  <c r="C28" i="39" s="1"/>
  <c r="Z26" i="40" a="1"/>
  <c r="Z26" i="40" s="1"/>
  <c r="X26" i="40" a="1"/>
  <c r="X26" i="40" s="1"/>
  <c r="J26" i="40" a="1"/>
  <c r="J26" i="40" s="1"/>
  <c r="W26" i="40" a="1"/>
  <c r="W26" i="40" s="1"/>
  <c r="V26" i="40" a="1"/>
  <c r="V26" i="40" s="1"/>
  <c r="S26" i="40" a="1"/>
  <c r="S26" i="40" s="1"/>
  <c r="O26" i="40" a="1"/>
  <c r="O26" i="40" s="1"/>
  <c r="P26" i="40" a="1"/>
  <c r="P26" i="40" s="1"/>
  <c r="H26" i="40" a="1"/>
  <c r="H26" i="40" s="1"/>
  <c r="Y26" i="40" a="1"/>
  <c r="Y26" i="40" s="1"/>
  <c r="L26" i="40" a="1"/>
  <c r="L26" i="40" s="1"/>
  <c r="N26" i="40" a="1"/>
  <c r="N26" i="40" s="1"/>
  <c r="I26" i="40" a="1"/>
  <c r="I26" i="40" s="1"/>
  <c r="M26" i="40" a="1"/>
  <c r="M26" i="40" s="1"/>
  <c r="R26" i="40" a="1"/>
  <c r="R26" i="40" s="1"/>
  <c r="C30" i="40"/>
  <c r="CN77" i="39"/>
  <c r="Q72" i="40" a="1"/>
  <c r="Q72" i="40" s="1"/>
  <c r="I72" i="40" a="1"/>
  <c r="I72" i="40" s="1"/>
  <c r="C76" i="39"/>
  <c r="J72" i="40" a="1"/>
  <c r="J72" i="40" s="1"/>
  <c r="T72" i="40" a="1"/>
  <c r="T72" i="40" s="1"/>
  <c r="P72" i="40" a="1"/>
  <c r="P72" i="40" s="1"/>
  <c r="Z72" i="40" a="1"/>
  <c r="Z72" i="40" s="1"/>
  <c r="Y72" i="40" a="1"/>
  <c r="Y72" i="40" s="1"/>
  <c r="E72" i="40" a="1"/>
  <c r="E72" i="40" s="1"/>
  <c r="V72" i="40" a="1"/>
  <c r="V72" i="40" s="1"/>
  <c r="N72" i="40" a="1"/>
  <c r="N72" i="40" s="1"/>
  <c r="S72" i="40" a="1"/>
  <c r="S72" i="40" s="1"/>
  <c r="L72" i="40" a="1"/>
  <c r="L72" i="40" s="1"/>
  <c r="M72" i="40" a="1"/>
  <c r="M72" i="40" s="1"/>
  <c r="W72" i="40" a="1"/>
  <c r="W72" i="40" s="1"/>
  <c r="U72" i="40" a="1"/>
  <c r="U72" i="40" s="1"/>
  <c r="F72" i="40" a="1"/>
  <c r="F72" i="40" s="1"/>
  <c r="R72" i="40" a="1"/>
  <c r="R72" i="40" s="1"/>
  <c r="G72" i="40" a="1"/>
  <c r="G72" i="40" s="1"/>
  <c r="O72" i="40" a="1"/>
  <c r="O72" i="40" s="1"/>
  <c r="K72" i="40" a="1"/>
  <c r="K72" i="40" s="1"/>
  <c r="X72" i="40" a="1"/>
  <c r="X72" i="40" s="1"/>
  <c r="H72" i="40" a="1"/>
  <c r="H72" i="40" s="1"/>
  <c r="U168" i="40" a="1"/>
  <c r="U168" i="40" s="1"/>
  <c r="C70" i="40"/>
  <c r="C37" i="40"/>
  <c r="C35" i="40"/>
  <c r="C39" i="40"/>
  <c r="C69" i="40"/>
  <c r="E168" i="40" a="1"/>
  <c r="E168" i="40" s="1"/>
  <c r="F168" i="40" a="1"/>
  <c r="F168" i="40" s="1"/>
  <c r="N168" i="40" a="1"/>
  <c r="N168" i="40" s="1"/>
  <c r="R168" i="40" a="1"/>
  <c r="R168" i="40" s="1"/>
  <c r="M168" i="40" a="1"/>
  <c r="M168" i="40" s="1"/>
  <c r="Z168" i="40" a="1"/>
  <c r="Z168" i="40" s="1"/>
  <c r="O168" i="40" a="1"/>
  <c r="O168" i="40" s="1"/>
  <c r="W168" i="40" a="1"/>
  <c r="W168" i="40" s="1"/>
  <c r="Y168" i="40" a="1"/>
  <c r="Y168" i="40" s="1"/>
  <c r="P168" i="40" a="1"/>
  <c r="P168" i="40" s="1"/>
  <c r="K168" i="40" a="1"/>
  <c r="K168" i="40" s="1"/>
  <c r="I168" i="40" a="1"/>
  <c r="I168" i="40" s="1"/>
  <c r="J168" i="40" a="1"/>
  <c r="J168" i="40" s="1"/>
  <c r="T168" i="40" a="1"/>
  <c r="T168" i="40" s="1"/>
  <c r="X168" i="40" a="1"/>
  <c r="X168" i="40" s="1"/>
  <c r="C34" i="40"/>
  <c r="C71" i="40"/>
  <c r="CC173" i="39"/>
  <c r="CD173" i="39" s="1"/>
  <c r="CE173" i="39" s="1"/>
  <c r="CF173" i="39" s="1"/>
  <c r="BM38" i="5"/>
  <c r="X90" i="39"/>
  <c r="X121" i="39"/>
  <c r="X164" i="39"/>
  <c r="AB176" i="39"/>
  <c r="AA175" i="39"/>
  <c r="CJ133" i="39"/>
  <c r="CJ61" i="39"/>
  <c r="CJ71" i="39"/>
  <c r="CD71" i="39"/>
  <c r="CD133" i="39"/>
  <c r="CD61" i="39"/>
  <c r="CM72" i="39"/>
  <c r="CN59" i="39"/>
  <c r="CN150" i="39"/>
  <c r="CL52" i="39"/>
  <c r="I47" i="40" s="1" a="1"/>
  <c r="I47" i="40" s="1"/>
  <c r="CG72" i="39"/>
  <c r="CH59" i="39"/>
  <c r="CH60" i="39" s="1"/>
  <c r="CH150" i="39"/>
  <c r="CH79" i="39" s="1"/>
  <c r="CO61" i="39"/>
  <c r="CO64" i="39"/>
  <c r="CO66" i="39" s="1"/>
  <c r="CN72" i="39"/>
  <c r="CI133" i="39"/>
  <c r="CI71" i="39"/>
  <c r="CI61" i="39"/>
  <c r="AA181" i="39"/>
  <c r="Z179" i="39"/>
  <c r="CM59" i="39"/>
  <c r="CM60" i="39" s="1"/>
  <c r="CM150" i="39"/>
  <c r="CM79" i="39" s="1"/>
  <c r="BM45" i="5"/>
  <c r="BQ16" i="5"/>
  <c r="BQ19" i="5" s="1"/>
  <c r="BQ53" i="5" s="1"/>
  <c r="BS21" i="5"/>
  <c r="BP21" i="5"/>
  <c r="BV21" i="5"/>
  <c r="BM21" i="5"/>
  <c r="CB38" i="5"/>
  <c r="CB53" i="5"/>
  <c r="CF16" i="5"/>
  <c r="CF19" i="5" s="1"/>
  <c r="CA38" i="5"/>
  <c r="CA53" i="5"/>
  <c r="CE16" i="5"/>
  <c r="CE19" i="5" s="1"/>
  <c r="V61" i="4"/>
  <c r="V133" i="4"/>
  <c r="AA169" i="5"/>
  <c r="Z171" i="5"/>
  <c r="Z58" i="5" s="1"/>
  <c r="Z170" i="5"/>
  <c r="Z63" i="5" s="1"/>
  <c r="V72" i="5"/>
  <c r="V62" i="5"/>
  <c r="V135" i="5"/>
  <c r="W60" i="5"/>
  <c r="W61" i="5" s="1"/>
  <c r="BE153" i="5"/>
  <c r="BY33" i="4"/>
  <c r="BA54" i="5"/>
  <c r="AZ74" i="5"/>
  <c r="AA179" i="5"/>
  <c r="BB57" i="5"/>
  <c r="BB79" i="5"/>
  <c r="BH57" i="5"/>
  <c r="BH79" i="5"/>
  <c r="BE57" i="5"/>
  <c r="BE79" i="5"/>
  <c r="AY57" i="5"/>
  <c r="AY79" i="5"/>
  <c r="BA75" i="5"/>
  <c r="BA57" i="5"/>
  <c r="BA44" i="5"/>
  <c r="BA50" i="5"/>
  <c r="X134" i="4"/>
  <c r="AB152" i="5"/>
  <c r="AB81" i="5" s="1"/>
  <c r="BA30" i="5"/>
  <c r="BA52" i="5"/>
  <c r="BA55" i="5"/>
  <c r="BA51" i="5"/>
  <c r="BI27" i="5"/>
  <c r="BI153" i="5" s="1"/>
  <c r="E146" i="4"/>
  <c r="F143" i="4" s="1"/>
  <c r="E148" i="5"/>
  <c r="F145" i="5" s="1"/>
  <c r="AC56" i="5"/>
  <c r="AB73" i="5" s="1"/>
  <c r="AC86" i="5"/>
  <c r="AB159" i="5"/>
  <c r="AB126" i="5"/>
  <c r="AB87" i="5"/>
  <c r="Z157" i="4"/>
  <c r="Z124" i="4"/>
  <c r="Z85" i="4"/>
  <c r="AA84" i="4"/>
  <c r="AB9" i="4"/>
  <c r="AA8" i="4"/>
  <c r="BA74" i="5"/>
  <c r="AZ75" i="5"/>
  <c r="AX74" i="5"/>
  <c r="AY74" i="5"/>
  <c r="BD74" i="5"/>
  <c r="BH153" i="5"/>
  <c r="BR45" i="5"/>
  <c r="BO22" i="5"/>
  <c r="BO35" i="5" s="1"/>
  <c r="BO45" i="5"/>
  <c r="AX31" i="5"/>
  <c r="E67" i="5"/>
  <c r="E80" i="5"/>
  <c r="F154" i="5"/>
  <c r="F82" i="5"/>
  <c r="AY75" i="5"/>
  <c r="BP45" i="5"/>
  <c r="BE75" i="5"/>
  <c r="AU31" i="5"/>
  <c r="BD31" i="5"/>
  <c r="BB75" i="5"/>
  <c r="E78" i="4"/>
  <c r="E66" i="4"/>
  <c r="BB55" i="5"/>
  <c r="BB54" i="5"/>
  <c r="BB51" i="5"/>
  <c r="BB52" i="5"/>
  <c r="BB50" i="5"/>
  <c r="BB44" i="5"/>
  <c r="BB30" i="5"/>
  <c r="BH55" i="5"/>
  <c r="BH52" i="5"/>
  <c r="BH54" i="5"/>
  <c r="BH51" i="5"/>
  <c r="BH50" i="5"/>
  <c r="BH44" i="5"/>
  <c r="BH30" i="5"/>
  <c r="AY55" i="5"/>
  <c r="AY52" i="5"/>
  <c r="AY51" i="5"/>
  <c r="AY50" i="5"/>
  <c r="AY54" i="5"/>
  <c r="AY44" i="5"/>
  <c r="AY30" i="5"/>
  <c r="BJ28" i="5"/>
  <c r="BM35" i="5"/>
  <c r="BN33" i="5"/>
  <c r="BN35" i="5"/>
  <c r="BE55" i="5"/>
  <c r="BE54" i="5"/>
  <c r="BE52" i="5"/>
  <c r="BE51" i="5"/>
  <c r="BE50" i="5"/>
  <c r="BE44" i="5"/>
  <c r="BE30" i="5"/>
  <c r="BL33" i="5"/>
  <c r="BL35" i="5"/>
  <c r="BJ153" i="5"/>
  <c r="BO34" i="4"/>
  <c r="BO32" i="4"/>
  <c r="BR34" i="4"/>
  <c r="BR22" i="5"/>
  <c r="BR32" i="4"/>
  <c r="CA33" i="4"/>
  <c r="CF20" i="5"/>
  <c r="CF34" i="5" s="1"/>
  <c r="BZ33" i="4"/>
  <c r="CB33" i="4"/>
  <c r="BF28" i="5"/>
  <c r="BF79" i="5" s="1"/>
  <c r="BF153" i="5"/>
  <c r="BS34" i="4"/>
  <c r="CD20" i="5"/>
  <c r="CD34" i="5" s="1"/>
  <c r="BL27" i="5"/>
  <c r="BL28" i="5" s="1"/>
  <c r="CE20" i="5"/>
  <c r="CE34" i="5" s="1"/>
  <c r="BC28" i="5"/>
  <c r="BC79" i="5" s="1"/>
  <c r="BC153" i="5"/>
  <c r="BP34" i="4"/>
  <c r="BP22" i="5"/>
  <c r="BP32" i="4"/>
  <c r="BG27" i="5"/>
  <c r="AC8" i="5"/>
  <c r="AD9" i="5"/>
  <c r="BQ22" i="5"/>
  <c r="BQ33" i="5" s="1"/>
  <c r="BQ32" i="4"/>
  <c r="AA168" i="4"/>
  <c r="BQ34" i="4"/>
  <c r="AA174" i="5"/>
  <c r="G47" i="40" l="1" a="1"/>
  <c r="G47" i="40" s="1"/>
  <c r="L47" i="40" a="1"/>
  <c r="L47" i="40" s="1"/>
  <c r="AC152" i="39"/>
  <c r="AC80" i="39"/>
  <c r="C27" i="40"/>
  <c r="CG173" i="39"/>
  <c r="CH173" i="39" s="1"/>
  <c r="CI173" i="39" s="1"/>
  <c r="CJ173" i="39" s="1"/>
  <c r="CL72" i="39"/>
  <c r="W47" i="40" a="1"/>
  <c r="W47" i="40" s="1"/>
  <c r="V47" i="40" a="1"/>
  <c r="V47" i="40" s="1"/>
  <c r="F47" i="40" a="1"/>
  <c r="F47" i="40" s="1"/>
  <c r="Q47" i="40" a="1"/>
  <c r="Q47" i="40" s="1"/>
  <c r="N47" i="40" a="1"/>
  <c r="N47" i="40" s="1"/>
  <c r="X47" i="40" a="1"/>
  <c r="X47" i="40" s="1"/>
  <c r="H47" i="40" a="1"/>
  <c r="H47" i="40" s="1"/>
  <c r="T47" i="40" a="1"/>
  <c r="T47" i="40" s="1"/>
  <c r="E47" i="40" a="1"/>
  <c r="E47" i="40" s="1"/>
  <c r="S47" i="40" a="1"/>
  <c r="S47" i="40" s="1"/>
  <c r="O47" i="40" a="1"/>
  <c r="O47" i="40" s="1"/>
  <c r="U47" i="40" a="1"/>
  <c r="U47" i="40" s="1"/>
  <c r="Y47" i="40" a="1"/>
  <c r="Y47" i="40" s="1"/>
  <c r="P73" i="40" a="1"/>
  <c r="P73" i="40" s="1"/>
  <c r="Z73" i="40" a="1"/>
  <c r="Z73" i="40" s="1"/>
  <c r="V73" i="40" a="1"/>
  <c r="V73" i="40" s="1"/>
  <c r="N73" i="40" a="1"/>
  <c r="N73" i="40" s="1"/>
  <c r="E73" i="40" a="1"/>
  <c r="E73" i="40" s="1"/>
  <c r="H73" i="40" a="1"/>
  <c r="H73" i="40" s="1"/>
  <c r="U73" i="40" a="1"/>
  <c r="U73" i="40" s="1"/>
  <c r="F73" i="40" a="1"/>
  <c r="F73" i="40" s="1"/>
  <c r="M73" i="40" a="1"/>
  <c r="M73" i="40" s="1"/>
  <c r="I73" i="40" a="1"/>
  <c r="I73" i="40" s="1"/>
  <c r="X73" i="40" a="1"/>
  <c r="X73" i="40" s="1"/>
  <c r="G73" i="40" a="1"/>
  <c r="G73" i="40" s="1"/>
  <c r="L73" i="40" a="1"/>
  <c r="L73" i="40" s="1"/>
  <c r="O73" i="40" a="1"/>
  <c r="O73" i="40" s="1"/>
  <c r="R73" i="40" a="1"/>
  <c r="R73" i="40" s="1"/>
  <c r="J73" i="40" a="1"/>
  <c r="J73" i="40" s="1"/>
  <c r="Q73" i="40" a="1"/>
  <c r="Q73" i="40" s="1"/>
  <c r="C77" i="39"/>
  <c r="W73" i="40" a="1"/>
  <c r="W73" i="40" s="1"/>
  <c r="T73" i="40" a="1"/>
  <c r="T73" i="40" s="1"/>
  <c r="S73" i="40" a="1"/>
  <c r="S73" i="40" s="1"/>
  <c r="K73" i="40" a="1"/>
  <c r="K73" i="40" s="1"/>
  <c r="Y73" i="40" a="1"/>
  <c r="Y73" i="40" s="1"/>
  <c r="CN180" i="39"/>
  <c r="C26" i="40"/>
  <c r="C72" i="40"/>
  <c r="BQ38" i="5"/>
  <c r="CN79" i="39"/>
  <c r="CN60" i="39"/>
  <c r="W68" i="40" a="1"/>
  <c r="W68" i="40" s="1"/>
  <c r="CH71" i="39"/>
  <c r="CH61" i="39"/>
  <c r="CH133" i="39"/>
  <c r="CL59" i="39"/>
  <c r="CL60" i="39" s="1"/>
  <c r="CK72" i="39"/>
  <c r="CK173" i="39" s="1"/>
  <c r="CL150" i="39"/>
  <c r="CL79" i="39" s="1"/>
  <c r="R47" i="40" a="1"/>
  <c r="R47" i="40" s="1"/>
  <c r="J47" i="40" a="1"/>
  <c r="J47" i="40" s="1"/>
  <c r="Z47" i="40" a="1"/>
  <c r="Z47" i="40" s="1"/>
  <c r="AC176" i="39"/>
  <c r="AB175" i="39"/>
  <c r="M47" i="40" a="1"/>
  <c r="M47" i="40" s="1"/>
  <c r="Y161" i="39"/>
  <c r="Y165" i="39" s="1"/>
  <c r="X183" i="39"/>
  <c r="X182" i="39" s="1"/>
  <c r="K47" i="40" a="1"/>
  <c r="K47" i="40" s="1"/>
  <c r="CM71" i="39"/>
  <c r="CM61" i="39"/>
  <c r="CM133" i="39"/>
  <c r="AA179" i="39"/>
  <c r="AB181" i="39"/>
  <c r="P47" i="40" a="1"/>
  <c r="P47" i="40" s="1"/>
  <c r="C52" i="39"/>
  <c r="C41" i="39" s="1"/>
  <c r="X92" i="39"/>
  <c r="X94" i="39" s="1"/>
  <c r="X95" i="39" s="1"/>
  <c r="X107" i="39"/>
  <c r="BQ45" i="5"/>
  <c r="BZ21" i="5"/>
  <c r="BQ21" i="5"/>
  <c r="BW21" i="5"/>
  <c r="BU16" i="5"/>
  <c r="BU19" i="5" s="1"/>
  <c r="BU38" i="5" s="1"/>
  <c r="BT21" i="5"/>
  <c r="CF53" i="5"/>
  <c r="CF38" i="5"/>
  <c r="CN16" i="5"/>
  <c r="CN19" i="5" s="1"/>
  <c r="CJ16" i="5"/>
  <c r="CJ19" i="5" s="1"/>
  <c r="CM16" i="5"/>
  <c r="CM19" i="5" s="1"/>
  <c r="CI16" i="5"/>
  <c r="CI19" i="5" s="1"/>
  <c r="CE53" i="5"/>
  <c r="CE38" i="5"/>
  <c r="AB179" i="5"/>
  <c r="AB169" i="5"/>
  <c r="AA170" i="5"/>
  <c r="AA63" i="5" s="1"/>
  <c r="AA171" i="5"/>
  <c r="AA58" i="5" s="1"/>
  <c r="X60" i="5"/>
  <c r="X61" i="5" s="1"/>
  <c r="Y60" i="5"/>
  <c r="Y61" i="5" s="1"/>
  <c r="W135" i="5"/>
  <c r="W72" i="5"/>
  <c r="W62" i="5"/>
  <c r="BO33" i="5"/>
  <c r="BS22" i="5"/>
  <c r="BS33" i="5" s="1"/>
  <c r="BS32" i="4"/>
  <c r="Y134" i="4"/>
  <c r="Y136" i="5"/>
  <c r="BJ57" i="5"/>
  <c r="BJ79" i="5"/>
  <c r="BL57" i="5"/>
  <c r="BL79" i="5"/>
  <c r="BI28" i="5"/>
  <c r="BI54" i="5" s="1"/>
  <c r="BF75" i="5"/>
  <c r="BF57" i="5"/>
  <c r="BC75" i="5"/>
  <c r="BC57" i="5"/>
  <c r="BA31" i="5"/>
  <c r="AC152" i="5"/>
  <c r="AC81" i="5" s="1"/>
  <c r="BU34" i="4"/>
  <c r="AB84" i="4"/>
  <c r="AC9" i="4"/>
  <c r="AB8" i="4"/>
  <c r="AA124" i="4"/>
  <c r="AA157" i="4"/>
  <c r="AA85" i="4"/>
  <c r="AC87" i="5"/>
  <c r="AC159" i="5"/>
  <c r="AC126" i="5"/>
  <c r="AD56" i="5"/>
  <c r="AC73" i="5" s="1"/>
  <c r="AD86" i="5"/>
  <c r="BT45" i="5"/>
  <c r="BH31" i="5"/>
  <c r="G151" i="5"/>
  <c r="BS45" i="5"/>
  <c r="AY31" i="5"/>
  <c r="BB31" i="5"/>
  <c r="E83" i="5"/>
  <c r="BD75" i="5"/>
  <c r="BB74" i="5"/>
  <c r="BC74" i="5"/>
  <c r="BV45" i="5"/>
  <c r="CC33" i="4"/>
  <c r="CC20" i="5"/>
  <c r="CC34" i="5" s="1"/>
  <c r="BE74" i="5"/>
  <c r="BE31" i="5"/>
  <c r="BC55" i="5"/>
  <c r="BC54" i="5"/>
  <c r="BC52" i="5"/>
  <c r="BC50" i="5"/>
  <c r="BC51" i="5"/>
  <c r="BC44" i="5"/>
  <c r="BC30" i="5"/>
  <c r="BF55" i="5"/>
  <c r="BF51" i="5"/>
  <c r="BF54" i="5"/>
  <c r="BF52" i="5"/>
  <c r="BF50" i="5"/>
  <c r="BF44" i="5"/>
  <c r="BF30" i="5"/>
  <c r="BJ55" i="5"/>
  <c r="BJ52" i="5"/>
  <c r="BJ51" i="5"/>
  <c r="BJ50" i="5"/>
  <c r="BJ44" i="5"/>
  <c r="BJ54" i="5"/>
  <c r="BJ30" i="5"/>
  <c r="BQ35" i="5"/>
  <c r="BL153" i="5"/>
  <c r="BL52" i="5"/>
  <c r="BL55" i="5"/>
  <c r="BL54" i="5"/>
  <c r="BL51" i="5"/>
  <c r="BL50" i="5"/>
  <c r="BL44" i="5"/>
  <c r="BL30" i="5"/>
  <c r="BR33" i="5"/>
  <c r="BR35" i="5"/>
  <c r="BP33" i="5"/>
  <c r="BP35" i="5"/>
  <c r="BM27" i="5"/>
  <c r="BM153" i="5" s="1"/>
  <c r="CI20" i="5"/>
  <c r="CI34" i="5" s="1"/>
  <c r="CM20" i="5"/>
  <c r="CM34" i="5" s="1"/>
  <c r="CD33" i="4"/>
  <c r="CE33" i="4"/>
  <c r="CL20" i="5"/>
  <c r="CL34" i="5" s="1"/>
  <c r="CH20" i="5"/>
  <c r="CH34" i="5" s="1"/>
  <c r="BN27" i="5"/>
  <c r="BY34" i="4"/>
  <c r="CG20" i="5"/>
  <c r="CG34" i="5" s="1"/>
  <c r="CJ20" i="5"/>
  <c r="CJ34" i="5" s="1"/>
  <c r="BP27" i="5"/>
  <c r="BP28" i="5" s="1"/>
  <c r="BV34" i="4"/>
  <c r="BV22" i="5"/>
  <c r="BV32" i="4"/>
  <c r="CF33" i="4"/>
  <c r="BT22" i="5"/>
  <c r="BT34" i="4"/>
  <c r="BT32" i="4"/>
  <c r="BK27" i="5"/>
  <c r="BG153" i="5"/>
  <c r="BG28" i="5"/>
  <c r="BU22" i="5"/>
  <c r="BU33" i="5" s="1"/>
  <c r="BU32" i="4"/>
  <c r="AB174" i="5"/>
  <c r="AD8" i="5"/>
  <c r="AE9" i="5"/>
  <c r="AB168" i="4"/>
  <c r="CL173" i="39" l="1"/>
  <c r="CM173" i="39" s="1"/>
  <c r="CN173" i="39" s="1"/>
  <c r="AC174" i="39"/>
  <c r="AD149" i="39"/>
  <c r="I68" i="40" a="1"/>
  <c r="I68" i="40" s="1"/>
  <c r="P68" i="40" a="1"/>
  <c r="P68" i="40" s="1"/>
  <c r="U68" i="40" a="1"/>
  <c r="U68" i="40" s="1"/>
  <c r="Z68" i="40" a="1"/>
  <c r="Z68" i="40" s="1"/>
  <c r="S68" i="40" a="1"/>
  <c r="S68" i="40" s="1"/>
  <c r="N68" i="40" a="1"/>
  <c r="N68" i="40" s="1"/>
  <c r="E68" i="40" a="1"/>
  <c r="E68" i="40" s="1"/>
  <c r="O68" i="40" a="1"/>
  <c r="O68" i="40" s="1"/>
  <c r="R68" i="40" a="1"/>
  <c r="R68" i="40" s="1"/>
  <c r="K68" i="40" a="1"/>
  <c r="K68" i="40" s="1"/>
  <c r="C79" i="39"/>
  <c r="Y68" i="40" a="1"/>
  <c r="Y68" i="40" s="1"/>
  <c r="J68" i="40" a="1"/>
  <c r="J68" i="40" s="1"/>
  <c r="S176" i="40" a="1"/>
  <c r="S176" i="40" s="1"/>
  <c r="Z176" i="40" a="1"/>
  <c r="Z176" i="40" s="1"/>
  <c r="Y176" i="40" a="1"/>
  <c r="Y176" i="40" s="1"/>
  <c r="U176" i="40" a="1"/>
  <c r="U176" i="40" s="1"/>
  <c r="I176" i="40" a="1"/>
  <c r="I176" i="40" s="1"/>
  <c r="Q176" i="40" a="1"/>
  <c r="Q176" i="40" s="1"/>
  <c r="H176" i="40" a="1"/>
  <c r="H176" i="40" s="1"/>
  <c r="R176" i="40" a="1"/>
  <c r="R176" i="40" s="1"/>
  <c r="O176" i="40" a="1"/>
  <c r="O176" i="40" s="1"/>
  <c r="E176" i="40" a="1"/>
  <c r="E176" i="40" s="1"/>
  <c r="W176" i="40" a="1"/>
  <c r="W176" i="40" s="1"/>
  <c r="K176" i="40" a="1"/>
  <c r="K176" i="40" s="1"/>
  <c r="N176" i="40" a="1"/>
  <c r="N176" i="40" s="1"/>
  <c r="F176" i="40" a="1"/>
  <c r="F176" i="40" s="1"/>
  <c r="X176" i="40" a="1"/>
  <c r="X176" i="40" s="1"/>
  <c r="G176" i="40" a="1"/>
  <c r="G176" i="40" s="1"/>
  <c r="J176" i="40" a="1"/>
  <c r="J176" i="40" s="1"/>
  <c r="T176" i="40" a="1"/>
  <c r="T176" i="40" s="1"/>
  <c r="M176" i="40" a="1"/>
  <c r="M176" i="40" s="1"/>
  <c r="P176" i="40" a="1"/>
  <c r="P176" i="40" s="1"/>
  <c r="V176" i="40" a="1"/>
  <c r="V176" i="40" s="1"/>
  <c r="L176" i="40" a="1"/>
  <c r="L176" i="40" s="1"/>
  <c r="C73" i="40"/>
  <c r="G68" i="40" a="1"/>
  <c r="G68" i="40" s="1"/>
  <c r="T68" i="40" a="1"/>
  <c r="T68" i="40" s="1"/>
  <c r="Q68" i="40" a="1"/>
  <c r="Q68" i="40" s="1"/>
  <c r="I55" i="40" a="1"/>
  <c r="I55" i="40" s="1"/>
  <c r="X55" i="40" a="1"/>
  <c r="X55" i="40" s="1"/>
  <c r="F55" i="40" a="1"/>
  <c r="F55" i="40" s="1"/>
  <c r="E55" i="40" a="1"/>
  <c r="E55" i="40" s="1"/>
  <c r="M55" i="40" a="1"/>
  <c r="M55" i="40" s="1"/>
  <c r="C47" i="40"/>
  <c r="N55" i="40" a="1"/>
  <c r="N55" i="40" s="1"/>
  <c r="M68" i="40" a="1"/>
  <c r="M68" i="40" s="1"/>
  <c r="M146" i="40" a="1"/>
  <c r="M146" i="40" s="1"/>
  <c r="Q146" i="40" a="1"/>
  <c r="Q146" i="40" s="1"/>
  <c r="C72" i="39"/>
  <c r="L146" i="40" a="1"/>
  <c r="L146" i="40" s="1"/>
  <c r="W146" i="40" a="1"/>
  <c r="W146" i="40" s="1"/>
  <c r="H68" i="40" a="1"/>
  <c r="H68" i="40" s="1"/>
  <c r="V68" i="40" a="1"/>
  <c r="V68" i="40" s="1"/>
  <c r="L169" i="40" a="1"/>
  <c r="L169" i="40" s="1"/>
  <c r="J169" i="40" a="1"/>
  <c r="J169" i="40" s="1"/>
  <c r="O169" i="40" a="1"/>
  <c r="O169" i="40" s="1"/>
  <c r="H169" i="40" a="1"/>
  <c r="H169" i="40" s="1"/>
  <c r="N169" i="40" a="1"/>
  <c r="N169" i="40" s="1"/>
  <c r="X169" i="40" a="1"/>
  <c r="X169" i="40" s="1"/>
  <c r="G169" i="40" a="1"/>
  <c r="G169" i="40" s="1"/>
  <c r="V169" i="40" a="1"/>
  <c r="V169" i="40" s="1"/>
  <c r="R169" i="40" a="1"/>
  <c r="R169" i="40" s="1"/>
  <c r="I169" i="40" a="1"/>
  <c r="I169" i="40" s="1"/>
  <c r="F169" i="40" a="1"/>
  <c r="F169" i="40" s="1"/>
  <c r="K169" i="40" a="1"/>
  <c r="K169" i="40" s="1"/>
  <c r="S169" i="40" a="1"/>
  <c r="S169" i="40" s="1"/>
  <c r="Y169" i="40" a="1"/>
  <c r="Y169" i="40" s="1"/>
  <c r="T169" i="40" a="1"/>
  <c r="T169" i="40" s="1"/>
  <c r="Z169" i="40" a="1"/>
  <c r="Z169" i="40" s="1"/>
  <c r="Q169" i="40" a="1"/>
  <c r="Q169" i="40" s="1"/>
  <c r="U169" i="40" a="1"/>
  <c r="U169" i="40" s="1"/>
  <c r="P169" i="40" a="1"/>
  <c r="P169" i="40" s="1"/>
  <c r="M169" i="40" a="1"/>
  <c r="M169" i="40" s="1"/>
  <c r="W169" i="40" a="1"/>
  <c r="W169" i="40" s="1"/>
  <c r="E169" i="40" a="1"/>
  <c r="E169" i="40" s="1"/>
  <c r="G55" i="40" a="1"/>
  <c r="G55" i="40" s="1"/>
  <c r="Q55" i="40" a="1"/>
  <c r="Q55" i="40" s="1"/>
  <c r="Y146" i="40" a="1"/>
  <c r="Y146" i="40" s="1"/>
  <c r="AC181" i="39"/>
  <c r="AB179" i="39"/>
  <c r="CL61" i="39"/>
  <c r="CL133" i="39"/>
  <c r="CL71" i="39"/>
  <c r="X68" i="40" a="1"/>
  <c r="X68" i="40" s="1"/>
  <c r="U55" i="40" a="1"/>
  <c r="U55" i="40" s="1"/>
  <c r="C59" i="39"/>
  <c r="Z146" i="40" a="1"/>
  <c r="Z146" i="40" s="1"/>
  <c r="S55" i="40" a="1"/>
  <c r="S55" i="40" s="1"/>
  <c r="X187" i="39"/>
  <c r="X117" i="39" s="1"/>
  <c r="X116" i="39"/>
  <c r="X118" i="39"/>
  <c r="K55" i="40" a="1"/>
  <c r="K55" i="40" s="1"/>
  <c r="Y55" i="40" a="1"/>
  <c r="Y55" i="40" s="1"/>
  <c r="J146" i="40" a="1"/>
  <c r="J146" i="40" s="1"/>
  <c r="Y63" i="39"/>
  <c r="Y64" i="39" s="1"/>
  <c r="Y135" i="39"/>
  <c r="Y136" i="39" s="1"/>
  <c r="Y91" i="39"/>
  <c r="L68" i="40" a="1"/>
  <c r="L68" i="40" s="1"/>
  <c r="Z55" i="40" a="1"/>
  <c r="Z55" i="40" s="1"/>
  <c r="CN61" i="39"/>
  <c r="CN133" i="39"/>
  <c r="CN71" i="39"/>
  <c r="G56" i="40" a="1"/>
  <c r="G56" i="40" s="1"/>
  <c r="G57" i="40" s="1"/>
  <c r="J56" i="40" a="1"/>
  <c r="J56" i="40" s="1"/>
  <c r="J57" i="40" s="1"/>
  <c r="F56" i="40" a="1"/>
  <c r="F56" i="40" s="1"/>
  <c r="F57" i="40" s="1"/>
  <c r="I56" i="40" a="1"/>
  <c r="I56" i="40" s="1"/>
  <c r="I57" i="40" s="1"/>
  <c r="K56" i="40" a="1"/>
  <c r="K56" i="40" s="1"/>
  <c r="K57" i="40" s="1"/>
  <c r="W56" i="40" a="1"/>
  <c r="W56" i="40" s="1"/>
  <c r="W57" i="40" s="1"/>
  <c r="M56" i="40" a="1"/>
  <c r="M56" i="40" s="1"/>
  <c r="M57" i="40" s="1"/>
  <c r="R56" i="40" a="1"/>
  <c r="R56" i="40" s="1"/>
  <c r="R57" i="40" s="1"/>
  <c r="Q56" i="40" a="1"/>
  <c r="Q56" i="40" s="1"/>
  <c r="Q57" i="40" s="1"/>
  <c r="H56" i="40" a="1"/>
  <c r="H56" i="40" s="1"/>
  <c r="H57" i="40" s="1"/>
  <c r="Z56" i="40" a="1"/>
  <c r="Z56" i="40" s="1"/>
  <c r="Z57" i="40" s="1"/>
  <c r="P56" i="40" a="1"/>
  <c r="P56" i="40" s="1"/>
  <c r="P57" i="40" s="1"/>
  <c r="N56" i="40" a="1"/>
  <c r="N56" i="40" s="1"/>
  <c r="N57" i="40" s="1"/>
  <c r="L56" i="40" a="1"/>
  <c r="L56" i="40" s="1"/>
  <c r="L57" i="40" s="1"/>
  <c r="E56" i="40" a="1"/>
  <c r="E56" i="40" s="1"/>
  <c r="X56" i="40" a="1"/>
  <c r="X56" i="40" s="1"/>
  <c r="X57" i="40" s="1"/>
  <c r="U56" i="40" a="1"/>
  <c r="U56" i="40" s="1"/>
  <c r="U57" i="40" s="1"/>
  <c r="T56" i="40" a="1"/>
  <c r="T56" i="40" s="1"/>
  <c r="T57" i="40" s="1"/>
  <c r="O56" i="40" a="1"/>
  <c r="O56" i="40" s="1"/>
  <c r="O57" i="40" s="1"/>
  <c r="S56" i="40" a="1"/>
  <c r="S56" i="40" s="1"/>
  <c r="S57" i="40" s="1"/>
  <c r="C60" i="39"/>
  <c r="C61" i="39" s="1"/>
  <c r="Y56" i="40" a="1"/>
  <c r="Y56" i="40" s="1"/>
  <c r="Y57" i="40" s="1"/>
  <c r="V56" i="40" a="1"/>
  <c r="V56" i="40" s="1"/>
  <c r="V57" i="40" s="1"/>
  <c r="G146" i="40" a="1"/>
  <c r="G146" i="40" s="1"/>
  <c r="P55" i="40" a="1"/>
  <c r="P55" i="40" s="1"/>
  <c r="O146" i="40" a="1"/>
  <c r="O146" i="40" s="1"/>
  <c r="C150" i="39"/>
  <c r="J55" i="40" a="1"/>
  <c r="J55" i="40" s="1"/>
  <c r="H55" i="40" a="1"/>
  <c r="H55" i="40" s="1"/>
  <c r="H146" i="40" a="1"/>
  <c r="H146" i="40" s="1"/>
  <c r="S146" i="40" a="1"/>
  <c r="S146" i="40" s="1"/>
  <c r="W55" i="40" a="1"/>
  <c r="W55" i="40" s="1"/>
  <c r="N146" i="40" a="1"/>
  <c r="N146" i="40" s="1"/>
  <c r="I146" i="40" a="1"/>
  <c r="I146" i="40" s="1"/>
  <c r="L55" i="40" a="1"/>
  <c r="L55" i="40" s="1"/>
  <c r="R146" i="40" a="1"/>
  <c r="R146" i="40" s="1"/>
  <c r="K146" i="40" a="1"/>
  <c r="K146" i="40" s="1"/>
  <c r="AD176" i="39"/>
  <c r="AC175" i="39"/>
  <c r="O55" i="40" a="1"/>
  <c r="O55" i="40" s="1"/>
  <c r="F146" i="40" a="1"/>
  <c r="F146" i="40" s="1"/>
  <c r="U146" i="40" a="1"/>
  <c r="U146" i="40" s="1"/>
  <c r="T55" i="40" a="1"/>
  <c r="T55" i="40" s="1"/>
  <c r="V146" i="40" a="1"/>
  <c r="V146" i="40" s="1"/>
  <c r="E146" i="40" a="1"/>
  <c r="E146" i="40" s="1"/>
  <c r="X108" i="39"/>
  <c r="X109" i="39"/>
  <c r="X110" i="39" s="1"/>
  <c r="X171" i="39"/>
  <c r="X170" i="39" s="1"/>
  <c r="Y93" i="39"/>
  <c r="V55" i="40" a="1"/>
  <c r="V55" i="40" s="1"/>
  <c r="T146" i="40" a="1"/>
  <c r="T146" i="40" s="1"/>
  <c r="X146" i="40" a="1"/>
  <c r="X146" i="40" s="1"/>
  <c r="F68" i="40" a="1"/>
  <c r="F68" i="40" s="1"/>
  <c r="R55" i="40" a="1"/>
  <c r="R55" i="40" s="1"/>
  <c r="P146" i="40" a="1"/>
  <c r="P146" i="40" s="1"/>
  <c r="L75" i="40" a="1"/>
  <c r="L75" i="40" s="1"/>
  <c r="O75" i="40" a="1"/>
  <c r="O75" i="40" s="1"/>
  <c r="T75" i="40" a="1"/>
  <c r="T75" i="40" s="1"/>
  <c r="V75" i="40" a="1"/>
  <c r="V75" i="40" s="1"/>
  <c r="R75" i="40" a="1"/>
  <c r="R75" i="40" s="1"/>
  <c r="U75" i="40" a="1"/>
  <c r="U75" i="40" s="1"/>
  <c r="S75" i="40" a="1"/>
  <c r="S75" i="40" s="1"/>
  <c r="I75" i="40" a="1"/>
  <c r="I75" i="40" s="1"/>
  <c r="H75" i="40" a="1"/>
  <c r="H75" i="40" s="1"/>
  <c r="K75" i="40" a="1"/>
  <c r="K75" i="40" s="1"/>
  <c r="E75" i="40" a="1"/>
  <c r="E75" i="40" s="1"/>
  <c r="M75" i="40" a="1"/>
  <c r="M75" i="40" s="1"/>
  <c r="Z75" i="40" a="1"/>
  <c r="Z75" i="40" s="1"/>
  <c r="N75" i="40" a="1"/>
  <c r="N75" i="40" s="1"/>
  <c r="G75" i="40" a="1"/>
  <c r="G75" i="40" s="1"/>
  <c r="F75" i="40" a="1"/>
  <c r="F75" i="40" s="1"/>
  <c r="J75" i="40" a="1"/>
  <c r="J75" i="40" s="1"/>
  <c r="P75" i="40" a="1"/>
  <c r="P75" i="40" s="1"/>
  <c r="W75" i="40" a="1"/>
  <c r="W75" i="40" s="1"/>
  <c r="Y75" i="40" a="1"/>
  <c r="Y75" i="40" s="1"/>
  <c r="X75" i="40" a="1"/>
  <c r="X75" i="40" s="1"/>
  <c r="Q75" i="40" a="1"/>
  <c r="Q75" i="40" s="1"/>
  <c r="Y88" i="39"/>
  <c r="BU45" i="5"/>
  <c r="BU53" i="5"/>
  <c r="BY16" i="5"/>
  <c r="BY19" i="5" s="1"/>
  <c r="BY53" i="5" s="1"/>
  <c r="BX21" i="5"/>
  <c r="CD21" i="5"/>
  <c r="BU21" i="5"/>
  <c r="CA21" i="5"/>
  <c r="CN38" i="5"/>
  <c r="CN53" i="5"/>
  <c r="CJ38" i="5"/>
  <c r="CJ53" i="5"/>
  <c r="CI38" i="5"/>
  <c r="CI53" i="5"/>
  <c r="CM38" i="5"/>
  <c r="CM53" i="5"/>
  <c r="AC179" i="5"/>
  <c r="AC169" i="5"/>
  <c r="AB171" i="5"/>
  <c r="AB58" i="5" s="1"/>
  <c r="AB170" i="5"/>
  <c r="AB63" i="5" s="1"/>
  <c r="BS35" i="5"/>
  <c r="BI50" i="5"/>
  <c r="Y135" i="5"/>
  <c r="Y62" i="5"/>
  <c r="Y72" i="5"/>
  <c r="Z60" i="5"/>
  <c r="Z61" i="5" s="1"/>
  <c r="X135" i="5"/>
  <c r="X72" i="5"/>
  <c r="X62" i="5"/>
  <c r="BI51" i="5"/>
  <c r="BI55" i="5"/>
  <c r="BI30" i="5"/>
  <c r="BI31" i="5" s="1"/>
  <c r="BI74" i="5"/>
  <c r="BI75" i="5"/>
  <c r="BH74" i="5"/>
  <c r="BI52" i="5"/>
  <c r="BJ75" i="5"/>
  <c r="BI44" i="5"/>
  <c r="Z134" i="4"/>
  <c r="Z136" i="5"/>
  <c r="BG57" i="5"/>
  <c r="BG79" i="5"/>
  <c r="BP57" i="5"/>
  <c r="BP79" i="5"/>
  <c r="BI57" i="5"/>
  <c r="BI79" i="5"/>
  <c r="AD152" i="5"/>
  <c r="AD81" i="5" s="1"/>
  <c r="BM28" i="5"/>
  <c r="BM52" i="5" s="1"/>
  <c r="CL33" i="4"/>
  <c r="AD87" i="5"/>
  <c r="AD159" i="5"/>
  <c r="AD126" i="5"/>
  <c r="AB85" i="4"/>
  <c r="AB124" i="4"/>
  <c r="AB157" i="4"/>
  <c r="BQ27" i="5"/>
  <c r="BQ153" i="5" s="1"/>
  <c r="CG33" i="4"/>
  <c r="AC84" i="4"/>
  <c r="AC8" i="4"/>
  <c r="AD9" i="4"/>
  <c r="AE56" i="5"/>
  <c r="AD73" i="5" s="1"/>
  <c r="AE86" i="5"/>
  <c r="BH75" i="5"/>
  <c r="BF74" i="5"/>
  <c r="BG74" i="5"/>
  <c r="BZ45" i="5"/>
  <c r="BX45" i="5"/>
  <c r="BJ31" i="5"/>
  <c r="C21" i="4"/>
  <c r="BC31" i="5"/>
  <c r="BF31" i="5"/>
  <c r="E100" i="5"/>
  <c r="G154" i="5"/>
  <c r="G82" i="5"/>
  <c r="CN33" i="4"/>
  <c r="CN20" i="5"/>
  <c r="CN34" i="5" s="1"/>
  <c r="BW22" i="5"/>
  <c r="BW35" i="5" s="1"/>
  <c r="BW45" i="5"/>
  <c r="BL31" i="5"/>
  <c r="BG75" i="5"/>
  <c r="BV33" i="5"/>
  <c r="BV35" i="5"/>
  <c r="BG54" i="5"/>
  <c r="BG55" i="5"/>
  <c r="BG51" i="5"/>
  <c r="BG50" i="5"/>
  <c r="BG52" i="5"/>
  <c r="BG44" i="5"/>
  <c r="BG30" i="5"/>
  <c r="BT33" i="5"/>
  <c r="BT35" i="5"/>
  <c r="BP55" i="5"/>
  <c r="BP52" i="5"/>
  <c r="BP54" i="5"/>
  <c r="BP51" i="5"/>
  <c r="BP44" i="5"/>
  <c r="BP50" i="5"/>
  <c r="BP30" i="5"/>
  <c r="BY45" i="5"/>
  <c r="BY38" i="5"/>
  <c r="BU35" i="5"/>
  <c r="BP153" i="5"/>
  <c r="BW32" i="4"/>
  <c r="BW34" i="4"/>
  <c r="CM33" i="4"/>
  <c r="CJ33" i="4"/>
  <c r="CH33" i="4"/>
  <c r="BR27" i="5"/>
  <c r="CI33" i="4"/>
  <c r="CO20" i="5"/>
  <c r="CO34" i="5" s="1"/>
  <c r="BZ32" i="4"/>
  <c r="BZ34" i="4"/>
  <c r="BZ22" i="5"/>
  <c r="BX27" i="5"/>
  <c r="BN28" i="5"/>
  <c r="BN153" i="5"/>
  <c r="CA22" i="5"/>
  <c r="BT27" i="5"/>
  <c r="BT153" i="5" s="1"/>
  <c r="BX22" i="5"/>
  <c r="BX34" i="4"/>
  <c r="BX32" i="4"/>
  <c r="BO27" i="5"/>
  <c r="BK28" i="5"/>
  <c r="BK153" i="5"/>
  <c r="AC174" i="5"/>
  <c r="AC168" i="4"/>
  <c r="AE8" i="5"/>
  <c r="AF9" i="5"/>
  <c r="BY22" i="5"/>
  <c r="BY33" i="5" s="1"/>
  <c r="BY32" i="4"/>
  <c r="AD80" i="39" l="1"/>
  <c r="AD152" i="39"/>
  <c r="C68" i="40"/>
  <c r="C71" i="39"/>
  <c r="C133" i="39"/>
  <c r="C55" i="40"/>
  <c r="Y144" i="39"/>
  <c r="Y145" i="39" s="1"/>
  <c r="Y137" i="39" s="1"/>
  <c r="Y138" i="39" s="1"/>
  <c r="Y139" i="39" s="1" a="1"/>
  <c r="Y139" i="39" s="1"/>
  <c r="Y65" i="39" s="1"/>
  <c r="Y78" i="39" s="1"/>
  <c r="AD181" i="39"/>
  <c r="AC179" i="39"/>
  <c r="E57" i="40"/>
  <c r="C56" i="40"/>
  <c r="J129" i="40" a="1"/>
  <c r="J129" i="40" s="1"/>
  <c r="I129" i="40" a="1"/>
  <c r="I129" i="40" s="1"/>
  <c r="N129" i="40" a="1"/>
  <c r="N129" i="40" s="1"/>
  <c r="T129" i="40" a="1"/>
  <c r="T129" i="40" s="1"/>
  <c r="Q129" i="40" a="1"/>
  <c r="Q129" i="40" s="1"/>
  <c r="Z129" i="40" a="1"/>
  <c r="Z129" i="40" s="1"/>
  <c r="R129" i="40" a="1"/>
  <c r="R129" i="40" s="1"/>
  <c r="W129" i="40" a="1"/>
  <c r="W129" i="40" s="1"/>
  <c r="Y129" i="40" a="1"/>
  <c r="Y129" i="40" s="1"/>
  <c r="G129" i="40" a="1"/>
  <c r="G129" i="40" s="1"/>
  <c r="H129" i="40" a="1"/>
  <c r="H129" i="40" s="1"/>
  <c r="V129" i="40" a="1"/>
  <c r="V129" i="40" s="1"/>
  <c r="F129" i="40" a="1"/>
  <c r="F129" i="40" s="1"/>
  <c r="K129" i="40" a="1"/>
  <c r="K129" i="40" s="1"/>
  <c r="L129" i="40" a="1"/>
  <c r="L129" i="40" s="1"/>
  <c r="P129" i="40" a="1"/>
  <c r="P129" i="40" s="1"/>
  <c r="U129" i="40" a="1"/>
  <c r="U129" i="40" s="1"/>
  <c r="O129" i="40" a="1"/>
  <c r="O129" i="40" s="1"/>
  <c r="X129" i="40" a="1"/>
  <c r="X129" i="40" s="1"/>
  <c r="S129" i="40" a="1"/>
  <c r="S129" i="40" s="1"/>
  <c r="E129" i="40" a="1"/>
  <c r="E129" i="40" s="1"/>
  <c r="M129" i="40" a="1"/>
  <c r="M129" i="40" s="1"/>
  <c r="AE176" i="39"/>
  <c r="AD175" i="39"/>
  <c r="C75" i="40"/>
  <c r="X177" i="39"/>
  <c r="X115" i="39"/>
  <c r="C146" i="40"/>
  <c r="E67" i="40" a="1"/>
  <c r="E67" i="40" s="1"/>
  <c r="M67" i="40" a="1"/>
  <c r="M67" i="40" s="1"/>
  <c r="K67" i="40" a="1"/>
  <c r="K67" i="40" s="1"/>
  <c r="U67" i="40" a="1"/>
  <c r="U67" i="40" s="1"/>
  <c r="F67" i="40" a="1"/>
  <c r="F67" i="40" s="1"/>
  <c r="N67" i="40" a="1"/>
  <c r="N67" i="40" s="1"/>
  <c r="O67" i="40" a="1"/>
  <c r="O67" i="40" s="1"/>
  <c r="Q67" i="40" a="1"/>
  <c r="Q67" i="40" s="1"/>
  <c r="H67" i="40" a="1"/>
  <c r="H67" i="40" s="1"/>
  <c r="P67" i="40" a="1"/>
  <c r="P67" i="40" s="1"/>
  <c r="Y67" i="40" a="1"/>
  <c r="Y67" i="40" s="1"/>
  <c r="R67" i="40" a="1"/>
  <c r="R67" i="40" s="1"/>
  <c r="L67" i="40" a="1"/>
  <c r="L67" i="40" s="1"/>
  <c r="V67" i="40" a="1"/>
  <c r="V67" i="40" s="1"/>
  <c r="J67" i="40" a="1"/>
  <c r="J67" i="40" s="1"/>
  <c r="I67" i="40" a="1"/>
  <c r="I67" i="40" s="1"/>
  <c r="X67" i="40" a="1"/>
  <c r="X67" i="40" s="1"/>
  <c r="S67" i="40" a="1"/>
  <c r="S67" i="40" s="1"/>
  <c r="Z67" i="40" a="1"/>
  <c r="Z67" i="40" s="1"/>
  <c r="G67" i="40" a="1"/>
  <c r="G67" i="40" s="1"/>
  <c r="W67" i="40" a="1"/>
  <c r="W67" i="40" s="1"/>
  <c r="T67" i="40" a="1"/>
  <c r="T67" i="40" s="1"/>
  <c r="CL21" i="5"/>
  <c r="CE21" i="5"/>
  <c r="BY21" i="5"/>
  <c r="CC16" i="5"/>
  <c r="CC19" i="5" s="1"/>
  <c r="CC53" i="5" s="1"/>
  <c r="CI21" i="5"/>
  <c r="CB21" i="5"/>
  <c r="CH21" i="5"/>
  <c r="AD179" i="5"/>
  <c r="BU27" i="5"/>
  <c r="BU153" i="5" s="1"/>
  <c r="AD169" i="5"/>
  <c r="AC170" i="5"/>
  <c r="AC63" i="5" s="1"/>
  <c r="AC171" i="5"/>
  <c r="AC58" i="5" s="1"/>
  <c r="AA60" i="5"/>
  <c r="AA61" i="5" s="1"/>
  <c r="Z62" i="5"/>
  <c r="Z72" i="5"/>
  <c r="Z135" i="5"/>
  <c r="AA134" i="4"/>
  <c r="AA136" i="5"/>
  <c r="BK57" i="5"/>
  <c r="BK79" i="5"/>
  <c r="BL74" i="5"/>
  <c r="BM79" i="5"/>
  <c r="BN57" i="5"/>
  <c r="BN79" i="5"/>
  <c r="BM51" i="5"/>
  <c r="BW33" i="5"/>
  <c r="BM75" i="5"/>
  <c r="BM57" i="5"/>
  <c r="BN75" i="5"/>
  <c r="BM30" i="5"/>
  <c r="BM55" i="5"/>
  <c r="BM44" i="5"/>
  <c r="AE152" i="5"/>
  <c r="AE81" i="5" s="1"/>
  <c r="BM50" i="5"/>
  <c r="BM54" i="5"/>
  <c r="CC34" i="4"/>
  <c r="AC85" i="4"/>
  <c r="AC157" i="4"/>
  <c r="AC124" i="4"/>
  <c r="AD84" i="4"/>
  <c r="AD8" i="4"/>
  <c r="AE9" i="4"/>
  <c r="AE87" i="5"/>
  <c r="AE159" i="5"/>
  <c r="AE126" i="5"/>
  <c r="AF56" i="5"/>
  <c r="AE73" i="5" s="1"/>
  <c r="AF86" i="5"/>
  <c r="BQ28" i="5"/>
  <c r="CD45" i="5"/>
  <c r="H151" i="5"/>
  <c r="C20" i="4"/>
  <c r="CK20" i="5"/>
  <c r="CK34" i="5" s="1"/>
  <c r="C34" i="5" s="1"/>
  <c r="CB45" i="5"/>
  <c r="BG31" i="5"/>
  <c r="BL75" i="5"/>
  <c r="BJ74" i="5"/>
  <c r="BK75" i="5"/>
  <c r="BK74" i="5"/>
  <c r="BP31" i="5"/>
  <c r="CA34" i="4"/>
  <c r="CA45" i="5"/>
  <c r="BM74" i="5"/>
  <c r="BN55" i="5"/>
  <c r="BN54" i="5"/>
  <c r="BN51" i="5"/>
  <c r="BN52" i="5"/>
  <c r="BN50" i="5"/>
  <c r="BN44" i="5"/>
  <c r="BN30" i="5"/>
  <c r="BY35" i="5"/>
  <c r="BK55" i="5"/>
  <c r="BK54" i="5"/>
  <c r="BK50" i="5"/>
  <c r="BK52" i="5"/>
  <c r="BK51" i="5"/>
  <c r="BK44" i="5"/>
  <c r="BK30" i="5"/>
  <c r="CA33" i="5"/>
  <c r="CA35" i="5"/>
  <c r="BX28" i="5"/>
  <c r="BX33" i="5"/>
  <c r="BX35" i="5"/>
  <c r="BZ33" i="5"/>
  <c r="BZ35" i="5"/>
  <c r="CK33" i="4"/>
  <c r="C33" i="4" s="1"/>
  <c r="CE34" i="4"/>
  <c r="CG34" i="4"/>
  <c r="CA32" i="4"/>
  <c r="BY27" i="5"/>
  <c r="BT28" i="5"/>
  <c r="BR153" i="5"/>
  <c r="BR28" i="5"/>
  <c r="BR79" i="5" s="1"/>
  <c r="CL34" i="4"/>
  <c r="BV27" i="5"/>
  <c r="CD34" i="4"/>
  <c r="CD22" i="5"/>
  <c r="CD32" i="4"/>
  <c r="BS27" i="5"/>
  <c r="BO28" i="5"/>
  <c r="BO79" i="5" s="1"/>
  <c r="BO153" i="5"/>
  <c r="BX153" i="5"/>
  <c r="CB34" i="4"/>
  <c r="CB22" i="5"/>
  <c r="CB32" i="4"/>
  <c r="AF8" i="5"/>
  <c r="AG9" i="5"/>
  <c r="AD168" i="4"/>
  <c r="CO33" i="4"/>
  <c r="CC22" i="5"/>
  <c r="CC33" i="5" s="1"/>
  <c r="CC32" i="4"/>
  <c r="AD174" i="5"/>
  <c r="AE149" i="39" l="1"/>
  <c r="AD174" i="39"/>
  <c r="C67" i="40"/>
  <c r="AE181" i="39"/>
  <c r="AD179" i="39"/>
  <c r="X190" i="39"/>
  <c r="X189" i="39"/>
  <c r="Y66" i="39"/>
  <c r="Y185" i="39" s="1"/>
  <c r="Y184" i="39" s="1"/>
  <c r="Y81" i="39"/>
  <c r="Y120" i="39"/>
  <c r="Y122" i="39"/>
  <c r="Y146" i="39"/>
  <c r="Z143" i="39" s="1"/>
  <c r="AE175" i="39"/>
  <c r="AF176" i="39"/>
  <c r="C129" i="40"/>
  <c r="CC38" i="5"/>
  <c r="CC45" i="5"/>
  <c r="CM21" i="5"/>
  <c r="CF21" i="5"/>
  <c r="CG16" i="5"/>
  <c r="CG19" i="5" s="1"/>
  <c r="CG53" i="5" s="1"/>
  <c r="CJ21" i="5"/>
  <c r="CC21" i="5"/>
  <c r="BU28" i="5"/>
  <c r="BT74" i="5" s="1"/>
  <c r="AE179" i="5"/>
  <c r="AE169" i="5"/>
  <c r="AD171" i="5"/>
  <c r="AD58" i="5" s="1"/>
  <c r="AD170" i="5"/>
  <c r="AD63" i="5" s="1"/>
  <c r="AB60" i="5"/>
  <c r="AB61" i="5" s="1"/>
  <c r="AA62" i="5"/>
  <c r="AA135" i="5"/>
  <c r="AA72" i="5"/>
  <c r="AB134" i="4"/>
  <c r="AB136" i="5"/>
  <c r="BQ51" i="5"/>
  <c r="BQ79" i="5"/>
  <c r="BQ30" i="5"/>
  <c r="BQ31" i="5" s="1"/>
  <c r="BX57" i="5"/>
  <c r="BX79" i="5"/>
  <c r="BT57" i="5"/>
  <c r="BT79" i="5"/>
  <c r="BQ55" i="5"/>
  <c r="BQ52" i="5"/>
  <c r="BM31" i="5"/>
  <c r="BP74" i="5"/>
  <c r="BQ57" i="5"/>
  <c r="BR75" i="5"/>
  <c r="BR57" i="5"/>
  <c r="BO75" i="5"/>
  <c r="BO57" i="5"/>
  <c r="CE32" i="4"/>
  <c r="BY153" i="5"/>
  <c r="BQ44" i="5"/>
  <c r="BQ54" i="5"/>
  <c r="BQ75" i="5"/>
  <c r="C20" i="5"/>
  <c r="BQ50" i="5"/>
  <c r="CL22" i="5"/>
  <c r="CL33" i="5" s="1"/>
  <c r="CL32" i="4"/>
  <c r="AF87" i="5"/>
  <c r="AF126" i="5"/>
  <c r="AF159" i="5"/>
  <c r="AG56" i="5"/>
  <c r="AF73" i="5" s="1"/>
  <c r="AG86" i="5"/>
  <c r="AE84" i="4"/>
  <c r="AF9" i="4"/>
  <c r="AE8" i="4"/>
  <c r="AD85" i="4"/>
  <c r="AD157" i="4"/>
  <c r="AD124" i="4"/>
  <c r="AF152" i="5"/>
  <c r="AF81" i="5" s="1"/>
  <c r="H82" i="5"/>
  <c r="H154" i="5"/>
  <c r="BQ74" i="5"/>
  <c r="CE45" i="5"/>
  <c r="CE22" i="5"/>
  <c r="CE33" i="5" s="1"/>
  <c r="CL45" i="5"/>
  <c r="BK31" i="5"/>
  <c r="BP75" i="5"/>
  <c r="BN74" i="5"/>
  <c r="BO74" i="5"/>
  <c r="CF45" i="5"/>
  <c r="CH45" i="5"/>
  <c r="BN31" i="5"/>
  <c r="BT52" i="5"/>
  <c r="BT54" i="5"/>
  <c r="BT51" i="5"/>
  <c r="BT55" i="5"/>
  <c r="BT44" i="5"/>
  <c r="BT50" i="5"/>
  <c r="BT30" i="5"/>
  <c r="CC35" i="5"/>
  <c r="CD33" i="5"/>
  <c r="CD35" i="5"/>
  <c r="BX55" i="5"/>
  <c r="BX52" i="5"/>
  <c r="BX54" i="5"/>
  <c r="BX50" i="5"/>
  <c r="BX44" i="5"/>
  <c r="BX51" i="5"/>
  <c r="BX30" i="5"/>
  <c r="CB33" i="5"/>
  <c r="CB35" i="5"/>
  <c r="BO55" i="5"/>
  <c r="BO52" i="5"/>
  <c r="BO51" i="5"/>
  <c r="BO50" i="5"/>
  <c r="BO54" i="5"/>
  <c r="BO44" i="5"/>
  <c r="BO30" i="5"/>
  <c r="BR55" i="5"/>
  <c r="BR54" i="5"/>
  <c r="BR51" i="5"/>
  <c r="BR50" i="5"/>
  <c r="BR52" i="5"/>
  <c r="BR44" i="5"/>
  <c r="BR30" i="5"/>
  <c r="C37" i="4"/>
  <c r="CH34" i="4"/>
  <c r="CH32" i="4"/>
  <c r="CH22" i="5"/>
  <c r="CI34" i="4"/>
  <c r="BV153" i="5"/>
  <c r="BV28" i="5"/>
  <c r="CB27" i="5"/>
  <c r="CB153" i="5" s="1"/>
  <c r="CK34" i="4"/>
  <c r="BZ27" i="5"/>
  <c r="CF27" i="5"/>
  <c r="BW27" i="5"/>
  <c r="CF34" i="4"/>
  <c r="CF22" i="5"/>
  <c r="CF32" i="4"/>
  <c r="BS28" i="5"/>
  <c r="BS153" i="5"/>
  <c r="AE168" i="4"/>
  <c r="AH9" i="5"/>
  <c r="AG8" i="5"/>
  <c r="BY28" i="5"/>
  <c r="AE174" i="5"/>
  <c r="CG22" i="5"/>
  <c r="CG33" i="5" s="1"/>
  <c r="CG32" i="4"/>
  <c r="C19" i="4"/>
  <c r="AE152" i="39" l="1"/>
  <c r="AE80" i="39"/>
  <c r="Y163" i="39"/>
  <c r="Y98" i="39"/>
  <c r="Y99" i="39" s="1"/>
  <c r="AF175" i="39"/>
  <c r="AG176" i="39"/>
  <c r="AE179" i="39"/>
  <c r="AF181" i="39"/>
  <c r="CG38" i="5"/>
  <c r="CG45" i="5"/>
  <c r="CK16" i="5"/>
  <c r="CK19" i="5" s="1"/>
  <c r="CK45" i="5" s="1"/>
  <c r="CK21" i="5"/>
  <c r="C21" i="5" s="1"/>
  <c r="CN21" i="5"/>
  <c r="CG21" i="5"/>
  <c r="BU44" i="5"/>
  <c r="BU50" i="5"/>
  <c r="BU54" i="5"/>
  <c r="BU51" i="5"/>
  <c r="BU52" i="5"/>
  <c r="BU55" i="5"/>
  <c r="BU30" i="5"/>
  <c r="BU31" i="5" s="1"/>
  <c r="BU75" i="5"/>
  <c r="BU57" i="5"/>
  <c r="BU79" i="5"/>
  <c r="AF179" i="5"/>
  <c r="AF169" i="5"/>
  <c r="AE170" i="5"/>
  <c r="AE63" i="5" s="1"/>
  <c r="AE171" i="5"/>
  <c r="AE58" i="5" s="1"/>
  <c r="CL35" i="5"/>
  <c r="AC60" i="5"/>
  <c r="AC61" i="5" s="1"/>
  <c r="AB135" i="5"/>
  <c r="AB72" i="5"/>
  <c r="AB62" i="5"/>
  <c r="AC134" i="4"/>
  <c r="AC136" i="5"/>
  <c r="BY57" i="5"/>
  <c r="BY79" i="5"/>
  <c r="BS57" i="5"/>
  <c r="BS79" i="5"/>
  <c r="BV57" i="5"/>
  <c r="BV79" i="5"/>
  <c r="AG87" i="5"/>
  <c r="AG159" i="5"/>
  <c r="AG126" i="5"/>
  <c r="CE35" i="5"/>
  <c r="AH56" i="5"/>
  <c r="AG73" i="5" s="1"/>
  <c r="AH86" i="5"/>
  <c r="AF84" i="4"/>
  <c r="AG9" i="4"/>
  <c r="AF8" i="4"/>
  <c r="AG152" i="5"/>
  <c r="AG81" i="5" s="1"/>
  <c r="AE85" i="4"/>
  <c r="AE157" i="4"/>
  <c r="AE124" i="4"/>
  <c r="BX74" i="5"/>
  <c r="BT75" i="5"/>
  <c r="BR74" i="5"/>
  <c r="BU74" i="5"/>
  <c r="BS74" i="5"/>
  <c r="BY75" i="5"/>
  <c r="CJ45" i="5"/>
  <c r="CN45" i="5"/>
  <c r="CM45" i="5"/>
  <c r="BT31" i="5"/>
  <c r="BS75" i="5"/>
  <c r="I151" i="5"/>
  <c r="BV75" i="5"/>
  <c r="BO31" i="5"/>
  <c r="CI32" i="4"/>
  <c r="CI45" i="5"/>
  <c r="BR31" i="5"/>
  <c r="BX31" i="5"/>
  <c r="BY55" i="5"/>
  <c r="BY54" i="5"/>
  <c r="BY52" i="5"/>
  <c r="BY51" i="5"/>
  <c r="BY50" i="5"/>
  <c r="BY44" i="5"/>
  <c r="BY30" i="5"/>
  <c r="CG35" i="5"/>
  <c r="BS55" i="5"/>
  <c r="BS54" i="5"/>
  <c r="BS52" i="5"/>
  <c r="BS50" i="5"/>
  <c r="BS51" i="5"/>
  <c r="BS44" i="5"/>
  <c r="BS30" i="5"/>
  <c r="CF153" i="5"/>
  <c r="CF33" i="5"/>
  <c r="CF35" i="5"/>
  <c r="CB28" i="5"/>
  <c r="BV55" i="5"/>
  <c r="BV51" i="5"/>
  <c r="BV54" i="5"/>
  <c r="BV50" i="5"/>
  <c r="BV52" i="5"/>
  <c r="BV44" i="5"/>
  <c r="BV30" i="5"/>
  <c r="CH33" i="5"/>
  <c r="CH35" i="5"/>
  <c r="CI22" i="5"/>
  <c r="BZ28" i="5"/>
  <c r="BZ79" i="5" s="1"/>
  <c r="BZ153" i="5"/>
  <c r="CD27" i="5"/>
  <c r="CG27" i="5"/>
  <c r="CC27" i="5"/>
  <c r="CC28" i="5" s="1"/>
  <c r="BW153" i="5"/>
  <c r="BW28" i="5"/>
  <c r="CJ32" i="4"/>
  <c r="CJ34" i="4"/>
  <c r="CJ22" i="5"/>
  <c r="CA27" i="5"/>
  <c r="CM34" i="4"/>
  <c r="CM22" i="5"/>
  <c r="CM32" i="4"/>
  <c r="C22" i="4"/>
  <c r="CF28" i="5"/>
  <c r="AF168" i="4"/>
  <c r="C19" i="5"/>
  <c r="CK22" i="5"/>
  <c r="CK33" i="5" s="1"/>
  <c r="CK32" i="4"/>
  <c r="CO34" i="4"/>
  <c r="AF174" i="5"/>
  <c r="AI9" i="5"/>
  <c r="AH8" i="5"/>
  <c r="AF149" i="39" l="1"/>
  <c r="AE174" i="39"/>
  <c r="CK53" i="5"/>
  <c r="C53" i="5" s="1"/>
  <c r="CK38" i="5"/>
  <c r="C38" i="5" s="1"/>
  <c r="AF179" i="39"/>
  <c r="AG181" i="39"/>
  <c r="AG175" i="39"/>
  <c r="AH176" i="39"/>
  <c r="Y90" i="39"/>
  <c r="Y121" i="39"/>
  <c r="Y164" i="39"/>
  <c r="CO16" i="5"/>
  <c r="CO19" i="5" s="1"/>
  <c r="CO38" i="5" s="1"/>
  <c r="CO21" i="5"/>
  <c r="AG179" i="5"/>
  <c r="AG169" i="5"/>
  <c r="AF171" i="5"/>
  <c r="AF58" i="5" s="1"/>
  <c r="AF170" i="5"/>
  <c r="AF63" i="5" s="1"/>
  <c r="AC72" i="5"/>
  <c r="AC62" i="5"/>
  <c r="AC135" i="5"/>
  <c r="AD60" i="5"/>
  <c r="AD61" i="5" s="1"/>
  <c r="AD134" i="4"/>
  <c r="AD136" i="5"/>
  <c r="BW57" i="5"/>
  <c r="BW79" i="5"/>
  <c r="CB57" i="5"/>
  <c r="CB79" i="5"/>
  <c r="CF57" i="5"/>
  <c r="CF79" i="5"/>
  <c r="CC57" i="5"/>
  <c r="CC79" i="5"/>
  <c r="AH152" i="5"/>
  <c r="AH81" i="5" s="1"/>
  <c r="BZ75" i="5"/>
  <c r="BZ57" i="5"/>
  <c r="AH126" i="5"/>
  <c r="AH159" i="5"/>
  <c r="AH87" i="5"/>
  <c r="AI56" i="5"/>
  <c r="AH73" i="5" s="1"/>
  <c r="AI86" i="5"/>
  <c r="AG84" i="4"/>
  <c r="AH9" i="4"/>
  <c r="AG8" i="4"/>
  <c r="AF124" i="4"/>
  <c r="AF157" i="4"/>
  <c r="AF85" i="4"/>
  <c r="BV31" i="5"/>
  <c r="CC75" i="5"/>
  <c r="BS31" i="5"/>
  <c r="C45" i="5"/>
  <c r="BY31" i="5"/>
  <c r="CB74" i="5"/>
  <c r="CG153" i="5"/>
  <c r="CC153" i="5"/>
  <c r="BX75" i="5"/>
  <c r="BV74" i="5"/>
  <c r="BW74" i="5"/>
  <c r="BY74" i="5"/>
  <c r="I154" i="5"/>
  <c r="I82" i="5"/>
  <c r="BW75" i="5"/>
  <c r="CF52" i="5"/>
  <c r="CF55" i="5"/>
  <c r="CF54" i="5"/>
  <c r="CF50" i="5"/>
  <c r="CF44" i="5"/>
  <c r="CF51" i="5"/>
  <c r="CF30" i="5"/>
  <c r="CM33" i="5"/>
  <c r="CM35" i="5"/>
  <c r="CC55" i="5"/>
  <c r="CC54" i="5"/>
  <c r="CC51" i="5"/>
  <c r="CC50" i="5"/>
  <c r="CC52" i="5"/>
  <c r="CC44" i="5"/>
  <c r="CC30" i="5"/>
  <c r="CI33" i="5"/>
  <c r="CI35" i="5"/>
  <c r="CK35" i="5"/>
  <c r="CB52" i="5"/>
  <c r="CB55" i="5"/>
  <c r="CB54" i="5"/>
  <c r="CB51" i="5"/>
  <c r="CB50" i="5"/>
  <c r="CB44" i="5"/>
  <c r="CB30" i="5"/>
  <c r="CJ33" i="5"/>
  <c r="CJ35" i="5"/>
  <c r="BW54" i="5"/>
  <c r="BW55" i="5"/>
  <c r="BW51" i="5"/>
  <c r="BW50" i="5"/>
  <c r="BW52" i="5"/>
  <c r="BW44" i="5"/>
  <c r="BW30" i="5"/>
  <c r="BZ55" i="5"/>
  <c r="BZ52" i="5"/>
  <c r="BZ51" i="5"/>
  <c r="BZ54" i="5"/>
  <c r="BZ50" i="5"/>
  <c r="BZ44" i="5"/>
  <c r="BZ30" i="5"/>
  <c r="CN27" i="5"/>
  <c r="CD153" i="5"/>
  <c r="CD28" i="5"/>
  <c r="CL27" i="5"/>
  <c r="CL28" i="5" s="1"/>
  <c r="CJ27" i="5"/>
  <c r="CJ28" i="5" s="1"/>
  <c r="CH27" i="5"/>
  <c r="CK27" i="5"/>
  <c r="CN34" i="4"/>
  <c r="C34" i="4" s="1"/>
  <c r="CN32" i="4"/>
  <c r="CN22" i="5"/>
  <c r="CE27" i="5"/>
  <c r="CA153" i="5"/>
  <c r="CA28" i="5"/>
  <c r="CO22" i="5"/>
  <c r="CO33" i="5" s="1"/>
  <c r="CO32" i="4"/>
  <c r="AG168" i="4"/>
  <c r="AI8" i="5"/>
  <c r="AJ9" i="5"/>
  <c r="CG28" i="5"/>
  <c r="AG174" i="5"/>
  <c r="AF152" i="39" l="1"/>
  <c r="AF80" i="39"/>
  <c r="CO53" i="5"/>
  <c r="CO45" i="5"/>
  <c r="Y183" i="39"/>
  <c r="Y182" i="39" s="1"/>
  <c r="Z161" i="39"/>
  <c r="Z165" i="39" s="1"/>
  <c r="Y92" i="39"/>
  <c r="Y94" i="39" s="1"/>
  <c r="Y95" i="39" s="1"/>
  <c r="Y107" i="39"/>
  <c r="AI176" i="39"/>
  <c r="AH175" i="39"/>
  <c r="AG179" i="39"/>
  <c r="AH181" i="39"/>
  <c r="AH179" i="5"/>
  <c r="AH169" i="5"/>
  <c r="AG170" i="5"/>
  <c r="AG63" i="5" s="1"/>
  <c r="AG171" i="5"/>
  <c r="AG58" i="5" s="1"/>
  <c r="AE60" i="5"/>
  <c r="AE61" i="5" s="1"/>
  <c r="AD135" i="5"/>
  <c r="AD62" i="5"/>
  <c r="AD72" i="5"/>
  <c r="AE134" i="4"/>
  <c r="AE136" i="5"/>
  <c r="CG57" i="5"/>
  <c r="CG79" i="5"/>
  <c r="CA57" i="5"/>
  <c r="CA79" i="5"/>
  <c r="CL57" i="5"/>
  <c r="CL79" i="5"/>
  <c r="CD57" i="5"/>
  <c r="CD79" i="5"/>
  <c r="CJ57" i="5"/>
  <c r="CJ79" i="5"/>
  <c r="AI152" i="5"/>
  <c r="AI81" i="5" s="1"/>
  <c r="AG124" i="4"/>
  <c r="AG85" i="4"/>
  <c r="AG157" i="4"/>
  <c r="AI87" i="5"/>
  <c r="AI126" i="5"/>
  <c r="AI159" i="5"/>
  <c r="AJ56" i="5"/>
  <c r="AI73" i="5" s="1"/>
  <c r="AJ86" i="5"/>
  <c r="AH84" i="4"/>
  <c r="AH8" i="4"/>
  <c r="AI9" i="4"/>
  <c r="CL153" i="5"/>
  <c r="CB75" i="5"/>
  <c r="BZ74" i="5"/>
  <c r="CC74" i="5"/>
  <c r="BW31" i="5"/>
  <c r="CB31" i="5"/>
  <c r="CA75" i="5"/>
  <c r="CD75" i="5"/>
  <c r="BZ31" i="5"/>
  <c r="J151" i="5"/>
  <c r="CF74" i="5"/>
  <c r="CC31" i="5"/>
  <c r="CF31" i="5"/>
  <c r="CG75" i="5"/>
  <c r="CA74" i="5"/>
  <c r="CN153" i="5"/>
  <c r="CN33" i="5"/>
  <c r="CN35" i="5"/>
  <c r="C35" i="5" s="1"/>
  <c r="CG55" i="5"/>
  <c r="CG54" i="5"/>
  <c r="CG51" i="5"/>
  <c r="CG52" i="5"/>
  <c r="CG44" i="5"/>
  <c r="CG50" i="5"/>
  <c r="CG30" i="5"/>
  <c r="CD55" i="5"/>
  <c r="CD54" i="5"/>
  <c r="CD51" i="5"/>
  <c r="CD52" i="5"/>
  <c r="CD50" i="5"/>
  <c r="CD44" i="5"/>
  <c r="CD30" i="5"/>
  <c r="CO35" i="5"/>
  <c r="CL55" i="5"/>
  <c r="CL51" i="5"/>
  <c r="CL54" i="5"/>
  <c r="CL50" i="5"/>
  <c r="CL52" i="5"/>
  <c r="CL44" i="5"/>
  <c r="CL30" i="5"/>
  <c r="CJ55" i="5"/>
  <c r="CJ52" i="5"/>
  <c r="CJ51" i="5"/>
  <c r="CJ50" i="5"/>
  <c r="CJ54" i="5"/>
  <c r="CJ44" i="5"/>
  <c r="CJ30" i="5"/>
  <c r="CA55" i="5"/>
  <c r="CA54" i="5"/>
  <c r="CA52" i="5"/>
  <c r="CA50" i="5"/>
  <c r="CA51" i="5"/>
  <c r="CA44" i="5"/>
  <c r="CA30" i="5"/>
  <c r="CN28" i="5"/>
  <c r="C22" i="5"/>
  <c r="CJ153" i="5"/>
  <c r="CK28" i="5"/>
  <c r="CH28" i="5"/>
  <c r="CH153" i="5"/>
  <c r="CI27" i="5"/>
  <c r="CE28" i="5"/>
  <c r="CE79" i="5" s="1"/>
  <c r="CE153" i="5"/>
  <c r="C32" i="4"/>
  <c r="CO27" i="5"/>
  <c r="CO28" i="5" s="1"/>
  <c r="CO57" i="5" s="1"/>
  <c r="AH174" i="5"/>
  <c r="CK153" i="5"/>
  <c r="AK9" i="5"/>
  <c r="AJ8" i="5"/>
  <c r="AH168" i="4"/>
  <c r="AG149" i="39" l="1"/>
  <c r="AF174" i="39"/>
  <c r="AH179" i="39"/>
  <c r="AI181" i="39"/>
  <c r="AJ176" i="39"/>
  <c r="AI175" i="39"/>
  <c r="Y109" i="39"/>
  <c r="Y110" i="39" s="1"/>
  <c r="Y108" i="39"/>
  <c r="Z93" i="39"/>
  <c r="Y171" i="39"/>
  <c r="Y170" i="39" s="1"/>
  <c r="Z91" i="39"/>
  <c r="Z63" i="39"/>
  <c r="Z64" i="39" s="1"/>
  <c r="Z135" i="39"/>
  <c r="Z136" i="39" s="1"/>
  <c r="Y116" i="39"/>
  <c r="Y187" i="39"/>
  <c r="Y117" i="39" s="1"/>
  <c r="Y118" i="39"/>
  <c r="AI179" i="5"/>
  <c r="AI169" i="5"/>
  <c r="AH170" i="5"/>
  <c r="AH63" i="5" s="1"/>
  <c r="AH171" i="5"/>
  <c r="AH58" i="5" s="1"/>
  <c r="AE62" i="5"/>
  <c r="AE72" i="5"/>
  <c r="AE135" i="5"/>
  <c r="AF60" i="5"/>
  <c r="AF61" i="5" s="1"/>
  <c r="AF134" i="4"/>
  <c r="AF136" i="5"/>
  <c r="CH57" i="5"/>
  <c r="CH79" i="5"/>
  <c r="CK57" i="5"/>
  <c r="CK79" i="5"/>
  <c r="CN57" i="5"/>
  <c r="CN79" i="5"/>
  <c r="AJ152" i="5"/>
  <c r="AJ81" i="5" s="1"/>
  <c r="CE75" i="5"/>
  <c r="CE57" i="5"/>
  <c r="CN74" i="5"/>
  <c r="AI84" i="4"/>
  <c r="AI8" i="4"/>
  <c r="AJ9" i="4"/>
  <c r="AH157" i="4"/>
  <c r="AH124" i="4"/>
  <c r="AH85" i="4"/>
  <c r="AJ126" i="5"/>
  <c r="AJ87" i="5"/>
  <c r="AJ159" i="5"/>
  <c r="AK56" i="5"/>
  <c r="AJ73" i="5" s="1"/>
  <c r="AK86" i="5"/>
  <c r="CL75" i="5"/>
  <c r="CJ74" i="5"/>
  <c r="CL31" i="5"/>
  <c r="CG31" i="5"/>
  <c r="CK74" i="5"/>
  <c r="C36" i="5"/>
  <c r="C33" i="5"/>
  <c r="CK75" i="5"/>
  <c r="J82" i="5"/>
  <c r="J154" i="5"/>
  <c r="CF75" i="5"/>
  <c r="CD74" i="5"/>
  <c r="CE74" i="5"/>
  <c r="CG74" i="5"/>
  <c r="CA31" i="5"/>
  <c r="CJ31" i="5"/>
  <c r="CD31" i="5"/>
  <c r="CH75" i="5"/>
  <c r="CK55" i="5"/>
  <c r="CK54" i="5"/>
  <c r="CK52" i="5"/>
  <c r="CK51" i="5"/>
  <c r="CK50" i="5"/>
  <c r="CK44" i="5"/>
  <c r="CK30" i="5"/>
  <c r="CN55" i="5"/>
  <c r="CN52" i="5"/>
  <c r="CN54" i="5"/>
  <c r="CN50" i="5"/>
  <c r="CN51" i="5"/>
  <c r="CN44" i="5"/>
  <c r="CN30" i="5"/>
  <c r="CE55" i="5"/>
  <c r="CE52" i="5"/>
  <c r="CE51" i="5"/>
  <c r="CE50" i="5"/>
  <c r="CE54" i="5"/>
  <c r="CE44" i="5"/>
  <c r="CE30" i="5"/>
  <c r="CH55" i="5"/>
  <c r="CH54" i="5"/>
  <c r="CH51" i="5"/>
  <c r="CH50" i="5"/>
  <c r="CH52" i="5"/>
  <c r="CH44" i="5"/>
  <c r="CH30" i="5"/>
  <c r="CO56" i="5"/>
  <c r="CO55" i="5"/>
  <c r="CO54" i="5"/>
  <c r="CO52" i="5"/>
  <c r="CO51" i="5"/>
  <c r="CO50" i="5"/>
  <c r="CO44" i="5"/>
  <c r="CO30" i="5"/>
  <c r="CO31" i="5" s="1"/>
  <c r="CI28" i="5"/>
  <c r="CI153" i="5"/>
  <c r="CM27" i="5"/>
  <c r="C26" i="4"/>
  <c r="AI168" i="4"/>
  <c r="AK8" i="5"/>
  <c r="AL9" i="5"/>
  <c r="AI174" i="5"/>
  <c r="AG80" i="39" l="1"/>
  <c r="AG152" i="39"/>
  <c r="AJ175" i="39"/>
  <c r="AK176" i="39"/>
  <c r="Y115" i="39"/>
  <c r="Y177" i="39"/>
  <c r="AI179" i="39"/>
  <c r="AJ181" i="39"/>
  <c r="Z144" i="39"/>
  <c r="AJ179" i="5"/>
  <c r="AJ169" i="5"/>
  <c r="AI170" i="5"/>
  <c r="AI63" i="5" s="1"/>
  <c r="AI171" i="5"/>
  <c r="AI58" i="5" s="1"/>
  <c r="AG60" i="5"/>
  <c r="AG61" i="5" s="1"/>
  <c r="AF62" i="5"/>
  <c r="AF135" i="5"/>
  <c r="AF72" i="5"/>
  <c r="AG134" i="4"/>
  <c r="AG136" i="5"/>
  <c r="CI57" i="5"/>
  <c r="CI79" i="5"/>
  <c r="AK152" i="5"/>
  <c r="AK81" i="5" s="1"/>
  <c r="AJ84" i="4"/>
  <c r="AJ8" i="4"/>
  <c r="AK9" i="4"/>
  <c r="AK126" i="5"/>
  <c r="AK87" i="5"/>
  <c r="AK159" i="5"/>
  <c r="AL56" i="5"/>
  <c r="AK73" i="5" s="1"/>
  <c r="AL86" i="5"/>
  <c r="AI157" i="4"/>
  <c r="AI124" i="4"/>
  <c r="AI85" i="4"/>
  <c r="CE31" i="5"/>
  <c r="CK31" i="5"/>
  <c r="C53" i="4"/>
  <c r="C54" i="4"/>
  <c r="C49" i="4"/>
  <c r="C50" i="4"/>
  <c r="C51" i="4"/>
  <c r="K151" i="5"/>
  <c r="CH31" i="5"/>
  <c r="CJ75" i="5"/>
  <c r="CH74" i="5"/>
  <c r="CI74" i="5"/>
  <c r="CI75" i="5"/>
  <c r="CI55" i="5"/>
  <c r="CI54" i="5"/>
  <c r="CI52" i="5"/>
  <c r="CI51" i="5"/>
  <c r="CI50" i="5"/>
  <c r="CI44" i="5"/>
  <c r="CI30" i="5"/>
  <c r="CN31" i="5"/>
  <c r="CM153" i="5"/>
  <c r="C153" i="5" s="1"/>
  <c r="CM28" i="5"/>
  <c r="C27" i="5"/>
  <c r="AJ168" i="4"/>
  <c r="AL8" i="5"/>
  <c r="AM9" i="5"/>
  <c r="AJ174" i="5"/>
  <c r="AH149" i="39" l="1"/>
  <c r="AG174" i="39"/>
  <c r="Y189" i="39"/>
  <c r="Y190" i="39"/>
  <c r="AJ179" i="39"/>
  <c r="AK181" i="39"/>
  <c r="AL176" i="39"/>
  <c r="AK175" i="39"/>
  <c r="Z145" i="39"/>
  <c r="Z137" i="39" s="1"/>
  <c r="Z138" i="39" s="1"/>
  <c r="Z139" i="39" s="1" a="1"/>
  <c r="Z139" i="39" s="1"/>
  <c r="Z65" i="39" s="1"/>
  <c r="AK179" i="5"/>
  <c r="AK169" i="5"/>
  <c r="AJ171" i="5"/>
  <c r="AJ58" i="5" s="1"/>
  <c r="AJ170" i="5"/>
  <c r="AJ63" i="5" s="1"/>
  <c r="AH60" i="5"/>
  <c r="AH61" i="5" s="1"/>
  <c r="AG135" i="5"/>
  <c r="AG72" i="5"/>
  <c r="AG62" i="5"/>
  <c r="AH134" i="4"/>
  <c r="AH136" i="5"/>
  <c r="CM57" i="5"/>
  <c r="C57" i="5" s="1"/>
  <c r="CM79" i="5"/>
  <c r="C79" i="5" s="1"/>
  <c r="AL152" i="5"/>
  <c r="AL81" i="5" s="1"/>
  <c r="AK84" i="4"/>
  <c r="AK8" i="4"/>
  <c r="AL9" i="4"/>
  <c r="AJ85" i="4"/>
  <c r="AJ157" i="4"/>
  <c r="AJ124" i="4"/>
  <c r="AL87" i="5"/>
  <c r="AL159" i="5"/>
  <c r="AL126" i="5"/>
  <c r="AM56" i="5"/>
  <c r="AL73" i="5" s="1"/>
  <c r="AM86" i="5"/>
  <c r="CI31" i="5"/>
  <c r="K154" i="5"/>
  <c r="K82" i="5"/>
  <c r="CN75" i="5"/>
  <c r="CL74" i="5"/>
  <c r="CM75" i="5"/>
  <c r="CM74" i="5"/>
  <c r="CM55" i="5"/>
  <c r="C55" i="5" s="1"/>
  <c r="CM54" i="5"/>
  <c r="C54" i="5" s="1"/>
  <c r="CM51" i="5"/>
  <c r="C51" i="5" s="1"/>
  <c r="CM50" i="5"/>
  <c r="C50" i="5" s="1"/>
  <c r="CM44" i="5"/>
  <c r="CM52" i="5"/>
  <c r="C52" i="5" s="1"/>
  <c r="CM30" i="5"/>
  <c r="C28" i="5"/>
  <c r="AK168" i="4"/>
  <c r="AK174" i="5"/>
  <c r="AM8" i="5"/>
  <c r="AN9" i="5"/>
  <c r="AH80" i="39" l="1"/>
  <c r="AH152" i="39"/>
  <c r="AM176" i="39"/>
  <c r="AL175" i="39"/>
  <c r="AK179" i="39"/>
  <c r="AL181" i="39"/>
  <c r="Z78" i="39"/>
  <c r="Z66" i="39"/>
  <c r="Z146" i="39"/>
  <c r="AA143" i="39" s="1"/>
  <c r="AL179" i="5"/>
  <c r="AL169" i="5"/>
  <c r="AK171" i="5"/>
  <c r="AK58" i="5" s="1"/>
  <c r="AK170" i="5"/>
  <c r="AK63" i="5" s="1"/>
  <c r="AI60" i="5"/>
  <c r="AI61" i="5" s="1"/>
  <c r="AH135" i="5"/>
  <c r="AH72" i="5"/>
  <c r="AH62" i="5"/>
  <c r="AI134" i="4"/>
  <c r="AI136" i="5"/>
  <c r="AM152" i="5"/>
  <c r="AM81" i="5" s="1"/>
  <c r="C74" i="5"/>
  <c r="AL84" i="4"/>
  <c r="AL8" i="4"/>
  <c r="AM9" i="4"/>
  <c r="AM87" i="5"/>
  <c r="AM126" i="5"/>
  <c r="AM159" i="5"/>
  <c r="AN56" i="5"/>
  <c r="AM73" i="5" s="1"/>
  <c r="AN86" i="5"/>
  <c r="AK157" i="4"/>
  <c r="AK124" i="4"/>
  <c r="AK85" i="4"/>
  <c r="L151" i="5"/>
  <c r="C75" i="5"/>
  <c r="C44" i="5"/>
  <c r="CM31" i="5"/>
  <c r="C30" i="5"/>
  <c r="F83" i="5"/>
  <c r="AL174" i="5"/>
  <c r="AN8" i="5"/>
  <c r="AO9" i="5"/>
  <c r="AL168" i="4"/>
  <c r="AI149" i="39" l="1"/>
  <c r="AH174" i="39"/>
  <c r="AL179" i="39"/>
  <c r="AM181" i="39"/>
  <c r="Z81" i="39"/>
  <c r="Z122" i="39"/>
  <c r="Z120" i="39"/>
  <c r="AM175" i="39"/>
  <c r="AN176" i="39"/>
  <c r="AM179" i="5"/>
  <c r="AM169" i="5"/>
  <c r="AL170" i="5"/>
  <c r="AL63" i="5" s="1"/>
  <c r="AL171" i="5"/>
  <c r="AL58" i="5" s="1"/>
  <c r="AJ60" i="5"/>
  <c r="AJ61" i="5" s="1"/>
  <c r="AI135" i="5"/>
  <c r="AI62" i="5"/>
  <c r="AI72" i="5"/>
  <c r="AJ134" i="4"/>
  <c r="AJ136" i="5"/>
  <c r="AN152" i="5"/>
  <c r="AN81" i="5" s="1"/>
  <c r="AM84" i="4"/>
  <c r="AN9" i="4"/>
  <c r="AM8" i="4"/>
  <c r="AO56" i="5"/>
  <c r="AN73" i="5" s="1"/>
  <c r="AO86" i="5"/>
  <c r="AL85" i="4"/>
  <c r="AL124" i="4"/>
  <c r="AL157" i="4"/>
  <c r="AN87" i="5"/>
  <c r="AN159" i="5"/>
  <c r="AN126" i="5"/>
  <c r="C31" i="5"/>
  <c r="C29" i="5" s="1"/>
  <c r="L154" i="5"/>
  <c r="L82" i="5"/>
  <c r="F100" i="5"/>
  <c r="AM174" i="5"/>
  <c r="AM168" i="4"/>
  <c r="AP9" i="5"/>
  <c r="AO8" i="5"/>
  <c r="AI80" i="39" l="1"/>
  <c r="AI152" i="39"/>
  <c r="AN175" i="39"/>
  <c r="AO176" i="39"/>
  <c r="Z163" i="39"/>
  <c r="Z98" i="39"/>
  <c r="Z99" i="39" s="1"/>
  <c r="AM179" i="39"/>
  <c r="AN181" i="39"/>
  <c r="AN179" i="5"/>
  <c r="AN169" i="5"/>
  <c r="AM170" i="5"/>
  <c r="AM63" i="5" s="1"/>
  <c r="AM171" i="5"/>
  <c r="AM58" i="5" s="1"/>
  <c r="AK60" i="5"/>
  <c r="AK61" i="5" s="1"/>
  <c r="AJ135" i="5"/>
  <c r="AJ72" i="5"/>
  <c r="AJ62" i="5"/>
  <c r="AK134" i="4"/>
  <c r="AK136" i="5"/>
  <c r="AO152" i="5"/>
  <c r="AO81" i="5" s="1"/>
  <c r="AN84" i="4"/>
  <c r="AO9" i="4"/>
  <c r="AN8" i="4"/>
  <c r="AM85" i="4"/>
  <c r="AM157" i="4"/>
  <c r="AM124" i="4"/>
  <c r="AO126" i="5"/>
  <c r="AO87" i="5"/>
  <c r="AO159" i="5"/>
  <c r="AP56" i="5"/>
  <c r="AO73" i="5" s="1"/>
  <c r="AP86" i="5"/>
  <c r="M151" i="5"/>
  <c r="AN174" i="5"/>
  <c r="AQ9" i="5"/>
  <c r="AP8" i="5"/>
  <c r="AN168" i="4"/>
  <c r="AJ149" i="39" l="1"/>
  <c r="AI174" i="39"/>
  <c r="AO181" i="39"/>
  <c r="AN179" i="39"/>
  <c r="Z90" i="39"/>
  <c r="Z164" i="39"/>
  <c r="Z121" i="39"/>
  <c r="AO175" i="39"/>
  <c r="AP176" i="39"/>
  <c r="AO169" i="5"/>
  <c r="AN171" i="5"/>
  <c r="AN58" i="5" s="1"/>
  <c r="AN170" i="5"/>
  <c r="AN63" i="5" s="1"/>
  <c r="AL60" i="5"/>
  <c r="AL61" i="5" s="1"/>
  <c r="AK72" i="5"/>
  <c r="AK62" i="5"/>
  <c r="AK135" i="5"/>
  <c r="AL134" i="4"/>
  <c r="AL136" i="5"/>
  <c r="AP152" i="5"/>
  <c r="AP81" i="5" s="1"/>
  <c r="AO84" i="4"/>
  <c r="AP9" i="4"/>
  <c r="AO8" i="4"/>
  <c r="AN157" i="4"/>
  <c r="AN85" i="4"/>
  <c r="AN124" i="4"/>
  <c r="AQ56" i="5"/>
  <c r="AP73" i="5" s="1"/>
  <c r="AQ86" i="5"/>
  <c r="AP126" i="5"/>
  <c r="AP87" i="5"/>
  <c r="AP159" i="5"/>
  <c r="M154" i="5"/>
  <c r="M82" i="5"/>
  <c r="AO179" i="5"/>
  <c r="AO168" i="4"/>
  <c r="AO174" i="5"/>
  <c r="AQ8" i="5"/>
  <c r="AR9" i="5"/>
  <c r="AJ80" i="39" l="1"/>
  <c r="AJ152" i="39"/>
  <c r="AQ176" i="39"/>
  <c r="AP175" i="39"/>
  <c r="AA161" i="39"/>
  <c r="AA165" i="39" s="1"/>
  <c r="Z183" i="39"/>
  <c r="Z182" i="39" s="1"/>
  <c r="Z88" i="39"/>
  <c r="Z107" i="39"/>
  <c r="AP181" i="39"/>
  <c r="AO179" i="39"/>
  <c r="AP169" i="5"/>
  <c r="AO171" i="5"/>
  <c r="AO58" i="5" s="1"/>
  <c r="AO170" i="5"/>
  <c r="AO63" i="5" s="1"/>
  <c r="AM60" i="5"/>
  <c r="AM61" i="5" s="1"/>
  <c r="AL72" i="5"/>
  <c r="AL62" i="5"/>
  <c r="AL135" i="5"/>
  <c r="AM134" i="4"/>
  <c r="AM136" i="5"/>
  <c r="AQ152" i="5"/>
  <c r="AQ81" i="5" s="1"/>
  <c r="AQ87" i="5"/>
  <c r="AQ159" i="5"/>
  <c r="AQ126" i="5"/>
  <c r="AP84" i="4"/>
  <c r="AP8" i="4"/>
  <c r="AQ9" i="4"/>
  <c r="AO85" i="4"/>
  <c r="AO124" i="4"/>
  <c r="AO157" i="4"/>
  <c r="AR56" i="5"/>
  <c r="AQ73" i="5" s="1"/>
  <c r="AR86" i="5"/>
  <c r="N151" i="5"/>
  <c r="AP179" i="5"/>
  <c r="AS9" i="5"/>
  <c r="AR8" i="5"/>
  <c r="AP174" i="5"/>
  <c r="AP168" i="4"/>
  <c r="AK149" i="39" l="1"/>
  <c r="AJ174" i="39"/>
  <c r="AP179" i="39"/>
  <c r="AQ181" i="39"/>
  <c r="Z109" i="39"/>
  <c r="Z110" i="39" s="1"/>
  <c r="Z108" i="39"/>
  <c r="AA135" i="39"/>
  <c r="AA136" i="39" s="1"/>
  <c r="AA91" i="39"/>
  <c r="AA63" i="39"/>
  <c r="AA64" i="39" s="1"/>
  <c r="Z92" i="39"/>
  <c r="Z94" i="39" s="1"/>
  <c r="Z95" i="39" s="1"/>
  <c r="Z185" i="39"/>
  <c r="Z184" i="39" s="1"/>
  <c r="Z187" i="39" s="1"/>
  <c r="Z117" i="39" s="1"/>
  <c r="Z118" i="39"/>
  <c r="AR176" i="39"/>
  <c r="AQ175" i="39"/>
  <c r="AQ169" i="5"/>
  <c r="AP171" i="5"/>
  <c r="AP58" i="5" s="1"/>
  <c r="AP170" i="5"/>
  <c r="AP63" i="5" s="1"/>
  <c r="AN60" i="5"/>
  <c r="AN61" i="5" s="1"/>
  <c r="AM135" i="5"/>
  <c r="AM72" i="5"/>
  <c r="AM62" i="5"/>
  <c r="AN134" i="4"/>
  <c r="AN136" i="5"/>
  <c r="AR152" i="5"/>
  <c r="AR81" i="5" s="1"/>
  <c r="AP85" i="4"/>
  <c r="AP157" i="4"/>
  <c r="AP124" i="4"/>
  <c r="AS56" i="5"/>
  <c r="AR73" i="5" s="1"/>
  <c r="AS86" i="5"/>
  <c r="AR159" i="5"/>
  <c r="AR126" i="5"/>
  <c r="AR87" i="5"/>
  <c r="AQ84" i="4"/>
  <c r="AQ8" i="4"/>
  <c r="AR9" i="4"/>
  <c r="N154" i="5"/>
  <c r="N82" i="5"/>
  <c r="AQ179" i="5"/>
  <c r="AS8" i="5"/>
  <c r="AT9" i="5"/>
  <c r="AQ168" i="4"/>
  <c r="AQ174" i="5"/>
  <c r="AK80" i="39" l="1"/>
  <c r="AK152" i="39"/>
  <c r="AS176" i="39"/>
  <c r="AR175" i="39"/>
  <c r="AA93" i="39"/>
  <c r="Z171" i="39"/>
  <c r="Z170" i="39" s="1"/>
  <c r="Z116" i="39"/>
  <c r="AA144" i="39"/>
  <c r="AA145" i="39" s="1"/>
  <c r="AA137" i="39" s="1"/>
  <c r="AA138" i="39" s="1"/>
  <c r="AA139" i="39" s="1" a="1"/>
  <c r="AA139" i="39" s="1"/>
  <c r="AA65" i="39" s="1"/>
  <c r="AR181" i="39"/>
  <c r="AQ179" i="39"/>
  <c r="AR169" i="5"/>
  <c r="AQ170" i="5"/>
  <c r="AQ63" i="5" s="1"/>
  <c r="AQ171" i="5"/>
  <c r="AQ58" i="5" s="1"/>
  <c r="AO60" i="5"/>
  <c r="AO61" i="5" s="1"/>
  <c r="AN135" i="5"/>
  <c r="AN62" i="5"/>
  <c r="AN72" i="5"/>
  <c r="AO134" i="4"/>
  <c r="AO136" i="5"/>
  <c r="AS152" i="5"/>
  <c r="AS81" i="5" s="1"/>
  <c r="AR84" i="4"/>
  <c r="AR8" i="4"/>
  <c r="AS9" i="4"/>
  <c r="AQ85" i="4"/>
  <c r="AQ124" i="4"/>
  <c r="AQ157" i="4"/>
  <c r="AT56" i="5"/>
  <c r="AS73" i="5" s="1"/>
  <c r="AT86" i="5"/>
  <c r="AS159" i="5"/>
  <c r="AS126" i="5"/>
  <c r="AS87" i="5"/>
  <c r="O151" i="5"/>
  <c r="AR179" i="5"/>
  <c r="G138" i="5"/>
  <c r="AT8" i="5"/>
  <c r="AU9" i="5"/>
  <c r="AR174" i="5"/>
  <c r="AR168" i="4"/>
  <c r="AK174" i="39" l="1"/>
  <c r="AL149" i="39"/>
  <c r="AS181" i="39"/>
  <c r="AR179" i="39"/>
  <c r="AA66" i="39"/>
  <c r="AA78" i="39"/>
  <c r="Z177" i="39"/>
  <c r="Z115" i="39"/>
  <c r="AA146" i="39"/>
  <c r="AB143" i="39" s="1"/>
  <c r="AT176" i="39"/>
  <c r="AS175" i="39"/>
  <c r="AS169" i="5"/>
  <c r="AR171" i="5"/>
  <c r="AR58" i="5" s="1"/>
  <c r="AR170" i="5"/>
  <c r="AR63" i="5" s="1"/>
  <c r="AP60" i="5"/>
  <c r="AP61" i="5" s="1"/>
  <c r="AO62" i="5"/>
  <c r="AO72" i="5"/>
  <c r="AO135" i="5"/>
  <c r="AP134" i="4"/>
  <c r="AP136" i="5"/>
  <c r="AT152" i="5"/>
  <c r="AT81" i="5" s="1"/>
  <c r="AS84" i="4"/>
  <c r="AS8" i="4"/>
  <c r="AT9" i="4"/>
  <c r="AU56" i="5"/>
  <c r="AT73" i="5" s="1"/>
  <c r="AU86" i="5"/>
  <c r="AS179" i="5"/>
  <c r="AR157" i="4"/>
  <c r="AR85" i="4"/>
  <c r="AR124" i="4"/>
  <c r="AT87" i="5"/>
  <c r="AT126" i="5"/>
  <c r="AT159" i="5"/>
  <c r="O154" i="5"/>
  <c r="O82" i="5"/>
  <c r="G146" i="5"/>
  <c r="G147" i="5"/>
  <c r="AS174" i="5"/>
  <c r="AS168" i="4"/>
  <c r="AU8" i="5"/>
  <c r="AV9" i="5"/>
  <c r="AL80" i="39" l="1"/>
  <c r="AL152" i="39"/>
  <c r="AU176" i="39"/>
  <c r="AT175" i="39"/>
  <c r="AA122" i="39"/>
  <c r="AA81" i="39"/>
  <c r="AA120" i="39"/>
  <c r="Z190" i="39"/>
  <c r="Z189" i="39"/>
  <c r="AT181" i="39"/>
  <c r="AS179" i="39"/>
  <c r="AT169" i="5"/>
  <c r="AS170" i="5"/>
  <c r="AS63" i="5" s="1"/>
  <c r="AS171" i="5"/>
  <c r="AS58" i="5" s="1"/>
  <c r="AQ60" i="5"/>
  <c r="AQ61" i="5" s="1"/>
  <c r="AP62" i="5"/>
  <c r="AP72" i="5"/>
  <c r="AP135" i="5"/>
  <c r="AQ134" i="4"/>
  <c r="AQ136" i="5"/>
  <c r="AT179" i="5"/>
  <c r="AU152" i="5"/>
  <c r="AU81" i="5" s="1"/>
  <c r="AU87" i="5"/>
  <c r="AU159" i="5"/>
  <c r="AU126" i="5"/>
  <c r="AT84" i="4"/>
  <c r="AT8" i="4"/>
  <c r="AU9" i="4"/>
  <c r="AV56" i="5"/>
  <c r="AU73" i="5" s="1"/>
  <c r="AV86" i="5"/>
  <c r="AS157" i="4"/>
  <c r="AS85" i="4"/>
  <c r="AS124" i="4"/>
  <c r="P151" i="5"/>
  <c r="G139" i="5"/>
  <c r="AT168" i="4"/>
  <c r="AT174" i="5"/>
  <c r="AV8" i="5"/>
  <c r="AW9" i="5"/>
  <c r="AL174" i="39" l="1"/>
  <c r="AM149" i="39"/>
  <c r="AU181" i="39"/>
  <c r="AT179" i="39"/>
  <c r="AA98" i="39"/>
  <c r="AA99" i="39" s="1"/>
  <c r="AA163" i="39"/>
  <c r="AV176" i="39"/>
  <c r="AU175" i="39"/>
  <c r="AU169" i="5"/>
  <c r="AT171" i="5"/>
  <c r="AT58" i="5" s="1"/>
  <c r="AT170" i="5"/>
  <c r="AT63" i="5" s="1"/>
  <c r="AQ72" i="5"/>
  <c r="AQ135" i="5"/>
  <c r="AQ62" i="5"/>
  <c r="AR60" i="5"/>
  <c r="AR61" i="5" s="1"/>
  <c r="AR134" i="4"/>
  <c r="AR136" i="5"/>
  <c r="AU179" i="5"/>
  <c r="AV152" i="5"/>
  <c r="AV81" i="5" s="1"/>
  <c r="AV87" i="5"/>
  <c r="AV159" i="5"/>
  <c r="AV126" i="5"/>
  <c r="AU84" i="4"/>
  <c r="AU8" i="4"/>
  <c r="AV9" i="4"/>
  <c r="AT85" i="4"/>
  <c r="AT124" i="4"/>
  <c r="AT157" i="4"/>
  <c r="AW56" i="5"/>
  <c r="AV73" i="5" s="1"/>
  <c r="AW86" i="5"/>
  <c r="P82" i="5"/>
  <c r="P154" i="5"/>
  <c r="G140" i="5"/>
  <c r="AU168" i="4"/>
  <c r="AX9" i="5"/>
  <c r="AW8" i="5"/>
  <c r="AU174" i="5"/>
  <c r="AM152" i="39" l="1"/>
  <c r="AM80" i="39"/>
  <c r="AV175" i="39"/>
  <c r="AW176" i="39"/>
  <c r="AA90" i="39"/>
  <c r="AA121" i="39"/>
  <c r="AA164" i="39"/>
  <c r="AV181" i="39"/>
  <c r="AU179" i="39"/>
  <c r="AV169" i="5"/>
  <c r="AU170" i="5"/>
  <c r="AU63" i="5" s="1"/>
  <c r="AU171" i="5"/>
  <c r="AU58" i="5" s="1"/>
  <c r="AS60" i="5"/>
  <c r="AS61" i="5" s="1"/>
  <c r="AR62" i="5"/>
  <c r="AR72" i="5"/>
  <c r="AR135" i="5"/>
  <c r="AS134" i="4"/>
  <c r="AS136" i="5"/>
  <c r="AV179" i="5"/>
  <c r="AU85" i="4"/>
  <c r="AU157" i="4"/>
  <c r="AU124" i="4"/>
  <c r="AW159" i="5"/>
  <c r="AW126" i="5"/>
  <c r="AW87" i="5"/>
  <c r="AX56" i="5"/>
  <c r="AW73" i="5" s="1"/>
  <c r="AX86" i="5"/>
  <c r="AW152" i="5"/>
  <c r="AW81" i="5" s="1"/>
  <c r="AV84" i="4"/>
  <c r="AV8" i="4"/>
  <c r="AW9" i="4"/>
  <c r="Q151" i="5"/>
  <c r="G141" i="5"/>
  <c r="AV174" i="5"/>
  <c r="AV168" i="4"/>
  <c r="AY9" i="5"/>
  <c r="AX8" i="5"/>
  <c r="AN149" i="39" l="1"/>
  <c r="AM174" i="39"/>
  <c r="AB161" i="39"/>
  <c r="AB165" i="39" s="1"/>
  <c r="AA183" i="39"/>
  <c r="AA182" i="39" s="1"/>
  <c r="AA107" i="39"/>
  <c r="AA88" i="39"/>
  <c r="AV179" i="39"/>
  <c r="AW181" i="39"/>
  <c r="AX176" i="39"/>
  <c r="AW175" i="39"/>
  <c r="AW169" i="5"/>
  <c r="AV171" i="5"/>
  <c r="AV58" i="5" s="1"/>
  <c r="AV170" i="5"/>
  <c r="AV63" i="5" s="1"/>
  <c r="AT60" i="5"/>
  <c r="AT61" i="5" s="1"/>
  <c r="AS72" i="5"/>
  <c r="AS135" i="5"/>
  <c r="AS62" i="5"/>
  <c r="AW179" i="5"/>
  <c r="AT134" i="4"/>
  <c r="AT136" i="5"/>
  <c r="AX152" i="5"/>
  <c r="AX81" i="5" s="1"/>
  <c r="AV157" i="4"/>
  <c r="AV85" i="4"/>
  <c r="AV124" i="4"/>
  <c r="AX159" i="5"/>
  <c r="AX126" i="5"/>
  <c r="AX87" i="5"/>
  <c r="AY56" i="5"/>
  <c r="AX73" i="5" s="1"/>
  <c r="AY86" i="5"/>
  <c r="AW84" i="4"/>
  <c r="AX9" i="4"/>
  <c r="AW8" i="4"/>
  <c r="Q82" i="5"/>
  <c r="Q154" i="5"/>
  <c r="G66" i="5"/>
  <c r="AW168" i="4"/>
  <c r="AY8" i="5"/>
  <c r="AZ9" i="5"/>
  <c r="AW174" i="5"/>
  <c r="AN152" i="39" l="1"/>
  <c r="AN80" i="39"/>
  <c r="AA92" i="39"/>
  <c r="AA94" i="39" s="1"/>
  <c r="AA95" i="39" s="1"/>
  <c r="AA185" i="39"/>
  <c r="AA184" i="39" s="1"/>
  <c r="AA116" i="39" s="1"/>
  <c r="AA109" i="39"/>
  <c r="AA110" i="39" s="1"/>
  <c r="AA108" i="39"/>
  <c r="AX175" i="39"/>
  <c r="AY176" i="39"/>
  <c r="AA118" i="39"/>
  <c r="AX181" i="39"/>
  <c r="AW179" i="39"/>
  <c r="AB91" i="39"/>
  <c r="AB135" i="39"/>
  <c r="AB136" i="39" s="1"/>
  <c r="AB63" i="39"/>
  <c r="AB64" i="39" s="1"/>
  <c r="AX169" i="5"/>
  <c r="AW170" i="5"/>
  <c r="AW63" i="5" s="1"/>
  <c r="AW171" i="5"/>
  <c r="AW58" i="5" s="1"/>
  <c r="AX179" i="5"/>
  <c r="AU60" i="5"/>
  <c r="AU61" i="5" s="1"/>
  <c r="AT72" i="5"/>
  <c r="AT62" i="5"/>
  <c r="AT135" i="5"/>
  <c r="AU134" i="4"/>
  <c r="AU136" i="5"/>
  <c r="AY152" i="5"/>
  <c r="AY81" i="5" s="1"/>
  <c r="AZ56" i="5"/>
  <c r="AY73" i="5" s="1"/>
  <c r="AZ86" i="5"/>
  <c r="AX84" i="4"/>
  <c r="AX8" i="4"/>
  <c r="AY9" i="4"/>
  <c r="AW157" i="4"/>
  <c r="AW124" i="4"/>
  <c r="AW85" i="4"/>
  <c r="AY159" i="5"/>
  <c r="AY126" i="5"/>
  <c r="AY87" i="5"/>
  <c r="R151" i="5"/>
  <c r="G80" i="5"/>
  <c r="BA9" i="5"/>
  <c r="AZ8" i="5"/>
  <c r="AX168" i="4"/>
  <c r="AX174" i="5"/>
  <c r="AA187" i="39" l="1"/>
  <c r="AA117" i="39" s="1"/>
  <c r="AN174" i="39"/>
  <c r="AO149" i="39"/>
  <c r="AY181" i="39"/>
  <c r="AX179" i="39"/>
  <c r="AZ176" i="39"/>
  <c r="AY175" i="39"/>
  <c r="AB144" i="39"/>
  <c r="AB93" i="39"/>
  <c r="AA171" i="39"/>
  <c r="AA170" i="39" s="1"/>
  <c r="AY179" i="5"/>
  <c r="AY169" i="5"/>
  <c r="AX170" i="5"/>
  <c r="AX63" i="5" s="1"/>
  <c r="AX171" i="5"/>
  <c r="AX58" i="5" s="1"/>
  <c r="AV60" i="5"/>
  <c r="AV61" i="5" s="1"/>
  <c r="AU62" i="5"/>
  <c r="AU135" i="5"/>
  <c r="AU72" i="5"/>
  <c r="AV134" i="4"/>
  <c r="AV136" i="5"/>
  <c r="AZ152" i="5"/>
  <c r="AZ81" i="5" s="1"/>
  <c r="AY84" i="4"/>
  <c r="AZ9" i="4"/>
  <c r="AY8" i="4"/>
  <c r="BA56" i="5"/>
  <c r="AZ73" i="5" s="1"/>
  <c r="BA86" i="5"/>
  <c r="AX157" i="4"/>
  <c r="AX124" i="4"/>
  <c r="AX85" i="4"/>
  <c r="AZ159" i="5"/>
  <c r="AZ126" i="5"/>
  <c r="AZ87" i="5"/>
  <c r="R154" i="5"/>
  <c r="R82" i="5"/>
  <c r="G83" i="5"/>
  <c r="AY174" i="5"/>
  <c r="AY168" i="4"/>
  <c r="BA8" i="5"/>
  <c r="BB9" i="5"/>
  <c r="AO80" i="39" l="1"/>
  <c r="AO152" i="39"/>
  <c r="AB145" i="39"/>
  <c r="AB137" i="39" s="1"/>
  <c r="AB138" i="39" s="1"/>
  <c r="AB139" i="39" s="1" a="1"/>
  <c r="AB139" i="39" s="1"/>
  <c r="AB65" i="39" s="1"/>
  <c r="AA115" i="39"/>
  <c r="AA177" i="39"/>
  <c r="BA176" i="39"/>
  <c r="AZ175" i="39"/>
  <c r="AY179" i="39"/>
  <c r="AZ181" i="39"/>
  <c r="AZ179" i="5"/>
  <c r="AZ169" i="5"/>
  <c r="AY170" i="5"/>
  <c r="AY63" i="5" s="1"/>
  <c r="AY171" i="5"/>
  <c r="AY58" i="5" s="1"/>
  <c r="AV135" i="5"/>
  <c r="AV62" i="5"/>
  <c r="AV72" i="5"/>
  <c r="AW60" i="5"/>
  <c r="AW61" i="5" s="1"/>
  <c r="AW134" i="4"/>
  <c r="AW136" i="5"/>
  <c r="BA152" i="5"/>
  <c r="BA81" i="5" s="1"/>
  <c r="BB56" i="5"/>
  <c r="BA73" i="5" s="1"/>
  <c r="BB86" i="5"/>
  <c r="AZ84" i="4"/>
  <c r="AZ8" i="4"/>
  <c r="BA9" i="4"/>
  <c r="AY157" i="4"/>
  <c r="AY124" i="4"/>
  <c r="AY85" i="4"/>
  <c r="BA159" i="5"/>
  <c r="BA126" i="5"/>
  <c r="BA87" i="5"/>
  <c r="S151" i="5"/>
  <c r="G100" i="5"/>
  <c r="AZ168" i="4"/>
  <c r="BB8" i="5"/>
  <c r="BC9" i="5"/>
  <c r="AZ174" i="5"/>
  <c r="AO174" i="39" l="1"/>
  <c r="AP149" i="39"/>
  <c r="BB176" i="39"/>
  <c r="BA175" i="39"/>
  <c r="AZ179" i="39"/>
  <c r="BA181" i="39"/>
  <c r="AA190" i="39"/>
  <c r="AA189" i="39"/>
  <c r="AB78" i="39"/>
  <c r="AB66" i="39"/>
  <c r="AB146" i="39"/>
  <c r="AC143" i="39" s="1"/>
  <c r="BA179" i="5"/>
  <c r="BA169" i="5"/>
  <c r="AZ171" i="5"/>
  <c r="AZ58" i="5" s="1"/>
  <c r="AZ170" i="5"/>
  <c r="AZ63" i="5" s="1"/>
  <c r="AX60" i="5"/>
  <c r="AX61" i="5" s="1"/>
  <c r="AW135" i="5"/>
  <c r="AW72" i="5"/>
  <c r="AW62" i="5"/>
  <c r="AX134" i="4"/>
  <c r="AX136" i="5"/>
  <c r="BB152" i="5"/>
  <c r="BB81" i="5" s="1"/>
  <c r="BA84" i="4"/>
  <c r="BA8" i="4"/>
  <c r="BB9" i="4"/>
  <c r="BC56" i="5"/>
  <c r="BB73" i="5" s="1"/>
  <c r="BC86" i="5"/>
  <c r="AZ157" i="4"/>
  <c r="AZ124" i="4"/>
  <c r="AZ85" i="4"/>
  <c r="BB87" i="5"/>
  <c r="BB159" i="5"/>
  <c r="BB126" i="5"/>
  <c r="S82" i="5"/>
  <c r="S154" i="5"/>
  <c r="BA168" i="4"/>
  <c r="BC8" i="5"/>
  <c r="BD9" i="5"/>
  <c r="BA174" i="5"/>
  <c r="AP152" i="39" l="1"/>
  <c r="AP80" i="39"/>
  <c r="AB122" i="39"/>
  <c r="AB120" i="39"/>
  <c r="AB81" i="39"/>
  <c r="BA179" i="39"/>
  <c r="BB181" i="39"/>
  <c r="BC176" i="39"/>
  <c r="BB175" i="39"/>
  <c r="BB179" i="5"/>
  <c r="BB169" i="5"/>
  <c r="BA171" i="5"/>
  <c r="BA58" i="5" s="1"/>
  <c r="BA170" i="5"/>
  <c r="BA63" i="5" s="1"/>
  <c r="AX135" i="5"/>
  <c r="AX62" i="5"/>
  <c r="AX72" i="5"/>
  <c r="AY60" i="5"/>
  <c r="AY61" i="5" s="1"/>
  <c r="AY134" i="4"/>
  <c r="AY136" i="5"/>
  <c r="BC152" i="5"/>
  <c r="BC81" i="5" s="1"/>
  <c r="BD56" i="5"/>
  <c r="BC73" i="5" s="1"/>
  <c r="BD86" i="5"/>
  <c r="BB84" i="4"/>
  <c r="BC9" i="4"/>
  <c r="BB8" i="4"/>
  <c r="BC87" i="5"/>
  <c r="BC159" i="5"/>
  <c r="BC126" i="5"/>
  <c r="BA157" i="4"/>
  <c r="BA124" i="4"/>
  <c r="BA85" i="4"/>
  <c r="T151" i="5"/>
  <c r="BB174" i="5"/>
  <c r="BD8" i="5"/>
  <c r="BE9" i="5"/>
  <c r="BB168" i="4"/>
  <c r="AQ149" i="39" l="1"/>
  <c r="AP174" i="39"/>
  <c r="BC175" i="39"/>
  <c r="BD176" i="39"/>
  <c r="AB98" i="39"/>
  <c r="AB99" i="39" s="1"/>
  <c r="AB163" i="39"/>
  <c r="BC181" i="39"/>
  <c r="BB179" i="39"/>
  <c r="BC179" i="5"/>
  <c r="BC169" i="5"/>
  <c r="BB170" i="5"/>
  <c r="BB63" i="5" s="1"/>
  <c r="BB171" i="5"/>
  <c r="BB58" i="5" s="1"/>
  <c r="AY72" i="5"/>
  <c r="AY135" i="5"/>
  <c r="AY62" i="5"/>
  <c r="AZ60" i="5"/>
  <c r="AZ61" i="5" s="1"/>
  <c r="AZ134" i="4"/>
  <c r="AZ136" i="5"/>
  <c r="BD152" i="5"/>
  <c r="BD81" i="5" s="1"/>
  <c r="BC84" i="4"/>
  <c r="BD9" i="4"/>
  <c r="BC8" i="4"/>
  <c r="BB157" i="4"/>
  <c r="BB85" i="4"/>
  <c r="BB124" i="4"/>
  <c r="BD87" i="5"/>
  <c r="BD126" i="5"/>
  <c r="BD159" i="5"/>
  <c r="BE56" i="5"/>
  <c r="BD73" i="5" s="1"/>
  <c r="BE86" i="5"/>
  <c r="T154" i="5"/>
  <c r="T82" i="5"/>
  <c r="BC174" i="5"/>
  <c r="BF9" i="5"/>
  <c r="BE8" i="5"/>
  <c r="BC168" i="4"/>
  <c r="AQ80" i="39" l="1"/>
  <c r="AQ152" i="39"/>
  <c r="BC179" i="39"/>
  <c r="BD181" i="39"/>
  <c r="BE176" i="39"/>
  <c r="BD175" i="39"/>
  <c r="AB121" i="39"/>
  <c r="AB164" i="39"/>
  <c r="AB90" i="39"/>
  <c r="BD179" i="5"/>
  <c r="BD169" i="5"/>
  <c r="BC170" i="5"/>
  <c r="BC63" i="5" s="1"/>
  <c r="BC171" i="5"/>
  <c r="BC58" i="5" s="1"/>
  <c r="BA60" i="5"/>
  <c r="BA61" i="5" s="1"/>
  <c r="AZ135" i="5"/>
  <c r="AZ62" i="5"/>
  <c r="AZ72" i="5"/>
  <c r="BA134" i="4"/>
  <c r="BA136" i="5"/>
  <c r="BE152" i="5"/>
  <c r="BE81" i="5" s="1"/>
  <c r="BE159" i="5"/>
  <c r="BE126" i="5"/>
  <c r="BE87" i="5"/>
  <c r="BD84" i="4"/>
  <c r="BE9" i="4"/>
  <c r="BD8" i="4"/>
  <c r="BF56" i="5"/>
  <c r="BE73" i="5" s="1"/>
  <c r="BF86" i="5"/>
  <c r="BC85" i="4"/>
  <c r="BC124" i="4"/>
  <c r="BC157" i="4"/>
  <c r="U151" i="5"/>
  <c r="BD168" i="4"/>
  <c r="BD174" i="5"/>
  <c r="BG9" i="5"/>
  <c r="BF8" i="5"/>
  <c r="AQ174" i="39" l="1"/>
  <c r="AR149" i="39"/>
  <c r="AB183" i="39"/>
  <c r="AB182" i="39" s="1"/>
  <c r="AC161" i="39"/>
  <c r="AC165" i="39" s="1"/>
  <c r="AB107" i="39"/>
  <c r="AB88" i="39"/>
  <c r="BD179" i="39"/>
  <c r="BE181" i="39"/>
  <c r="BE175" i="39"/>
  <c r="BF176" i="39"/>
  <c r="BE179" i="5"/>
  <c r="BE169" i="5"/>
  <c r="BD171" i="5"/>
  <c r="BD58" i="5" s="1"/>
  <c r="BD170" i="5"/>
  <c r="BD63" i="5" s="1"/>
  <c r="BB60" i="5"/>
  <c r="BB61" i="5" s="1"/>
  <c r="BA135" i="5"/>
  <c r="BA72" i="5"/>
  <c r="BA62" i="5"/>
  <c r="BB134" i="4"/>
  <c r="BB136" i="5"/>
  <c r="BF152" i="5"/>
  <c r="BF81" i="5" s="1"/>
  <c r="BF87" i="5"/>
  <c r="BF159" i="5"/>
  <c r="BF126" i="5"/>
  <c r="BG56" i="5"/>
  <c r="BF73" i="5" s="1"/>
  <c r="BG86" i="5"/>
  <c r="BD85" i="4"/>
  <c r="BD124" i="4"/>
  <c r="BD157" i="4"/>
  <c r="BE84" i="4"/>
  <c r="BE8" i="4"/>
  <c r="BF9" i="4"/>
  <c r="U154" i="5"/>
  <c r="U82" i="5"/>
  <c r="H138" i="5"/>
  <c r="BE174" i="5"/>
  <c r="BG8" i="5"/>
  <c r="BH9" i="5"/>
  <c r="BE168" i="4"/>
  <c r="AR80" i="39" l="1"/>
  <c r="AR152" i="39"/>
  <c r="AB185" i="39"/>
  <c r="AB184" i="39" s="1"/>
  <c r="AB187" i="39" s="1"/>
  <c r="AB117" i="39" s="1"/>
  <c r="AB92" i="39"/>
  <c r="AB94" i="39" s="1"/>
  <c r="AB95" i="39" s="1"/>
  <c r="BG176" i="39"/>
  <c r="BF175" i="39"/>
  <c r="AB108" i="39"/>
  <c r="AB109" i="39"/>
  <c r="AB110" i="39" s="1"/>
  <c r="BE179" i="39"/>
  <c r="BF181" i="39"/>
  <c r="AC63" i="39"/>
  <c r="AC64" i="39" s="1"/>
  <c r="AC135" i="39"/>
  <c r="AC136" i="39" s="1"/>
  <c r="AC91" i="39"/>
  <c r="AB118" i="39"/>
  <c r="BF179" i="5"/>
  <c r="BF169" i="5"/>
  <c r="BE171" i="5"/>
  <c r="BE58" i="5" s="1"/>
  <c r="BE170" i="5"/>
  <c r="BE63" i="5" s="1"/>
  <c r="BC60" i="5"/>
  <c r="BC61" i="5" s="1"/>
  <c r="BB72" i="5"/>
  <c r="BB135" i="5"/>
  <c r="BB62" i="5"/>
  <c r="BC134" i="4"/>
  <c r="BC136" i="5"/>
  <c r="BG152" i="5"/>
  <c r="BG81" i="5" s="1"/>
  <c r="BG159" i="5"/>
  <c r="BG126" i="5"/>
  <c r="BG87" i="5"/>
  <c r="BF84" i="4"/>
  <c r="BF8" i="4"/>
  <c r="BG9" i="4"/>
  <c r="BE85" i="4"/>
  <c r="BE157" i="4"/>
  <c r="BE124" i="4"/>
  <c r="BH56" i="5"/>
  <c r="BG73" i="5" s="1"/>
  <c r="BH86" i="5"/>
  <c r="V151" i="5"/>
  <c r="H146" i="5"/>
  <c r="H147" i="5"/>
  <c r="BI9" i="5"/>
  <c r="BH8" i="5"/>
  <c r="BF174" i="5"/>
  <c r="BF168" i="4"/>
  <c r="AB116" i="39" l="1"/>
  <c r="AS149" i="39"/>
  <c r="AR174" i="39"/>
  <c r="BG179" i="5"/>
  <c r="BG181" i="39"/>
  <c r="BF179" i="39"/>
  <c r="BG175" i="39"/>
  <c r="BH176" i="39"/>
  <c r="AC144" i="39"/>
  <c r="AC145" i="39" s="1"/>
  <c r="AC137" i="39" s="1"/>
  <c r="AC138" i="39" s="1"/>
  <c r="AC139" i="39" s="1" a="1"/>
  <c r="AC139" i="39" s="1"/>
  <c r="AC65" i="39" s="1"/>
  <c r="AC78" i="39" s="1"/>
  <c r="AB171" i="39"/>
  <c r="AB170" i="39" s="1"/>
  <c r="AC93" i="39"/>
  <c r="BG169" i="5"/>
  <c r="BF171" i="5"/>
  <c r="BF58" i="5" s="1"/>
  <c r="BF170" i="5"/>
  <c r="BF63" i="5" s="1"/>
  <c r="BD60" i="5"/>
  <c r="BD61" i="5" s="1"/>
  <c r="BC135" i="5"/>
  <c r="BC62" i="5"/>
  <c r="BC72" i="5"/>
  <c r="BD134" i="4"/>
  <c r="BD136" i="5"/>
  <c r="BH152" i="5"/>
  <c r="BH81" i="5" s="1"/>
  <c r="BI56" i="5"/>
  <c r="BH73" i="5" s="1"/>
  <c r="BH179" i="5" s="1"/>
  <c r="BI86" i="5"/>
  <c r="BG84" i="4"/>
  <c r="BH9" i="4"/>
  <c r="BG8" i="4"/>
  <c r="BH126" i="5"/>
  <c r="BH159" i="5"/>
  <c r="BH87" i="5"/>
  <c r="BF124" i="4"/>
  <c r="BF157" i="4"/>
  <c r="BF85" i="4"/>
  <c r="V154" i="5"/>
  <c r="V82" i="5"/>
  <c r="H139" i="5"/>
  <c r="BG174" i="5"/>
  <c r="BI8" i="5"/>
  <c r="BJ9" i="5"/>
  <c r="BG168" i="4"/>
  <c r="AS80" i="39" l="1"/>
  <c r="AS152" i="39"/>
  <c r="AC66" i="39"/>
  <c r="AB115" i="39"/>
  <c r="AB177" i="39"/>
  <c r="AC146" i="39"/>
  <c r="AD143" i="39" s="1"/>
  <c r="AC122" i="39"/>
  <c r="AC120" i="39"/>
  <c r="AC81" i="39"/>
  <c r="BI176" i="39"/>
  <c r="BH175" i="39"/>
  <c r="BG179" i="39"/>
  <c r="BH181" i="39"/>
  <c r="BH169" i="5"/>
  <c r="BG171" i="5"/>
  <c r="BG58" i="5" s="1"/>
  <c r="BG170" i="5"/>
  <c r="BG63" i="5" s="1"/>
  <c r="BE60" i="5"/>
  <c r="BE61" i="5" s="1"/>
  <c r="BD72" i="5"/>
  <c r="BD62" i="5"/>
  <c r="BD135" i="5"/>
  <c r="BE134" i="4"/>
  <c r="BE136" i="5"/>
  <c r="BI152" i="5"/>
  <c r="BI81" i="5" s="1"/>
  <c r="BG85" i="4"/>
  <c r="BG124" i="4"/>
  <c r="BG157" i="4"/>
  <c r="BI159" i="5"/>
  <c r="BI126" i="5"/>
  <c r="BI87" i="5"/>
  <c r="BJ56" i="5"/>
  <c r="BI73" i="5" s="1"/>
  <c r="BI179" i="5" s="1"/>
  <c r="BJ86" i="5"/>
  <c r="BH84" i="4"/>
  <c r="BI9" i="4"/>
  <c r="BH8" i="4"/>
  <c r="W151" i="5"/>
  <c r="H140" i="5"/>
  <c r="BH174" i="5"/>
  <c r="BJ8" i="5"/>
  <c r="BK9" i="5"/>
  <c r="BH168" i="4"/>
  <c r="AT149" i="39" l="1"/>
  <c r="AS174" i="39"/>
  <c r="BI175" i="39"/>
  <c r="BJ176" i="39"/>
  <c r="AC163" i="39"/>
  <c r="AC98" i="39"/>
  <c r="AC99" i="39" s="1"/>
  <c r="BI181" i="39"/>
  <c r="BH179" i="39"/>
  <c r="AB190" i="39"/>
  <c r="AB189" i="39"/>
  <c r="BI169" i="5"/>
  <c r="BH171" i="5"/>
  <c r="BH58" i="5" s="1"/>
  <c r="BH170" i="5"/>
  <c r="BH63" i="5" s="1"/>
  <c r="BF60" i="5"/>
  <c r="BF61" i="5" s="1"/>
  <c r="BE62" i="5"/>
  <c r="BE135" i="5"/>
  <c r="BE72" i="5"/>
  <c r="BF134" i="4"/>
  <c r="BF136" i="5"/>
  <c r="BJ152" i="5"/>
  <c r="BJ81" i="5" s="1"/>
  <c r="BK56" i="5"/>
  <c r="BJ73" i="5" s="1"/>
  <c r="BJ179" i="5" s="1"/>
  <c r="BK86" i="5"/>
  <c r="BI84" i="4"/>
  <c r="BJ9" i="4"/>
  <c r="BI8" i="4"/>
  <c r="BJ87" i="5"/>
  <c r="BJ159" i="5"/>
  <c r="BJ126" i="5"/>
  <c r="BH85" i="4"/>
  <c r="BH124" i="4"/>
  <c r="BH157" i="4"/>
  <c r="W82" i="5"/>
  <c r="W154" i="5"/>
  <c r="H141" i="5"/>
  <c r="BI174" i="5"/>
  <c r="BI168" i="4"/>
  <c r="BK8" i="5"/>
  <c r="BL9" i="5"/>
  <c r="AT80" i="39" l="1"/>
  <c r="AT152" i="39"/>
  <c r="AC164" i="39"/>
  <c r="AC121" i="39"/>
  <c r="AC90" i="39"/>
  <c r="BK176" i="39"/>
  <c r="BJ175" i="39"/>
  <c r="BJ181" i="39"/>
  <c r="BI179" i="39"/>
  <c r="BJ169" i="5"/>
  <c r="BI170" i="5"/>
  <c r="BI63" i="5" s="1"/>
  <c r="BI171" i="5"/>
  <c r="BI58" i="5" s="1"/>
  <c r="BG60" i="5"/>
  <c r="BG61" i="5" s="1"/>
  <c r="BF72" i="5"/>
  <c r="BF62" i="5"/>
  <c r="BF135" i="5"/>
  <c r="BG134" i="4"/>
  <c r="BG136" i="5"/>
  <c r="BK152" i="5"/>
  <c r="BK81" i="5" s="1"/>
  <c r="BI85" i="4"/>
  <c r="BI157" i="4"/>
  <c r="BI124" i="4"/>
  <c r="BJ84" i="4"/>
  <c r="BK9" i="4"/>
  <c r="BJ8" i="4"/>
  <c r="BL56" i="5"/>
  <c r="BK73" i="5" s="1"/>
  <c r="BK179" i="5" s="1"/>
  <c r="BL86" i="5"/>
  <c r="BK87" i="5"/>
  <c r="BK126" i="5"/>
  <c r="BK159" i="5"/>
  <c r="X151" i="5"/>
  <c r="H66" i="5"/>
  <c r="BJ168" i="4"/>
  <c r="BL8" i="5"/>
  <c r="BM9" i="5"/>
  <c r="BJ174" i="5"/>
  <c r="AT174" i="39" l="1"/>
  <c r="AU149" i="39"/>
  <c r="BK181" i="39"/>
  <c r="BJ179" i="39"/>
  <c r="AC88" i="39"/>
  <c r="AC107" i="39"/>
  <c r="BK175" i="39"/>
  <c r="BL176" i="39"/>
  <c r="AD161" i="39"/>
  <c r="AD165" i="39" s="1"/>
  <c r="AC183" i="39"/>
  <c r="AC182" i="39" s="1"/>
  <c r="BK169" i="5"/>
  <c r="BJ170" i="5"/>
  <c r="BJ63" i="5" s="1"/>
  <c r="BJ171" i="5"/>
  <c r="BJ58" i="5" s="1"/>
  <c r="BG72" i="5"/>
  <c r="BG135" i="5"/>
  <c r="BG62" i="5"/>
  <c r="BH60" i="5"/>
  <c r="BH61" i="5" s="1"/>
  <c r="BH134" i="4"/>
  <c r="BH136" i="5"/>
  <c r="BL152" i="5"/>
  <c r="BL81" i="5" s="1"/>
  <c r="BJ85" i="4"/>
  <c r="BJ157" i="4"/>
  <c r="BJ124" i="4"/>
  <c r="BM56" i="5"/>
  <c r="BL73" i="5" s="1"/>
  <c r="BL179" i="5" s="1"/>
  <c r="BM86" i="5"/>
  <c r="BL87" i="5"/>
  <c r="BL126" i="5"/>
  <c r="BL159" i="5"/>
  <c r="BK84" i="4"/>
  <c r="BL9" i="4"/>
  <c r="BK8" i="4"/>
  <c r="X154" i="5"/>
  <c r="X82" i="5"/>
  <c r="H80" i="5"/>
  <c r="BK168" i="4"/>
  <c r="BN9" i="5"/>
  <c r="BM8" i="5"/>
  <c r="BK174" i="5"/>
  <c r="AU80" i="39" l="1"/>
  <c r="AU152" i="39"/>
  <c r="BL175" i="39"/>
  <c r="BM176" i="39"/>
  <c r="AD91" i="39"/>
  <c r="AD63" i="39"/>
  <c r="AD64" i="39" s="1"/>
  <c r="AD135" i="39"/>
  <c r="AD136" i="39" s="1"/>
  <c r="AC118" i="39"/>
  <c r="AC109" i="39"/>
  <c r="AC110" i="39" s="1"/>
  <c r="AC108" i="39"/>
  <c r="AC185" i="39"/>
  <c r="AC184" i="39" s="1"/>
  <c r="AC116" i="39" s="1"/>
  <c r="AC92" i="39"/>
  <c r="AC94" i="39" s="1"/>
  <c r="AC95" i="39" s="1"/>
  <c r="BL181" i="39"/>
  <c r="BK179" i="39"/>
  <c r="BL169" i="5"/>
  <c r="BK171" i="5"/>
  <c r="BK58" i="5" s="1"/>
  <c r="BK170" i="5"/>
  <c r="BK63" i="5" s="1"/>
  <c r="BI60" i="5"/>
  <c r="BI61" i="5" s="1"/>
  <c r="BH62" i="5"/>
  <c r="BH135" i="5"/>
  <c r="BH72" i="5"/>
  <c r="BI134" i="4"/>
  <c r="BI136" i="5"/>
  <c r="BM152" i="5"/>
  <c r="BM81" i="5" s="1"/>
  <c r="BK85" i="4"/>
  <c r="BK124" i="4"/>
  <c r="BK157" i="4"/>
  <c r="BN56" i="5"/>
  <c r="BM73" i="5" s="1"/>
  <c r="BM179" i="5" s="1"/>
  <c r="BN86" i="5"/>
  <c r="BM159" i="5"/>
  <c r="BM126" i="5"/>
  <c r="BM87" i="5"/>
  <c r="BL84" i="4"/>
  <c r="BM9" i="4"/>
  <c r="BL8" i="4"/>
  <c r="Y151" i="5"/>
  <c r="H83" i="5"/>
  <c r="BL168" i="4"/>
  <c r="BL174" i="5"/>
  <c r="BO9" i="5"/>
  <c r="BN8" i="5"/>
  <c r="AV149" i="39" l="1"/>
  <c r="AU174" i="39"/>
  <c r="AC171" i="39"/>
  <c r="AC170" i="39" s="1"/>
  <c r="AD93" i="39"/>
  <c r="AC187" i="39"/>
  <c r="AC117" i="39" s="1"/>
  <c r="AD144" i="39"/>
  <c r="AD145" i="39" s="1"/>
  <c r="AD137" i="39" s="1"/>
  <c r="AD138" i="39" s="1"/>
  <c r="AD139" i="39" s="1" a="1"/>
  <c r="AD139" i="39" s="1"/>
  <c r="AD65" i="39" s="1"/>
  <c r="BM175" i="39"/>
  <c r="BN176" i="39"/>
  <c r="BL179" i="39"/>
  <c r="BM181" i="39"/>
  <c r="BM169" i="5"/>
  <c r="BL171" i="5"/>
  <c r="BL58" i="5" s="1"/>
  <c r="BL170" i="5"/>
  <c r="BL63" i="5" s="1"/>
  <c r="BJ60" i="5"/>
  <c r="BJ61" i="5" s="1"/>
  <c r="BI72" i="5"/>
  <c r="BI62" i="5"/>
  <c r="BI135" i="5"/>
  <c r="BJ134" i="4"/>
  <c r="BJ136" i="5"/>
  <c r="BN152" i="5"/>
  <c r="BN81" i="5" s="1"/>
  <c r="BN126" i="5"/>
  <c r="BN87" i="5"/>
  <c r="BN159" i="5"/>
  <c r="BM84" i="4"/>
  <c r="BM8" i="4"/>
  <c r="BN9" i="4"/>
  <c r="BO56" i="5"/>
  <c r="BN73" i="5" s="1"/>
  <c r="BN179" i="5" s="1"/>
  <c r="BO86" i="5"/>
  <c r="BL124" i="4"/>
  <c r="BL85" i="4"/>
  <c r="BL157" i="4"/>
  <c r="Y154" i="5"/>
  <c r="Y82" i="5"/>
  <c r="H100" i="5"/>
  <c r="BM174" i="5"/>
  <c r="BO8" i="5"/>
  <c r="BP9" i="5"/>
  <c r="BM168" i="4"/>
  <c r="AV152" i="39" l="1"/>
  <c r="AV80" i="39"/>
  <c r="AD78" i="39"/>
  <c r="AD66" i="39"/>
  <c r="BO176" i="39"/>
  <c r="BN175" i="39"/>
  <c r="BN181" i="39"/>
  <c r="BM179" i="39"/>
  <c r="AD146" i="39"/>
  <c r="AE143" i="39" s="1"/>
  <c r="AC177" i="39"/>
  <c r="AC115" i="39"/>
  <c r="BN169" i="5"/>
  <c r="BM171" i="5"/>
  <c r="BM58" i="5" s="1"/>
  <c r="BM170" i="5"/>
  <c r="BM63" i="5" s="1"/>
  <c r="BJ72" i="5"/>
  <c r="BJ62" i="5"/>
  <c r="BJ135" i="5"/>
  <c r="BK60" i="5"/>
  <c r="BK61" i="5" s="1"/>
  <c r="BK134" i="4"/>
  <c r="BK136" i="5"/>
  <c r="BO152" i="5"/>
  <c r="BO81" i="5" s="1"/>
  <c r="BN84" i="4"/>
  <c r="BN8" i="4"/>
  <c r="BO9" i="4"/>
  <c r="BO126" i="5"/>
  <c r="BO159" i="5"/>
  <c r="BO87" i="5"/>
  <c r="BM157" i="4"/>
  <c r="BM85" i="4"/>
  <c r="BM124" i="4"/>
  <c r="BP56" i="5"/>
  <c r="BO73" i="5" s="1"/>
  <c r="BO179" i="5" s="1"/>
  <c r="BP86" i="5"/>
  <c r="Z151" i="5"/>
  <c r="BN168" i="4"/>
  <c r="BQ9" i="5"/>
  <c r="BP8" i="5"/>
  <c r="BN174" i="5"/>
  <c r="AV174" i="39" l="1"/>
  <c r="AW149" i="39"/>
  <c r="AC189" i="39"/>
  <c r="AC190" i="39"/>
  <c r="BO181" i="39"/>
  <c r="BN179" i="39"/>
  <c r="BO175" i="39"/>
  <c r="BP176" i="39"/>
  <c r="AD122" i="39"/>
  <c r="AD81" i="39"/>
  <c r="AD120" i="39"/>
  <c r="BO169" i="5"/>
  <c r="BN170" i="5"/>
  <c r="BN63" i="5" s="1"/>
  <c r="BN171" i="5"/>
  <c r="BN58" i="5" s="1"/>
  <c r="BL60" i="5"/>
  <c r="BL61" i="5" s="1"/>
  <c r="BK62" i="5"/>
  <c r="BK135" i="5"/>
  <c r="BK72" i="5"/>
  <c r="BL134" i="4"/>
  <c r="BL136" i="5"/>
  <c r="BP152" i="5"/>
  <c r="BP81" i="5" s="1"/>
  <c r="BO84" i="4"/>
  <c r="BO8" i="4"/>
  <c r="BP9" i="4"/>
  <c r="BP126" i="5"/>
  <c r="BP159" i="5"/>
  <c r="BP87" i="5"/>
  <c r="BQ56" i="5"/>
  <c r="BP73" i="5" s="1"/>
  <c r="BP179" i="5" s="1"/>
  <c r="BQ86" i="5"/>
  <c r="BN124" i="4"/>
  <c r="BN85" i="4"/>
  <c r="BN157" i="4"/>
  <c r="Z154" i="5"/>
  <c r="Z82" i="5"/>
  <c r="BO174" i="5"/>
  <c r="BQ8" i="5"/>
  <c r="BR9" i="5"/>
  <c r="BO168" i="4"/>
  <c r="AW152" i="39" l="1"/>
  <c r="AW80" i="39"/>
  <c r="BP175" i="39"/>
  <c r="BQ176" i="39"/>
  <c r="AD163" i="39"/>
  <c r="AD98" i="39"/>
  <c r="AD99" i="39" s="1"/>
  <c r="BO179" i="39"/>
  <c r="BP181" i="39"/>
  <c r="BP169" i="5"/>
  <c r="BO170" i="5"/>
  <c r="BO63" i="5" s="1"/>
  <c r="BO171" i="5"/>
  <c r="BO58" i="5" s="1"/>
  <c r="BM60" i="5"/>
  <c r="BM61" i="5" s="1"/>
  <c r="BL135" i="5"/>
  <c r="BL72" i="5"/>
  <c r="BL62" i="5"/>
  <c r="BM134" i="4"/>
  <c r="BM136" i="5"/>
  <c r="BQ152" i="5"/>
  <c r="BQ81" i="5" s="1"/>
  <c r="BR56" i="5"/>
  <c r="BQ73" i="5" s="1"/>
  <c r="BQ179" i="5" s="1"/>
  <c r="BR86" i="5"/>
  <c r="BQ159" i="5"/>
  <c r="BQ87" i="5"/>
  <c r="BQ126" i="5"/>
  <c r="BP84" i="4"/>
  <c r="BQ9" i="4"/>
  <c r="BP8" i="4"/>
  <c r="BO124" i="4"/>
  <c r="BO85" i="4"/>
  <c r="BO157" i="4"/>
  <c r="AA151" i="5"/>
  <c r="BP168" i="4"/>
  <c r="BP174" i="5"/>
  <c r="BR8" i="5"/>
  <c r="BS9" i="5"/>
  <c r="AW174" i="39" l="1"/>
  <c r="AX149" i="39"/>
  <c r="AD90" i="39"/>
  <c r="AD121" i="39"/>
  <c r="AD164" i="39"/>
  <c r="BR176" i="39"/>
  <c r="BQ175" i="39"/>
  <c r="BQ181" i="39"/>
  <c r="BP179" i="39"/>
  <c r="BQ169" i="5"/>
  <c r="BP171" i="5"/>
  <c r="BP58" i="5" s="1"/>
  <c r="BP170" i="5"/>
  <c r="BP63" i="5" s="1"/>
  <c r="BN60" i="5"/>
  <c r="BN61" i="5" s="1"/>
  <c r="BM62" i="5"/>
  <c r="BM135" i="5"/>
  <c r="BM72" i="5"/>
  <c r="BN134" i="4"/>
  <c r="BN136" i="5"/>
  <c r="BR152" i="5"/>
  <c r="BR81" i="5" s="1"/>
  <c r="BQ84" i="4"/>
  <c r="BR9" i="4"/>
  <c r="BQ8" i="4"/>
  <c r="BP85" i="4"/>
  <c r="BP124" i="4"/>
  <c r="BP157" i="4"/>
  <c r="BS56" i="5"/>
  <c r="BR73" i="5" s="1"/>
  <c r="BR179" i="5" s="1"/>
  <c r="BS86" i="5"/>
  <c r="BR87" i="5"/>
  <c r="BR126" i="5"/>
  <c r="BR159" i="5"/>
  <c r="AA154" i="5"/>
  <c r="AA82" i="5"/>
  <c r="BS8" i="5"/>
  <c r="BT9" i="5"/>
  <c r="BQ168" i="4"/>
  <c r="BQ174" i="5"/>
  <c r="AX152" i="39" l="1"/>
  <c r="AX80" i="39"/>
  <c r="BQ179" i="39"/>
  <c r="BR181" i="39"/>
  <c r="BS176" i="39"/>
  <c r="BR175" i="39"/>
  <c r="AD183" i="39"/>
  <c r="AD182" i="39" s="1"/>
  <c r="AE161" i="39"/>
  <c r="AE165" i="39" s="1"/>
  <c r="AD88" i="39"/>
  <c r="AD107" i="39"/>
  <c r="BR169" i="5"/>
  <c r="BQ171" i="5"/>
  <c r="BQ58" i="5" s="1"/>
  <c r="BQ170" i="5"/>
  <c r="BQ63" i="5" s="1"/>
  <c r="BN72" i="5"/>
  <c r="BN135" i="5"/>
  <c r="BN62" i="5"/>
  <c r="BO60" i="5"/>
  <c r="BO61" i="5" s="1"/>
  <c r="BO134" i="4"/>
  <c r="BO136" i="5"/>
  <c r="BS152" i="5"/>
  <c r="BS81" i="5" s="1"/>
  <c r="BS87" i="5"/>
  <c r="BS126" i="5"/>
  <c r="BS159" i="5"/>
  <c r="BR84" i="4"/>
  <c r="BR8" i="4"/>
  <c r="BS9" i="4"/>
  <c r="BT56" i="5"/>
  <c r="BS73" i="5" s="1"/>
  <c r="BS179" i="5" s="1"/>
  <c r="BT86" i="5"/>
  <c r="BQ157" i="4"/>
  <c r="BQ124" i="4"/>
  <c r="BQ85" i="4"/>
  <c r="AB151" i="5"/>
  <c r="BR174" i="5"/>
  <c r="BT8" i="5"/>
  <c r="BU9" i="5"/>
  <c r="BR168" i="4"/>
  <c r="AY149" i="39" l="1"/>
  <c r="AX174" i="39"/>
  <c r="AE91" i="39"/>
  <c r="AE63" i="39"/>
  <c r="AE64" i="39" s="1"/>
  <c r="AE135" i="39"/>
  <c r="AE136" i="39" s="1"/>
  <c r="AD185" i="39"/>
  <c r="AD184" i="39" s="1"/>
  <c r="AD187" i="39" s="1"/>
  <c r="AD117" i="39" s="1"/>
  <c r="AD92" i="39"/>
  <c r="AD94" i="39" s="1"/>
  <c r="AD95" i="39" s="1"/>
  <c r="AD118" i="39"/>
  <c r="BS181" i="39"/>
  <c r="BR179" i="39"/>
  <c r="AD108" i="39"/>
  <c r="AD109" i="39"/>
  <c r="AD110" i="39" s="1"/>
  <c r="BT176" i="39"/>
  <c r="BS175" i="39"/>
  <c r="BS169" i="5"/>
  <c r="BR170" i="5"/>
  <c r="BR63" i="5" s="1"/>
  <c r="BR171" i="5"/>
  <c r="BR58" i="5" s="1"/>
  <c r="BP60" i="5"/>
  <c r="BP61" i="5" s="1"/>
  <c r="BO135" i="5"/>
  <c r="BO62" i="5"/>
  <c r="BO72" i="5"/>
  <c r="BP134" i="4"/>
  <c r="BP136" i="5"/>
  <c r="BT152" i="5"/>
  <c r="BT81" i="5" s="1"/>
  <c r="BS84" i="4"/>
  <c r="BT9" i="4"/>
  <c r="BS8" i="4"/>
  <c r="BT87" i="5"/>
  <c r="BT159" i="5"/>
  <c r="BT126" i="5"/>
  <c r="BR85" i="4"/>
  <c r="BR157" i="4"/>
  <c r="BR124" i="4"/>
  <c r="BU56" i="5"/>
  <c r="BT73" i="5" s="1"/>
  <c r="BT179" i="5" s="1"/>
  <c r="BU86" i="5"/>
  <c r="AB154" i="5"/>
  <c r="AB82" i="5"/>
  <c r="I83" i="5"/>
  <c r="BV9" i="5"/>
  <c r="BU8" i="5"/>
  <c r="BS168" i="4"/>
  <c r="BS174" i="5"/>
  <c r="AY152" i="39" l="1"/>
  <c r="AY80" i="39"/>
  <c r="AD116" i="39"/>
  <c r="BT175" i="39"/>
  <c r="BU176" i="39"/>
  <c r="AD171" i="39"/>
  <c r="AD170" i="39" s="1"/>
  <c r="AE93" i="39"/>
  <c r="AE144" i="39"/>
  <c r="AE145" i="39" s="1"/>
  <c r="AE137" i="39" s="1"/>
  <c r="AE138" i="39" s="1"/>
  <c r="AE139" i="39" s="1" a="1"/>
  <c r="AE139" i="39" s="1"/>
  <c r="AE65" i="39" s="1"/>
  <c r="BS179" i="39"/>
  <c r="BT181" i="39"/>
  <c r="BT169" i="5"/>
  <c r="BS170" i="5"/>
  <c r="BS63" i="5" s="1"/>
  <c r="BS171" i="5"/>
  <c r="BS58" i="5" s="1"/>
  <c r="BQ60" i="5"/>
  <c r="BQ61" i="5" s="1"/>
  <c r="BP62" i="5"/>
  <c r="BP135" i="5"/>
  <c r="BP72" i="5"/>
  <c r="BQ134" i="4"/>
  <c r="BQ136" i="5"/>
  <c r="BU152" i="5"/>
  <c r="BU81" i="5" s="1"/>
  <c r="BU159" i="5"/>
  <c r="BU126" i="5"/>
  <c r="BU87" i="5"/>
  <c r="BT84" i="4"/>
  <c r="BU9" i="4"/>
  <c r="BT8" i="4"/>
  <c r="BV56" i="5"/>
  <c r="BU73" i="5" s="1"/>
  <c r="BU179" i="5" s="1"/>
  <c r="BV86" i="5"/>
  <c r="BS85" i="4"/>
  <c r="BS157" i="4"/>
  <c r="BS124" i="4"/>
  <c r="AC151" i="5"/>
  <c r="I100" i="5"/>
  <c r="BW9" i="5"/>
  <c r="BV8" i="5"/>
  <c r="BT174" i="5"/>
  <c r="BT168" i="4"/>
  <c r="AZ149" i="39" l="1"/>
  <c r="AY174" i="39"/>
  <c r="AE78" i="39"/>
  <c r="AE66" i="39"/>
  <c r="BT179" i="39"/>
  <c r="BU181" i="39"/>
  <c r="AD177" i="39"/>
  <c r="AD115" i="39"/>
  <c r="AE146" i="39"/>
  <c r="AF143" i="39" s="1"/>
  <c r="BV176" i="39"/>
  <c r="BU175" i="39"/>
  <c r="BU169" i="5"/>
  <c r="BT171" i="5"/>
  <c r="BT58" i="5" s="1"/>
  <c r="BT170" i="5"/>
  <c r="BT63" i="5" s="1"/>
  <c r="BQ135" i="5"/>
  <c r="BQ62" i="5"/>
  <c r="BQ72" i="5"/>
  <c r="BR60" i="5"/>
  <c r="BR61" i="5" s="1"/>
  <c r="BR134" i="4"/>
  <c r="BR136" i="5"/>
  <c r="BV152" i="5"/>
  <c r="BV81" i="5" s="1"/>
  <c r="BU84" i="4"/>
  <c r="BV9" i="4"/>
  <c r="BU8" i="4"/>
  <c r="BV126" i="5"/>
  <c r="BV87" i="5"/>
  <c r="BV159" i="5"/>
  <c r="BT157" i="4"/>
  <c r="BT124" i="4"/>
  <c r="BT85" i="4"/>
  <c r="BW56" i="5"/>
  <c r="BV73" i="5" s="1"/>
  <c r="BV179" i="5" s="1"/>
  <c r="BW86" i="5"/>
  <c r="AC82" i="5"/>
  <c r="AC154" i="5"/>
  <c r="BW8" i="5"/>
  <c r="BX9" i="5"/>
  <c r="BU174" i="5"/>
  <c r="BU168" i="4"/>
  <c r="AZ80" i="39" l="1"/>
  <c r="AZ152" i="39"/>
  <c r="BV181" i="39"/>
  <c r="BU179" i="39"/>
  <c r="BW176" i="39"/>
  <c r="BV175" i="39"/>
  <c r="AD189" i="39"/>
  <c r="AD190" i="39"/>
  <c r="AE120" i="39"/>
  <c r="AE81" i="39"/>
  <c r="AE122" i="39"/>
  <c r="BV169" i="5"/>
  <c r="BU171" i="5"/>
  <c r="BU58" i="5" s="1"/>
  <c r="BU170" i="5"/>
  <c r="BU63" i="5" s="1"/>
  <c r="BR62" i="5"/>
  <c r="BR72" i="5"/>
  <c r="BR135" i="5"/>
  <c r="BS60" i="5"/>
  <c r="BS61" i="5" s="1"/>
  <c r="BS134" i="4"/>
  <c r="BS136" i="5"/>
  <c r="BV84" i="4"/>
  <c r="BW9" i="4"/>
  <c r="BV8" i="4"/>
  <c r="BW152" i="5"/>
  <c r="BW81" i="5" s="1"/>
  <c r="BU124" i="4"/>
  <c r="BU85" i="4"/>
  <c r="BU157" i="4"/>
  <c r="BX56" i="5"/>
  <c r="BW73" i="5" s="1"/>
  <c r="BW179" i="5" s="1"/>
  <c r="BX86" i="5"/>
  <c r="BW159" i="5"/>
  <c r="BW87" i="5"/>
  <c r="BW126" i="5"/>
  <c r="AD151" i="5"/>
  <c r="BV168" i="4"/>
  <c r="BY9" i="5"/>
  <c r="BX8" i="5"/>
  <c r="BV174" i="5"/>
  <c r="BA149" i="39" l="1"/>
  <c r="AZ174" i="39"/>
  <c r="AE98" i="39"/>
  <c r="AE99" i="39" s="1"/>
  <c r="AE163" i="39"/>
  <c r="BX176" i="39"/>
  <c r="BW175" i="39"/>
  <c r="BV179" i="39"/>
  <c r="BW181" i="39"/>
  <c r="BW169" i="5"/>
  <c r="BV171" i="5"/>
  <c r="BV58" i="5" s="1"/>
  <c r="BV170" i="5"/>
  <c r="BV63" i="5" s="1"/>
  <c r="BT60" i="5"/>
  <c r="BT61" i="5" s="1"/>
  <c r="BS72" i="5"/>
  <c r="BS62" i="5"/>
  <c r="BS135" i="5"/>
  <c r="BT134" i="4"/>
  <c r="BT136" i="5"/>
  <c r="BX152" i="5"/>
  <c r="BX81" i="5" s="1"/>
  <c r="BW84" i="4"/>
  <c r="BX9" i="4"/>
  <c r="BW8" i="4"/>
  <c r="BV157" i="4"/>
  <c r="BV124" i="4"/>
  <c r="BV85" i="4"/>
  <c r="BX159" i="5"/>
  <c r="BX126" i="5"/>
  <c r="BX87" i="5"/>
  <c r="BY56" i="5"/>
  <c r="BX73" i="5" s="1"/>
  <c r="BX179" i="5" s="1"/>
  <c r="BY86" i="5"/>
  <c r="AD154" i="5"/>
  <c r="AD82" i="5"/>
  <c r="BY8" i="5"/>
  <c r="BZ9" i="5"/>
  <c r="BW174" i="5"/>
  <c r="BW168" i="4"/>
  <c r="BA80" i="39" l="1"/>
  <c r="BA152" i="39"/>
  <c r="BX175" i="39"/>
  <c r="BY176" i="39"/>
  <c r="BW179" i="39"/>
  <c r="BX181" i="39"/>
  <c r="AE164" i="39"/>
  <c r="AE90" i="39"/>
  <c r="AE121" i="39"/>
  <c r="BX169" i="5"/>
  <c r="BW171" i="5"/>
  <c r="BW58" i="5" s="1"/>
  <c r="BW170" i="5"/>
  <c r="BW63" i="5" s="1"/>
  <c r="BU60" i="5"/>
  <c r="BU61" i="5" s="1"/>
  <c r="BT135" i="5"/>
  <c r="BT72" i="5"/>
  <c r="BT62" i="5"/>
  <c r="BU134" i="4"/>
  <c r="BU136" i="5"/>
  <c r="BZ56" i="5"/>
  <c r="BY73" i="5" s="1"/>
  <c r="BY179" i="5" s="1"/>
  <c r="BZ86" i="5"/>
  <c r="BX84" i="4"/>
  <c r="BY9" i="4"/>
  <c r="BX8" i="4"/>
  <c r="BY87" i="5"/>
  <c r="BY159" i="5"/>
  <c r="BY126" i="5"/>
  <c r="BY152" i="5"/>
  <c r="BY81" i="5" s="1"/>
  <c r="BW124" i="4"/>
  <c r="BW157" i="4"/>
  <c r="BW85" i="4"/>
  <c r="AE151" i="5"/>
  <c r="BX174" i="5"/>
  <c r="BX168" i="4"/>
  <c r="BZ8" i="5"/>
  <c r="CA9" i="5"/>
  <c r="BA174" i="39" l="1"/>
  <c r="BB149" i="39"/>
  <c r="AF161" i="39"/>
  <c r="AF165" i="39" s="1"/>
  <c r="AE183" i="39"/>
  <c r="AE182" i="39" s="1"/>
  <c r="BY175" i="39"/>
  <c r="BZ176" i="39"/>
  <c r="AE107" i="39"/>
  <c r="AE88" i="39"/>
  <c r="BY181" i="39"/>
  <c r="BX179" i="39"/>
  <c r="BY169" i="5"/>
  <c r="BX171" i="5"/>
  <c r="BX58" i="5" s="1"/>
  <c r="BX170" i="5"/>
  <c r="BX63" i="5" s="1"/>
  <c r="BV60" i="5"/>
  <c r="BV61" i="5" s="1"/>
  <c r="BU135" i="5"/>
  <c r="BU72" i="5"/>
  <c r="BU62" i="5"/>
  <c r="BV134" i="4"/>
  <c r="BV136" i="5"/>
  <c r="BZ152" i="5"/>
  <c r="BZ81" i="5" s="1"/>
  <c r="BX85" i="4"/>
  <c r="BX157" i="4"/>
  <c r="BX124" i="4"/>
  <c r="BZ87" i="5"/>
  <c r="BZ126" i="5"/>
  <c r="BZ159" i="5"/>
  <c r="CA56" i="5"/>
  <c r="BZ73" i="5" s="1"/>
  <c r="BZ179" i="5" s="1"/>
  <c r="CA86" i="5"/>
  <c r="BY84" i="4"/>
  <c r="BY8" i="4"/>
  <c r="BZ9" i="4"/>
  <c r="AE82" i="5"/>
  <c r="AE154" i="5"/>
  <c r="BY174" i="5"/>
  <c r="CA8" i="5"/>
  <c r="CB9" i="5"/>
  <c r="BY168" i="4"/>
  <c r="BB152" i="39" l="1"/>
  <c r="BB80" i="39"/>
  <c r="BZ181" i="39"/>
  <c r="BY179" i="39"/>
  <c r="CA176" i="39"/>
  <c r="BZ175" i="39"/>
  <c r="AE109" i="39"/>
  <c r="AE110" i="39" s="1"/>
  <c r="AE108" i="39"/>
  <c r="AE118" i="39"/>
  <c r="AE185" i="39"/>
  <c r="AE184" i="39" s="1"/>
  <c r="AE187" i="39" s="1"/>
  <c r="AE117" i="39" s="1"/>
  <c r="AE92" i="39"/>
  <c r="AE94" i="39" s="1"/>
  <c r="AE95" i="39" s="1"/>
  <c r="AF63" i="39"/>
  <c r="AF64" i="39" s="1"/>
  <c r="AF91" i="39"/>
  <c r="AF135" i="39"/>
  <c r="AF136" i="39" s="1"/>
  <c r="BZ169" i="5"/>
  <c r="BY170" i="5"/>
  <c r="BY63" i="5" s="1"/>
  <c r="BY171" i="5"/>
  <c r="BY58" i="5" s="1"/>
  <c r="BW60" i="5"/>
  <c r="BW61" i="5" s="1"/>
  <c r="BV72" i="5"/>
  <c r="BV62" i="5"/>
  <c r="BV135" i="5"/>
  <c r="BW134" i="4"/>
  <c r="BW136" i="5"/>
  <c r="CA152" i="5"/>
  <c r="CA81" i="5" s="1"/>
  <c r="BY157" i="4"/>
  <c r="BY85" i="4"/>
  <c r="BY124" i="4"/>
  <c r="CA87" i="5"/>
  <c r="CA159" i="5"/>
  <c r="CA126" i="5"/>
  <c r="CB56" i="5"/>
  <c r="CA73" i="5" s="1"/>
  <c r="CA179" i="5" s="1"/>
  <c r="CB86" i="5"/>
  <c r="BZ84" i="4"/>
  <c r="BZ8" i="4"/>
  <c r="CA9" i="4"/>
  <c r="AF151" i="5"/>
  <c r="J83" i="5"/>
  <c r="BZ168" i="4"/>
  <c r="BZ174" i="5"/>
  <c r="CB8" i="5"/>
  <c r="CC9" i="5"/>
  <c r="BB174" i="39" l="1"/>
  <c r="BC149" i="39"/>
  <c r="AF93" i="39"/>
  <c r="AE171" i="39"/>
  <c r="AE170" i="39" s="1"/>
  <c r="AF144" i="39"/>
  <c r="AF145" i="39" s="1"/>
  <c r="AF137" i="39" s="1"/>
  <c r="AF138" i="39" s="1"/>
  <c r="AF139" i="39" s="1" a="1"/>
  <c r="AF139" i="39" s="1"/>
  <c r="AF65" i="39" s="1"/>
  <c r="AE116" i="39"/>
  <c r="CB176" i="39"/>
  <c r="CA175" i="39"/>
  <c r="BZ179" i="39"/>
  <c r="CA181" i="39"/>
  <c r="CA169" i="5"/>
  <c r="BZ170" i="5"/>
  <c r="BZ63" i="5" s="1"/>
  <c r="BZ171" i="5"/>
  <c r="BZ58" i="5" s="1"/>
  <c r="BW62" i="5"/>
  <c r="BW135" i="5"/>
  <c r="BW72" i="5"/>
  <c r="BX60" i="5"/>
  <c r="BX61" i="5" s="1"/>
  <c r="BX134" i="4"/>
  <c r="BX136" i="5"/>
  <c r="CB152" i="5"/>
  <c r="CB81" i="5" s="1"/>
  <c r="CA84" i="4"/>
  <c r="CA8" i="4"/>
  <c r="CB9" i="4"/>
  <c r="CC56" i="5"/>
  <c r="CB73" i="5" s="1"/>
  <c r="CB179" i="5" s="1"/>
  <c r="CC86" i="5"/>
  <c r="BZ124" i="4"/>
  <c r="BZ85" i="4"/>
  <c r="BZ157" i="4"/>
  <c r="CB87" i="5"/>
  <c r="CB159" i="5"/>
  <c r="CB126" i="5"/>
  <c r="AF154" i="5"/>
  <c r="AF82" i="5"/>
  <c r="J100" i="5"/>
  <c r="CA174" i="5"/>
  <c r="CA168" i="4"/>
  <c r="CD9" i="5"/>
  <c r="CC8" i="5"/>
  <c r="BC80" i="39" l="1"/>
  <c r="BC152" i="39"/>
  <c r="AF78" i="39"/>
  <c r="AF66" i="39"/>
  <c r="CA179" i="39"/>
  <c r="CB181" i="39"/>
  <c r="AE177" i="39"/>
  <c r="AE115" i="39"/>
  <c r="CC176" i="39"/>
  <c r="CB175" i="39"/>
  <c r="AF146" i="39"/>
  <c r="AG143" i="39" s="1"/>
  <c r="CB169" i="5"/>
  <c r="CA171" i="5"/>
  <c r="CA58" i="5" s="1"/>
  <c r="CA170" i="5"/>
  <c r="CA63" i="5" s="1"/>
  <c r="BY60" i="5"/>
  <c r="BY61" i="5" s="1"/>
  <c r="BX62" i="5"/>
  <c r="BX135" i="5"/>
  <c r="BX72" i="5"/>
  <c r="CC152" i="5"/>
  <c r="CC81" i="5" s="1"/>
  <c r="BY134" i="4"/>
  <c r="BY136" i="5"/>
  <c r="CC87" i="5"/>
  <c r="CC159" i="5"/>
  <c r="CC126" i="5"/>
  <c r="CA157" i="4"/>
  <c r="CA124" i="4"/>
  <c r="CA85" i="4"/>
  <c r="CB84" i="4"/>
  <c r="CC9" i="4"/>
  <c r="CB8" i="4"/>
  <c r="CD56" i="5"/>
  <c r="CC73" i="5" s="1"/>
  <c r="CC179" i="5" s="1"/>
  <c r="CD86" i="5"/>
  <c r="AG151" i="5"/>
  <c r="CB168" i="4"/>
  <c r="CD8" i="5"/>
  <c r="CE9" i="5"/>
  <c r="CB174" i="5"/>
  <c r="BC174" i="39" l="1"/>
  <c r="BD149" i="39"/>
  <c r="AE190" i="39"/>
  <c r="AE189" i="39"/>
  <c r="CC175" i="39"/>
  <c r="CD176" i="39"/>
  <c r="CB179" i="39"/>
  <c r="CC181" i="39"/>
  <c r="AF122" i="39"/>
  <c r="AF81" i="39"/>
  <c r="AF120" i="39"/>
  <c r="CC169" i="5"/>
  <c r="CB171" i="5"/>
  <c r="CB58" i="5" s="1"/>
  <c r="CB170" i="5"/>
  <c r="CB63" i="5" s="1"/>
  <c r="BZ60" i="5"/>
  <c r="BZ61" i="5" s="1"/>
  <c r="BY62" i="5"/>
  <c r="BY135" i="5"/>
  <c r="BY72" i="5"/>
  <c r="BZ134" i="4"/>
  <c r="BZ136" i="5"/>
  <c r="CD152" i="5"/>
  <c r="CD81" i="5" s="1"/>
  <c r="CC84" i="4"/>
  <c r="CD9" i="4"/>
  <c r="CC8" i="4"/>
  <c r="CB85" i="4"/>
  <c r="CB157" i="4"/>
  <c r="CB124" i="4"/>
  <c r="CD159" i="5"/>
  <c r="CD126" i="5"/>
  <c r="CD87" i="5"/>
  <c r="CE56" i="5"/>
  <c r="CD73" i="5" s="1"/>
  <c r="CD179" i="5" s="1"/>
  <c r="CE86" i="5"/>
  <c r="AG154" i="5"/>
  <c r="AG82" i="5"/>
  <c r="CC174" i="5"/>
  <c r="CE8" i="5"/>
  <c r="CF9" i="5"/>
  <c r="CC168" i="4"/>
  <c r="BD80" i="39" l="1"/>
  <c r="BD152" i="39"/>
  <c r="AF163" i="39"/>
  <c r="AF98" i="39"/>
  <c r="AF99" i="39" s="1"/>
  <c r="CC179" i="39"/>
  <c r="CD181" i="39"/>
  <c r="CE176" i="39"/>
  <c r="CD175" i="39"/>
  <c r="CD169" i="5"/>
  <c r="CC171" i="5"/>
  <c r="CC58" i="5" s="1"/>
  <c r="CC170" i="5"/>
  <c r="CC63" i="5" s="1"/>
  <c r="BZ62" i="5"/>
  <c r="BZ135" i="5"/>
  <c r="BZ72" i="5"/>
  <c r="CA60" i="5"/>
  <c r="CA61" i="5" s="1"/>
  <c r="CA134" i="4"/>
  <c r="CA136" i="5"/>
  <c r="CE152" i="5"/>
  <c r="CE81" i="5" s="1"/>
  <c r="CE159" i="5"/>
  <c r="CE126" i="5"/>
  <c r="CE87" i="5"/>
  <c r="CF56" i="5"/>
  <c r="CE73" i="5" s="1"/>
  <c r="CE179" i="5" s="1"/>
  <c r="CF86" i="5"/>
  <c r="CD84" i="4"/>
  <c r="CE9" i="4"/>
  <c r="CD8" i="4"/>
  <c r="CC157" i="4"/>
  <c r="CC85" i="4"/>
  <c r="CC124" i="4"/>
  <c r="AH151" i="5"/>
  <c r="CG9" i="5"/>
  <c r="CF8" i="5"/>
  <c r="CD168" i="4"/>
  <c r="CD174" i="5"/>
  <c r="BE149" i="39" l="1"/>
  <c r="BD174" i="39"/>
  <c r="CF176" i="39"/>
  <c r="CE175" i="39"/>
  <c r="CE181" i="39"/>
  <c r="CD179" i="39"/>
  <c r="AF121" i="39"/>
  <c r="AF90" i="39"/>
  <c r="AF164" i="39"/>
  <c r="CE169" i="5"/>
  <c r="CD170" i="5"/>
  <c r="CD63" i="5" s="1"/>
  <c r="CD171" i="5"/>
  <c r="CD58" i="5" s="1"/>
  <c r="CB60" i="5"/>
  <c r="CB61" i="5" s="1"/>
  <c r="CA72" i="5"/>
  <c r="CA135" i="5"/>
  <c r="CA62" i="5"/>
  <c r="CB134" i="4"/>
  <c r="CB136" i="5"/>
  <c r="CF87" i="5"/>
  <c r="CF159" i="5"/>
  <c r="CF126" i="5"/>
  <c r="CG56" i="5"/>
  <c r="CF73" i="5" s="1"/>
  <c r="CF179" i="5" s="1"/>
  <c r="CG86" i="5"/>
  <c r="CF152" i="5"/>
  <c r="CF81" i="5" s="1"/>
  <c r="CE84" i="4"/>
  <c r="CE8" i="4"/>
  <c r="CF9" i="4"/>
  <c r="CD157" i="4"/>
  <c r="CD124" i="4"/>
  <c r="CD85" i="4"/>
  <c r="AH82" i="5"/>
  <c r="AH154" i="5"/>
  <c r="CE168" i="4"/>
  <c r="CG8" i="5"/>
  <c r="CH9" i="5"/>
  <c r="CE174" i="5"/>
  <c r="BE152" i="39" l="1"/>
  <c r="BE80" i="39"/>
  <c r="AF88" i="39"/>
  <c r="AF107" i="39"/>
  <c r="CG176" i="39"/>
  <c r="CF175" i="39"/>
  <c r="AF183" i="39"/>
  <c r="AF182" i="39" s="1"/>
  <c r="AG161" i="39"/>
  <c r="AG165" i="39" s="1"/>
  <c r="CF181" i="39"/>
  <c r="CE179" i="39"/>
  <c r="CF169" i="5"/>
  <c r="CE170" i="5"/>
  <c r="CE63" i="5" s="1"/>
  <c r="CE171" i="5"/>
  <c r="CE58" i="5" s="1"/>
  <c r="CB62" i="5"/>
  <c r="CB72" i="5"/>
  <c r="CB135" i="5"/>
  <c r="CC60" i="5"/>
  <c r="CC61" i="5" s="1"/>
  <c r="CC134" i="4"/>
  <c r="CC136" i="5"/>
  <c r="CE157" i="4"/>
  <c r="CE124" i="4"/>
  <c r="CE85" i="4"/>
  <c r="CG159" i="5"/>
  <c r="CG126" i="5"/>
  <c r="CG87" i="5"/>
  <c r="CG152" i="5"/>
  <c r="CG81" i="5" s="1"/>
  <c r="CF84" i="4"/>
  <c r="CF8" i="4"/>
  <c r="CG9" i="4"/>
  <c r="CH56" i="5"/>
  <c r="CG73" i="5" s="1"/>
  <c r="CG179" i="5" s="1"/>
  <c r="CH86" i="5"/>
  <c r="AI151" i="5"/>
  <c r="CH8" i="5"/>
  <c r="CI9" i="5"/>
  <c r="CF168" i="4"/>
  <c r="CF174" i="5"/>
  <c r="BF149" i="39" l="1"/>
  <c r="BE174" i="39"/>
  <c r="CG181" i="39"/>
  <c r="CF179" i="39"/>
  <c r="AG91" i="39"/>
  <c r="AG135" i="39"/>
  <c r="AG136" i="39" s="1"/>
  <c r="AG63" i="39"/>
  <c r="AG64" i="39" s="1"/>
  <c r="AF118" i="39"/>
  <c r="CG175" i="39"/>
  <c r="CH176" i="39"/>
  <c r="AF108" i="39"/>
  <c r="AF109" i="39"/>
  <c r="AF110" i="39" s="1"/>
  <c r="AF185" i="39"/>
  <c r="AF184" i="39" s="1"/>
  <c r="AF116" i="39" s="1"/>
  <c r="AF92" i="39"/>
  <c r="AF94" i="39" s="1"/>
  <c r="AF95" i="39" s="1"/>
  <c r="CG169" i="5"/>
  <c r="CF171" i="5"/>
  <c r="CF58" i="5" s="1"/>
  <c r="CF170" i="5"/>
  <c r="CF63" i="5" s="1"/>
  <c r="CD60" i="5"/>
  <c r="CD61" i="5" s="1"/>
  <c r="CC135" i="5"/>
  <c r="CC72" i="5"/>
  <c r="CC62" i="5"/>
  <c r="CD134" i="4"/>
  <c r="CD136" i="5"/>
  <c r="CH152" i="5"/>
  <c r="CH81" i="5" s="1"/>
  <c r="CH87" i="5"/>
  <c r="CH159" i="5"/>
  <c r="CH126" i="5"/>
  <c r="CG84" i="4"/>
  <c r="CG8" i="4"/>
  <c r="CH9" i="4"/>
  <c r="CF85" i="4"/>
  <c r="CF157" i="4"/>
  <c r="CF124" i="4"/>
  <c r="CI56" i="5"/>
  <c r="CH73" i="5" s="1"/>
  <c r="CH179" i="5" s="1"/>
  <c r="CI86" i="5"/>
  <c r="AI154" i="5"/>
  <c r="AI82" i="5"/>
  <c r="K83" i="5"/>
  <c r="CG174" i="5"/>
  <c r="CG168" i="4"/>
  <c r="CI8" i="5"/>
  <c r="CJ9" i="5"/>
  <c r="BF152" i="39" l="1"/>
  <c r="BF80" i="39"/>
  <c r="AG93" i="39"/>
  <c r="AF171" i="39"/>
  <c r="AF170" i="39" s="1"/>
  <c r="CH175" i="39"/>
  <c r="CI176" i="39"/>
  <c r="AF187" i="39"/>
  <c r="AF117" i="39" s="1"/>
  <c r="AG144" i="39"/>
  <c r="AG145" i="39" s="1"/>
  <c r="AG137" i="39" s="1"/>
  <c r="AG138" i="39" s="1"/>
  <c r="AG139" i="39" s="1" a="1"/>
  <c r="AG139" i="39" s="1"/>
  <c r="AG65" i="39" s="1"/>
  <c r="CG179" i="39"/>
  <c r="CH181" i="39"/>
  <c r="CH169" i="5"/>
  <c r="CG171" i="5"/>
  <c r="CG58" i="5" s="1"/>
  <c r="CG170" i="5"/>
  <c r="CG63" i="5" s="1"/>
  <c r="CD135" i="5"/>
  <c r="CD72" i="5"/>
  <c r="CD62" i="5"/>
  <c r="CE60" i="5"/>
  <c r="CE61" i="5" s="1"/>
  <c r="CE134" i="4"/>
  <c r="CE136" i="5"/>
  <c r="CI152" i="5"/>
  <c r="CI81" i="5" s="1"/>
  <c r="CI87" i="5"/>
  <c r="CI159" i="5"/>
  <c r="CI126" i="5"/>
  <c r="CG157" i="4"/>
  <c r="CG124" i="4"/>
  <c r="CG85" i="4"/>
  <c r="CH84" i="4"/>
  <c r="CH8" i="4"/>
  <c r="CI9" i="4"/>
  <c r="CJ56" i="5"/>
  <c r="CI73" i="5" s="1"/>
  <c r="CI179" i="5" s="1"/>
  <c r="CJ86" i="5"/>
  <c r="AJ151" i="5"/>
  <c r="K100" i="5"/>
  <c r="CH174" i="5"/>
  <c r="CH168" i="4"/>
  <c r="CJ8" i="5"/>
  <c r="CK9" i="5"/>
  <c r="BG149" i="39" l="1"/>
  <c r="BF174" i="39"/>
  <c r="AG78" i="39"/>
  <c r="AG66" i="39"/>
  <c r="CI181" i="39"/>
  <c r="CH179" i="39"/>
  <c r="AG146" i="39"/>
  <c r="AH143" i="39" s="1"/>
  <c r="CJ176" i="39"/>
  <c r="CI175" i="39"/>
  <c r="AF177" i="39"/>
  <c r="AF115" i="39"/>
  <c r="CI169" i="5"/>
  <c r="CH170" i="5"/>
  <c r="CH63" i="5" s="1"/>
  <c r="CH171" i="5"/>
  <c r="CH58" i="5" s="1"/>
  <c r="CF60" i="5"/>
  <c r="CF61" i="5" s="1"/>
  <c r="CE72" i="5"/>
  <c r="CE62" i="5"/>
  <c r="CE135" i="5"/>
  <c r="CF134" i="4"/>
  <c r="CF136" i="5"/>
  <c r="CJ152" i="5"/>
  <c r="CJ81" i="5" s="1"/>
  <c r="CI84" i="4"/>
  <c r="CI8" i="4"/>
  <c r="CJ9" i="4"/>
  <c r="CH157" i="4"/>
  <c r="CH124" i="4"/>
  <c r="CH85" i="4"/>
  <c r="CK56" i="5"/>
  <c r="CJ73" i="5" s="1"/>
  <c r="CJ179" i="5" s="1"/>
  <c r="CK86" i="5"/>
  <c r="CJ87" i="5"/>
  <c r="CJ159" i="5"/>
  <c r="CJ126" i="5"/>
  <c r="AJ154" i="5"/>
  <c r="AJ82" i="5"/>
  <c r="CI168" i="4"/>
  <c r="CI174" i="5"/>
  <c r="CL9" i="5"/>
  <c r="CK8" i="5"/>
  <c r="BG80" i="39" l="1"/>
  <c r="BG152" i="39"/>
  <c r="CJ175" i="39"/>
  <c r="CK176" i="39"/>
  <c r="AF189" i="39"/>
  <c r="AF190" i="39"/>
  <c r="CJ181" i="39"/>
  <c r="CI179" i="39"/>
  <c r="AG122" i="39"/>
  <c r="AG120" i="39"/>
  <c r="AG81" i="39"/>
  <c r="CJ169" i="5"/>
  <c r="CI170" i="5"/>
  <c r="CI63" i="5" s="1"/>
  <c r="CI171" i="5"/>
  <c r="CI58" i="5" s="1"/>
  <c r="CG60" i="5"/>
  <c r="CG61" i="5" s="1"/>
  <c r="CF62" i="5"/>
  <c r="CF135" i="5"/>
  <c r="CF72" i="5"/>
  <c r="CG134" i="4"/>
  <c r="CG136" i="5"/>
  <c r="CK152" i="5"/>
  <c r="CK81" i="5" s="1"/>
  <c r="CL56" i="5"/>
  <c r="CK73" i="5" s="1"/>
  <c r="CK179" i="5" s="1"/>
  <c r="CL86" i="5"/>
  <c r="CI85" i="4"/>
  <c r="CI124" i="4"/>
  <c r="CI157" i="4"/>
  <c r="CJ84" i="4"/>
  <c r="CK9" i="4"/>
  <c r="CJ8" i="4"/>
  <c r="CK159" i="5"/>
  <c r="CK126" i="5"/>
  <c r="CK87" i="5"/>
  <c r="AK151" i="5"/>
  <c r="CJ174" i="5"/>
  <c r="CJ168" i="4"/>
  <c r="CL8" i="5"/>
  <c r="CM9" i="5"/>
  <c r="BG174" i="39" l="1"/>
  <c r="BH149" i="39"/>
  <c r="CL176" i="39"/>
  <c r="CK175" i="39"/>
  <c r="AG98" i="39"/>
  <c r="AG99" i="39" s="1"/>
  <c r="AG163" i="39"/>
  <c r="CK181" i="39"/>
  <c r="CJ179" i="39"/>
  <c r="CK169" i="5"/>
  <c r="CJ171" i="5"/>
  <c r="CJ58" i="5" s="1"/>
  <c r="CJ170" i="5"/>
  <c r="CJ63" i="5" s="1"/>
  <c r="CG72" i="5"/>
  <c r="CG62" i="5"/>
  <c r="CG135" i="5"/>
  <c r="CH60" i="5"/>
  <c r="CH61" i="5" s="1"/>
  <c r="CH134" i="4"/>
  <c r="CH136" i="5"/>
  <c r="CK84" i="4"/>
  <c r="CL9" i="4"/>
  <c r="CK8" i="4"/>
  <c r="CJ157" i="4"/>
  <c r="CJ124" i="4"/>
  <c r="CJ85" i="4"/>
  <c r="CM56" i="5"/>
  <c r="CL73" i="5" s="1"/>
  <c r="CL179" i="5" s="1"/>
  <c r="CM86" i="5"/>
  <c r="CL159" i="5"/>
  <c r="CL126" i="5"/>
  <c r="CL87" i="5"/>
  <c r="CL152" i="5"/>
  <c r="CL81" i="5" s="1"/>
  <c r="AK82" i="5"/>
  <c r="AK154" i="5"/>
  <c r="CK174" i="5"/>
  <c r="CM8" i="5"/>
  <c r="CN9" i="5"/>
  <c r="CK168" i="4"/>
  <c r="BH152" i="39" l="1"/>
  <c r="BH80" i="39"/>
  <c r="CK179" i="39"/>
  <c r="CL181" i="39"/>
  <c r="AG121" i="39"/>
  <c r="AG164" i="39"/>
  <c r="AG90" i="39"/>
  <c r="CL175" i="39"/>
  <c r="CM176" i="39"/>
  <c r="E79" i="33"/>
  <c r="V79" i="33"/>
  <c r="F79" i="33"/>
  <c r="K79" i="33"/>
  <c r="T79" i="33"/>
  <c r="Y79" i="33"/>
  <c r="I79" i="33"/>
  <c r="Z79" i="33"/>
  <c r="J79" i="33"/>
  <c r="O79" i="33"/>
  <c r="X79" i="33"/>
  <c r="H79" i="33"/>
  <c r="M79" i="33"/>
  <c r="N79" i="33"/>
  <c r="S79" i="33"/>
  <c r="W79" i="33"/>
  <c r="L79" i="33"/>
  <c r="G79" i="33"/>
  <c r="Q79" i="33"/>
  <c r="R79" i="33"/>
  <c r="P79" i="33"/>
  <c r="U79" i="33"/>
  <c r="CL169" i="5"/>
  <c r="CK171" i="5"/>
  <c r="CK58" i="5" s="1"/>
  <c r="CK170" i="5"/>
  <c r="CK63" i="5" s="1"/>
  <c r="CI60" i="5"/>
  <c r="CI61" i="5" s="1"/>
  <c r="CH62" i="5"/>
  <c r="CH72" i="5"/>
  <c r="CH135" i="5"/>
  <c r="CI134" i="4"/>
  <c r="CI136" i="5"/>
  <c r="CM152" i="5"/>
  <c r="CM81" i="5" s="1"/>
  <c r="CN56" i="5"/>
  <c r="CN73" i="5" s="1"/>
  <c r="CN86" i="5"/>
  <c r="CL84" i="4"/>
  <c r="CL8" i="4"/>
  <c r="CM9" i="4"/>
  <c r="CK85" i="4"/>
  <c r="CK157" i="4"/>
  <c r="CK124" i="4"/>
  <c r="CM159" i="5"/>
  <c r="CM126" i="5"/>
  <c r="CM87" i="5"/>
  <c r="AL151" i="5"/>
  <c r="O88" i="33"/>
  <c r="Q49" i="33"/>
  <c r="Z153" i="33"/>
  <c r="X88" i="33"/>
  <c r="S26" i="33"/>
  <c r="S48" i="33"/>
  <c r="T53" i="33"/>
  <c r="M57" i="33"/>
  <c r="L75" i="33"/>
  <c r="Z84" i="33"/>
  <c r="Z88" i="33"/>
  <c r="X57" i="33"/>
  <c r="K47" i="33"/>
  <c r="L71" i="33"/>
  <c r="Z19" i="33"/>
  <c r="I74" i="33"/>
  <c r="S45" i="33"/>
  <c r="Q75" i="33"/>
  <c r="M36" i="33"/>
  <c r="Z48" i="33"/>
  <c r="M47" i="33"/>
  <c r="J21" i="33"/>
  <c r="K26" i="33"/>
  <c r="T46" i="33"/>
  <c r="M52" i="33"/>
  <c r="M20" i="33"/>
  <c r="L48" i="33"/>
  <c r="K50" i="33"/>
  <c r="H33" i="33"/>
  <c r="G28" i="33"/>
  <c r="W44" i="33"/>
  <c r="I28" i="33"/>
  <c r="X46" i="33"/>
  <c r="T44" i="33"/>
  <c r="W37" i="33"/>
  <c r="O56" i="33"/>
  <c r="Q44" i="33"/>
  <c r="R21" i="33"/>
  <c r="M29" i="33"/>
  <c r="Q20" i="33"/>
  <c r="M53" i="33"/>
  <c r="X13" i="33"/>
  <c r="S52" i="33"/>
  <c r="R54" i="33"/>
  <c r="M37" i="33"/>
  <c r="M46" i="33"/>
  <c r="G38" i="33"/>
  <c r="I55" i="33"/>
  <c r="L35" i="33"/>
  <c r="G26" i="33"/>
  <c r="S28" i="33"/>
  <c r="F31" i="33"/>
  <c r="I75" i="33"/>
  <c r="T55" i="33"/>
  <c r="T19" i="33"/>
  <c r="M56" i="33"/>
  <c r="O54" i="33"/>
  <c r="L28" i="33"/>
  <c r="H35" i="33"/>
  <c r="J37" i="33"/>
  <c r="G37" i="33"/>
  <c r="I33" i="33"/>
  <c r="M31" i="33"/>
  <c r="L30" i="33"/>
  <c r="R32" i="33"/>
  <c r="T26" i="33"/>
  <c r="K48" i="33"/>
  <c r="O49" i="33"/>
  <c r="L50" i="33"/>
  <c r="T33" i="33"/>
  <c r="S31" i="33"/>
  <c r="L34" i="33"/>
  <c r="M88" i="33"/>
  <c r="Z55" i="33"/>
  <c r="L47" i="33"/>
  <c r="G53" i="33"/>
  <c r="W75" i="33"/>
  <c r="Z50" i="33"/>
  <c r="Q55" i="33"/>
  <c r="R51" i="33"/>
  <c r="K35" i="33"/>
  <c r="T88" i="33"/>
  <c r="H56" i="33"/>
  <c r="X29" i="33"/>
  <c r="M13" i="33"/>
  <c r="Q21" i="33"/>
  <c r="T47" i="33"/>
  <c r="X71" i="33"/>
  <c r="H36" i="33"/>
  <c r="I45" i="33"/>
  <c r="H27" i="33"/>
  <c r="H59" i="33"/>
  <c r="L57" i="33"/>
  <c r="M59" i="33"/>
  <c r="T30" i="33"/>
  <c r="K54" i="33"/>
  <c r="R71" i="33"/>
  <c r="T35" i="33"/>
  <c r="J44" i="33"/>
  <c r="I53" i="33"/>
  <c r="H21" i="33"/>
  <c r="I47" i="33"/>
  <c r="M38" i="33"/>
  <c r="L33" i="33"/>
  <c r="S74" i="33"/>
  <c r="Z54" i="33"/>
  <c r="L53" i="33"/>
  <c r="Q84" i="33"/>
  <c r="R33" i="33"/>
  <c r="L55" i="33"/>
  <c r="M54" i="33"/>
  <c r="Z57" i="33"/>
  <c r="Z35" i="33"/>
  <c r="Y32" i="33"/>
  <c r="I31" i="33"/>
  <c r="I20" i="33"/>
  <c r="I48" i="33"/>
  <c r="Z71" i="33"/>
  <c r="Z56" i="33"/>
  <c r="H153" i="33"/>
  <c r="Z33" i="33"/>
  <c r="R88" i="33"/>
  <c r="K53" i="33"/>
  <c r="L54" i="33"/>
  <c r="W56" i="33"/>
  <c r="Z38" i="33"/>
  <c r="W33" i="33"/>
  <c r="Z51" i="33"/>
  <c r="R22" i="33"/>
  <c r="K20" i="33"/>
  <c r="R37" i="33"/>
  <c r="O48" i="33"/>
  <c r="K42" i="33"/>
  <c r="I34" i="33"/>
  <c r="I50" i="33"/>
  <c r="J57" i="33"/>
  <c r="I42" i="33"/>
  <c r="I46" i="33"/>
  <c r="H20" i="33"/>
  <c r="F34" i="33"/>
  <c r="M22" i="33"/>
  <c r="R52" i="33"/>
  <c r="L37" i="33"/>
  <c r="Y50" i="33"/>
  <c r="S47" i="33"/>
  <c r="H38" i="33"/>
  <c r="H51" i="33"/>
  <c r="J46" i="33"/>
  <c r="I35" i="33"/>
  <c r="H45" i="33"/>
  <c r="I71" i="33"/>
  <c r="G47" i="33"/>
  <c r="L49" i="33"/>
  <c r="O57" i="33"/>
  <c r="T49" i="33"/>
  <c r="L26" i="33"/>
  <c r="S88" i="33"/>
  <c r="M50" i="33"/>
  <c r="W31" i="33"/>
  <c r="I52" i="33"/>
  <c r="J59" i="33"/>
  <c r="I13" i="33"/>
  <c r="M28" i="33"/>
  <c r="I88" i="33"/>
  <c r="H57" i="33"/>
  <c r="R28" i="33"/>
  <c r="I153" i="33"/>
  <c r="E22" i="33"/>
  <c r="J13" i="33"/>
  <c r="I21" i="33"/>
  <c r="H42" i="33"/>
  <c r="F53" i="33"/>
  <c r="X28" i="33"/>
  <c r="I29" i="33"/>
  <c r="K71" i="33"/>
  <c r="M75" i="33"/>
  <c r="T52" i="33"/>
  <c r="S13" i="33"/>
  <c r="Q26" i="33"/>
  <c r="T71" i="33"/>
  <c r="M33" i="33"/>
  <c r="Z36" i="33"/>
  <c r="Z22" i="33"/>
  <c r="T42" i="33"/>
  <c r="R50" i="33"/>
  <c r="K13" i="33"/>
  <c r="R48" i="33"/>
  <c r="Z25" i="33"/>
  <c r="S25" i="33"/>
  <c r="W74" i="33"/>
  <c r="Z37" i="33"/>
  <c r="O26" i="33"/>
  <c r="L19" i="33"/>
  <c r="M25" i="33"/>
  <c r="K57" i="33"/>
  <c r="I51" i="33"/>
  <c r="H55" i="33"/>
  <c r="F38" i="33"/>
  <c r="I57" i="33"/>
  <c r="G35" i="33"/>
  <c r="L29" i="33"/>
  <c r="S57" i="33"/>
  <c r="T56" i="33"/>
  <c r="M34" i="33"/>
  <c r="M71" i="33"/>
  <c r="R26" i="33"/>
  <c r="S22" i="33"/>
  <c r="Q56" i="33"/>
  <c r="L32" i="33"/>
  <c r="J75" i="33"/>
  <c r="Y37" i="33"/>
  <c r="X48" i="33"/>
  <c r="S50" i="33"/>
  <c r="S35" i="33"/>
  <c r="Q42" i="33"/>
  <c r="Z28" i="33"/>
  <c r="G25" i="33"/>
  <c r="M49" i="33"/>
  <c r="H75" i="33"/>
  <c r="G75" i="33"/>
  <c r="H44" i="33"/>
  <c r="I84" i="33"/>
  <c r="M35" i="33"/>
  <c r="M51" i="33"/>
  <c r="K44" i="33"/>
  <c r="S36" i="33"/>
  <c r="L44" i="33"/>
  <c r="K31" i="33"/>
  <c r="Z30" i="33"/>
  <c r="Z21" i="33"/>
  <c r="S32" i="33"/>
  <c r="S51" i="33"/>
  <c r="S19" i="33"/>
  <c r="M27" i="33"/>
  <c r="T37" i="33"/>
  <c r="X45" i="33"/>
  <c r="W55" i="33"/>
  <c r="X47" i="33"/>
  <c r="X75" i="33"/>
  <c r="V153" i="33"/>
  <c r="R35" i="33"/>
  <c r="T20" i="33"/>
  <c r="T36" i="33"/>
  <c r="L38" i="33"/>
  <c r="L13" i="33"/>
  <c r="Z42" i="33"/>
  <c r="I37" i="33"/>
  <c r="L31" i="33"/>
  <c r="O28" i="33"/>
  <c r="H54" i="33"/>
  <c r="T28" i="33"/>
  <c r="H22" i="33"/>
  <c r="K46" i="33"/>
  <c r="I30" i="33"/>
  <c r="W28" i="33"/>
  <c r="S42" i="33"/>
  <c r="Q37" i="33"/>
  <c r="O38" i="33"/>
  <c r="L22" i="33"/>
  <c r="K37" i="33"/>
  <c r="S71" i="33"/>
  <c r="X34" i="33"/>
  <c r="R27" i="33"/>
  <c r="X31" i="33"/>
  <c r="S54" i="33"/>
  <c r="T54" i="33"/>
  <c r="J153" i="33"/>
  <c r="W21" i="33"/>
  <c r="M153" i="33"/>
  <c r="I27" i="33"/>
  <c r="P27" i="33"/>
  <c r="W57" i="33"/>
  <c r="W59" i="33"/>
  <c r="T21" i="33"/>
  <c r="Z13" i="33"/>
  <c r="V54" i="33"/>
  <c r="Q180" i="33"/>
  <c r="R75" i="33"/>
  <c r="L20" i="33"/>
  <c r="F30" i="33"/>
  <c r="F32" i="33"/>
  <c r="U51" i="33"/>
  <c r="O33" i="33"/>
  <c r="N84" i="33"/>
  <c r="V27" i="33"/>
  <c r="X19" i="33"/>
  <c r="N54" i="33"/>
  <c r="O42" i="33"/>
  <c r="N45" i="33"/>
  <c r="O45" i="33"/>
  <c r="E21" i="33"/>
  <c r="F54" i="33"/>
  <c r="H88" i="33"/>
  <c r="P13" i="33"/>
  <c r="P32" i="33"/>
  <c r="S21" i="33"/>
  <c r="Q33" i="33"/>
  <c r="Q38" i="33"/>
  <c r="U84" i="33"/>
  <c r="X153" i="33"/>
  <c r="Z53" i="33"/>
  <c r="Y29" i="33"/>
  <c r="Y74" i="33"/>
  <c r="P35" i="33"/>
  <c r="W50" i="33"/>
  <c r="R38" i="33"/>
  <c r="O55" i="33"/>
  <c r="T50" i="33"/>
  <c r="U50" i="33"/>
  <c r="N25" i="33"/>
  <c r="N180" i="33"/>
  <c r="G27" i="33"/>
  <c r="N74" i="33"/>
  <c r="P153" i="33"/>
  <c r="R30" i="33"/>
  <c r="Z180" i="33"/>
  <c r="Y47" i="33"/>
  <c r="S56" i="33"/>
  <c r="K29" i="33"/>
  <c r="V56" i="33"/>
  <c r="V51" i="33"/>
  <c r="I54" i="33"/>
  <c r="G48" i="33"/>
  <c r="E59" i="33"/>
  <c r="H19" i="33"/>
  <c r="P34" i="33"/>
  <c r="N57" i="33"/>
  <c r="O153" i="33"/>
  <c r="I44" i="33"/>
  <c r="E42" i="33"/>
  <c r="H84" i="33"/>
  <c r="N75" i="33"/>
  <c r="O35" i="33"/>
  <c r="U49" i="33"/>
  <c r="O20" i="33"/>
  <c r="L84" i="33"/>
  <c r="X26" i="33"/>
  <c r="J28" i="33"/>
  <c r="G31" i="33"/>
  <c r="G50" i="33"/>
  <c r="X180" i="33"/>
  <c r="W71" i="33"/>
  <c r="W20" i="33"/>
  <c r="S34" i="33"/>
  <c r="N32" i="33"/>
  <c r="U37" i="33"/>
  <c r="U30" i="33"/>
  <c r="X42" i="33"/>
  <c r="K38" i="33"/>
  <c r="G45" i="33"/>
  <c r="J33" i="33"/>
  <c r="W42" i="33"/>
  <c r="G44" i="33"/>
  <c r="G52" i="33"/>
  <c r="Q28" i="33"/>
  <c r="E26" i="33"/>
  <c r="P25" i="33"/>
  <c r="P57" i="33"/>
  <c r="T153" i="33"/>
  <c r="X38" i="33"/>
  <c r="J38" i="33"/>
  <c r="V59" i="33"/>
  <c r="Z49" i="33"/>
  <c r="Z34" i="33"/>
  <c r="Q74" i="33"/>
  <c r="O37" i="33"/>
  <c r="O75" i="33"/>
  <c r="W180" i="33"/>
  <c r="Z75" i="33"/>
  <c r="O36" i="33"/>
  <c r="O71" i="33"/>
  <c r="F180" i="33"/>
  <c r="W52" i="33"/>
  <c r="F57" i="33"/>
  <c r="E53" i="33"/>
  <c r="F48" i="33"/>
  <c r="L74" i="33"/>
  <c r="P22" i="33"/>
  <c r="M26" i="33"/>
  <c r="E36" i="33"/>
  <c r="H34" i="33"/>
  <c r="E180" i="33"/>
  <c r="K19" i="33"/>
  <c r="G71" i="33"/>
  <c r="F55" i="33"/>
  <c r="S38" i="33"/>
  <c r="N44" i="33"/>
  <c r="Q48" i="33"/>
  <c r="V38" i="33"/>
  <c r="J27" i="33"/>
  <c r="K33" i="33"/>
  <c r="F35" i="33"/>
  <c r="V32" i="33"/>
  <c r="U28" i="33"/>
  <c r="Z26" i="33"/>
  <c r="T13" i="33"/>
  <c r="L153" i="33"/>
  <c r="Y38" i="33"/>
  <c r="Y56" i="33"/>
  <c r="P56" i="33"/>
  <c r="P31" i="33"/>
  <c r="Q27" i="33"/>
  <c r="W34" i="33"/>
  <c r="V48" i="33"/>
  <c r="Y13" i="33"/>
  <c r="P88" i="33"/>
  <c r="Z52" i="33"/>
  <c r="X84" i="33"/>
  <c r="G29" i="33"/>
  <c r="R53" i="33"/>
  <c r="W27" i="33"/>
  <c r="E153" i="33"/>
  <c r="H49" i="33"/>
  <c r="Q88" i="33"/>
  <c r="X53" i="33"/>
  <c r="W35" i="33"/>
  <c r="Q153" i="33"/>
  <c r="X32" i="33"/>
  <c r="O53" i="33"/>
  <c r="O21" i="33"/>
  <c r="S44" i="33"/>
  <c r="S27" i="33"/>
  <c r="G36" i="33"/>
  <c r="G74" i="33"/>
  <c r="Q19" i="33"/>
  <c r="S30" i="33"/>
  <c r="P51" i="33"/>
  <c r="U36" i="33"/>
  <c r="U21" i="33"/>
  <c r="M30" i="33"/>
  <c r="P54" i="33"/>
  <c r="T48" i="33"/>
  <c r="X36" i="33"/>
  <c r="R180" i="33"/>
  <c r="O27" i="33"/>
  <c r="U31" i="33"/>
  <c r="L42" i="33"/>
  <c r="W88" i="33"/>
  <c r="W38" i="33"/>
  <c r="R29" i="33"/>
  <c r="O32" i="33"/>
  <c r="Q59" i="33"/>
  <c r="P53" i="33"/>
  <c r="P59" i="33"/>
  <c r="F52" i="33"/>
  <c r="J49" i="33"/>
  <c r="Y27" i="33"/>
  <c r="Y75" i="33"/>
  <c r="X50" i="33"/>
  <c r="R36" i="33"/>
  <c r="T38" i="33"/>
  <c r="V47" i="33"/>
  <c r="Y36" i="33"/>
  <c r="Y31" i="33"/>
  <c r="U19" i="33"/>
  <c r="O46" i="33"/>
  <c r="Q45" i="33"/>
  <c r="X44" i="33"/>
  <c r="U45" i="33"/>
  <c r="G21" i="33"/>
  <c r="F74" i="33"/>
  <c r="J25" i="33"/>
  <c r="E45" i="33"/>
  <c r="R46" i="33"/>
  <c r="P45" i="33"/>
  <c r="T74" i="33"/>
  <c r="W53" i="33"/>
  <c r="V45" i="33"/>
  <c r="E88" i="33"/>
  <c r="J71" i="33"/>
  <c r="L56" i="33"/>
  <c r="P75" i="33"/>
  <c r="N47" i="33"/>
  <c r="S49" i="33"/>
  <c r="S20" i="33"/>
  <c r="Q51" i="33"/>
  <c r="N53" i="33"/>
  <c r="H71" i="33"/>
  <c r="F45" i="33"/>
  <c r="P28" i="33"/>
  <c r="G84" i="33"/>
  <c r="W153" i="33"/>
  <c r="S153" i="33"/>
  <c r="L27" i="33"/>
  <c r="V55" i="33"/>
  <c r="U20" i="33"/>
  <c r="W48" i="33"/>
  <c r="V36" i="33"/>
  <c r="V74" i="33"/>
  <c r="H31" i="33"/>
  <c r="W84" i="33"/>
  <c r="V22" i="33"/>
  <c r="N71" i="33"/>
  <c r="U71" i="33"/>
  <c r="U56" i="33"/>
  <c r="W13" i="33"/>
  <c r="K27" i="33"/>
  <c r="O74" i="33"/>
  <c r="F22" i="33"/>
  <c r="O59" i="33"/>
  <c r="X35" i="33"/>
  <c r="X21" i="33"/>
  <c r="M42" i="33"/>
  <c r="R49" i="33"/>
  <c r="P180" i="33"/>
  <c r="N28" i="33"/>
  <c r="H30" i="33"/>
  <c r="K21" i="33"/>
  <c r="Y26" i="33"/>
  <c r="S180" i="33"/>
  <c r="U27" i="33"/>
  <c r="Y71" i="33"/>
  <c r="U47" i="33"/>
  <c r="K59" i="33"/>
  <c r="Q53" i="33"/>
  <c r="Y30" i="33"/>
  <c r="O180" i="33"/>
  <c r="O84" i="33"/>
  <c r="L88" i="33"/>
  <c r="E33" i="33"/>
  <c r="G13" i="33"/>
  <c r="E46" i="33"/>
  <c r="E55" i="33"/>
  <c r="Y19" i="33"/>
  <c r="U22" i="33"/>
  <c r="L36" i="33"/>
  <c r="R57" i="33"/>
  <c r="Y55" i="33"/>
  <c r="U29" i="33"/>
  <c r="Y46" i="33"/>
  <c r="U42" i="33"/>
  <c r="Q50" i="33"/>
  <c r="L180" i="33"/>
  <c r="Y88" i="33"/>
  <c r="T34" i="33"/>
  <c r="K88" i="33"/>
  <c r="E38" i="33"/>
  <c r="I49" i="33"/>
  <c r="G34" i="33"/>
  <c r="T75" i="33"/>
  <c r="Z29" i="33"/>
  <c r="F84" i="33"/>
  <c r="K56" i="33"/>
  <c r="N50" i="33"/>
  <c r="R42" i="33"/>
  <c r="L59" i="33"/>
  <c r="P19" i="33"/>
  <c r="K75" i="33"/>
  <c r="J22" i="33"/>
  <c r="F25" i="33"/>
  <c r="E56" i="33"/>
  <c r="X27" i="33"/>
  <c r="W19" i="33"/>
  <c r="W22" i="33"/>
  <c r="T59" i="33"/>
  <c r="N51" i="33"/>
  <c r="R19" i="33"/>
  <c r="P74" i="33"/>
  <c r="R25" i="33"/>
  <c r="E32" i="33"/>
  <c r="G32" i="33"/>
  <c r="H37" i="33"/>
  <c r="N27" i="33"/>
  <c r="R20" i="33"/>
  <c r="H29" i="33"/>
  <c r="I38" i="33"/>
  <c r="E34" i="33"/>
  <c r="E57" i="33"/>
  <c r="F21" i="33"/>
  <c r="O29" i="33"/>
  <c r="R153" i="33"/>
  <c r="Q46" i="33"/>
  <c r="U52" i="33"/>
  <c r="Y42" i="33"/>
  <c r="J55" i="33"/>
  <c r="G55" i="33"/>
  <c r="S46" i="33"/>
  <c r="Z32" i="33"/>
  <c r="Z31" i="33"/>
  <c r="T45" i="33"/>
  <c r="P29" i="33"/>
  <c r="W26" i="33"/>
  <c r="X22" i="33"/>
  <c r="X49" i="33"/>
  <c r="H47" i="33"/>
  <c r="I25" i="33"/>
  <c r="E31" i="33"/>
  <c r="J84" i="33"/>
  <c r="N42" i="33"/>
  <c r="Q57" i="33"/>
  <c r="L46" i="33"/>
  <c r="Q52" i="33"/>
  <c r="N88" i="33"/>
  <c r="H25" i="33"/>
  <c r="I32" i="33"/>
  <c r="E25" i="33"/>
  <c r="X25" i="33"/>
  <c r="Y48" i="33"/>
  <c r="U32" i="33"/>
  <c r="X51" i="33"/>
  <c r="Y34" i="33"/>
  <c r="S53" i="33"/>
  <c r="P20" i="33"/>
  <c r="O44" i="33"/>
  <c r="W51" i="33"/>
  <c r="V35" i="33"/>
  <c r="V42" i="33"/>
  <c r="V75" i="33"/>
  <c r="Q30" i="33"/>
  <c r="Q13" i="33"/>
  <c r="Q32" i="33"/>
  <c r="U48" i="33"/>
  <c r="S75" i="33"/>
  <c r="Y180" i="33"/>
  <c r="Y51" i="33"/>
  <c r="P46" i="33"/>
  <c r="N13" i="33"/>
  <c r="P26" i="33"/>
  <c r="H32" i="33"/>
  <c r="N19" i="33"/>
  <c r="J56" i="33"/>
  <c r="K32" i="33"/>
  <c r="O22" i="33"/>
  <c r="Q29" i="33"/>
  <c r="T27" i="33"/>
  <c r="U44" i="33"/>
  <c r="N20" i="33"/>
  <c r="U153" i="33"/>
  <c r="M48" i="33"/>
  <c r="R13" i="33"/>
  <c r="N37" i="33"/>
  <c r="G59" i="33"/>
  <c r="E29" i="33"/>
  <c r="Y35" i="33"/>
  <c r="M180" i="33"/>
  <c r="N35" i="33"/>
  <c r="R74" i="33"/>
  <c r="Y44" i="33"/>
  <c r="V52" i="33"/>
  <c r="U88" i="33"/>
  <c r="U33" i="33"/>
  <c r="Q35" i="33"/>
  <c r="P48" i="33"/>
  <c r="P21" i="33"/>
  <c r="Q47" i="33"/>
  <c r="S84" i="33"/>
  <c r="M74" i="33"/>
  <c r="H180" i="33"/>
  <c r="F42" i="33"/>
  <c r="J19" i="33"/>
  <c r="G22" i="33"/>
  <c r="W54" i="33"/>
  <c r="V37" i="33"/>
  <c r="U46" i="33"/>
  <c r="P33" i="33"/>
  <c r="X55" i="33"/>
  <c r="P49" i="33"/>
  <c r="P84" i="33"/>
  <c r="M84" i="33"/>
  <c r="U55" i="33"/>
  <c r="V29" i="33"/>
  <c r="U38" i="33"/>
  <c r="S29" i="33"/>
  <c r="J51" i="33"/>
  <c r="H48" i="33"/>
  <c r="J29" i="33"/>
  <c r="J35" i="33"/>
  <c r="K45" i="33"/>
  <c r="Q71" i="33"/>
  <c r="F28" i="33"/>
  <c r="E74" i="33"/>
  <c r="N56" i="33"/>
  <c r="E30" i="33"/>
  <c r="I180" i="33"/>
  <c r="K55" i="33"/>
  <c r="Q25" i="33"/>
  <c r="X20" i="33"/>
  <c r="E37" i="33"/>
  <c r="J26" i="33"/>
  <c r="M55" i="33"/>
  <c r="J30" i="33"/>
  <c r="X30" i="33"/>
  <c r="J34" i="33"/>
  <c r="Y33" i="33"/>
  <c r="Y54" i="33"/>
  <c r="P38" i="33"/>
  <c r="S37" i="33"/>
  <c r="W25" i="33"/>
  <c r="W46" i="33"/>
  <c r="F29" i="33"/>
  <c r="G30" i="33"/>
  <c r="P55" i="33"/>
  <c r="R44" i="33"/>
  <c r="X54" i="33"/>
  <c r="H52" i="33"/>
  <c r="N36" i="33"/>
  <c r="J31" i="33"/>
  <c r="F50" i="33"/>
  <c r="Q36" i="33"/>
  <c r="N49" i="33"/>
  <c r="J74" i="33"/>
  <c r="P30" i="33"/>
  <c r="Y59" i="33"/>
  <c r="E35" i="33"/>
  <c r="I59" i="33"/>
  <c r="N34" i="33"/>
  <c r="V25" i="33"/>
  <c r="N22" i="33"/>
  <c r="Z45" i="33"/>
  <c r="Y28" i="33"/>
  <c r="N30" i="33"/>
  <c r="Y84" i="33"/>
  <c r="X52" i="33"/>
  <c r="Y153" i="33"/>
  <c r="M32" i="33"/>
  <c r="F88" i="33"/>
  <c r="I22" i="33"/>
  <c r="I56" i="33"/>
  <c r="G57" i="33"/>
  <c r="F36" i="33"/>
  <c r="G49" i="33"/>
  <c r="M21" i="33"/>
  <c r="N29" i="33"/>
  <c r="S59" i="33"/>
  <c r="V28" i="33"/>
  <c r="E48" i="33"/>
  <c r="G46" i="33"/>
  <c r="U57" i="33"/>
  <c r="V19" i="33"/>
  <c r="Y57" i="33"/>
  <c r="U26" i="33"/>
  <c r="T25" i="33"/>
  <c r="T84" i="33"/>
  <c r="K52" i="33"/>
  <c r="K153" i="33"/>
  <c r="G153" i="33"/>
  <c r="O19" i="33"/>
  <c r="Y21" i="33"/>
  <c r="E27" i="33"/>
  <c r="E51" i="33"/>
  <c r="N31" i="33"/>
  <c r="T29" i="33"/>
  <c r="P52" i="33"/>
  <c r="J88" i="33"/>
  <c r="F46" i="33"/>
  <c r="U180" i="33"/>
  <c r="F26" i="33"/>
  <c r="H74" i="33"/>
  <c r="Q22" i="33"/>
  <c r="J42" i="33"/>
  <c r="G42" i="33"/>
  <c r="N38" i="33"/>
  <c r="E75" i="33"/>
  <c r="J20" i="33"/>
  <c r="W30" i="33"/>
  <c r="H28" i="33"/>
  <c r="U53" i="33"/>
  <c r="Q31" i="33"/>
  <c r="U25" i="33"/>
  <c r="O34" i="33"/>
  <c r="U13" i="33"/>
  <c r="I26" i="33"/>
  <c r="O52" i="33"/>
  <c r="O25" i="33"/>
  <c r="K22" i="33"/>
  <c r="V33" i="33"/>
  <c r="Z46" i="33"/>
  <c r="I19" i="33"/>
  <c r="H53" i="33"/>
  <c r="P71" i="33"/>
  <c r="P47" i="33"/>
  <c r="K180" i="33"/>
  <c r="X33" i="33"/>
  <c r="W45" i="33"/>
  <c r="H50" i="33"/>
  <c r="N48" i="33"/>
  <c r="F27" i="33"/>
  <c r="F71" i="33"/>
  <c r="L51" i="33"/>
  <c r="W29" i="33"/>
  <c r="R56" i="33"/>
  <c r="H26" i="33"/>
  <c r="H46" i="33"/>
  <c r="H13" i="33"/>
  <c r="Q54" i="33"/>
  <c r="G19" i="33"/>
  <c r="W32" i="33"/>
  <c r="Y20" i="33"/>
  <c r="F13" i="33"/>
  <c r="E47" i="33"/>
  <c r="J180" i="33"/>
  <c r="E28" i="33"/>
  <c r="J36" i="33"/>
  <c r="Q34" i="33"/>
  <c r="U34" i="33"/>
  <c r="F56" i="33"/>
  <c r="G51" i="33"/>
  <c r="F51" i="33"/>
  <c r="G88" i="33"/>
  <c r="F75" i="33"/>
  <c r="G56" i="33"/>
  <c r="T32" i="33"/>
  <c r="N21" i="33"/>
  <c r="N52" i="33"/>
  <c r="G33" i="33"/>
  <c r="E50" i="33"/>
  <c r="W49" i="33"/>
  <c r="P37" i="33"/>
  <c r="V21" i="33"/>
  <c r="V20" i="33"/>
  <c r="V71" i="33"/>
  <c r="N33" i="33"/>
  <c r="K36" i="33"/>
  <c r="N26" i="33"/>
  <c r="J32" i="33"/>
  <c r="K25" i="33"/>
  <c r="E20" i="33"/>
  <c r="N153" i="33"/>
  <c r="R45" i="33"/>
  <c r="G180" i="33"/>
  <c r="F37" i="33"/>
  <c r="O47" i="33"/>
  <c r="O50" i="33"/>
  <c r="V88" i="33"/>
  <c r="V180" i="33"/>
  <c r="J47" i="33"/>
  <c r="K30" i="33"/>
  <c r="K51" i="33"/>
  <c r="E71" i="33"/>
  <c r="V50" i="33"/>
  <c r="U54" i="33"/>
  <c r="P44" i="33"/>
  <c r="Y52" i="33"/>
  <c r="F33" i="33"/>
  <c r="P42" i="33"/>
  <c r="L21" i="33"/>
  <c r="E54" i="33"/>
  <c r="R55" i="33"/>
  <c r="N46" i="33"/>
  <c r="R31" i="33"/>
  <c r="K28" i="33"/>
  <c r="E13" i="33"/>
  <c r="G20" i="33"/>
  <c r="K84" i="33"/>
  <c r="T57" i="33"/>
  <c r="Z59" i="33"/>
  <c r="Z44" i="33"/>
  <c r="Z74" i="33"/>
  <c r="M19" i="33"/>
  <c r="S33" i="33"/>
  <c r="X59" i="33"/>
  <c r="Z47" i="33"/>
  <c r="N55" i="33"/>
  <c r="T51" i="33"/>
  <c r="O51" i="33"/>
  <c r="P36" i="33"/>
  <c r="K74" i="33"/>
  <c r="J50" i="33"/>
  <c r="J54" i="33"/>
  <c r="M44" i="33"/>
  <c r="F59" i="33"/>
  <c r="V34" i="33"/>
  <c r="V57" i="33"/>
  <c r="Y49" i="33"/>
  <c r="O13" i="33"/>
  <c r="K34" i="33"/>
  <c r="S55" i="33"/>
  <c r="F44" i="33"/>
  <c r="E44" i="33"/>
  <c r="X74" i="33"/>
  <c r="R59" i="33"/>
  <c r="E49" i="33"/>
  <c r="Y25" i="33"/>
  <c r="V84" i="33"/>
  <c r="G54" i="33"/>
  <c r="L25" i="33"/>
  <c r="M45" i="33"/>
  <c r="V44" i="33"/>
  <c r="V31" i="33"/>
  <c r="F47" i="33"/>
  <c r="J45" i="33"/>
  <c r="J48" i="33"/>
  <c r="N59" i="33"/>
  <c r="R34" i="33"/>
  <c r="F49" i="33"/>
  <c r="I36" i="33"/>
  <c r="L45" i="33"/>
  <c r="E19" i="33"/>
  <c r="O30" i="33"/>
  <c r="R47" i="33"/>
  <c r="F19" i="33"/>
  <c r="R84" i="33"/>
  <c r="P50" i="33"/>
  <c r="V49" i="33"/>
  <c r="U59" i="33"/>
  <c r="T180" i="33"/>
  <c r="F153" i="33"/>
  <c r="X37" i="33"/>
  <c r="V53" i="33"/>
  <c r="V26" i="33"/>
  <c r="O31" i="33"/>
  <c r="T22" i="33"/>
  <c r="J53" i="33"/>
  <c r="K49" i="33"/>
  <c r="L52" i="33"/>
  <c r="F20" i="33"/>
  <c r="E84" i="33"/>
  <c r="E52" i="33"/>
  <c r="T31" i="33"/>
  <c r="V46" i="33"/>
  <c r="X56" i="33"/>
  <c r="J52" i="33"/>
  <c r="W36" i="33"/>
  <c r="U35" i="33"/>
  <c r="Y45" i="33"/>
  <c r="Z20" i="33"/>
  <c r="U74" i="33"/>
  <c r="W47" i="33"/>
  <c r="Y53" i="33"/>
  <c r="U75" i="33"/>
  <c r="Z27" i="33"/>
  <c r="V13" i="33"/>
  <c r="V30" i="33"/>
  <c r="Y22" i="33"/>
  <c r="CL168" i="4"/>
  <c r="CN8" i="5"/>
  <c r="CO8" i="5" s="1"/>
  <c r="CL174" i="5"/>
  <c r="BI149" i="39" l="1"/>
  <c r="BH174" i="39"/>
  <c r="CM175" i="39"/>
  <c r="CN176" i="39"/>
  <c r="AG88" i="39"/>
  <c r="AG107" i="39"/>
  <c r="AG183" i="39"/>
  <c r="AG182" i="39" s="1"/>
  <c r="AH161" i="39"/>
  <c r="AH165" i="39" s="1"/>
  <c r="CL179" i="39"/>
  <c r="CM181" i="39"/>
  <c r="C79" i="33"/>
  <c r="CM169" i="5"/>
  <c r="CL171" i="5"/>
  <c r="CL58" i="5" s="1"/>
  <c r="CL170" i="5"/>
  <c r="CL63" i="5" s="1"/>
  <c r="CI135" i="5"/>
  <c r="CI72" i="5"/>
  <c r="CI62" i="5"/>
  <c r="CJ134" i="4"/>
  <c r="CN152" i="5"/>
  <c r="G152" i="33" s="1"/>
  <c r="C56" i="5"/>
  <c r="CM73" i="5"/>
  <c r="CM179" i="5" s="1"/>
  <c r="CN179" i="5" s="1"/>
  <c r="S175" i="33" s="1"/>
  <c r="CM84" i="4"/>
  <c r="CN9" i="4"/>
  <c r="CM8" i="4"/>
  <c r="K19" i="32"/>
  <c r="I43" i="32"/>
  <c r="M19" i="32"/>
  <c r="P82" i="32"/>
  <c r="X33" i="32"/>
  <c r="X28" i="32"/>
  <c r="U33" i="32"/>
  <c r="Y49" i="32"/>
  <c r="N83" i="32"/>
  <c r="W36" i="32"/>
  <c r="G40" i="32"/>
  <c r="R41" i="32"/>
  <c r="E36" i="32"/>
  <c r="R83" i="32"/>
  <c r="H49" i="32"/>
  <c r="Z82" i="32"/>
  <c r="Y27" i="32"/>
  <c r="E40" i="32"/>
  <c r="G83" i="32"/>
  <c r="X42" i="32"/>
  <c r="Y36" i="32"/>
  <c r="O24" i="32"/>
  <c r="W66" i="32"/>
  <c r="J29" i="32"/>
  <c r="P19" i="32"/>
  <c r="W28" i="32"/>
  <c r="I83" i="32"/>
  <c r="J36" i="32"/>
  <c r="L66" i="32"/>
  <c r="O42" i="32"/>
  <c r="Q40" i="32"/>
  <c r="V29" i="32"/>
  <c r="S83" i="32"/>
  <c r="X20" i="32"/>
  <c r="N49" i="32"/>
  <c r="H42" i="32"/>
  <c r="M49" i="32"/>
  <c r="W44" i="32"/>
  <c r="S66" i="32"/>
  <c r="Y40" i="32"/>
  <c r="F174" i="32"/>
  <c r="F30" i="32"/>
  <c r="J82" i="32"/>
  <c r="E66" i="32"/>
  <c r="H33" i="32"/>
  <c r="L19" i="32"/>
  <c r="L40" i="32"/>
  <c r="Z36" i="32"/>
  <c r="W78" i="32"/>
  <c r="F44" i="32"/>
  <c r="Z66" i="32"/>
  <c r="T27" i="32"/>
  <c r="L20" i="32"/>
  <c r="H54" i="32"/>
  <c r="W20" i="32"/>
  <c r="T42" i="32"/>
  <c r="G78" i="32"/>
  <c r="Y20" i="32"/>
  <c r="X36" i="32"/>
  <c r="N40" i="32"/>
  <c r="R82" i="32"/>
  <c r="E19" i="32"/>
  <c r="H48" i="32"/>
  <c r="M78" i="32"/>
  <c r="J30" i="32"/>
  <c r="F22" i="32"/>
  <c r="K22" i="32"/>
  <c r="K21" i="32"/>
  <c r="F78" i="32"/>
  <c r="H24" i="32"/>
  <c r="M22" i="32"/>
  <c r="U41" i="32"/>
  <c r="G41" i="32"/>
  <c r="W21" i="32"/>
  <c r="Q48" i="32"/>
  <c r="G19" i="32"/>
  <c r="Q24" i="32"/>
  <c r="Q19" i="32"/>
  <c r="X78" i="32"/>
  <c r="M46" i="32"/>
  <c r="M30" i="32"/>
  <c r="Y48" i="32"/>
  <c r="K13" i="32"/>
  <c r="L29" i="32"/>
  <c r="H46" i="32"/>
  <c r="H27" i="32"/>
  <c r="U30" i="32"/>
  <c r="T66" i="32"/>
  <c r="H13" i="32"/>
  <c r="Q21" i="32"/>
  <c r="Q45" i="32"/>
  <c r="N30" i="32"/>
  <c r="O20" i="32"/>
  <c r="I41" i="32"/>
  <c r="W54" i="32"/>
  <c r="M24" i="32"/>
  <c r="Y19" i="32"/>
  <c r="R48" i="32"/>
  <c r="H22" i="32"/>
  <c r="F48" i="32"/>
  <c r="Q66" i="32"/>
  <c r="U42" i="32"/>
  <c r="T28" i="32"/>
  <c r="H44" i="32"/>
  <c r="N13" i="32"/>
  <c r="Z33" i="32"/>
  <c r="Z28" i="32"/>
  <c r="H19" i="32"/>
  <c r="T78" i="32"/>
  <c r="I13" i="32"/>
  <c r="M48" i="32"/>
  <c r="K78" i="32"/>
  <c r="U43" i="32"/>
  <c r="R36" i="32"/>
  <c r="M54" i="32"/>
  <c r="E48" i="32"/>
  <c r="F19" i="32"/>
  <c r="U82" i="32"/>
  <c r="Z48" i="32"/>
  <c r="H82" i="32"/>
  <c r="Y82" i="32"/>
  <c r="S41" i="32"/>
  <c r="E46" i="32"/>
  <c r="S82" i="32"/>
  <c r="K45" i="32"/>
  <c r="K83" i="32"/>
  <c r="K24" i="32"/>
  <c r="S54" i="32"/>
  <c r="I48" i="32"/>
  <c r="G28" i="32"/>
  <c r="Q27" i="32"/>
  <c r="X24" i="32"/>
  <c r="J33" i="32"/>
  <c r="Z83" i="32"/>
  <c r="M66" i="32"/>
  <c r="L83" i="32"/>
  <c r="E78" i="32"/>
  <c r="M45" i="32"/>
  <c r="J48" i="32"/>
  <c r="N78" i="32"/>
  <c r="Y43" i="32"/>
  <c r="O19" i="32"/>
  <c r="K42" i="32"/>
  <c r="Y54" i="32"/>
  <c r="G20" i="32"/>
  <c r="N20" i="32"/>
  <c r="M29" i="32"/>
  <c r="I20" i="32"/>
  <c r="Z30" i="32"/>
  <c r="L27" i="32"/>
  <c r="K44" i="32"/>
  <c r="H41" i="32"/>
  <c r="N24" i="32"/>
  <c r="V40" i="32"/>
  <c r="L78" i="32"/>
  <c r="H45" i="32"/>
  <c r="I174" i="32"/>
  <c r="Z54" i="32"/>
  <c r="T24" i="32"/>
  <c r="G46" i="32"/>
  <c r="K27" i="32"/>
  <c r="L82" i="32"/>
  <c r="Q33" i="32"/>
  <c r="U174" i="32"/>
  <c r="O27" i="32"/>
  <c r="O29" i="32"/>
  <c r="R54" i="32"/>
  <c r="V66" i="32"/>
  <c r="O21" i="32"/>
  <c r="G82" i="32"/>
  <c r="K46" i="32"/>
  <c r="E20" i="32"/>
  <c r="O40" i="32"/>
  <c r="F66" i="32"/>
  <c r="T45" i="32"/>
  <c r="K29" i="32"/>
  <c r="X66" i="32"/>
  <c r="W33" i="32"/>
  <c r="H43" i="32"/>
  <c r="Y21" i="32"/>
  <c r="U21" i="32"/>
  <c r="Y44" i="32"/>
  <c r="T83" i="32"/>
  <c r="T49" i="32"/>
  <c r="T22" i="32"/>
  <c r="M40" i="32"/>
  <c r="X43" i="32"/>
  <c r="Q28" i="32"/>
  <c r="Y29" i="32"/>
  <c r="I36" i="32"/>
  <c r="X29" i="32"/>
  <c r="Y42" i="32"/>
  <c r="U44" i="32"/>
  <c r="P78" i="32"/>
  <c r="G36" i="32"/>
  <c r="F13" i="32"/>
  <c r="T48" i="32"/>
  <c r="V36" i="32"/>
  <c r="P33" i="32"/>
  <c r="T36" i="32"/>
  <c r="T29" i="32"/>
  <c r="U13" i="32"/>
  <c r="R40" i="32"/>
  <c r="Z46" i="32"/>
  <c r="F36" i="32"/>
  <c r="F29" i="32"/>
  <c r="K28" i="32"/>
  <c r="Y24" i="32"/>
  <c r="G29" i="32"/>
  <c r="L36" i="32"/>
  <c r="E54" i="32"/>
  <c r="L41" i="32"/>
  <c r="I44" i="32"/>
  <c r="O66" i="32"/>
  <c r="L42" i="32"/>
  <c r="Y13" i="32"/>
  <c r="H30" i="32"/>
  <c r="I24" i="32"/>
  <c r="Y30" i="32"/>
  <c r="J45" i="32"/>
  <c r="Y46" i="32"/>
  <c r="K49" i="32"/>
  <c r="K41" i="32"/>
  <c r="X48" i="32"/>
  <c r="H174" i="32"/>
  <c r="X40" i="32"/>
  <c r="Y22" i="32"/>
  <c r="J40" i="32"/>
  <c r="M20" i="32"/>
  <c r="W29" i="32"/>
  <c r="W42" i="32"/>
  <c r="R66" i="32"/>
  <c r="O33" i="32"/>
  <c r="R24" i="32"/>
  <c r="R78" i="32"/>
  <c r="T21" i="32"/>
  <c r="U24" i="32"/>
  <c r="X54" i="32"/>
  <c r="E45" i="32"/>
  <c r="K43" i="32"/>
  <c r="S45" i="32"/>
  <c r="R33" i="32"/>
  <c r="I78" i="32"/>
  <c r="M27" i="32"/>
  <c r="V54" i="32"/>
  <c r="E83" i="32"/>
  <c r="X27" i="32"/>
  <c r="J24" i="32"/>
  <c r="Y33" i="32"/>
  <c r="K20" i="32"/>
  <c r="R22" i="32"/>
  <c r="K48" i="32"/>
  <c r="S24" i="32"/>
  <c r="H78" i="32"/>
  <c r="V13" i="32"/>
  <c r="F33" i="32"/>
  <c r="P83" i="32"/>
  <c r="N48" i="32"/>
  <c r="T43" i="32"/>
  <c r="Y174" i="32"/>
  <c r="I46" i="32"/>
  <c r="L48" i="32"/>
  <c r="E49" i="32"/>
  <c r="J66" i="32"/>
  <c r="K40" i="32"/>
  <c r="I49" i="32"/>
  <c r="Y28" i="32"/>
  <c r="E41" i="32"/>
  <c r="W174" i="32"/>
  <c r="F21" i="32"/>
  <c r="O83" i="32"/>
  <c r="J43" i="32"/>
  <c r="Z49" i="32"/>
  <c r="G54" i="32"/>
  <c r="Z45" i="32"/>
  <c r="Y78" i="32"/>
  <c r="I29" i="32"/>
  <c r="E13" i="32"/>
  <c r="F24" i="32"/>
  <c r="T54" i="32"/>
  <c r="M13" i="32"/>
  <c r="K33" i="32"/>
  <c r="J28" i="32"/>
  <c r="X21" i="32"/>
  <c r="T174" i="32"/>
  <c r="N27" i="32"/>
  <c r="S20" i="32"/>
  <c r="V174" i="32"/>
  <c r="S46" i="32"/>
  <c r="G45" i="32"/>
  <c r="P46" i="32"/>
  <c r="L30" i="32"/>
  <c r="J13" i="32"/>
  <c r="E174" i="32"/>
  <c r="P41" i="32"/>
  <c r="J41" i="32"/>
  <c r="L46" i="32"/>
  <c r="G22" i="32"/>
  <c r="R30" i="32"/>
  <c r="Y41" i="32"/>
  <c r="N54" i="32"/>
  <c r="X49" i="32"/>
  <c r="F45" i="32"/>
  <c r="F83" i="32"/>
  <c r="O49" i="32"/>
  <c r="K82" i="32"/>
  <c r="F20" i="32"/>
  <c r="I42" i="32"/>
  <c r="X46" i="32"/>
  <c r="X174" i="32"/>
  <c r="Z27" i="32"/>
  <c r="I40" i="32"/>
  <c r="V83" i="32"/>
  <c r="L13" i="32"/>
  <c r="I19" i="32"/>
  <c r="Z44" i="32"/>
  <c r="S27" i="32"/>
  <c r="R29" i="32"/>
  <c r="L174" i="32"/>
  <c r="U22" i="32"/>
  <c r="K36" i="32"/>
  <c r="W24" i="32"/>
  <c r="O174" i="32"/>
  <c r="O44" i="32"/>
  <c r="R174" i="32"/>
  <c r="P22" i="32"/>
  <c r="V48" i="32"/>
  <c r="L24" i="32"/>
  <c r="T41" i="32"/>
  <c r="E29" i="32"/>
  <c r="X19" i="32"/>
  <c r="X82" i="32"/>
  <c r="U27" i="32"/>
  <c r="M21" i="32"/>
  <c r="V78" i="32"/>
  <c r="I66" i="32"/>
  <c r="J42" i="32"/>
  <c r="P13" i="32"/>
  <c r="P36" i="32"/>
  <c r="G33" i="32"/>
  <c r="O54" i="32"/>
  <c r="E30" i="32"/>
  <c r="F42" i="32"/>
  <c r="H21" i="32"/>
  <c r="G43" i="32"/>
  <c r="Y45" i="32"/>
  <c r="H20" i="32"/>
  <c r="Q49" i="32"/>
  <c r="X13" i="32"/>
  <c r="U36" i="32"/>
  <c r="Z78" i="32"/>
  <c r="L54" i="32"/>
  <c r="R44" i="32"/>
  <c r="F54" i="32"/>
  <c r="M83" i="32"/>
  <c r="Q82" i="32"/>
  <c r="N22" i="32"/>
  <c r="X41" i="32"/>
  <c r="Z29" i="32"/>
  <c r="U40" i="32"/>
  <c r="F27" i="32"/>
  <c r="J54" i="32"/>
  <c r="G174" i="32"/>
  <c r="R42" i="32"/>
  <c r="R20" i="32"/>
  <c r="V44" i="32"/>
  <c r="Z24" i="32"/>
  <c r="W13" i="32"/>
  <c r="J27" i="32"/>
  <c r="V21" i="32"/>
  <c r="L49" i="32"/>
  <c r="R28" i="32"/>
  <c r="N36" i="32"/>
  <c r="J22" i="32"/>
  <c r="H66" i="32"/>
  <c r="T13" i="32"/>
  <c r="U46" i="32"/>
  <c r="Z20" i="32"/>
  <c r="S13" i="32"/>
  <c r="P48" i="32"/>
  <c r="K66" i="32"/>
  <c r="G66" i="32"/>
  <c r="P43" i="32"/>
  <c r="U48" i="32"/>
  <c r="F43" i="32"/>
  <c r="M36" i="32"/>
  <c r="F28" i="32"/>
  <c r="N45" i="32"/>
  <c r="S48" i="32"/>
  <c r="R21" i="32"/>
  <c r="Q83" i="32"/>
  <c r="V82" i="32"/>
  <c r="N82" i="32"/>
  <c r="P29" i="32"/>
  <c r="P40" i="32"/>
  <c r="S21" i="32"/>
  <c r="E24" i="32"/>
  <c r="J44" i="32"/>
  <c r="E27" i="32"/>
  <c r="P27" i="32"/>
  <c r="U66" i="32"/>
  <c r="J20" i="32"/>
  <c r="K30" i="32"/>
  <c r="R49" i="32"/>
  <c r="Z43" i="32"/>
  <c r="E21" i="32"/>
  <c r="O78" i="32"/>
  <c r="O41" i="32"/>
  <c r="V20" i="32"/>
  <c r="W40" i="32"/>
  <c r="U20" i="32"/>
  <c r="S29" i="32"/>
  <c r="M28" i="32"/>
  <c r="S30" i="32"/>
  <c r="Z13" i="32"/>
  <c r="X83" i="32"/>
  <c r="Z19" i="32"/>
  <c r="Q182" i="32"/>
  <c r="P182" i="32"/>
  <c r="R46" i="32"/>
  <c r="I28" i="32"/>
  <c r="S19" i="32"/>
  <c r="F82" i="32"/>
  <c r="O22" i="32"/>
  <c r="V24" i="32"/>
  <c r="U54" i="32"/>
  <c r="Z174" i="32"/>
  <c r="N41" i="32"/>
  <c r="M174" i="32"/>
  <c r="Q30" i="32"/>
  <c r="U45" i="32"/>
  <c r="O13" i="32"/>
  <c r="Z22" i="32"/>
  <c r="G30" i="32"/>
  <c r="W27" i="32"/>
  <c r="F49" i="32"/>
  <c r="S22" i="32"/>
  <c r="G27" i="32"/>
  <c r="T30" i="32"/>
  <c r="S43" i="32"/>
  <c r="M42" i="32"/>
  <c r="T40" i="32"/>
  <c r="N28" i="32"/>
  <c r="Z41" i="32"/>
  <c r="T46" i="32"/>
  <c r="F40" i="32"/>
  <c r="X44" i="32"/>
  <c r="V45" i="32"/>
  <c r="I27" i="32"/>
  <c r="P44" i="32"/>
  <c r="Q174" i="32"/>
  <c r="J46" i="32"/>
  <c r="P24" i="32"/>
  <c r="P49" i="32"/>
  <c r="S78" i="32"/>
  <c r="I54" i="32"/>
  <c r="P20" i="32"/>
  <c r="L21" i="32"/>
  <c r="O28" i="32"/>
  <c r="O46" i="32"/>
  <c r="Q43" i="32"/>
  <c r="X22" i="32"/>
  <c r="O82" i="32"/>
  <c r="W48" i="32"/>
  <c r="N66" i="32"/>
  <c r="J182" i="32"/>
  <c r="M182" i="32"/>
  <c r="G182" i="32"/>
  <c r="H182" i="32"/>
  <c r="N29" i="32"/>
  <c r="S49" i="32"/>
  <c r="X182" i="32"/>
  <c r="Q54" i="32"/>
  <c r="M41" i="32"/>
  <c r="E82" i="32"/>
  <c r="P174" i="32"/>
  <c r="H36" i="32"/>
  <c r="Z40" i="32"/>
  <c r="W83" i="32"/>
  <c r="G24" i="32"/>
  <c r="V30" i="32"/>
  <c r="Q22" i="32"/>
  <c r="N42" i="32"/>
  <c r="U83" i="32"/>
  <c r="S33" i="32"/>
  <c r="F41" i="32"/>
  <c r="Q44" i="32"/>
  <c r="O30" i="32"/>
  <c r="Z42" i="32"/>
  <c r="L44" i="32"/>
  <c r="W41" i="32"/>
  <c r="R45" i="32"/>
  <c r="R19" i="32"/>
  <c r="P30" i="32"/>
  <c r="H40" i="32"/>
  <c r="O48" i="32"/>
  <c r="W45" i="32"/>
  <c r="L45" i="32"/>
  <c r="N44" i="32"/>
  <c r="J83" i="32"/>
  <c r="V43" i="32"/>
  <c r="U29" i="32"/>
  <c r="T44" i="32"/>
  <c r="T182" i="32"/>
  <c r="E182" i="32"/>
  <c r="Z182" i="32"/>
  <c r="U19" i="32"/>
  <c r="K54" i="32"/>
  <c r="W46" i="32"/>
  <c r="E44" i="32"/>
  <c r="U78" i="32"/>
  <c r="N43" i="32"/>
  <c r="I182" i="32"/>
  <c r="Q13" i="32"/>
  <c r="S174" i="32"/>
  <c r="V22" i="32"/>
  <c r="S40" i="32"/>
  <c r="X45" i="32"/>
  <c r="G44" i="32"/>
  <c r="P45" i="32"/>
  <c r="R13" i="32"/>
  <c r="L22" i="32"/>
  <c r="G21" i="32"/>
  <c r="I33" i="32"/>
  <c r="X30" i="32"/>
  <c r="P66" i="32"/>
  <c r="V49" i="32"/>
  <c r="N19" i="32"/>
  <c r="V19" i="32"/>
  <c r="H83" i="32"/>
  <c r="W49" i="32"/>
  <c r="V46" i="32"/>
  <c r="O43" i="32"/>
  <c r="M82" i="32"/>
  <c r="I30" i="32"/>
  <c r="P54" i="32"/>
  <c r="J49" i="32"/>
  <c r="F46" i="32"/>
  <c r="V27" i="32"/>
  <c r="Y66" i="32"/>
  <c r="V42" i="32"/>
  <c r="P42" i="32"/>
  <c r="W43" i="32"/>
  <c r="N46" i="32"/>
  <c r="I22" i="32"/>
  <c r="N182" i="32"/>
  <c r="O182" i="32"/>
  <c r="F182" i="32"/>
  <c r="I82" i="32"/>
  <c r="E42" i="32"/>
  <c r="U28" i="32"/>
  <c r="G13" i="32"/>
  <c r="G42" i="32"/>
  <c r="M44" i="32"/>
  <c r="O45" i="32"/>
  <c r="V33" i="32"/>
  <c r="L182" i="32"/>
  <c r="J21" i="32"/>
  <c r="E33" i="32"/>
  <c r="Q46" i="32"/>
  <c r="W82" i="32"/>
  <c r="T20" i="32"/>
  <c r="N174" i="32"/>
  <c r="T82" i="32"/>
  <c r="J174" i="32"/>
  <c r="K174" i="32"/>
  <c r="J78" i="32"/>
  <c r="O36" i="32"/>
  <c r="Q20" i="32"/>
  <c r="Y83" i="32"/>
  <c r="E43" i="32"/>
  <c r="T19" i="32"/>
  <c r="R43" i="32"/>
  <c r="J19" i="32"/>
  <c r="G49" i="32"/>
  <c r="N33" i="32"/>
  <c r="Q29" i="32"/>
  <c r="S44" i="32"/>
  <c r="Q41" i="32"/>
  <c r="N21" i="32"/>
  <c r="Q36" i="32"/>
  <c r="I21" i="32"/>
  <c r="W182" i="32"/>
  <c r="S182" i="32"/>
  <c r="Q78" i="32"/>
  <c r="E22" i="32"/>
  <c r="E28" i="32"/>
  <c r="Q42" i="32"/>
  <c r="G48" i="32"/>
  <c r="P28" i="32"/>
  <c r="V28" i="32"/>
  <c r="U182" i="32"/>
  <c r="T33" i="32"/>
  <c r="R27" i="32"/>
  <c r="U49" i="32"/>
  <c r="W19" i="32"/>
  <c r="H29" i="32"/>
  <c r="I45" i="32"/>
  <c r="S36" i="32"/>
  <c r="M33" i="32"/>
  <c r="R182" i="32"/>
  <c r="K182" i="32"/>
  <c r="V41" i="32"/>
  <c r="Y182" i="32"/>
  <c r="M43" i="32"/>
  <c r="L28" i="32"/>
  <c r="V182" i="32"/>
  <c r="CL157" i="4"/>
  <c r="CL124" i="4"/>
  <c r="CL85" i="4"/>
  <c r="CN87" i="5"/>
  <c r="CN126" i="5"/>
  <c r="CN159" i="5"/>
  <c r="AL154" i="5"/>
  <c r="AL82" i="5"/>
  <c r="C52" i="33"/>
  <c r="C20" i="33"/>
  <c r="C49" i="33"/>
  <c r="C47" i="33"/>
  <c r="C44" i="33"/>
  <c r="C50" i="33"/>
  <c r="C74" i="33"/>
  <c r="C31" i="33"/>
  <c r="C46" i="33"/>
  <c r="C45" i="33"/>
  <c r="C153" i="33"/>
  <c r="C35" i="33"/>
  <c r="C19" i="33"/>
  <c r="C59" i="33"/>
  <c r="C34" i="33"/>
  <c r="C53" i="33"/>
  <c r="C28" i="33"/>
  <c r="C13" i="33"/>
  <c r="C27" i="33"/>
  <c r="C37" i="33"/>
  <c r="C25" i="33"/>
  <c r="C32" i="33"/>
  <c r="C38" i="33"/>
  <c r="C55" i="33"/>
  <c r="C21" i="33"/>
  <c r="C30" i="33"/>
  <c r="C33" i="33"/>
  <c r="C54" i="33"/>
  <c r="C29" i="33"/>
  <c r="C57" i="33"/>
  <c r="C56" i="33"/>
  <c r="C26" i="33"/>
  <c r="C75" i="33"/>
  <c r="C42" i="33"/>
  <c r="C36" i="33"/>
  <c r="C22" i="33"/>
  <c r="C51" i="33"/>
  <c r="C48" i="33"/>
  <c r="CM174" i="5"/>
  <c r="CN174" i="5"/>
  <c r="CM168" i="4"/>
  <c r="CN168" i="4"/>
  <c r="BI152" i="39" l="1"/>
  <c r="BI80" i="39"/>
  <c r="CN181" i="39"/>
  <c r="CM179" i="39"/>
  <c r="AH135" i="39"/>
  <c r="AH136" i="39" s="1"/>
  <c r="AH91" i="39"/>
  <c r="AH63" i="39"/>
  <c r="AH64" i="39" s="1"/>
  <c r="AG118" i="39"/>
  <c r="AG109" i="39"/>
  <c r="AG110" i="39" s="1"/>
  <c r="AG108" i="39"/>
  <c r="AG185" i="39"/>
  <c r="AG184" i="39" s="1"/>
  <c r="AG116" i="39" s="1"/>
  <c r="AG92" i="39"/>
  <c r="AG94" i="39" s="1"/>
  <c r="AG95" i="39" s="1"/>
  <c r="S177" i="40" a="1"/>
  <c r="S177" i="40" s="1"/>
  <c r="CN175" i="39"/>
  <c r="O172" i="40" a="1"/>
  <c r="O172" i="40" s="1"/>
  <c r="K172" i="40" a="1"/>
  <c r="K172" i="40" s="1"/>
  <c r="Z172" i="40" a="1"/>
  <c r="Z172" i="40" s="1"/>
  <c r="Y172" i="40" a="1"/>
  <c r="Y172" i="40" s="1"/>
  <c r="Q172" i="40" a="1"/>
  <c r="Q172" i="40" s="1"/>
  <c r="E172" i="40" a="1"/>
  <c r="E172" i="40" s="1"/>
  <c r="H172" i="40" a="1"/>
  <c r="H172" i="40" s="1"/>
  <c r="J172" i="40" a="1"/>
  <c r="J172" i="40" s="1"/>
  <c r="W172" i="40" a="1"/>
  <c r="W172" i="40" s="1"/>
  <c r="L172" i="40" a="1"/>
  <c r="L172" i="40" s="1"/>
  <c r="V172" i="40" a="1"/>
  <c r="V172" i="40" s="1"/>
  <c r="N172" i="40" a="1"/>
  <c r="N172" i="40" s="1"/>
  <c r="G172" i="40" a="1"/>
  <c r="G172" i="40" s="1"/>
  <c r="I172" i="40" a="1"/>
  <c r="I172" i="40" s="1"/>
  <c r="S172" i="40" a="1"/>
  <c r="S172" i="40" s="1"/>
  <c r="F172" i="40" a="1"/>
  <c r="F172" i="40" s="1"/>
  <c r="X172" i="40" a="1"/>
  <c r="X172" i="40" s="1"/>
  <c r="T172" i="40" a="1"/>
  <c r="T172" i="40" s="1"/>
  <c r="P172" i="40" a="1"/>
  <c r="P172" i="40" s="1"/>
  <c r="R172" i="40" a="1"/>
  <c r="R172" i="40" s="1"/>
  <c r="U172" i="40" a="1"/>
  <c r="U172" i="40" s="1"/>
  <c r="M172" i="40" a="1"/>
  <c r="M172" i="40" s="1"/>
  <c r="Z177" i="40" a="1"/>
  <c r="Z177" i="40" s="1"/>
  <c r="S42" i="32"/>
  <c r="C42" i="32" s="1"/>
  <c r="Z21" i="32"/>
  <c r="H28" i="32"/>
  <c r="V73" i="33"/>
  <c r="C152" i="5"/>
  <c r="CN81" i="5"/>
  <c r="N81" i="33" s="1"/>
  <c r="P73" i="33"/>
  <c r="L73" i="33"/>
  <c r="E73" i="33"/>
  <c r="N73" i="33"/>
  <c r="T73" i="33"/>
  <c r="Q152" i="33"/>
  <c r="N152" i="33"/>
  <c r="F152" i="33"/>
  <c r="Z73" i="33"/>
  <c r="Y73" i="33"/>
  <c r="H73" i="33"/>
  <c r="I73" i="33"/>
  <c r="U73" i="33"/>
  <c r="W73" i="33"/>
  <c r="CN169" i="5"/>
  <c r="CM171" i="5"/>
  <c r="CM58" i="5" s="1"/>
  <c r="CM170" i="5"/>
  <c r="CM63" i="5" s="1"/>
  <c r="X73" i="33"/>
  <c r="J73" i="33"/>
  <c r="O73" i="33"/>
  <c r="G73" i="33"/>
  <c r="Q73" i="33"/>
  <c r="M73" i="33"/>
  <c r="F73" i="33"/>
  <c r="S73" i="33"/>
  <c r="C73" i="5"/>
  <c r="S28" i="32"/>
  <c r="P21" i="32"/>
  <c r="C21" i="32" s="1"/>
  <c r="L43" i="32"/>
  <c r="C43" i="32" s="1"/>
  <c r="W30" i="32"/>
  <c r="C30" i="32" s="1"/>
  <c r="CK60" i="5"/>
  <c r="CK61" i="5" s="1"/>
  <c r="CJ60" i="5"/>
  <c r="L33" i="32"/>
  <c r="C33" i="32" s="1"/>
  <c r="J152" i="33"/>
  <c r="X152" i="33"/>
  <c r="W152" i="33"/>
  <c r="Z152" i="33"/>
  <c r="H152" i="33"/>
  <c r="U152" i="33"/>
  <c r="CK134" i="4"/>
  <c r="CK136" i="5"/>
  <c r="CJ136" i="5"/>
  <c r="R73" i="33"/>
  <c r="R152" i="33"/>
  <c r="K152" i="33"/>
  <c r="U175" i="33"/>
  <c r="R175" i="33"/>
  <c r="K73" i="33"/>
  <c r="H175" i="33"/>
  <c r="N175" i="33"/>
  <c r="L152" i="33"/>
  <c r="T152" i="33"/>
  <c r="I152" i="33"/>
  <c r="O152" i="33"/>
  <c r="P152" i="33"/>
  <c r="S152" i="33"/>
  <c r="V152" i="33"/>
  <c r="Y152" i="33"/>
  <c r="E152" i="33"/>
  <c r="M152" i="33"/>
  <c r="K175" i="33"/>
  <c r="L175" i="33"/>
  <c r="Q175" i="33"/>
  <c r="E175" i="33"/>
  <c r="V175" i="33"/>
  <c r="I175" i="33"/>
  <c r="O175" i="33"/>
  <c r="W175" i="33"/>
  <c r="J175" i="33"/>
  <c r="X175" i="33"/>
  <c r="Z175" i="33"/>
  <c r="P175" i="33"/>
  <c r="T175" i="33"/>
  <c r="Y175" i="33"/>
  <c r="M175" i="33"/>
  <c r="F175" i="33"/>
  <c r="G175" i="33"/>
  <c r="C29" i="32"/>
  <c r="C13" i="32"/>
  <c r="C46" i="32"/>
  <c r="C54" i="32"/>
  <c r="C27" i="32"/>
  <c r="C44" i="32"/>
  <c r="C19" i="32"/>
  <c r="C40" i="32"/>
  <c r="C127" i="5" a="1"/>
  <c r="C49" i="32"/>
  <c r="C83" i="32"/>
  <c r="C48" i="32"/>
  <c r="C36" i="32"/>
  <c r="CN84" i="4"/>
  <c r="CN8" i="4"/>
  <c r="CO8" i="4" s="1"/>
  <c r="C24" i="32"/>
  <c r="C45" i="32"/>
  <c r="C20" i="32"/>
  <c r="W22" i="32"/>
  <c r="C22" i="32" s="1"/>
  <c r="C41" i="32"/>
  <c r="CM124" i="4"/>
  <c r="CM157" i="4"/>
  <c r="CM85" i="4"/>
  <c r="AM151" i="5"/>
  <c r="C81" i="5"/>
  <c r="T81" i="33"/>
  <c r="Y81" i="33"/>
  <c r="M81" i="33"/>
  <c r="I81" i="33"/>
  <c r="X81" i="33"/>
  <c r="F81" i="33"/>
  <c r="V81" i="33"/>
  <c r="S81" i="33"/>
  <c r="Q81" i="33"/>
  <c r="O81" i="33"/>
  <c r="Z81" i="33"/>
  <c r="U81" i="33"/>
  <c r="E81" i="33"/>
  <c r="L81" i="33"/>
  <c r="H81" i="33"/>
  <c r="G81" i="33"/>
  <c r="P81" i="33"/>
  <c r="W81" i="33"/>
  <c r="BJ149" i="39" l="1"/>
  <c r="BI174" i="39"/>
  <c r="T171" i="40" a="1"/>
  <c r="T171" i="40" s="1"/>
  <c r="R171" i="40" a="1"/>
  <c r="R171" i="40" s="1"/>
  <c r="J171" i="40" a="1"/>
  <c r="J171" i="40" s="1"/>
  <c r="Z171" i="40" a="1"/>
  <c r="Z171" i="40" s="1"/>
  <c r="V171" i="40" a="1"/>
  <c r="V171" i="40" s="1"/>
  <c r="K171" i="40" a="1"/>
  <c r="K171" i="40" s="1"/>
  <c r="O171" i="40" a="1"/>
  <c r="O171" i="40" s="1"/>
  <c r="U171" i="40" a="1"/>
  <c r="U171" i="40" s="1"/>
  <c r="Q171" i="40" a="1"/>
  <c r="Q171" i="40" s="1"/>
  <c r="G171" i="40" a="1"/>
  <c r="G171" i="40" s="1"/>
  <c r="W171" i="40" a="1"/>
  <c r="W171" i="40" s="1"/>
  <c r="M171" i="40" a="1"/>
  <c r="M171" i="40" s="1"/>
  <c r="H171" i="40" a="1"/>
  <c r="H171" i="40" s="1"/>
  <c r="F171" i="40" a="1"/>
  <c r="F171" i="40" s="1"/>
  <c r="X171" i="40" a="1"/>
  <c r="X171" i="40" s="1"/>
  <c r="L171" i="40" a="1"/>
  <c r="L171" i="40" s="1"/>
  <c r="Y171" i="40" a="1"/>
  <c r="Y171" i="40" s="1"/>
  <c r="N171" i="40" a="1"/>
  <c r="N171" i="40" s="1"/>
  <c r="P171" i="40" a="1"/>
  <c r="P171" i="40" s="1"/>
  <c r="S171" i="40" a="1"/>
  <c r="S171" i="40" s="1"/>
  <c r="E171" i="40" a="1"/>
  <c r="E171" i="40" s="1"/>
  <c r="I171" i="40" a="1"/>
  <c r="I171" i="40" s="1"/>
  <c r="AH93" i="39"/>
  <c r="AG171" i="39"/>
  <c r="AG170" i="39" s="1"/>
  <c r="AG187" i="39"/>
  <c r="AG117" i="39" s="1"/>
  <c r="AH144" i="39"/>
  <c r="AH145" i="39" s="1"/>
  <c r="AH137" i="39" s="1"/>
  <c r="AH138" i="39" s="1"/>
  <c r="AH139" i="39" s="1" a="1"/>
  <c r="AH139" i="39" s="1"/>
  <c r="AH65" i="39" s="1"/>
  <c r="CN179" i="39"/>
  <c r="J175" i="40" s="1" a="1"/>
  <c r="J175" i="40" s="1"/>
  <c r="M177" i="40" a="1"/>
  <c r="M177" i="40" s="1"/>
  <c r="X177" i="40" a="1"/>
  <c r="X177" i="40" s="1"/>
  <c r="T177" i="40" a="1"/>
  <c r="T177" i="40" s="1"/>
  <c r="Q177" i="40" a="1"/>
  <c r="Q177" i="40" s="1"/>
  <c r="O177" i="40" a="1"/>
  <c r="O177" i="40" s="1"/>
  <c r="V177" i="40" a="1"/>
  <c r="V177" i="40" s="1"/>
  <c r="E177" i="40" a="1"/>
  <c r="E177" i="40" s="1"/>
  <c r="Y177" i="40" a="1"/>
  <c r="Y177" i="40" s="1"/>
  <c r="F177" i="40" a="1"/>
  <c r="F177" i="40" s="1"/>
  <c r="R177" i="40" a="1"/>
  <c r="R177" i="40" s="1"/>
  <c r="H177" i="40" a="1"/>
  <c r="H177" i="40" s="1"/>
  <c r="K177" i="40" a="1"/>
  <c r="K177" i="40" s="1"/>
  <c r="J177" i="40" a="1"/>
  <c r="J177" i="40" s="1"/>
  <c r="I177" i="40" a="1"/>
  <c r="I177" i="40" s="1"/>
  <c r="U177" i="40" a="1"/>
  <c r="U177" i="40" s="1"/>
  <c r="W177" i="40" a="1"/>
  <c r="W177" i="40" s="1"/>
  <c r="G177" i="40" a="1"/>
  <c r="G177" i="40" s="1"/>
  <c r="L177" i="40" a="1"/>
  <c r="L177" i="40" s="1"/>
  <c r="N177" i="40" a="1"/>
  <c r="N177" i="40" s="1"/>
  <c r="P177" i="40" a="1"/>
  <c r="P177" i="40" s="1"/>
  <c r="C28" i="32"/>
  <c r="J81" i="33"/>
  <c r="R81" i="33"/>
  <c r="K81" i="33"/>
  <c r="CN171" i="5"/>
  <c r="CN170" i="5"/>
  <c r="CJ61" i="5"/>
  <c r="CK135" i="5"/>
  <c r="CK62" i="5"/>
  <c r="CK72" i="5"/>
  <c r="C73" i="33"/>
  <c r="CL134" i="4"/>
  <c r="C152" i="33"/>
  <c r="CN85" i="4"/>
  <c r="CN124" i="4"/>
  <c r="CN157" i="4"/>
  <c r="AM154" i="5"/>
  <c r="AM82" i="5"/>
  <c r="C81" i="33"/>
  <c r="T175" i="40" l="1" a="1"/>
  <c r="T175" i="40" s="1"/>
  <c r="K175" i="40" a="1"/>
  <c r="K175" i="40" s="1"/>
  <c r="P175" i="40" a="1"/>
  <c r="P175" i="40" s="1"/>
  <c r="R175" i="40" a="1"/>
  <c r="R175" i="40" s="1"/>
  <c r="BJ152" i="39"/>
  <c r="BJ80" i="39"/>
  <c r="O175" i="40" a="1"/>
  <c r="O175" i="40" s="1"/>
  <c r="AH78" i="39"/>
  <c r="AH66" i="39"/>
  <c r="AH146" i="39"/>
  <c r="AI143" i="39" s="1"/>
  <c r="AG177" i="39"/>
  <c r="AG115" i="39"/>
  <c r="W175" i="40" a="1"/>
  <c r="W175" i="40" s="1"/>
  <c r="N175" i="40" a="1"/>
  <c r="N175" i="40" s="1"/>
  <c r="F175" i="40" a="1"/>
  <c r="F175" i="40" s="1"/>
  <c r="L175" i="40" a="1"/>
  <c r="L175" i="40" s="1"/>
  <c r="H175" i="40" a="1"/>
  <c r="H175" i="40" s="1"/>
  <c r="M175" i="40" a="1"/>
  <c r="M175" i="40" s="1"/>
  <c r="Q175" i="40" a="1"/>
  <c r="Q175" i="40" s="1"/>
  <c r="V175" i="40" a="1"/>
  <c r="V175" i="40" s="1"/>
  <c r="U175" i="40" a="1"/>
  <c r="U175" i="40" s="1"/>
  <c r="X175" i="40" a="1"/>
  <c r="X175" i="40" s="1"/>
  <c r="S175" i="40" a="1"/>
  <c r="S175" i="40" s="1"/>
  <c r="I175" i="40" a="1"/>
  <c r="I175" i="40" s="1"/>
  <c r="Z175" i="40" a="1"/>
  <c r="Z175" i="40" s="1"/>
  <c r="G175" i="40" a="1"/>
  <c r="G175" i="40" s="1"/>
  <c r="Y175" i="40" a="1"/>
  <c r="Y175" i="40" s="1"/>
  <c r="E175" i="40" a="1"/>
  <c r="E175" i="40" s="1"/>
  <c r="CN63" i="5"/>
  <c r="C170" i="5"/>
  <c r="CN58" i="5"/>
  <c r="C171" i="5"/>
  <c r="CM60" i="5"/>
  <c r="CM61" i="5" s="1"/>
  <c r="CJ72" i="5"/>
  <c r="CJ135" i="5"/>
  <c r="CJ62" i="5"/>
  <c r="CL60" i="5"/>
  <c r="CL136" i="5"/>
  <c r="CM134" i="4"/>
  <c r="CM136" i="5"/>
  <c r="AN151" i="5"/>
  <c r="BK149" i="39" l="1"/>
  <c r="BJ174" i="39"/>
  <c r="AG189" i="39"/>
  <c r="AG190" i="39"/>
  <c r="AH122" i="39"/>
  <c r="AH120" i="39"/>
  <c r="AH81" i="39"/>
  <c r="N52" i="32"/>
  <c r="CM72" i="5"/>
  <c r="CM62" i="5"/>
  <c r="CM135" i="5"/>
  <c r="CL61" i="5"/>
  <c r="H58" i="32"/>
  <c r="V63" i="33"/>
  <c r="E63" i="33"/>
  <c r="R63" i="33"/>
  <c r="AN82" i="5"/>
  <c r="AN154" i="5"/>
  <c r="BK80" i="39" l="1"/>
  <c r="BK152" i="39"/>
  <c r="AH163" i="39"/>
  <c r="AH98" i="39"/>
  <c r="AH99" i="39" s="1"/>
  <c r="P52" i="32"/>
  <c r="W52" i="32"/>
  <c r="O52" i="32"/>
  <c r="I52" i="32"/>
  <c r="V52" i="32"/>
  <c r="Q52" i="32"/>
  <c r="J52" i="32"/>
  <c r="L52" i="32"/>
  <c r="M52" i="32"/>
  <c r="T52" i="32"/>
  <c r="Z52" i="32"/>
  <c r="C57" i="4"/>
  <c r="R52" i="32"/>
  <c r="E52" i="32"/>
  <c r="X52" i="32"/>
  <c r="U52" i="32"/>
  <c r="H52" i="32"/>
  <c r="F52" i="32"/>
  <c r="S52" i="32"/>
  <c r="K52" i="32"/>
  <c r="G52" i="32"/>
  <c r="Y52" i="32"/>
  <c r="F58" i="32"/>
  <c r="M58" i="32"/>
  <c r="U58" i="32"/>
  <c r="L58" i="32"/>
  <c r="S58" i="32"/>
  <c r="G58" i="32"/>
  <c r="P58" i="32"/>
  <c r="R58" i="32"/>
  <c r="K58" i="32"/>
  <c r="J58" i="32"/>
  <c r="Q58" i="32"/>
  <c r="CN134" i="4"/>
  <c r="L130" i="32" s="1"/>
  <c r="N58" i="32"/>
  <c r="X58" i="32"/>
  <c r="T58" i="32"/>
  <c r="E58" i="32"/>
  <c r="I58" i="32"/>
  <c r="V58" i="32"/>
  <c r="Z58" i="32"/>
  <c r="Y58" i="32"/>
  <c r="C62" i="4"/>
  <c r="O58" i="32"/>
  <c r="W58" i="32"/>
  <c r="CL135" i="5"/>
  <c r="CL62" i="5"/>
  <c r="CL72" i="5"/>
  <c r="Z63" i="33"/>
  <c r="CO60" i="5"/>
  <c r="CO61" i="5" s="1"/>
  <c r="CO62" i="5" s="1"/>
  <c r="C58" i="5"/>
  <c r="CN60" i="5"/>
  <c r="U58" i="33"/>
  <c r="L58" i="33"/>
  <c r="J58" i="33"/>
  <c r="O58" i="33"/>
  <c r="T58" i="33"/>
  <c r="V58" i="33"/>
  <c r="E58" i="33"/>
  <c r="Z58" i="33"/>
  <c r="G58" i="33"/>
  <c r="I58" i="33"/>
  <c r="W58" i="33"/>
  <c r="R58" i="33"/>
  <c r="N58" i="33"/>
  <c r="X58" i="33"/>
  <c r="Y58" i="33"/>
  <c r="H58" i="33"/>
  <c r="S58" i="33"/>
  <c r="K58" i="33"/>
  <c r="F58" i="33"/>
  <c r="M58" i="33"/>
  <c r="P58" i="33"/>
  <c r="Q58" i="33"/>
  <c r="O63" i="33"/>
  <c r="T63" i="33"/>
  <c r="K63" i="33"/>
  <c r="X63" i="33"/>
  <c r="P63" i="33"/>
  <c r="H63" i="33"/>
  <c r="W63" i="33"/>
  <c r="M63" i="33"/>
  <c r="I63" i="33"/>
  <c r="CN136" i="5"/>
  <c r="C63" i="5"/>
  <c r="S63" i="33"/>
  <c r="G63" i="33"/>
  <c r="L63" i="33"/>
  <c r="J63" i="33"/>
  <c r="U63" i="33"/>
  <c r="F63" i="33"/>
  <c r="N63" i="33"/>
  <c r="Q63" i="33"/>
  <c r="Y63" i="33"/>
  <c r="AO151" i="5"/>
  <c r="BL149" i="39" l="1"/>
  <c r="BK174" i="39"/>
  <c r="AH90" i="39"/>
  <c r="AH164" i="39"/>
  <c r="AH121" i="39"/>
  <c r="S130" i="32"/>
  <c r="P130" i="32"/>
  <c r="C52" i="32"/>
  <c r="C134" i="4"/>
  <c r="CO65" i="5"/>
  <c r="CO67" i="5" s="1"/>
  <c r="K130" i="32"/>
  <c r="E130" i="32"/>
  <c r="U130" i="32"/>
  <c r="O130" i="32"/>
  <c r="Z130" i="32"/>
  <c r="H130" i="32"/>
  <c r="J130" i="32"/>
  <c r="Q130" i="32"/>
  <c r="N130" i="32"/>
  <c r="I130" i="32"/>
  <c r="T130" i="32"/>
  <c r="G130" i="32"/>
  <c r="W130" i="32"/>
  <c r="F130" i="32"/>
  <c r="R130" i="32"/>
  <c r="X130" i="32"/>
  <c r="Y130" i="32"/>
  <c r="M130" i="32"/>
  <c r="V130" i="32"/>
  <c r="C58" i="32"/>
  <c r="CN61" i="5"/>
  <c r="I60" i="33"/>
  <c r="X60" i="33"/>
  <c r="Q60" i="33"/>
  <c r="L60" i="33"/>
  <c r="Z60" i="33"/>
  <c r="O60" i="33"/>
  <c r="E60" i="33"/>
  <c r="P60" i="33"/>
  <c r="G60" i="33"/>
  <c r="N60" i="33"/>
  <c r="R60" i="33"/>
  <c r="T60" i="33"/>
  <c r="V60" i="33"/>
  <c r="K60" i="33"/>
  <c r="H60" i="33"/>
  <c r="J60" i="33"/>
  <c r="S60" i="33"/>
  <c r="C60" i="5"/>
  <c r="M60" i="33"/>
  <c r="W60" i="33"/>
  <c r="F60" i="33"/>
  <c r="U60" i="33"/>
  <c r="Y60" i="33"/>
  <c r="C58" i="33"/>
  <c r="C63" i="33"/>
  <c r="C136" i="5"/>
  <c r="X136" i="33"/>
  <c r="U136" i="33"/>
  <c r="I136" i="33"/>
  <c r="F136" i="33"/>
  <c r="T136" i="33"/>
  <c r="N136" i="33"/>
  <c r="Q136" i="33"/>
  <c r="Y136" i="33"/>
  <c r="E136" i="33"/>
  <c r="Z136" i="33"/>
  <c r="J136" i="33"/>
  <c r="S136" i="33"/>
  <c r="W136" i="33"/>
  <c r="V136" i="33"/>
  <c r="P136" i="33"/>
  <c r="H136" i="33"/>
  <c r="M136" i="33"/>
  <c r="L136" i="33"/>
  <c r="K136" i="33"/>
  <c r="O136" i="33"/>
  <c r="R136" i="33"/>
  <c r="G136" i="33"/>
  <c r="AO154" i="5"/>
  <c r="AO82" i="5"/>
  <c r="L83" i="5"/>
  <c r="BL80" i="39" l="1"/>
  <c r="BL152" i="39"/>
  <c r="AI161" i="39"/>
  <c r="AI165" i="39" s="1"/>
  <c r="AH183" i="39"/>
  <c r="AH182" i="39" s="1"/>
  <c r="AH88" i="39"/>
  <c r="AH107" i="39"/>
  <c r="C130" i="32"/>
  <c r="CN135" i="5"/>
  <c r="CN72" i="5"/>
  <c r="CN62" i="5"/>
  <c r="Z61" i="33"/>
  <c r="Z62" i="33" s="1"/>
  <c r="I61" i="33"/>
  <c r="I62" i="33" s="1"/>
  <c r="T61" i="33"/>
  <c r="T62" i="33" s="1"/>
  <c r="G61" i="33"/>
  <c r="G62" i="33" s="1"/>
  <c r="M61" i="33"/>
  <c r="M62" i="33" s="1"/>
  <c r="R61" i="33"/>
  <c r="R62" i="33" s="1"/>
  <c r="W61" i="33"/>
  <c r="W62" i="33" s="1"/>
  <c r="S61" i="33"/>
  <c r="S62" i="33" s="1"/>
  <c r="O61" i="33"/>
  <c r="O62" i="33" s="1"/>
  <c r="P61" i="33"/>
  <c r="P62" i="33" s="1"/>
  <c r="U61" i="33"/>
  <c r="U62" i="33" s="1"/>
  <c r="E61" i="33"/>
  <c r="K61" i="33"/>
  <c r="K62" i="33" s="1"/>
  <c r="F61" i="33"/>
  <c r="F62" i="33" s="1"/>
  <c r="J61" i="33"/>
  <c r="J62" i="33" s="1"/>
  <c r="L61" i="33"/>
  <c r="L62" i="33" s="1"/>
  <c r="C61" i="5"/>
  <c r="X61" i="33"/>
  <c r="X62" i="33" s="1"/>
  <c r="N61" i="33"/>
  <c r="N62" i="33" s="1"/>
  <c r="Q61" i="33"/>
  <c r="Q62" i="33" s="1"/>
  <c r="Y61" i="33"/>
  <c r="Y62" i="33" s="1"/>
  <c r="V61" i="33"/>
  <c r="V62" i="33" s="1"/>
  <c r="H61" i="33"/>
  <c r="H62" i="33" s="1"/>
  <c r="C60" i="33"/>
  <c r="C136" i="33"/>
  <c r="AP151" i="5"/>
  <c r="L100" i="5"/>
  <c r="BM149" i="39" l="1"/>
  <c r="BL174" i="39"/>
  <c r="AH185" i="39"/>
  <c r="AH184" i="39" s="1"/>
  <c r="AH187" i="39" s="1"/>
  <c r="AH117" i="39" s="1"/>
  <c r="AH92" i="39"/>
  <c r="AH94" i="39" s="1"/>
  <c r="AH95" i="39" s="1"/>
  <c r="AH118" i="39"/>
  <c r="AH116" i="39"/>
  <c r="AH108" i="39"/>
  <c r="AH109" i="39"/>
  <c r="AH110" i="39" s="1"/>
  <c r="AI63" i="39"/>
  <c r="AI64" i="39" s="1"/>
  <c r="AI135" i="39"/>
  <c r="AI136" i="39" s="1"/>
  <c r="AI91" i="39"/>
  <c r="E62" i="33"/>
  <c r="C61" i="33"/>
  <c r="R72" i="33"/>
  <c r="X72" i="33"/>
  <c r="M72" i="33"/>
  <c r="H72" i="33"/>
  <c r="U72" i="33"/>
  <c r="Z72" i="33"/>
  <c r="G72" i="33"/>
  <c r="P72" i="33"/>
  <c r="W72" i="33"/>
  <c r="V72" i="33"/>
  <c r="I72" i="33"/>
  <c r="T72" i="33"/>
  <c r="N72" i="33"/>
  <c r="Y72" i="33"/>
  <c r="K72" i="33"/>
  <c r="C72" i="5"/>
  <c r="J72" i="33"/>
  <c r="E72" i="33"/>
  <c r="L72" i="33"/>
  <c r="S72" i="33"/>
  <c r="Q72" i="33"/>
  <c r="O72" i="33"/>
  <c r="F72" i="33"/>
  <c r="G135" i="33"/>
  <c r="O135" i="33"/>
  <c r="I135" i="33"/>
  <c r="W135" i="33"/>
  <c r="V135" i="33"/>
  <c r="K135" i="33"/>
  <c r="Q135" i="33"/>
  <c r="T135" i="33"/>
  <c r="M135" i="33"/>
  <c r="Z135" i="33"/>
  <c r="F135" i="33"/>
  <c r="U135" i="33"/>
  <c r="E135" i="33"/>
  <c r="R135" i="33"/>
  <c r="L135" i="33"/>
  <c r="C135" i="5"/>
  <c r="J135" i="33"/>
  <c r="N135" i="33"/>
  <c r="H135" i="33"/>
  <c r="P135" i="33"/>
  <c r="Y135" i="33"/>
  <c r="X135" i="33"/>
  <c r="S135" i="33"/>
  <c r="AP154" i="5"/>
  <c r="AP82" i="5"/>
  <c r="BM152" i="39" l="1"/>
  <c r="BM80" i="39"/>
  <c r="AI144" i="39"/>
  <c r="AI145" i="39" s="1"/>
  <c r="AI137" i="39" s="1"/>
  <c r="AI138" i="39" s="1"/>
  <c r="AI139" i="39" s="1" a="1"/>
  <c r="AI139" i="39" s="1"/>
  <c r="AI65" i="39" s="1"/>
  <c r="AI93" i="39"/>
  <c r="AH171" i="39"/>
  <c r="AH170" i="39" s="1"/>
  <c r="C72" i="33"/>
  <c r="C135" i="33"/>
  <c r="AQ151" i="5"/>
  <c r="BN149" i="39" l="1"/>
  <c r="BM174" i="39"/>
  <c r="AI78" i="39"/>
  <c r="AI66" i="39"/>
  <c r="AH177" i="39"/>
  <c r="AH115" i="39"/>
  <c r="AI146" i="39"/>
  <c r="AJ143" i="39" s="1"/>
  <c r="AQ154" i="5"/>
  <c r="AQ82" i="5"/>
  <c r="L96" i="5"/>
  <c r="BN152" i="39" l="1"/>
  <c r="BN80" i="39"/>
  <c r="AH190" i="39"/>
  <c r="AH189" i="39"/>
  <c r="AI122" i="39"/>
  <c r="AI81" i="39"/>
  <c r="AI120" i="39"/>
  <c r="AR151" i="5"/>
  <c r="BO149" i="39" l="1"/>
  <c r="BN174" i="39"/>
  <c r="AI163" i="39"/>
  <c r="AI98" i="39"/>
  <c r="AI99" i="39" s="1"/>
  <c r="AR154" i="5"/>
  <c r="AR82" i="5"/>
  <c r="M65" i="5"/>
  <c r="M138" i="5"/>
  <c r="BO80" i="39" l="1"/>
  <c r="BO152" i="39"/>
  <c r="AI121" i="39"/>
  <c r="AI90" i="39"/>
  <c r="AI164" i="39"/>
  <c r="AS151" i="5"/>
  <c r="M147" i="5"/>
  <c r="M146" i="5"/>
  <c r="BO174" i="39" l="1"/>
  <c r="BP149" i="39"/>
  <c r="AJ161" i="39"/>
  <c r="AJ165" i="39" s="1"/>
  <c r="AI183" i="39"/>
  <c r="AI182" i="39" s="1"/>
  <c r="AI88" i="39"/>
  <c r="AI107" i="39"/>
  <c r="AS154" i="5"/>
  <c r="AS82" i="5"/>
  <c r="M139" i="5"/>
  <c r="BP152" i="39" l="1"/>
  <c r="BP80" i="39"/>
  <c r="AI108" i="39"/>
  <c r="AI109" i="39"/>
  <c r="AI110" i="39" s="1"/>
  <c r="AI118" i="39"/>
  <c r="AI92" i="39"/>
  <c r="AI94" i="39" s="1"/>
  <c r="AI95" i="39" s="1"/>
  <c r="AI185" i="39"/>
  <c r="AI184" i="39" s="1"/>
  <c r="AI187" i="39" s="1"/>
  <c r="AI117" i="39" s="1"/>
  <c r="AJ135" i="39"/>
  <c r="AJ136" i="39" s="1"/>
  <c r="AJ63" i="39"/>
  <c r="AJ64" i="39" s="1"/>
  <c r="AJ91" i="39"/>
  <c r="AT151" i="5"/>
  <c r="M140" i="5"/>
  <c r="BQ149" i="39" l="1"/>
  <c r="BP174" i="39"/>
  <c r="AJ93" i="39"/>
  <c r="AI171" i="39"/>
  <c r="AI170" i="39" s="1"/>
  <c r="AI116" i="39"/>
  <c r="AJ144" i="39"/>
  <c r="AT82" i="5"/>
  <c r="AT154" i="5"/>
  <c r="M141" i="5"/>
  <c r="BQ152" i="39" l="1"/>
  <c r="BQ80" i="39"/>
  <c r="AJ145" i="39"/>
  <c r="AJ137" i="39" s="1"/>
  <c r="AJ138" i="39" s="1"/>
  <c r="AJ139" i="39" s="1" a="1"/>
  <c r="AJ139" i="39" s="1"/>
  <c r="AJ65" i="39" s="1"/>
  <c r="AI115" i="39"/>
  <c r="AI177" i="39"/>
  <c r="AU151" i="5"/>
  <c r="M66" i="5"/>
  <c r="BR149" i="39" l="1"/>
  <c r="BQ174" i="39"/>
  <c r="AI189" i="39"/>
  <c r="AI190" i="39"/>
  <c r="AJ78" i="39"/>
  <c r="AJ66" i="39"/>
  <c r="AJ146" i="39"/>
  <c r="AK143" i="39" s="1"/>
  <c r="AU154" i="5"/>
  <c r="AU82" i="5"/>
  <c r="M80" i="5"/>
  <c r="M67" i="5"/>
  <c r="BR152" i="39" l="1"/>
  <c r="BR80" i="39"/>
  <c r="AJ81" i="39"/>
  <c r="AJ122" i="39"/>
  <c r="AJ120" i="39"/>
  <c r="AV151" i="5"/>
  <c r="M83" i="5"/>
  <c r="BS149" i="39" l="1"/>
  <c r="BR174" i="39"/>
  <c r="AJ163" i="39"/>
  <c r="AJ98" i="39"/>
  <c r="AJ99" i="39" s="1"/>
  <c r="AV154" i="5"/>
  <c r="AV82" i="5"/>
  <c r="M100" i="5"/>
  <c r="BS80" i="39" l="1"/>
  <c r="BS152" i="39"/>
  <c r="AJ121" i="39"/>
  <c r="AJ90" i="39"/>
  <c r="AJ164" i="39"/>
  <c r="AW151" i="5"/>
  <c r="BT149" i="39" l="1"/>
  <c r="BS174" i="39"/>
  <c r="AK161" i="39"/>
  <c r="AK165" i="39" s="1"/>
  <c r="AJ183" i="39"/>
  <c r="AJ182" i="39" s="1"/>
  <c r="AJ88" i="39"/>
  <c r="AJ107" i="39"/>
  <c r="AW82" i="5"/>
  <c r="AW154" i="5"/>
  <c r="BT152" i="39" l="1"/>
  <c r="BT80" i="39"/>
  <c r="AJ118" i="39"/>
  <c r="AJ109" i="39"/>
  <c r="AJ110" i="39" s="1"/>
  <c r="AJ108" i="39"/>
  <c r="AJ92" i="39"/>
  <c r="AJ94" i="39" s="1"/>
  <c r="AJ95" i="39" s="1"/>
  <c r="AJ185" i="39"/>
  <c r="AJ184" i="39" s="1"/>
  <c r="AJ116" i="39" s="1"/>
  <c r="AK91" i="39"/>
  <c r="AK135" i="39"/>
  <c r="AK136" i="39" s="1"/>
  <c r="AK63" i="39"/>
  <c r="AK64" i="39" s="1"/>
  <c r="AX151" i="5"/>
  <c r="M96" i="5"/>
  <c r="BU149" i="39" l="1"/>
  <c r="BT174" i="39"/>
  <c r="AJ187" i="39"/>
  <c r="AJ117" i="39" s="1"/>
  <c r="AJ171" i="39"/>
  <c r="AJ170" i="39" s="1"/>
  <c r="AK93" i="39"/>
  <c r="AK144" i="39"/>
  <c r="AK145" i="39" s="1"/>
  <c r="AK137" i="39" s="1"/>
  <c r="AK138" i="39" s="1"/>
  <c r="AK139" i="39" s="1" a="1"/>
  <c r="AK139" i="39" s="1"/>
  <c r="AK65" i="39" s="1"/>
  <c r="AX154" i="5"/>
  <c r="AX82" i="5"/>
  <c r="BU80" i="39" l="1"/>
  <c r="BU152" i="39"/>
  <c r="AK78" i="39"/>
  <c r="AK66" i="39"/>
  <c r="AK146" i="39"/>
  <c r="AL143" i="39" s="1"/>
  <c r="AJ177" i="39"/>
  <c r="AJ115" i="39"/>
  <c r="AY151" i="5"/>
  <c r="N138" i="5"/>
  <c r="N65" i="5"/>
  <c r="BV149" i="39" l="1"/>
  <c r="BU174" i="39"/>
  <c r="AJ190" i="39"/>
  <c r="AJ189" i="39"/>
  <c r="AK81" i="39"/>
  <c r="AK122" i="39"/>
  <c r="AK120" i="39"/>
  <c r="AY154" i="5"/>
  <c r="AY82" i="5"/>
  <c r="N147" i="5"/>
  <c r="N146" i="5"/>
  <c r="BV80" i="39" l="1"/>
  <c r="BV152" i="39"/>
  <c r="AK98" i="39"/>
  <c r="AK99" i="39" s="1"/>
  <c r="AK163" i="39"/>
  <c r="AZ151" i="5"/>
  <c r="N139" i="5"/>
  <c r="BV174" i="39" l="1"/>
  <c r="BW149" i="39"/>
  <c r="AK121" i="39"/>
  <c r="AK90" i="39"/>
  <c r="AK164" i="39"/>
  <c r="AZ154" i="5"/>
  <c r="AZ82" i="5"/>
  <c r="N140" i="5"/>
  <c r="BW152" i="39" l="1"/>
  <c r="BW80" i="39"/>
  <c r="AK183" i="39"/>
  <c r="AK182" i="39" s="1"/>
  <c r="AL161" i="39"/>
  <c r="AL165" i="39" s="1"/>
  <c r="AK88" i="39"/>
  <c r="AK107" i="39"/>
  <c r="BA151" i="5"/>
  <c r="N141" i="5"/>
  <c r="BX149" i="39" l="1"/>
  <c r="BW174" i="39"/>
  <c r="AK185" i="39"/>
  <c r="AK184" i="39" s="1"/>
  <c r="AK116" i="39" s="1"/>
  <c r="AK92" i="39"/>
  <c r="AK94" i="39" s="1"/>
  <c r="AK95" i="39" s="1"/>
  <c r="AL135" i="39"/>
  <c r="AL136" i="39" s="1"/>
  <c r="AL63" i="39"/>
  <c r="AL64" i="39" s="1"/>
  <c r="AL91" i="39"/>
  <c r="AK109" i="39"/>
  <c r="AK110" i="39" s="1"/>
  <c r="AK108" i="39"/>
  <c r="AK118" i="39"/>
  <c r="BA154" i="5"/>
  <c r="BA82" i="5"/>
  <c r="N66" i="5"/>
  <c r="AK187" i="39" l="1"/>
  <c r="AK117" i="39" s="1"/>
  <c r="BX80" i="39"/>
  <c r="BX152" i="39"/>
  <c r="AL144" i="39"/>
  <c r="AL145" i="39" s="1"/>
  <c r="AL137" i="39" s="1"/>
  <c r="AL138" i="39" s="1"/>
  <c r="AL139" i="39" s="1" a="1"/>
  <c r="AL139" i="39" s="1"/>
  <c r="AL65" i="39" s="1"/>
  <c r="AK171" i="39"/>
  <c r="AK170" i="39" s="1"/>
  <c r="AL93" i="39"/>
  <c r="BB151" i="5"/>
  <c r="N80" i="5"/>
  <c r="N67" i="5"/>
  <c r="BX174" i="39" l="1"/>
  <c r="BY149" i="39"/>
  <c r="AL78" i="39"/>
  <c r="AL66" i="39"/>
  <c r="AL146" i="39"/>
  <c r="AM143" i="39" s="1"/>
  <c r="AK177" i="39"/>
  <c r="AK115" i="39"/>
  <c r="BB154" i="5"/>
  <c r="BB82" i="5"/>
  <c r="N83" i="5"/>
  <c r="BY80" i="39" l="1"/>
  <c r="BY152" i="39"/>
  <c r="AK190" i="39"/>
  <c r="AK189" i="39"/>
  <c r="AL81" i="39"/>
  <c r="AL120" i="39"/>
  <c r="AL122" i="39"/>
  <c r="BC151" i="5"/>
  <c r="N100" i="5"/>
  <c r="BZ149" i="39" l="1"/>
  <c r="BY174" i="39"/>
  <c r="AL163" i="39"/>
  <c r="AL98" i="39"/>
  <c r="AL99" i="39" s="1"/>
  <c r="BC82" i="5"/>
  <c r="BC154" i="5"/>
  <c r="BZ152" i="39" l="1"/>
  <c r="BZ80" i="39"/>
  <c r="AL90" i="39"/>
  <c r="AL164" i="39"/>
  <c r="AL121" i="39"/>
  <c r="BD151" i="5"/>
  <c r="CA149" i="39" l="1"/>
  <c r="BZ174" i="39"/>
  <c r="AM161" i="39"/>
  <c r="AM165" i="39" s="1"/>
  <c r="AL183" i="39"/>
  <c r="AL182" i="39" s="1"/>
  <c r="AL88" i="39"/>
  <c r="AL107" i="39"/>
  <c r="BD82" i="5"/>
  <c r="BD154" i="5"/>
  <c r="N96" i="5"/>
  <c r="CA152" i="39" l="1"/>
  <c r="CA80" i="39"/>
  <c r="AL185" i="39"/>
  <c r="AL184" i="39" s="1"/>
  <c r="AL187" i="39" s="1"/>
  <c r="AL117" i="39" s="1"/>
  <c r="AL92" i="39"/>
  <c r="AL94" i="39" s="1"/>
  <c r="AL95" i="39" s="1"/>
  <c r="AL108" i="39"/>
  <c r="AL109" i="39"/>
  <c r="AL110" i="39" s="1"/>
  <c r="AL118" i="39"/>
  <c r="AM63" i="39"/>
  <c r="AM64" i="39" s="1"/>
  <c r="AM91" i="39"/>
  <c r="AM135" i="39"/>
  <c r="AM136" i="39" s="1"/>
  <c r="BE151" i="5"/>
  <c r="CB149" i="39" l="1"/>
  <c r="CA174" i="39"/>
  <c r="AL116" i="39"/>
  <c r="AM144" i="39"/>
  <c r="AL171" i="39"/>
  <c r="AL170" i="39" s="1"/>
  <c r="AM93" i="39"/>
  <c r="BE82" i="5"/>
  <c r="BE154" i="5"/>
  <c r="O138" i="5"/>
  <c r="O65" i="5"/>
  <c r="CB152" i="39" l="1"/>
  <c r="CB80" i="39"/>
  <c r="AL177" i="39"/>
  <c r="AL115" i="39"/>
  <c r="AM145" i="39"/>
  <c r="AM137" i="39" s="1"/>
  <c r="AM138" i="39" s="1"/>
  <c r="AM139" i="39" s="1" a="1"/>
  <c r="AM139" i="39" s="1"/>
  <c r="AM65" i="39" s="1"/>
  <c r="BF151" i="5"/>
  <c r="O146" i="5"/>
  <c r="O147" i="5"/>
  <c r="CC149" i="39" l="1"/>
  <c r="CB174" i="39"/>
  <c r="AM78" i="39"/>
  <c r="AM66" i="39"/>
  <c r="AL189" i="39"/>
  <c r="AL190" i="39"/>
  <c r="AM146" i="39"/>
  <c r="AN143" i="39" s="1"/>
  <c r="BF154" i="5"/>
  <c r="BF82" i="5"/>
  <c r="O139" i="5"/>
  <c r="CC80" i="39" l="1"/>
  <c r="CC152" i="39"/>
  <c r="AM122" i="39"/>
  <c r="AM120" i="39"/>
  <c r="AM81" i="39"/>
  <c r="BG151" i="5"/>
  <c r="O140" i="5"/>
  <c r="CD149" i="39" l="1"/>
  <c r="CC174" i="39"/>
  <c r="AM98" i="39"/>
  <c r="AM99" i="39" s="1"/>
  <c r="AM163" i="39"/>
  <c r="BG82" i="5"/>
  <c r="BG154" i="5"/>
  <c r="O141" i="5"/>
  <c r="CD152" i="39" l="1"/>
  <c r="CD80" i="39"/>
  <c r="AM164" i="39"/>
  <c r="AM90" i="39"/>
  <c r="AM121" i="39"/>
  <c r="BH151" i="5"/>
  <c r="O66" i="5"/>
  <c r="CE149" i="39" l="1"/>
  <c r="CD174" i="39"/>
  <c r="AM88" i="39"/>
  <c r="AM107" i="39"/>
  <c r="AN161" i="39"/>
  <c r="AN165" i="39" s="1"/>
  <c r="AM183" i="39"/>
  <c r="AM182" i="39" s="1"/>
  <c r="BH82" i="5"/>
  <c r="BH154" i="5"/>
  <c r="O80" i="5"/>
  <c r="O67" i="5"/>
  <c r="CE152" i="39" l="1"/>
  <c r="CE80" i="39"/>
  <c r="AM118" i="39"/>
  <c r="AM108" i="39"/>
  <c r="AM109" i="39"/>
  <c r="AM110" i="39" s="1"/>
  <c r="AN91" i="39"/>
  <c r="AN135" i="39"/>
  <c r="AN136" i="39" s="1"/>
  <c r="AN63" i="39"/>
  <c r="AN64" i="39" s="1"/>
  <c r="AM185" i="39"/>
  <c r="AM184" i="39" s="1"/>
  <c r="AM116" i="39" s="1"/>
  <c r="AM92" i="39"/>
  <c r="AM94" i="39" s="1"/>
  <c r="AM95" i="39" s="1"/>
  <c r="BI151" i="5"/>
  <c r="O83" i="5"/>
  <c r="CE174" i="39" l="1"/>
  <c r="CF149" i="39"/>
  <c r="AM171" i="39"/>
  <c r="AM170" i="39" s="1"/>
  <c r="AN93" i="39"/>
  <c r="AN144" i="39"/>
  <c r="AN145" i="39" s="1"/>
  <c r="AN137" i="39" s="1"/>
  <c r="AN138" i="39" s="1"/>
  <c r="AN139" i="39" s="1" a="1"/>
  <c r="AN139" i="39" s="1"/>
  <c r="AN65" i="39" s="1"/>
  <c r="AM187" i="39"/>
  <c r="AM117" i="39" s="1"/>
  <c r="BI154" i="5"/>
  <c r="BI82" i="5"/>
  <c r="O100" i="5"/>
  <c r="CF152" i="39" l="1"/>
  <c r="CF80" i="39"/>
  <c r="AN78" i="39"/>
  <c r="AN66" i="39"/>
  <c r="AN146" i="39"/>
  <c r="AO143" i="39" s="1"/>
  <c r="AM115" i="39"/>
  <c r="AM177" i="39"/>
  <c r="BJ151" i="5"/>
  <c r="CG149" i="39" l="1"/>
  <c r="CF174" i="39"/>
  <c r="AM190" i="39"/>
  <c r="AM189" i="39"/>
  <c r="AN81" i="39"/>
  <c r="AN120" i="39"/>
  <c r="AN122" i="39"/>
  <c r="BJ154" i="5"/>
  <c r="BJ82" i="5"/>
  <c r="CG80" i="39" l="1"/>
  <c r="CG152" i="39"/>
  <c r="AN163" i="39"/>
  <c r="AN98" i="39"/>
  <c r="AN99" i="39" s="1"/>
  <c r="BK151" i="5"/>
  <c r="O96" i="5"/>
  <c r="CG174" i="39" l="1"/>
  <c r="CH149" i="39"/>
  <c r="AN164" i="39"/>
  <c r="AN90" i="39"/>
  <c r="AN121" i="39"/>
  <c r="BK82" i="5"/>
  <c r="BK154" i="5"/>
  <c r="CH152" i="39" l="1"/>
  <c r="CH80" i="39"/>
  <c r="AN88" i="39"/>
  <c r="AN107" i="39"/>
  <c r="AO161" i="39"/>
  <c r="AO165" i="39" s="1"/>
  <c r="AN183" i="39"/>
  <c r="AN182" i="39" s="1"/>
  <c r="BL151" i="5"/>
  <c r="P65" i="5"/>
  <c r="P138" i="5"/>
  <c r="CI149" i="39" l="1"/>
  <c r="CH174" i="39"/>
  <c r="AN118" i="39"/>
  <c r="AO135" i="39"/>
  <c r="AO136" i="39" s="1"/>
  <c r="AO63" i="39"/>
  <c r="AO64" i="39" s="1"/>
  <c r="AO91" i="39"/>
  <c r="AN108" i="39"/>
  <c r="AN109" i="39"/>
  <c r="AN110" i="39" s="1"/>
  <c r="AN92" i="39"/>
  <c r="AN94" i="39" s="1"/>
  <c r="AN95" i="39" s="1"/>
  <c r="AN185" i="39"/>
  <c r="AN184" i="39" s="1"/>
  <c r="AN116" i="39" s="1"/>
  <c r="BL154" i="5"/>
  <c r="BL82" i="5"/>
  <c r="P147" i="5"/>
  <c r="P139" i="5" s="1"/>
  <c r="P140" i="5" s="1"/>
  <c r="P141" i="5" s="1"/>
  <c r="P66" i="5" s="1"/>
  <c r="P146" i="5"/>
  <c r="CI80" i="39" l="1"/>
  <c r="CI152" i="39"/>
  <c r="AN187" i="39"/>
  <c r="AN117" i="39" s="1"/>
  <c r="AO93" i="39"/>
  <c r="AN171" i="39"/>
  <c r="AN170" i="39" s="1"/>
  <c r="AO144" i="39"/>
  <c r="AO145" i="39" s="1"/>
  <c r="AO137" i="39" s="1"/>
  <c r="AO138" i="39" s="1"/>
  <c r="AO139" i="39" s="1" a="1"/>
  <c r="AO139" i="39" s="1"/>
  <c r="AO65" i="39" s="1"/>
  <c r="BM151" i="5"/>
  <c r="P80" i="5"/>
  <c r="P67" i="5"/>
  <c r="CJ149" i="39" l="1"/>
  <c r="CI174" i="39"/>
  <c r="AO78" i="39"/>
  <c r="AO66" i="39"/>
  <c r="AO146" i="39"/>
  <c r="AP143" i="39" s="1"/>
  <c r="AN115" i="39"/>
  <c r="AN177" i="39"/>
  <c r="BM154" i="5"/>
  <c r="BM82" i="5"/>
  <c r="P83" i="5"/>
  <c r="P100" i="5" s="1"/>
  <c r="CJ80" i="39" l="1"/>
  <c r="CJ152" i="39"/>
  <c r="AN190" i="39"/>
  <c r="AN189" i="39"/>
  <c r="AO122" i="39"/>
  <c r="AO81" i="39"/>
  <c r="AO120" i="39"/>
  <c r="BN151" i="5"/>
  <c r="CJ174" i="39" l="1"/>
  <c r="CK149" i="39"/>
  <c r="AO163" i="39"/>
  <c r="AO98" i="39"/>
  <c r="AO99" i="39" s="1"/>
  <c r="BN82" i="5"/>
  <c r="BN154" i="5"/>
  <c r="CK152" i="39" l="1"/>
  <c r="CK80" i="39"/>
  <c r="AO90" i="39"/>
  <c r="AO164" i="39"/>
  <c r="AO121" i="39"/>
  <c r="BO151" i="5"/>
  <c r="CK174" i="39" l="1"/>
  <c r="CL149" i="39"/>
  <c r="AP161" i="39"/>
  <c r="AP165" i="39" s="1"/>
  <c r="AO183" i="39"/>
  <c r="AO182" i="39" s="1"/>
  <c r="AO88" i="39"/>
  <c r="AO107" i="39"/>
  <c r="BO154" i="5"/>
  <c r="BO82" i="5"/>
  <c r="CL152" i="39" l="1"/>
  <c r="CL80" i="39"/>
  <c r="AO118" i="39"/>
  <c r="AO109" i="39"/>
  <c r="AO110" i="39" s="1"/>
  <c r="AO108" i="39"/>
  <c r="AO185" i="39"/>
  <c r="AO184" i="39" s="1"/>
  <c r="AO187" i="39" s="1"/>
  <c r="AO117" i="39" s="1"/>
  <c r="AO92" i="39"/>
  <c r="AO94" i="39" s="1"/>
  <c r="AO95" i="39" s="1"/>
  <c r="AP135" i="39"/>
  <c r="AP136" i="39" s="1"/>
  <c r="AP144" i="39" s="1"/>
  <c r="AP145" i="39" s="1"/>
  <c r="AP137" i="39" s="1"/>
  <c r="AP138" i="39" s="1"/>
  <c r="AP139" i="39" s="1" a="1"/>
  <c r="AP139" i="39" s="1"/>
  <c r="AP65" i="39" s="1"/>
  <c r="AP78" i="39" s="1"/>
  <c r="AP63" i="39"/>
  <c r="AP64" i="39" s="1"/>
  <c r="AP91" i="39"/>
  <c r="BP151" i="5"/>
  <c r="CM149" i="39" l="1"/>
  <c r="CL174" i="39"/>
  <c r="AP66" i="39"/>
  <c r="AP146" i="39"/>
  <c r="AQ143" i="39" s="1"/>
  <c r="AP93" i="39"/>
  <c r="AO171" i="39"/>
  <c r="AO170" i="39" s="1"/>
  <c r="AO116" i="39"/>
  <c r="AP122" i="39"/>
  <c r="AP120" i="39"/>
  <c r="AP81" i="39"/>
  <c r="BP154" i="5"/>
  <c r="BP82" i="5"/>
  <c r="Q83" i="5"/>
  <c r="CM152" i="39" l="1"/>
  <c r="CM80" i="39"/>
  <c r="AO115" i="39"/>
  <c r="AO177" i="39"/>
  <c r="AP163" i="39"/>
  <c r="AP98" i="39"/>
  <c r="BQ151" i="5"/>
  <c r="Q100" i="5"/>
  <c r="CN149" i="39" l="1"/>
  <c r="CM174" i="39"/>
  <c r="AO189" i="39"/>
  <c r="AO190" i="39"/>
  <c r="AP99" i="39"/>
  <c r="AP90" i="39"/>
  <c r="AP121" i="39"/>
  <c r="AP164" i="39"/>
  <c r="BQ82" i="5"/>
  <c r="BQ154" i="5"/>
  <c r="Y145" i="40" l="1" a="1"/>
  <c r="Y145" i="40" s="1"/>
  <c r="G145" i="40" a="1"/>
  <c r="G145" i="40" s="1"/>
  <c r="L145" i="40" a="1"/>
  <c r="L145" i="40" s="1"/>
  <c r="W145" i="40" a="1"/>
  <c r="W145" i="40" s="1"/>
  <c r="CN80" i="39"/>
  <c r="O145" i="40" a="1"/>
  <c r="O145" i="40" s="1"/>
  <c r="N145" i="40" a="1"/>
  <c r="N145" i="40" s="1"/>
  <c r="CN152" i="39"/>
  <c r="K145" i="40" a="1"/>
  <c r="K145" i="40" s="1"/>
  <c r="S145" i="40" a="1"/>
  <c r="S145" i="40" s="1"/>
  <c r="J145" i="40" a="1"/>
  <c r="J145" i="40" s="1"/>
  <c r="U145" i="40" a="1"/>
  <c r="U145" i="40" s="1"/>
  <c r="H145" i="40" a="1"/>
  <c r="H145" i="40" s="1"/>
  <c r="T145" i="40" a="1"/>
  <c r="T145" i="40" s="1"/>
  <c r="M145" i="40" a="1"/>
  <c r="M145" i="40" s="1"/>
  <c r="I145" i="40" a="1"/>
  <c r="I145" i="40" s="1"/>
  <c r="Z145" i="40" a="1"/>
  <c r="Z145" i="40" s="1"/>
  <c r="F145" i="40" a="1"/>
  <c r="F145" i="40" s="1"/>
  <c r="X145" i="40" a="1"/>
  <c r="X145" i="40" s="1"/>
  <c r="P145" i="40" a="1"/>
  <c r="P145" i="40" s="1"/>
  <c r="E145" i="40" a="1"/>
  <c r="E145" i="40" s="1"/>
  <c r="R145" i="40" a="1"/>
  <c r="R145" i="40" s="1"/>
  <c r="Q145" i="40" a="1"/>
  <c r="Q145" i="40" s="1"/>
  <c r="V145" i="40" a="1"/>
  <c r="V145" i="40" s="1"/>
  <c r="AP88" i="39"/>
  <c r="AP107" i="39"/>
  <c r="AP183" i="39"/>
  <c r="AP182" i="39" s="1"/>
  <c r="AQ161" i="39"/>
  <c r="BR151" i="5"/>
  <c r="X148" i="40" l="1" a="1"/>
  <c r="X148" i="40" s="1"/>
  <c r="Y148" i="40" a="1"/>
  <c r="Y148" i="40" s="1"/>
  <c r="M148" i="40" a="1"/>
  <c r="M148" i="40" s="1"/>
  <c r="H148" i="40" a="1"/>
  <c r="H148" i="40" s="1"/>
  <c r="CN174" i="39"/>
  <c r="V148" i="40" a="1"/>
  <c r="V148" i="40" s="1"/>
  <c r="W148" i="40" a="1"/>
  <c r="W148" i="40" s="1"/>
  <c r="F148" i="40" a="1"/>
  <c r="F148" i="40" s="1"/>
  <c r="Q148" i="40" a="1"/>
  <c r="Q148" i="40" s="1"/>
  <c r="N148" i="40" a="1"/>
  <c r="N148" i="40" s="1"/>
  <c r="R148" i="40" a="1"/>
  <c r="R148" i="40" s="1"/>
  <c r="U148" i="40" a="1"/>
  <c r="U148" i="40" s="1"/>
  <c r="E148" i="40" a="1"/>
  <c r="E148" i="40" s="1"/>
  <c r="O148" i="40" a="1"/>
  <c r="O148" i="40" s="1"/>
  <c r="I148" i="40" a="1"/>
  <c r="I148" i="40" s="1"/>
  <c r="Z148" i="40" a="1"/>
  <c r="Z148" i="40" s="1"/>
  <c r="K148" i="40" a="1"/>
  <c r="K148" i="40" s="1"/>
  <c r="P148" i="40" a="1"/>
  <c r="P148" i="40" s="1"/>
  <c r="S148" i="40" a="1"/>
  <c r="S148" i="40" s="1"/>
  <c r="J148" i="40" a="1"/>
  <c r="J148" i="40" s="1"/>
  <c r="T148" i="40" a="1"/>
  <c r="T148" i="40" s="1"/>
  <c r="G148" i="40" a="1"/>
  <c r="G148" i="40" s="1"/>
  <c r="L148" i="40" a="1"/>
  <c r="L148" i="40" s="1"/>
  <c r="M76" i="40" a="1"/>
  <c r="M76" i="40" s="1"/>
  <c r="T76" i="40" a="1"/>
  <c r="T76" i="40" s="1"/>
  <c r="O76" i="40" a="1"/>
  <c r="O76" i="40" s="1"/>
  <c r="P76" i="40" a="1"/>
  <c r="P76" i="40" s="1"/>
  <c r="X76" i="40" a="1"/>
  <c r="X76" i="40" s="1"/>
  <c r="W76" i="40" a="1"/>
  <c r="W76" i="40" s="1"/>
  <c r="G76" i="40" a="1"/>
  <c r="G76" i="40" s="1"/>
  <c r="L76" i="40" a="1"/>
  <c r="L76" i="40" s="1"/>
  <c r="N76" i="40" a="1"/>
  <c r="N76" i="40" s="1"/>
  <c r="S76" i="40" a="1"/>
  <c r="S76" i="40" s="1"/>
  <c r="E76" i="40" a="1"/>
  <c r="E76" i="40" s="1"/>
  <c r="Q76" i="40" a="1"/>
  <c r="Q76" i="40" s="1"/>
  <c r="U76" i="40" a="1"/>
  <c r="U76" i="40" s="1"/>
  <c r="J76" i="40" a="1"/>
  <c r="J76" i="40" s="1"/>
  <c r="V76" i="40" a="1"/>
  <c r="V76" i="40" s="1"/>
  <c r="I76" i="40" a="1"/>
  <c r="I76" i="40" s="1"/>
  <c r="C80" i="39"/>
  <c r="F76" i="40" a="1"/>
  <c r="F76" i="40" s="1"/>
  <c r="K76" i="40" a="1"/>
  <c r="K76" i="40" s="1"/>
  <c r="Y76" i="40" a="1"/>
  <c r="Y76" i="40" s="1"/>
  <c r="H76" i="40" a="1"/>
  <c r="H76" i="40" s="1"/>
  <c r="R76" i="40" a="1"/>
  <c r="R76" i="40" s="1"/>
  <c r="Z76" i="40" a="1"/>
  <c r="Z76" i="40" s="1"/>
  <c r="AP118" i="39"/>
  <c r="AQ165" i="39"/>
  <c r="AP108" i="39"/>
  <c r="AP109" i="39"/>
  <c r="AP110" i="39" s="1"/>
  <c r="AP185" i="39"/>
  <c r="AP184" i="39" s="1"/>
  <c r="AP187" i="39" s="1"/>
  <c r="AP117" i="39" s="1"/>
  <c r="AP92" i="39"/>
  <c r="AP94" i="39" s="1"/>
  <c r="AP95" i="39" s="1"/>
  <c r="BR154" i="5"/>
  <c r="BR82" i="5"/>
  <c r="L170" i="40" l="1" a="1"/>
  <c r="L170" i="40" s="1"/>
  <c r="M170" i="40" a="1"/>
  <c r="M170" i="40" s="1"/>
  <c r="J170" i="40" a="1"/>
  <c r="J170" i="40" s="1"/>
  <c r="X170" i="40" a="1"/>
  <c r="X170" i="40" s="1"/>
  <c r="S170" i="40" a="1"/>
  <c r="S170" i="40" s="1"/>
  <c r="H170" i="40" a="1"/>
  <c r="H170" i="40" s="1"/>
  <c r="O170" i="40" a="1"/>
  <c r="O170" i="40" s="1"/>
  <c r="N170" i="40" a="1"/>
  <c r="N170" i="40" s="1"/>
  <c r="I170" i="40" a="1"/>
  <c r="I170" i="40" s="1"/>
  <c r="Z170" i="40" a="1"/>
  <c r="Z170" i="40" s="1"/>
  <c r="R170" i="40" a="1"/>
  <c r="R170" i="40" s="1"/>
  <c r="P170" i="40" a="1"/>
  <c r="P170" i="40" s="1"/>
  <c r="G170" i="40" a="1"/>
  <c r="G170" i="40" s="1"/>
  <c r="T170" i="40" a="1"/>
  <c r="T170" i="40" s="1"/>
  <c r="W170" i="40" a="1"/>
  <c r="W170" i="40" s="1"/>
  <c r="F170" i="40" a="1"/>
  <c r="F170" i="40" s="1"/>
  <c r="K170" i="40" a="1"/>
  <c r="K170" i="40" s="1"/>
  <c r="Y170" i="40" a="1"/>
  <c r="Y170" i="40" s="1"/>
  <c r="V170" i="40" a="1"/>
  <c r="V170" i="40" s="1"/>
  <c r="Q170" i="40" a="1"/>
  <c r="Q170" i="40" s="1"/>
  <c r="E170" i="40" a="1"/>
  <c r="E170" i="40" s="1"/>
  <c r="U170" i="40" a="1"/>
  <c r="U170" i="40" s="1"/>
  <c r="C76" i="40"/>
  <c r="AQ93" i="39"/>
  <c r="AP171" i="39"/>
  <c r="AP170" i="39" s="1"/>
  <c r="AP116" i="39"/>
  <c r="AQ135" i="39"/>
  <c r="AQ136" i="39" s="1"/>
  <c r="AQ144" i="39" s="1"/>
  <c r="AQ91" i="39"/>
  <c r="AQ63" i="39"/>
  <c r="AQ64" i="39" s="1"/>
  <c r="BS151" i="5"/>
  <c r="AQ145" i="39" l="1"/>
  <c r="AQ137" i="39" s="1"/>
  <c r="AQ138" i="39" s="1"/>
  <c r="AQ139" i="39" s="1" a="1"/>
  <c r="AQ139" i="39" s="1"/>
  <c r="AQ65" i="39" s="1"/>
  <c r="AQ78" i="39" s="1"/>
  <c r="AP177" i="39"/>
  <c r="AP115" i="39"/>
  <c r="BS82" i="5"/>
  <c r="BS154" i="5"/>
  <c r="AQ146" i="39" l="1"/>
  <c r="AR143" i="39" s="1"/>
  <c r="AP190" i="39"/>
  <c r="AP189" i="39"/>
  <c r="AQ122" i="39"/>
  <c r="AQ120" i="39"/>
  <c r="AQ81" i="39"/>
  <c r="AQ66" i="39"/>
  <c r="BT151" i="5"/>
  <c r="R83" i="5"/>
  <c r="AQ163" i="39" l="1"/>
  <c r="AQ98" i="39"/>
  <c r="BT154" i="5"/>
  <c r="BT82" i="5"/>
  <c r="R100" i="5"/>
  <c r="AQ99" i="39" l="1"/>
  <c r="AQ90" i="39"/>
  <c r="AQ121" i="39"/>
  <c r="AQ164" i="39"/>
  <c r="BU151" i="5"/>
  <c r="AQ88" i="39" l="1"/>
  <c r="AQ107" i="39"/>
  <c r="AQ183" i="39"/>
  <c r="AQ182" i="39" s="1"/>
  <c r="AR161" i="39"/>
  <c r="BU82" i="5"/>
  <c r="BU154" i="5"/>
  <c r="AQ109" i="39" l="1"/>
  <c r="AQ110" i="39" s="1"/>
  <c r="AQ108" i="39"/>
  <c r="AR165" i="39"/>
  <c r="AQ118" i="39"/>
  <c r="AQ185" i="39"/>
  <c r="AQ184" i="39" s="1"/>
  <c r="AQ116" i="39" s="1"/>
  <c r="AQ92" i="39"/>
  <c r="AQ94" i="39" s="1"/>
  <c r="AQ95" i="39" s="1"/>
  <c r="BV151" i="5"/>
  <c r="AR135" i="39" l="1"/>
  <c r="AR136" i="39" s="1"/>
  <c r="AR144" i="39" s="1"/>
  <c r="AR63" i="39"/>
  <c r="AR64" i="39" s="1"/>
  <c r="AR91" i="39"/>
  <c r="AQ171" i="39"/>
  <c r="AQ170" i="39" s="1"/>
  <c r="AR93" i="39"/>
  <c r="AQ187" i="39"/>
  <c r="AQ117" i="39" s="1"/>
  <c r="BV154" i="5"/>
  <c r="BV82" i="5"/>
  <c r="AQ177" i="39" l="1"/>
  <c r="AQ115" i="39"/>
  <c r="AR145" i="39"/>
  <c r="AR137" i="39" s="1"/>
  <c r="AR138" i="39" s="1"/>
  <c r="AR139" i="39" s="1" a="1"/>
  <c r="AR139" i="39" s="1"/>
  <c r="AR65" i="39" s="1"/>
  <c r="AR78" i="39" s="1"/>
  <c r="BW151" i="5"/>
  <c r="AR146" i="39" l="1"/>
  <c r="AS143" i="39" s="1"/>
  <c r="AR122" i="39"/>
  <c r="AR120" i="39"/>
  <c r="AR81" i="39"/>
  <c r="AQ190" i="39"/>
  <c r="AQ189" i="39"/>
  <c r="AR66" i="39"/>
  <c r="BW154" i="5"/>
  <c r="BW82" i="5"/>
  <c r="S83" i="5"/>
  <c r="AR98" i="39" l="1"/>
  <c r="AR163" i="39"/>
  <c r="BX151" i="5"/>
  <c r="S100" i="5"/>
  <c r="AR90" i="39" l="1"/>
  <c r="AR121" i="39"/>
  <c r="AR164" i="39"/>
  <c r="AR99" i="39"/>
  <c r="BX154" i="5"/>
  <c r="BX82" i="5"/>
  <c r="AR183" i="39" l="1"/>
  <c r="AR182" i="39" s="1"/>
  <c r="AS161" i="39"/>
  <c r="AR88" i="39"/>
  <c r="AR107" i="39"/>
  <c r="BY151" i="5"/>
  <c r="AR108" i="39" l="1"/>
  <c r="AR109" i="39"/>
  <c r="AR110" i="39" s="1"/>
  <c r="AR185" i="39"/>
  <c r="AR184" i="39" s="1"/>
  <c r="AR187" i="39" s="1"/>
  <c r="AR117" i="39" s="1"/>
  <c r="AR92" i="39"/>
  <c r="AR94" i="39" s="1"/>
  <c r="AR95" i="39" s="1"/>
  <c r="AS165" i="39"/>
  <c r="AR118" i="39"/>
  <c r="BY154" i="5"/>
  <c r="BY82" i="5"/>
  <c r="AR116" i="39" l="1"/>
  <c r="AS93" i="39"/>
  <c r="AR171" i="39"/>
  <c r="AR170" i="39" s="1"/>
  <c r="AS135" i="39"/>
  <c r="AS136" i="39" s="1"/>
  <c r="AS144" i="39" s="1"/>
  <c r="AS91" i="39"/>
  <c r="AS63" i="39"/>
  <c r="AS64" i="39" s="1"/>
  <c r="BZ151" i="5"/>
  <c r="AS145" i="39" l="1"/>
  <c r="AS137" i="39" s="1"/>
  <c r="AS138" i="39" s="1"/>
  <c r="AS139" i="39" s="1" a="1"/>
  <c r="AS139" i="39" s="1"/>
  <c r="AS65" i="39" s="1"/>
  <c r="AS78" i="39" s="1"/>
  <c r="AR177" i="39"/>
  <c r="AR115" i="39"/>
  <c r="BZ154" i="5"/>
  <c r="BZ82" i="5"/>
  <c r="AS146" i="39" l="1"/>
  <c r="AT143" i="39" s="1"/>
  <c r="AS66" i="39"/>
  <c r="AR190" i="39"/>
  <c r="AR189" i="39"/>
  <c r="AS122" i="39"/>
  <c r="AS120" i="39"/>
  <c r="AS81" i="39"/>
  <c r="CA151" i="5"/>
  <c r="T83" i="5"/>
  <c r="AS163" i="39" l="1"/>
  <c r="AS98" i="39"/>
  <c r="CA82" i="5"/>
  <c r="CA154" i="5"/>
  <c r="T100" i="5"/>
  <c r="AS99" i="39" l="1"/>
  <c r="AS90" i="39"/>
  <c r="AS121" i="39"/>
  <c r="AS164" i="39"/>
  <c r="CB151" i="5"/>
  <c r="AS183" i="39" l="1"/>
  <c r="AS182" i="39" s="1"/>
  <c r="AT161" i="39"/>
  <c r="AS119" i="39" a="1"/>
  <c r="AS119" i="39" s="1"/>
  <c r="AS88" i="39"/>
  <c r="AS107" i="39"/>
  <c r="CB154" i="5"/>
  <c r="CB82" i="5"/>
  <c r="AS108" i="39" l="1"/>
  <c r="AS109" i="39"/>
  <c r="AS110" i="39" s="1"/>
  <c r="AS185" i="39"/>
  <c r="AS184" i="39" s="1"/>
  <c r="AS187" i="39" s="1"/>
  <c r="AS117" i="39" s="1"/>
  <c r="AS92" i="39"/>
  <c r="AS94" i="39" s="1"/>
  <c r="AS95" i="39" s="1"/>
  <c r="AT165" i="39"/>
  <c r="AS118" i="39"/>
  <c r="CC151" i="5"/>
  <c r="AS116" i="39" l="1"/>
  <c r="AS171" i="39"/>
  <c r="AS170" i="39" s="1"/>
  <c r="AT93" i="39"/>
  <c r="AT135" i="39"/>
  <c r="AT136" i="39" s="1"/>
  <c r="AT91" i="39"/>
  <c r="AT63" i="39"/>
  <c r="AT64" i="39" s="1"/>
  <c r="CC82" i="5"/>
  <c r="CC154" i="5"/>
  <c r="AT144" i="39" l="1"/>
  <c r="AT145" i="39" s="1"/>
  <c r="AT137" i="39" s="1"/>
  <c r="AT138" i="39" s="1"/>
  <c r="AT139" i="39" s="1" a="1"/>
  <c r="AT139" i="39" s="1"/>
  <c r="AT65" i="39" s="1"/>
  <c r="AT78" i="39" s="1"/>
  <c r="AS177" i="39"/>
  <c r="AS115" i="39"/>
  <c r="CD151" i="5"/>
  <c r="AT122" i="39" l="1"/>
  <c r="AT120" i="39"/>
  <c r="AT81" i="39"/>
  <c r="AS189" i="39"/>
  <c r="AS190" i="39"/>
  <c r="AT146" i="39"/>
  <c r="AU143" i="39" s="1"/>
  <c r="AT66" i="39"/>
  <c r="CD154" i="5"/>
  <c r="CD82" i="5"/>
  <c r="U83" i="5"/>
  <c r="AT163" i="39" l="1"/>
  <c r="AT98" i="39"/>
  <c r="CE151" i="5"/>
  <c r="U100" i="5"/>
  <c r="AT99" i="39" l="1"/>
  <c r="AT90" i="39"/>
  <c r="AT121" i="39"/>
  <c r="AT164" i="39"/>
  <c r="CE154" i="5"/>
  <c r="CE82" i="5"/>
  <c r="AT183" i="39" l="1"/>
  <c r="AT182" i="39" s="1"/>
  <c r="AU161" i="39"/>
  <c r="AT119" i="39" a="1"/>
  <c r="AT119" i="39" s="1"/>
  <c r="AT88" i="39"/>
  <c r="AT107" i="39"/>
  <c r="CF151" i="5"/>
  <c r="AT108" i="39" l="1"/>
  <c r="AT109" i="39"/>
  <c r="AT110" i="39" s="1"/>
  <c r="AT185" i="39"/>
  <c r="AT184" i="39" s="1"/>
  <c r="AT116" i="39" s="1"/>
  <c r="AT92" i="39"/>
  <c r="AT94" i="39" s="1"/>
  <c r="AT95" i="39" s="1"/>
  <c r="AU165" i="39"/>
  <c r="AT118" i="39"/>
  <c r="CF154" i="5"/>
  <c r="CF82" i="5"/>
  <c r="AT187" i="39" l="1"/>
  <c r="AT117" i="39" s="1"/>
  <c r="AT171" i="39"/>
  <c r="AT170" i="39" s="1"/>
  <c r="AU93" i="39"/>
  <c r="AU135" i="39"/>
  <c r="AU136" i="39" s="1"/>
  <c r="AU91" i="39"/>
  <c r="AU63" i="39"/>
  <c r="AU64" i="39" s="1"/>
  <c r="CG151" i="5"/>
  <c r="AU144" i="39" l="1"/>
  <c r="AT177" i="39"/>
  <c r="AT115" i="39"/>
  <c r="CG154" i="5"/>
  <c r="CG82" i="5"/>
  <c r="AT189" i="39" l="1"/>
  <c r="AT190" i="39"/>
  <c r="AU145" i="39"/>
  <c r="AU137" i="39" s="1"/>
  <c r="AU138" i="39" s="1"/>
  <c r="AU139" i="39" s="1" a="1"/>
  <c r="AU139" i="39" s="1"/>
  <c r="AU65" i="39" s="1"/>
  <c r="CH151" i="5"/>
  <c r="V83" i="5"/>
  <c r="AU78" i="39" l="1"/>
  <c r="AU66" i="39"/>
  <c r="AU146" i="39"/>
  <c r="AV143" i="39" s="1"/>
  <c r="CH82" i="5"/>
  <c r="CH154" i="5"/>
  <c r="V100" i="5"/>
  <c r="AU122" i="39" l="1"/>
  <c r="AU81" i="39"/>
  <c r="AU120" i="39"/>
  <c r="CI151" i="5"/>
  <c r="AU163" i="39" l="1"/>
  <c r="AU98" i="39"/>
  <c r="CI154" i="5"/>
  <c r="CI82" i="5"/>
  <c r="AU99" i="39" l="1"/>
  <c r="AU90" i="39"/>
  <c r="AU121" i="39"/>
  <c r="AU164" i="39"/>
  <c r="CJ151" i="5"/>
  <c r="AU183" i="39" l="1"/>
  <c r="AU182" i="39" s="1"/>
  <c r="AV161" i="39"/>
  <c r="AU119" i="39" a="1"/>
  <c r="AU119" i="39" s="1"/>
  <c r="AU88" i="39"/>
  <c r="AU107" i="39"/>
  <c r="CJ154" i="5"/>
  <c r="CJ82" i="5"/>
  <c r="AU108" i="39" l="1"/>
  <c r="AU109" i="39"/>
  <c r="AU110" i="39" s="1"/>
  <c r="AU185" i="39"/>
  <c r="AU184" i="39" s="1"/>
  <c r="AU187" i="39" s="1"/>
  <c r="AU117" i="39" s="1"/>
  <c r="AU92" i="39"/>
  <c r="AU94" i="39" s="1"/>
  <c r="AU95" i="39" s="1"/>
  <c r="AV165" i="39"/>
  <c r="AU118" i="39"/>
  <c r="CK151" i="5"/>
  <c r="AU116" i="39" l="1"/>
  <c r="AV93" i="39"/>
  <c r="AU171" i="39"/>
  <c r="AU170" i="39" s="1"/>
  <c r="AV91" i="39"/>
  <c r="AV63" i="39"/>
  <c r="AV64" i="39" s="1"/>
  <c r="AV135" i="39"/>
  <c r="AV136" i="39" s="1"/>
  <c r="AV144" i="39" s="1"/>
  <c r="CK154" i="5"/>
  <c r="CK82" i="5"/>
  <c r="W83" i="5"/>
  <c r="AV145" i="39" l="1"/>
  <c r="AV137" i="39" s="1"/>
  <c r="AV138" i="39" s="1"/>
  <c r="AV139" i="39" s="1" a="1"/>
  <c r="AV139" i="39" s="1"/>
  <c r="AV65" i="39" s="1"/>
  <c r="AV78" i="39" s="1"/>
  <c r="AU177" i="39"/>
  <c r="AU115" i="39"/>
  <c r="CL151" i="5"/>
  <c r="W100" i="5"/>
  <c r="AV146" i="39" l="1"/>
  <c r="AW143" i="39" s="1"/>
  <c r="AU190" i="39"/>
  <c r="AU189" i="39"/>
  <c r="AV122" i="39"/>
  <c r="AV120" i="39"/>
  <c r="AV81" i="39"/>
  <c r="AV66" i="39"/>
  <c r="CL154" i="5"/>
  <c r="CL82" i="5"/>
  <c r="AV98" i="39" l="1"/>
  <c r="AV163" i="39"/>
  <c r="CM151" i="5"/>
  <c r="AV121" i="39" l="1"/>
  <c r="AV90" i="39"/>
  <c r="AV164" i="39"/>
  <c r="AV99" i="39"/>
  <c r="CM82" i="5"/>
  <c r="CM154" i="5"/>
  <c r="AV88" i="39" l="1"/>
  <c r="AV107" i="39"/>
  <c r="AV183" i="39"/>
  <c r="AV182" i="39" s="1"/>
  <c r="AW161" i="39"/>
  <c r="AV119" i="39" a="1"/>
  <c r="AV119" i="39" s="1"/>
  <c r="CN151" i="5"/>
  <c r="AV118" i="39" l="1"/>
  <c r="AV109" i="39"/>
  <c r="AV110" i="39" s="1"/>
  <c r="AV108" i="39"/>
  <c r="AW165" i="39"/>
  <c r="AV185" i="39"/>
  <c r="AV184" i="39" s="1"/>
  <c r="AV187" i="39" s="1"/>
  <c r="AV117" i="39" s="1"/>
  <c r="AV92" i="39"/>
  <c r="AV94" i="39" s="1"/>
  <c r="AV95" i="39" s="1"/>
  <c r="CN154" i="5"/>
  <c r="CN82" i="5"/>
  <c r="W151" i="33"/>
  <c r="I151" i="33"/>
  <c r="E151" i="33"/>
  <c r="M151" i="33"/>
  <c r="Q151" i="33"/>
  <c r="P151" i="33"/>
  <c r="T151" i="33"/>
  <c r="H151" i="33"/>
  <c r="K151" i="33"/>
  <c r="Y151" i="33"/>
  <c r="N151" i="33"/>
  <c r="R151" i="33"/>
  <c r="O151" i="33"/>
  <c r="V151" i="33"/>
  <c r="S151" i="33"/>
  <c r="X151" i="33"/>
  <c r="U151" i="33"/>
  <c r="F151" i="33"/>
  <c r="J151" i="33"/>
  <c r="Z151" i="33"/>
  <c r="L151" i="33"/>
  <c r="G151" i="33"/>
  <c r="AV116" i="39" l="1"/>
  <c r="AV171" i="39"/>
  <c r="AV170" i="39" s="1"/>
  <c r="AW93" i="39"/>
  <c r="AW135" i="39"/>
  <c r="AW136" i="39" s="1"/>
  <c r="AW144" i="39" s="1"/>
  <c r="AW63" i="39"/>
  <c r="AW64" i="39" s="1"/>
  <c r="AW91" i="39"/>
  <c r="V82" i="33"/>
  <c r="U82" i="33"/>
  <c r="J82" i="33"/>
  <c r="X82" i="33"/>
  <c r="E82" i="33"/>
  <c r="H82" i="33"/>
  <c r="F82" i="33"/>
  <c r="I82" i="33"/>
  <c r="Y82" i="33"/>
  <c r="K82" i="33"/>
  <c r="Z82" i="33"/>
  <c r="T82" i="33"/>
  <c r="C82" i="5"/>
  <c r="M82" i="33"/>
  <c r="W82" i="33"/>
  <c r="Q82" i="33"/>
  <c r="L82" i="33"/>
  <c r="N82" i="33"/>
  <c r="O82" i="33"/>
  <c r="P82" i="33"/>
  <c r="G82" i="33"/>
  <c r="S82" i="33"/>
  <c r="R82" i="33"/>
  <c r="Y154" i="33"/>
  <c r="J154" i="33"/>
  <c r="Z154" i="33"/>
  <c r="L154" i="33"/>
  <c r="E154" i="33"/>
  <c r="U154" i="33"/>
  <c r="Q154" i="33"/>
  <c r="P154" i="33"/>
  <c r="S154" i="33"/>
  <c r="R154" i="33"/>
  <c r="G154" i="33"/>
  <c r="N154" i="33"/>
  <c r="T154" i="33"/>
  <c r="I154" i="33"/>
  <c r="K154" i="33"/>
  <c r="H154" i="33"/>
  <c r="M154" i="33"/>
  <c r="F154" i="33"/>
  <c r="V154" i="33"/>
  <c r="W154" i="33"/>
  <c r="O154" i="33"/>
  <c r="X154" i="33"/>
  <c r="X83" i="5"/>
  <c r="AW145" i="39" l="1"/>
  <c r="AW137" i="39" s="1"/>
  <c r="AW138" i="39" s="1"/>
  <c r="AW139" i="39" s="1" a="1"/>
  <c r="AW139" i="39" s="1"/>
  <c r="AW65" i="39" s="1"/>
  <c r="AW78" i="39" s="1"/>
  <c r="AV177" i="39"/>
  <c r="AV115" i="39"/>
  <c r="C82" i="33"/>
  <c r="X100" i="5"/>
  <c r="AV189" i="39" l="1"/>
  <c r="AV190" i="39"/>
  <c r="AW66" i="39"/>
  <c r="AW146" i="39"/>
  <c r="AX143" i="39" s="1"/>
  <c r="AW122" i="39"/>
  <c r="AW120" i="39"/>
  <c r="AW81" i="39"/>
  <c r="Y83" i="5"/>
  <c r="AW163" i="39" l="1"/>
  <c r="AW98" i="39"/>
  <c r="Y100" i="5"/>
  <c r="AW90" i="39" l="1"/>
  <c r="AW121" i="39"/>
  <c r="AW164" i="39"/>
  <c r="AW99" i="39"/>
  <c r="Y123" i="5"/>
  <c r="AW183" i="39" l="1"/>
  <c r="AW182" i="39" s="1"/>
  <c r="AX161" i="39"/>
  <c r="AW119" i="39" a="1"/>
  <c r="AW119" i="39" s="1"/>
  <c r="AW88" i="39"/>
  <c r="AW107" i="39"/>
  <c r="Y120" i="5"/>
  <c r="AW185" i="39" l="1"/>
  <c r="AW184" i="39" s="1"/>
  <c r="AW116" i="39" s="1"/>
  <c r="AW92" i="39"/>
  <c r="AW94" i="39" s="1"/>
  <c r="AW95" i="39" s="1"/>
  <c r="AW108" i="39"/>
  <c r="AW109" i="39"/>
  <c r="AW110" i="39" s="1"/>
  <c r="AW118" i="39"/>
  <c r="AX165" i="39"/>
  <c r="Z83" i="5"/>
  <c r="AW187" i="39" l="1"/>
  <c r="AW117" i="39" s="1"/>
  <c r="AX135" i="39"/>
  <c r="AX136" i="39" s="1"/>
  <c r="AX91" i="39"/>
  <c r="AX63" i="39"/>
  <c r="AX64" i="39" s="1"/>
  <c r="AW171" i="39"/>
  <c r="AW170" i="39" s="1"/>
  <c r="AX93" i="39"/>
  <c r="Z100" i="5"/>
  <c r="AW177" i="39" l="1"/>
  <c r="AW115" i="39"/>
  <c r="AX144" i="39"/>
  <c r="AX145" i="39" s="1"/>
  <c r="AX137" i="39" s="1"/>
  <c r="AX138" i="39" s="1"/>
  <c r="AX139" i="39" s="1" a="1"/>
  <c r="AX139" i="39" s="1"/>
  <c r="AX65" i="39" s="1"/>
  <c r="AX78" i="39" s="1"/>
  <c r="Z123" i="5"/>
  <c r="AX122" i="39" l="1"/>
  <c r="AX120" i="39"/>
  <c r="AX81" i="39"/>
  <c r="AX146" i="39"/>
  <c r="AY143" i="39" s="1"/>
  <c r="AW189" i="39"/>
  <c r="AW190" i="39"/>
  <c r="AX66" i="39"/>
  <c r="Z120" i="5"/>
  <c r="AX163" i="39" l="1"/>
  <c r="AX98" i="39"/>
  <c r="AA83" i="5"/>
  <c r="AX99" i="39" l="1"/>
  <c r="AX90" i="39"/>
  <c r="AX121" i="39"/>
  <c r="AX164" i="39"/>
  <c r="AA100" i="5"/>
  <c r="AX183" i="39" l="1"/>
  <c r="AX182" i="39" s="1"/>
  <c r="AY161" i="39"/>
  <c r="AX119" i="39" a="1"/>
  <c r="AX119" i="39" s="1"/>
  <c r="AX88" i="39"/>
  <c r="AX107" i="39"/>
  <c r="AA123" i="5"/>
  <c r="AX185" i="39" l="1"/>
  <c r="AX184" i="39" s="1"/>
  <c r="AX92" i="39"/>
  <c r="AX94" i="39" s="1"/>
  <c r="AX95" i="39" s="1"/>
  <c r="AX108" i="39"/>
  <c r="AX109" i="39"/>
  <c r="AX110" i="39" s="1"/>
  <c r="AY165" i="39"/>
  <c r="AX118" i="39"/>
  <c r="AX187" i="39"/>
  <c r="AX117" i="39" s="1"/>
  <c r="AX116" i="39"/>
  <c r="AA120" i="5"/>
  <c r="AX171" i="39" l="1"/>
  <c r="AX170" i="39" s="1"/>
  <c r="AY93" i="39"/>
  <c r="AY135" i="39"/>
  <c r="AY136" i="39" s="1"/>
  <c r="AY144" i="39" s="1"/>
  <c r="AY91" i="39"/>
  <c r="AY63" i="39"/>
  <c r="AY64" i="39" s="1"/>
  <c r="AB83" i="5"/>
  <c r="AY145" i="39" l="1"/>
  <c r="AY137" i="39" s="1"/>
  <c r="AY138" i="39" s="1"/>
  <c r="AY139" i="39" s="1" a="1"/>
  <c r="AY139" i="39" s="1"/>
  <c r="AY65" i="39" s="1"/>
  <c r="AY78" i="39" s="1"/>
  <c r="AX177" i="39"/>
  <c r="AX115" i="39"/>
  <c r="AB100" i="5"/>
  <c r="AY122" i="39" l="1"/>
  <c r="AY120" i="39"/>
  <c r="AY81" i="39"/>
  <c r="AX189" i="39"/>
  <c r="AX190" i="39"/>
  <c r="AY146" i="39"/>
  <c r="AZ143" i="39" s="1"/>
  <c r="AY66" i="39"/>
  <c r="AB123" i="5"/>
  <c r="AY163" i="39" l="1"/>
  <c r="AY98" i="39"/>
  <c r="AB120" i="5"/>
  <c r="AY90" i="39" l="1"/>
  <c r="AY121" i="39"/>
  <c r="AY164" i="39"/>
  <c r="AY99" i="39"/>
  <c r="AC83" i="5"/>
  <c r="AY183" i="39" l="1"/>
  <c r="AY182" i="39" s="1"/>
  <c r="AZ161" i="39"/>
  <c r="AY119" i="39" a="1"/>
  <c r="AY119" i="39" s="1"/>
  <c r="AY88" i="39"/>
  <c r="AY107" i="39"/>
  <c r="AC100" i="5"/>
  <c r="AY108" i="39" l="1"/>
  <c r="AY109" i="39"/>
  <c r="AY110" i="39" s="1"/>
  <c r="AY185" i="39"/>
  <c r="AY184" i="39" s="1"/>
  <c r="AY116" i="39" s="1"/>
  <c r="AY92" i="39"/>
  <c r="AY94" i="39" s="1"/>
  <c r="AY95" i="39" s="1"/>
  <c r="AZ165" i="39"/>
  <c r="AY118" i="39"/>
  <c r="AC123" i="5"/>
  <c r="AY187" i="39" l="1"/>
  <c r="AY117" i="39" s="1"/>
  <c r="AZ135" i="39"/>
  <c r="AZ136" i="39" s="1"/>
  <c r="AZ91" i="39"/>
  <c r="AZ63" i="39"/>
  <c r="AZ64" i="39" s="1"/>
  <c r="AY171" i="39"/>
  <c r="AY170" i="39" s="1"/>
  <c r="AZ93" i="39"/>
  <c r="AC120" i="5"/>
  <c r="AY177" i="39" l="1"/>
  <c r="AY115" i="39"/>
  <c r="AZ144" i="39"/>
  <c r="AD83" i="5"/>
  <c r="AZ145" i="39" l="1"/>
  <c r="AZ137" i="39" s="1"/>
  <c r="AZ138" i="39" s="1"/>
  <c r="AZ139" i="39" s="1" a="1"/>
  <c r="AZ139" i="39" s="1"/>
  <c r="AZ65" i="39" s="1"/>
  <c r="AY190" i="39"/>
  <c r="AY189" i="39"/>
  <c r="AD100" i="5"/>
  <c r="AZ78" i="39" l="1"/>
  <c r="AZ66" i="39"/>
  <c r="AZ146" i="39"/>
  <c r="BA143" i="39" s="1"/>
  <c r="AD123" i="5"/>
  <c r="AD120" i="5"/>
  <c r="AZ122" i="39" l="1"/>
  <c r="AZ120" i="39"/>
  <c r="AZ81" i="39"/>
  <c r="AE83" i="5"/>
  <c r="AZ163" i="39" l="1"/>
  <c r="AZ98" i="39"/>
  <c r="AE100" i="5"/>
  <c r="AZ99" i="39" l="1"/>
  <c r="AZ90" i="39"/>
  <c r="AZ121" i="39"/>
  <c r="AZ164" i="39"/>
  <c r="AE120" i="5"/>
  <c r="AE123" i="5"/>
  <c r="AZ183" i="39" l="1"/>
  <c r="AZ182" i="39" s="1"/>
  <c r="BA161" i="39"/>
  <c r="AZ119" i="39" a="1"/>
  <c r="AZ119" i="39" s="1"/>
  <c r="AZ88" i="39"/>
  <c r="AZ107" i="39"/>
  <c r="AF83" i="5"/>
  <c r="AZ185" i="39" l="1"/>
  <c r="AZ184" i="39" s="1"/>
  <c r="AZ92" i="39"/>
  <c r="AZ94" i="39" s="1"/>
  <c r="AZ95" i="39" s="1"/>
  <c r="AZ108" i="39"/>
  <c r="AZ109" i="39"/>
  <c r="AZ110" i="39" s="1"/>
  <c r="BA165" i="39"/>
  <c r="AZ187" i="39"/>
  <c r="AZ117" i="39" s="1"/>
  <c r="AZ118" i="39"/>
  <c r="AZ116" i="39"/>
  <c r="AF100" i="5"/>
  <c r="BA135" i="39" l="1"/>
  <c r="BA136" i="39" s="1"/>
  <c r="BA144" i="39" s="1"/>
  <c r="BA91" i="39"/>
  <c r="BA63" i="39"/>
  <c r="BA64" i="39" s="1"/>
  <c r="AZ171" i="39"/>
  <c r="AZ170" i="39" s="1"/>
  <c r="BA93" i="39"/>
  <c r="AF123" i="5"/>
  <c r="AF120" i="5"/>
  <c r="AZ177" i="39" l="1"/>
  <c r="AZ115" i="39"/>
  <c r="BA145" i="39"/>
  <c r="BA137" i="39" s="1"/>
  <c r="BA138" i="39" s="1"/>
  <c r="BA139" i="39" s="1" a="1"/>
  <c r="BA139" i="39" s="1"/>
  <c r="BA65" i="39" s="1"/>
  <c r="BA78" i="39" s="1"/>
  <c r="AG83" i="5"/>
  <c r="BA122" i="39" l="1"/>
  <c r="BA120" i="39"/>
  <c r="BA81" i="39"/>
  <c r="BA146" i="39"/>
  <c r="BB143" i="39" s="1"/>
  <c r="BA66" i="39"/>
  <c r="AZ189" i="39"/>
  <c r="AZ190" i="39"/>
  <c r="AG100" i="5"/>
  <c r="BA163" i="39" l="1"/>
  <c r="BA98" i="39"/>
  <c r="AG123" i="5"/>
  <c r="AG120" i="5"/>
  <c r="BA99" i="39" l="1"/>
  <c r="BA90" i="39"/>
  <c r="BA121" i="39"/>
  <c r="BA164" i="39"/>
  <c r="AH83" i="5"/>
  <c r="BA183" i="39" l="1"/>
  <c r="BA182" i="39" s="1"/>
  <c r="BB161" i="39"/>
  <c r="BA119" i="39" a="1"/>
  <c r="BA119" i="39" s="1"/>
  <c r="BA88" i="39"/>
  <c r="BA107" i="39"/>
  <c r="AH100" i="5"/>
  <c r="BA109" i="39" l="1"/>
  <c r="BA110" i="39" s="1"/>
  <c r="BA108" i="39"/>
  <c r="BB165" i="39"/>
  <c r="BA185" i="39"/>
  <c r="BA184" i="39" s="1"/>
  <c r="BA187" i="39" s="1"/>
  <c r="BA117" i="39" s="1"/>
  <c r="BA92" i="39"/>
  <c r="BA94" i="39" s="1"/>
  <c r="BA95" i="39" s="1"/>
  <c r="BA118" i="39"/>
  <c r="AH123" i="5"/>
  <c r="BA116" i="39" l="1"/>
  <c r="BA171" i="39"/>
  <c r="BA170" i="39" s="1"/>
  <c r="BB93" i="39"/>
  <c r="BB135" i="39"/>
  <c r="BB136" i="39" s="1"/>
  <c r="BB91" i="39"/>
  <c r="BB63" i="39"/>
  <c r="BB64" i="39" s="1"/>
  <c r="AH120" i="5"/>
  <c r="BA177" i="39" l="1"/>
  <c r="BA115" i="39"/>
  <c r="BB144" i="39"/>
  <c r="BB145" i="39" s="1"/>
  <c r="BB137" i="39" s="1"/>
  <c r="BB138" i="39" s="1"/>
  <c r="BB139" i="39" s="1" a="1"/>
  <c r="BB139" i="39" s="1"/>
  <c r="BB65" i="39" s="1"/>
  <c r="BB78" i="39" s="1"/>
  <c r="AI83" i="5"/>
  <c r="BB120" i="39" l="1"/>
  <c r="BB122" i="39"/>
  <c r="BB81" i="39"/>
  <c r="BB66" i="39"/>
  <c r="BB146" i="39"/>
  <c r="BC143" i="39" s="1"/>
  <c r="BA189" i="39"/>
  <c r="BA190" i="39"/>
  <c r="AI100" i="5"/>
  <c r="BB163" i="39" l="1"/>
  <c r="BB98" i="39"/>
  <c r="AI123" i="5"/>
  <c r="BB99" i="39" l="1"/>
  <c r="BB90" i="39"/>
  <c r="BB121" i="39"/>
  <c r="BB164" i="39"/>
  <c r="AI120" i="5"/>
  <c r="BB183" i="39" l="1"/>
  <c r="BB182" i="39" s="1"/>
  <c r="BC161" i="39"/>
  <c r="BB119" i="39" a="1"/>
  <c r="BB119" i="39" s="1"/>
  <c r="BB88" i="39"/>
  <c r="BB126" i="39"/>
  <c r="BB107" i="39"/>
  <c r="AJ83" i="5"/>
  <c r="BB108" i="39" l="1"/>
  <c r="BB109" i="39"/>
  <c r="BB110" i="39" s="1"/>
  <c r="BC165" i="39"/>
  <c r="BB185" i="39"/>
  <c r="BB184" i="39" s="1"/>
  <c r="BB187" i="39" s="1"/>
  <c r="BB117" i="39" s="1"/>
  <c r="BB92" i="39"/>
  <c r="BB94" i="39" s="1"/>
  <c r="BB95" i="39" s="1"/>
  <c r="BB118" i="39"/>
  <c r="AJ100" i="5"/>
  <c r="BB116" i="39" l="1"/>
  <c r="BB171" i="39"/>
  <c r="BB170" i="39" s="1"/>
  <c r="BC93" i="39"/>
  <c r="BC91" i="39"/>
  <c r="BC63" i="39"/>
  <c r="BC64" i="39" s="1"/>
  <c r="BC135" i="39"/>
  <c r="BC136" i="39" s="1"/>
  <c r="AJ123" i="5"/>
  <c r="BC144" i="39" l="1"/>
  <c r="BC145" i="39" s="1"/>
  <c r="BC137" i="39" s="1"/>
  <c r="BC138" i="39" s="1"/>
  <c r="BC139" i="39" s="1" a="1"/>
  <c r="BC139" i="39" s="1"/>
  <c r="BC65" i="39" s="1"/>
  <c r="BC78" i="39" s="1"/>
  <c r="BB177" i="39"/>
  <c r="BB115" i="39"/>
  <c r="AJ120" i="5"/>
  <c r="BC122" i="39" l="1"/>
  <c r="BC120" i="39"/>
  <c r="BC81" i="39"/>
  <c r="BB190" i="39"/>
  <c r="BB189" i="39"/>
  <c r="BC66" i="39"/>
  <c r="BC146" i="39"/>
  <c r="BD143" i="39" s="1"/>
  <c r="AK83" i="5"/>
  <c r="BC163" i="39" l="1"/>
  <c r="BC98" i="39"/>
  <c r="AK100" i="5"/>
  <c r="BC99" i="39" l="1"/>
  <c r="BC90" i="39"/>
  <c r="BC121" i="39"/>
  <c r="BC164" i="39"/>
  <c r="AK123" i="5"/>
  <c r="BC183" i="39" l="1"/>
  <c r="BC182" i="39" s="1"/>
  <c r="BD161" i="39"/>
  <c r="BC119" i="39" a="1"/>
  <c r="BC119" i="39" s="1"/>
  <c r="BC88" i="39"/>
  <c r="BC107" i="39"/>
  <c r="AK120" i="5"/>
  <c r="BC108" i="39" l="1"/>
  <c r="BC109" i="39"/>
  <c r="BC110" i="39" s="1"/>
  <c r="BC185" i="39"/>
  <c r="BC184" i="39" s="1"/>
  <c r="BC116" i="39" s="1"/>
  <c r="BC92" i="39"/>
  <c r="BC94" i="39" s="1"/>
  <c r="BC95" i="39" s="1"/>
  <c r="BD165" i="39"/>
  <c r="BC118" i="39"/>
  <c r="AL83" i="5"/>
  <c r="BC187" i="39" l="1"/>
  <c r="BC117" i="39" s="1"/>
  <c r="BC171" i="39"/>
  <c r="BC170" i="39" s="1"/>
  <c r="BD93" i="39"/>
  <c r="BD135" i="39"/>
  <c r="BD136" i="39" s="1"/>
  <c r="BD144" i="39" s="1"/>
  <c r="BD91" i="39"/>
  <c r="BD63" i="39"/>
  <c r="BD64" i="39" s="1"/>
  <c r="AL100" i="5"/>
  <c r="BD145" i="39" l="1"/>
  <c r="BD137" i="39" s="1"/>
  <c r="BD138" i="39" s="1"/>
  <c r="BD139" i="39" s="1" a="1"/>
  <c r="BD139" i="39" s="1"/>
  <c r="BD65" i="39" s="1"/>
  <c r="BD78" i="39" s="1"/>
  <c r="BC177" i="39"/>
  <c r="BC115" i="39"/>
  <c r="AL123" i="5"/>
  <c r="BD122" i="39" l="1"/>
  <c r="BD120" i="39"/>
  <c r="BD81" i="39"/>
  <c r="BC190" i="39"/>
  <c r="BC189" i="39"/>
  <c r="BD146" i="39"/>
  <c r="BE143" i="39" s="1"/>
  <c r="BD66" i="39"/>
  <c r="AL120" i="5"/>
  <c r="BD163" i="39" l="1"/>
  <c r="BD98" i="39"/>
  <c r="AM83" i="5"/>
  <c r="BD99" i="39" l="1"/>
  <c r="BD121" i="39"/>
  <c r="BD90" i="39"/>
  <c r="BD164" i="39"/>
  <c r="AM100" i="5"/>
  <c r="BD183" i="39" l="1"/>
  <c r="BD182" i="39" s="1"/>
  <c r="BE161" i="39"/>
  <c r="BD119" i="39" a="1"/>
  <c r="BD119" i="39" s="1"/>
  <c r="BD88" i="39"/>
  <c r="BD107" i="39"/>
  <c r="AM123" i="5"/>
  <c r="BD185" i="39" l="1"/>
  <c r="BD184" i="39" s="1"/>
  <c r="BD92" i="39"/>
  <c r="BD94" i="39" s="1"/>
  <c r="BD95" i="39" s="1"/>
  <c r="BE165" i="39"/>
  <c r="BD108" i="39"/>
  <c r="BD109" i="39"/>
  <c r="BD110" i="39" s="1"/>
  <c r="BD118" i="39"/>
  <c r="BD187" i="39"/>
  <c r="BD117" i="39" s="1"/>
  <c r="BD116" i="39"/>
  <c r="AM120" i="5"/>
  <c r="BE135" i="39" l="1"/>
  <c r="BE136" i="39" s="1"/>
  <c r="BE144" i="39" s="1"/>
  <c r="BE91" i="39"/>
  <c r="BE63" i="39"/>
  <c r="BE64" i="39" s="1"/>
  <c r="BD171" i="39"/>
  <c r="BD170" i="39" s="1"/>
  <c r="BE93" i="39"/>
  <c r="AN83" i="5"/>
  <c r="BD177" i="39" l="1"/>
  <c r="BD115" i="39"/>
  <c r="BE145" i="39"/>
  <c r="BE137" i="39" s="1"/>
  <c r="BE138" i="39" s="1"/>
  <c r="BE139" i="39" s="1" a="1"/>
  <c r="BE139" i="39" s="1"/>
  <c r="BE65" i="39" s="1"/>
  <c r="BE78" i="39" s="1"/>
  <c r="AN100" i="5"/>
  <c r="BE122" i="39" l="1"/>
  <c r="BE120" i="39"/>
  <c r="BE81" i="39"/>
  <c r="BE146" i="39"/>
  <c r="BF143" i="39" s="1"/>
  <c r="BE66" i="39"/>
  <c r="BD190" i="39"/>
  <c r="BD189" i="39"/>
  <c r="AN123" i="5"/>
  <c r="BE163" i="39" l="1"/>
  <c r="BE98" i="39"/>
  <c r="AN120" i="5"/>
  <c r="BE99" i="39" l="1"/>
  <c r="BE90" i="39"/>
  <c r="BE121" i="39"/>
  <c r="BE164" i="39"/>
  <c r="AO83" i="5"/>
  <c r="BE183" i="39" l="1"/>
  <c r="BE182" i="39" s="1"/>
  <c r="BF161" i="39"/>
  <c r="BE119" i="39" a="1"/>
  <c r="BE119" i="39" s="1"/>
  <c r="BE88" i="39"/>
  <c r="BE107" i="39"/>
  <c r="AO100" i="5"/>
  <c r="BE109" i="39" l="1"/>
  <c r="BE110" i="39" s="1"/>
  <c r="BE108" i="39"/>
  <c r="BE185" i="39"/>
  <c r="BE184" i="39" s="1"/>
  <c r="BE187" i="39" s="1"/>
  <c r="BE117" i="39" s="1"/>
  <c r="BE92" i="39"/>
  <c r="BE94" i="39" s="1"/>
  <c r="BE95" i="39" s="1"/>
  <c r="BF165" i="39"/>
  <c r="BE118" i="39"/>
  <c r="AO123" i="5"/>
  <c r="BE116" i="39" l="1"/>
  <c r="BF93" i="39"/>
  <c r="BE171" i="39"/>
  <c r="BE170" i="39" s="1"/>
  <c r="BF135" i="39"/>
  <c r="BF136" i="39" s="1"/>
  <c r="BF91" i="39"/>
  <c r="BF63" i="39"/>
  <c r="BF64" i="39" s="1"/>
  <c r="AO120" i="5"/>
  <c r="BF144" i="39" l="1"/>
  <c r="BF145" i="39" s="1"/>
  <c r="BF137" i="39" s="1"/>
  <c r="BF138" i="39" s="1"/>
  <c r="BF139" i="39" s="1" a="1"/>
  <c r="BF139" i="39" s="1"/>
  <c r="BF65" i="39" s="1"/>
  <c r="BF78" i="39" s="1"/>
  <c r="BE177" i="39"/>
  <c r="BE115" i="39"/>
  <c r="AP83" i="5"/>
  <c r="BF122" i="39" l="1"/>
  <c r="BF120" i="39"/>
  <c r="BF81" i="39"/>
  <c r="BE189" i="39"/>
  <c r="BE190" i="39"/>
  <c r="BF66" i="39"/>
  <c r="BF146" i="39"/>
  <c r="BG143" i="39" s="1"/>
  <c r="AP100" i="5"/>
  <c r="BF163" i="39" l="1"/>
  <c r="BF98" i="39"/>
  <c r="AP123" i="5"/>
  <c r="BF99" i="39" l="1"/>
  <c r="BF90" i="39"/>
  <c r="BF121" i="39"/>
  <c r="BF164" i="39"/>
  <c r="AP120" i="5"/>
  <c r="BF183" i="39" l="1"/>
  <c r="BF182" i="39" s="1"/>
  <c r="BG161" i="39"/>
  <c r="BF119" i="39" a="1"/>
  <c r="BF119" i="39" s="1"/>
  <c r="BF88" i="39"/>
  <c r="BF107" i="39"/>
  <c r="AQ83" i="5"/>
  <c r="BF185" i="39" l="1"/>
  <c r="BF184" i="39" s="1"/>
  <c r="BF116" i="39" s="1"/>
  <c r="BF92" i="39"/>
  <c r="BF94" i="39" s="1"/>
  <c r="BF95" i="39" s="1"/>
  <c r="BF109" i="39"/>
  <c r="BF110" i="39" s="1"/>
  <c r="BF108" i="39"/>
  <c r="BG165" i="39"/>
  <c r="BF118" i="39"/>
  <c r="AQ100" i="5"/>
  <c r="BF187" i="39" l="1"/>
  <c r="BF117" i="39" s="1"/>
  <c r="BF171" i="39"/>
  <c r="BF170" i="39" s="1"/>
  <c r="BG93" i="39"/>
  <c r="BG135" i="39"/>
  <c r="BG136" i="39" s="1"/>
  <c r="BG91" i="39"/>
  <c r="BG63" i="39"/>
  <c r="BG64" i="39" s="1"/>
  <c r="AQ123" i="5"/>
  <c r="BG144" i="39" l="1"/>
  <c r="BG145" i="39"/>
  <c r="BG137" i="39" s="1"/>
  <c r="BG138" i="39" s="1"/>
  <c r="BG139" i="39" s="1" a="1"/>
  <c r="BG139" i="39" s="1"/>
  <c r="BG65" i="39" s="1"/>
  <c r="BG78" i="39" s="1"/>
  <c r="BF177" i="39"/>
  <c r="BF115" i="39"/>
  <c r="AQ120" i="5"/>
  <c r="BF190" i="39" l="1"/>
  <c r="BF189" i="39"/>
  <c r="BG146" i="39"/>
  <c r="BH143" i="39" s="1"/>
  <c r="BG122" i="39"/>
  <c r="BG120" i="39"/>
  <c r="BG81" i="39"/>
  <c r="BG66" i="39"/>
  <c r="AR83" i="5"/>
  <c r="BG163" i="39" l="1"/>
  <c r="BG98" i="39"/>
  <c r="AR100" i="5"/>
  <c r="BG99" i="39" l="1"/>
  <c r="BG90" i="39"/>
  <c r="BG121" i="39"/>
  <c r="BG164" i="39"/>
  <c r="AR123" i="5"/>
  <c r="BG183" i="39" l="1"/>
  <c r="BG182" i="39" s="1"/>
  <c r="BH161" i="39"/>
  <c r="BG119" i="39" a="1"/>
  <c r="BG119" i="39" s="1"/>
  <c r="BG88" i="39"/>
  <c r="BG107" i="39"/>
  <c r="AR120" i="5"/>
  <c r="BG108" i="39" l="1"/>
  <c r="BG109" i="39"/>
  <c r="BG110" i="39" s="1"/>
  <c r="BG185" i="39"/>
  <c r="BG184" i="39" s="1"/>
  <c r="BG116" i="39" s="1"/>
  <c r="BG92" i="39"/>
  <c r="BG94" i="39" s="1"/>
  <c r="BG95" i="39" s="1"/>
  <c r="BH165" i="39"/>
  <c r="BG118" i="39"/>
  <c r="AS83" i="5"/>
  <c r="BG187" i="39" l="1"/>
  <c r="BG117" i="39" s="1"/>
  <c r="BG171" i="39"/>
  <c r="BG170" i="39" s="1"/>
  <c r="BH93" i="39"/>
  <c r="BH135" i="39"/>
  <c r="BH136" i="39" s="1"/>
  <c r="BH144" i="39" s="1"/>
  <c r="BH63" i="39"/>
  <c r="BH64" i="39" s="1"/>
  <c r="BH91" i="39"/>
  <c r="AS100" i="5"/>
  <c r="BH145" i="39" l="1"/>
  <c r="BH137" i="39" s="1"/>
  <c r="BH138" i="39" s="1"/>
  <c r="BH139" i="39" s="1" a="1"/>
  <c r="BH139" i="39" s="1"/>
  <c r="BH65" i="39" s="1"/>
  <c r="BH78" i="39" s="1"/>
  <c r="BG177" i="39"/>
  <c r="BG115" i="39"/>
  <c r="AS123" i="5"/>
  <c r="BH122" i="39" l="1"/>
  <c r="BH120" i="39"/>
  <c r="BH81" i="39"/>
  <c r="BG190" i="39"/>
  <c r="BG189" i="39"/>
  <c r="BH146" i="39"/>
  <c r="BI143" i="39" s="1"/>
  <c r="BH66" i="39"/>
  <c r="AS120" i="5"/>
  <c r="BH163" i="39" l="1"/>
  <c r="BH98" i="39"/>
  <c r="AT83" i="5"/>
  <c r="BH99" i="39" l="1"/>
  <c r="BH90" i="39"/>
  <c r="BH121" i="39"/>
  <c r="BH164" i="39"/>
  <c r="AT100" i="5"/>
  <c r="BH183" i="39" l="1"/>
  <c r="BH182" i="39" s="1"/>
  <c r="BI161" i="39"/>
  <c r="BH119" i="39" a="1"/>
  <c r="BH119" i="39" s="1"/>
  <c r="BH88" i="39"/>
  <c r="BH107" i="39"/>
  <c r="AT120" i="5"/>
  <c r="BH109" i="39" l="1"/>
  <c r="BH110" i="39" s="1"/>
  <c r="BH108" i="39"/>
  <c r="BH185" i="39"/>
  <c r="BH184" i="39" s="1"/>
  <c r="BH116" i="39" s="1"/>
  <c r="BH92" i="39"/>
  <c r="BH94" i="39" s="1"/>
  <c r="BH95" i="39" s="1"/>
  <c r="BI165" i="39"/>
  <c r="BH118" i="39"/>
  <c r="AT123" i="5"/>
  <c r="BH187" i="39" l="1"/>
  <c r="BH117" i="39" s="1"/>
  <c r="BI93" i="39"/>
  <c r="BH171" i="39"/>
  <c r="BH170" i="39" s="1"/>
  <c r="BI135" i="39"/>
  <c r="BI136" i="39" s="1"/>
  <c r="BI144" i="39" s="1"/>
  <c r="BI91" i="39"/>
  <c r="BI63" i="39"/>
  <c r="BI64" i="39" s="1"/>
  <c r="AU83" i="5"/>
  <c r="BI145" i="39" l="1"/>
  <c r="BI137" i="39" s="1"/>
  <c r="BI138" i="39" s="1"/>
  <c r="BI139" i="39" s="1" a="1"/>
  <c r="BI139" i="39" s="1"/>
  <c r="BI65" i="39" s="1"/>
  <c r="BI78" i="39" s="1"/>
  <c r="BH177" i="39"/>
  <c r="BH115" i="39"/>
  <c r="AU100" i="5"/>
  <c r="BI146" i="39" l="1"/>
  <c r="BJ143" i="39" s="1"/>
  <c r="BH190" i="39"/>
  <c r="BH189" i="39"/>
  <c r="BI66" i="39"/>
  <c r="BI122" i="39"/>
  <c r="BI120" i="39"/>
  <c r="BI81" i="39"/>
  <c r="AU120" i="5"/>
  <c r="BI163" i="39" l="1"/>
  <c r="BI98" i="39"/>
  <c r="AU123" i="5"/>
  <c r="BI99" i="39" l="1"/>
  <c r="BI90" i="39"/>
  <c r="BI121" i="39"/>
  <c r="BI164" i="39"/>
  <c r="AV83" i="5"/>
  <c r="BI183" i="39" l="1"/>
  <c r="BI182" i="39" s="1"/>
  <c r="BJ161" i="39"/>
  <c r="BI119" i="39" a="1"/>
  <c r="BI119" i="39" s="1"/>
  <c r="BI88" i="39"/>
  <c r="BI107" i="39"/>
  <c r="AV100" i="5"/>
  <c r="BI185" i="39" l="1"/>
  <c r="BI184" i="39" s="1"/>
  <c r="BI116" i="39" s="1"/>
  <c r="BI92" i="39"/>
  <c r="BI94" i="39" s="1"/>
  <c r="BI95" i="39" s="1"/>
  <c r="BI109" i="39"/>
  <c r="BI110" i="39" s="1"/>
  <c r="BI108" i="39"/>
  <c r="BJ165" i="39"/>
  <c r="BI118" i="39"/>
  <c r="AV120" i="5"/>
  <c r="BI187" i="39" l="1"/>
  <c r="BI117" i="39" s="1"/>
  <c r="BI171" i="39"/>
  <c r="BI170" i="39" s="1"/>
  <c r="BJ93" i="39"/>
  <c r="BJ135" i="39"/>
  <c r="BJ136" i="39" s="1"/>
  <c r="BJ91" i="39"/>
  <c r="BJ63" i="39"/>
  <c r="BJ64" i="39" s="1"/>
  <c r="AV123" i="5"/>
  <c r="BJ144" i="39" l="1"/>
  <c r="BJ145" i="39"/>
  <c r="BJ137" i="39" s="1"/>
  <c r="BJ138" i="39" s="1"/>
  <c r="BJ139" i="39" s="1" a="1"/>
  <c r="BJ139" i="39" s="1"/>
  <c r="BJ65" i="39" s="1"/>
  <c r="BJ78" i="39" s="1"/>
  <c r="BI177" i="39"/>
  <c r="BI115" i="39"/>
  <c r="AW83" i="5"/>
  <c r="BJ122" i="39" l="1"/>
  <c r="BJ120" i="39"/>
  <c r="BJ81" i="39"/>
  <c r="BI189" i="39"/>
  <c r="BI190" i="39"/>
  <c r="BJ66" i="39"/>
  <c r="BJ146" i="39"/>
  <c r="BK143" i="39" s="1"/>
  <c r="AW100" i="5"/>
  <c r="BJ163" i="39" l="1"/>
  <c r="BJ98" i="39"/>
  <c r="AW120" i="5"/>
  <c r="BJ99" i="39" l="1"/>
  <c r="BJ90" i="39"/>
  <c r="BJ121" i="39"/>
  <c r="BJ164" i="39"/>
  <c r="AW123" i="5"/>
  <c r="BJ183" i="39" l="1"/>
  <c r="BJ182" i="39" s="1"/>
  <c r="BK161" i="39"/>
  <c r="BJ119" i="39" a="1"/>
  <c r="BJ119" i="39" s="1"/>
  <c r="BJ88" i="39"/>
  <c r="BJ107" i="39"/>
  <c r="AX83" i="5"/>
  <c r="BJ185" i="39" l="1"/>
  <c r="BJ184" i="39" s="1"/>
  <c r="BJ187" i="39" s="1"/>
  <c r="BJ117" i="39" s="1"/>
  <c r="BJ92" i="39"/>
  <c r="BJ94" i="39" s="1"/>
  <c r="BJ95" i="39" s="1"/>
  <c r="BK165" i="39"/>
  <c r="BJ109" i="39"/>
  <c r="BJ110" i="39" s="1"/>
  <c r="BJ108" i="39"/>
  <c r="BJ118" i="39"/>
  <c r="BJ116" i="39"/>
  <c r="AX100" i="5"/>
  <c r="BK91" i="39" l="1"/>
  <c r="BK63" i="39"/>
  <c r="BK64" i="39" s="1"/>
  <c r="BK135" i="39"/>
  <c r="BK136" i="39" s="1"/>
  <c r="BJ171" i="39"/>
  <c r="BJ170" i="39" s="1"/>
  <c r="BK93" i="39"/>
  <c r="AX120" i="5"/>
  <c r="BK144" i="39" l="1"/>
  <c r="BK145" i="39"/>
  <c r="BK137" i="39" s="1"/>
  <c r="BK138" i="39" s="1"/>
  <c r="BK139" i="39" s="1" a="1"/>
  <c r="BK139" i="39" s="1"/>
  <c r="BK65" i="39" s="1"/>
  <c r="BK78" i="39" s="1"/>
  <c r="BJ177" i="39"/>
  <c r="BJ115" i="39"/>
  <c r="AX123" i="5"/>
  <c r="BK122" i="39" l="1"/>
  <c r="BK120" i="39"/>
  <c r="BK81" i="39"/>
  <c r="BK66" i="39"/>
  <c r="BJ190" i="39"/>
  <c r="BJ189" i="39"/>
  <c r="BK146" i="39"/>
  <c r="BL143" i="39" s="1"/>
  <c r="AY83" i="5"/>
  <c r="BK163" i="39" l="1"/>
  <c r="BK98" i="39"/>
  <c r="AY100" i="5"/>
  <c r="BK99" i="39" l="1"/>
  <c r="BK90" i="39"/>
  <c r="BK121" i="39"/>
  <c r="BK164" i="39"/>
  <c r="AY120" i="5"/>
  <c r="BK183" i="39" l="1"/>
  <c r="BK182" i="39" s="1"/>
  <c r="BL161" i="39"/>
  <c r="BK119" i="39" a="1"/>
  <c r="BK119" i="39" s="1"/>
  <c r="BK88" i="39"/>
  <c r="BK107" i="39"/>
  <c r="AY123" i="5"/>
  <c r="BK108" i="39" l="1"/>
  <c r="BK109" i="39"/>
  <c r="BK110" i="39" s="1"/>
  <c r="BK185" i="39"/>
  <c r="BK184" i="39" s="1"/>
  <c r="BK187" i="39" s="1"/>
  <c r="BK117" i="39" s="1"/>
  <c r="BK92" i="39"/>
  <c r="BK94" i="39" s="1"/>
  <c r="BK95" i="39" s="1"/>
  <c r="BL165" i="39"/>
  <c r="BK118" i="39"/>
  <c r="AZ83" i="5"/>
  <c r="BK171" i="39" l="1"/>
  <c r="BK170" i="39" s="1"/>
  <c r="BL93" i="39"/>
  <c r="BK116" i="39"/>
  <c r="BL135" i="39"/>
  <c r="BL136" i="39" s="1"/>
  <c r="BL144" i="39" s="1"/>
  <c r="BL91" i="39"/>
  <c r="BL63" i="39"/>
  <c r="BL64" i="39" s="1"/>
  <c r="AZ100" i="5"/>
  <c r="BL145" i="39" l="1"/>
  <c r="BL137" i="39" s="1"/>
  <c r="BL138" i="39" s="1"/>
  <c r="BL139" i="39" s="1" a="1"/>
  <c r="BL139" i="39" s="1"/>
  <c r="BL65" i="39" s="1"/>
  <c r="BL78" i="39" s="1"/>
  <c r="BK177" i="39"/>
  <c r="BK115" i="39"/>
  <c r="AZ120" i="5"/>
  <c r="BL146" i="39" l="1"/>
  <c r="BM143" i="39" s="1"/>
  <c r="BL66" i="39"/>
  <c r="BK189" i="39"/>
  <c r="BK190" i="39"/>
  <c r="BL122" i="39"/>
  <c r="BL120" i="39"/>
  <c r="BL81" i="39"/>
  <c r="D130" i="39"/>
  <c r="D126" i="40" s="1"/>
  <c r="AZ123" i="5"/>
  <c r="BL163" i="39" l="1"/>
  <c r="BL98" i="39"/>
  <c r="BA83" i="5"/>
  <c r="BL99" i="39" l="1"/>
  <c r="BL90" i="39"/>
  <c r="BL121" i="39"/>
  <c r="BL164" i="39"/>
  <c r="BA100" i="5"/>
  <c r="BL183" i="39" l="1"/>
  <c r="BL182" i="39" s="1"/>
  <c r="BM161" i="39"/>
  <c r="BL119" i="39" a="1"/>
  <c r="BL119" i="39" s="1"/>
  <c r="BL88" i="39"/>
  <c r="BL107" i="39"/>
  <c r="BA120" i="5"/>
  <c r="BL108" i="39" l="1"/>
  <c r="BL109" i="39"/>
  <c r="BL110" i="39" s="1"/>
  <c r="BM165" i="39"/>
  <c r="BL185" i="39"/>
  <c r="BL184" i="39" s="1"/>
  <c r="BL187" i="39" s="1"/>
  <c r="BL117" i="39" s="1"/>
  <c r="BL92" i="39"/>
  <c r="BL94" i="39" s="1"/>
  <c r="BL95" i="39" s="1"/>
  <c r="BL118" i="39"/>
  <c r="BA123" i="5"/>
  <c r="BL116" i="39" l="1"/>
  <c r="BL171" i="39"/>
  <c r="BL170" i="39" s="1"/>
  <c r="BM93" i="39"/>
  <c r="BM135" i="39"/>
  <c r="BM136" i="39" s="1"/>
  <c r="BM144" i="39" s="1"/>
  <c r="BM91" i="39"/>
  <c r="BM63" i="39"/>
  <c r="BM64" i="39" s="1"/>
  <c r="BB83" i="5"/>
  <c r="BL177" i="39" l="1"/>
  <c r="BL115" i="39"/>
  <c r="BM145" i="39"/>
  <c r="BM137" i="39" s="1"/>
  <c r="BM138" i="39" s="1"/>
  <c r="BM139" i="39" s="1" a="1"/>
  <c r="BM139" i="39" s="1"/>
  <c r="BM65" i="39" s="1"/>
  <c r="BM78" i="39" s="1"/>
  <c r="BB100" i="5"/>
  <c r="BM122" i="39" l="1"/>
  <c r="BM120" i="39"/>
  <c r="BM81" i="39"/>
  <c r="BL189" i="39"/>
  <c r="BL190" i="39"/>
  <c r="BM146" i="39"/>
  <c r="BN143" i="39" s="1"/>
  <c r="BM66" i="39"/>
  <c r="BB123" i="5"/>
  <c r="BM163" i="39" l="1"/>
  <c r="BM98" i="39"/>
  <c r="BB120" i="5"/>
  <c r="BM99" i="39" l="1"/>
  <c r="BM90" i="39"/>
  <c r="BM121" i="39"/>
  <c r="BM164" i="39"/>
  <c r="BC83" i="5"/>
  <c r="BN161" i="39" l="1"/>
  <c r="BM183" i="39"/>
  <c r="BM182" i="39" s="1"/>
  <c r="BM119" i="39" a="1"/>
  <c r="BM119" i="39" s="1"/>
  <c r="BM88" i="39"/>
  <c r="BM107" i="39"/>
  <c r="BC100" i="5"/>
  <c r="BM109" i="39" l="1"/>
  <c r="BM110" i="39" s="1"/>
  <c r="BM108" i="39"/>
  <c r="BM185" i="39"/>
  <c r="BM184" i="39" s="1"/>
  <c r="BM187" i="39" s="1"/>
  <c r="BM117" i="39" s="1"/>
  <c r="BM92" i="39"/>
  <c r="BM94" i="39" s="1"/>
  <c r="BM95" i="39" s="1"/>
  <c r="BM118" i="39"/>
  <c r="BN165" i="39"/>
  <c r="BC123" i="5"/>
  <c r="BM116" i="39" l="1"/>
  <c r="BN93" i="39"/>
  <c r="BM171" i="39"/>
  <c r="BM170" i="39" s="1"/>
  <c r="BN135" i="39"/>
  <c r="BN136" i="39" s="1"/>
  <c r="BN91" i="39"/>
  <c r="BN63" i="39"/>
  <c r="BN64" i="39" s="1"/>
  <c r="BC120" i="5"/>
  <c r="BN144" i="39" l="1"/>
  <c r="BN145" i="39" s="1"/>
  <c r="BN137" i="39" s="1"/>
  <c r="BN138" i="39" s="1"/>
  <c r="BN139" i="39" s="1" a="1"/>
  <c r="BN139" i="39" s="1"/>
  <c r="BN65" i="39" s="1"/>
  <c r="BN78" i="39" s="1"/>
  <c r="BM177" i="39"/>
  <c r="BM115" i="39"/>
  <c r="BD83" i="5"/>
  <c r="BN122" i="39" l="1"/>
  <c r="BN120" i="39"/>
  <c r="BN81" i="39"/>
  <c r="BM189" i="39"/>
  <c r="BM190" i="39"/>
  <c r="BN66" i="39"/>
  <c r="BN146" i="39"/>
  <c r="BO143" i="39" s="1"/>
  <c r="BD100" i="5"/>
  <c r="BN163" i="39" l="1"/>
  <c r="BN98" i="39"/>
  <c r="BD123" i="5"/>
  <c r="BN99" i="39" l="1"/>
  <c r="BN90" i="39"/>
  <c r="BN121" i="39"/>
  <c r="BN164" i="39"/>
  <c r="BD120" i="5"/>
  <c r="BN183" i="39" l="1"/>
  <c r="BN182" i="39" s="1"/>
  <c r="BO161" i="39"/>
  <c r="BN119" i="39" a="1"/>
  <c r="BN119" i="39" s="1"/>
  <c r="BN88" i="39"/>
  <c r="BN107" i="39"/>
  <c r="BE83" i="5"/>
  <c r="BN185" i="39" l="1"/>
  <c r="BN184" i="39" s="1"/>
  <c r="BN92" i="39"/>
  <c r="BN94" i="39" s="1"/>
  <c r="BN95" i="39" s="1"/>
  <c r="BN108" i="39"/>
  <c r="BN109" i="39"/>
  <c r="BN110" i="39" s="1"/>
  <c r="BO165" i="39"/>
  <c r="BN118" i="39"/>
  <c r="BN187" i="39"/>
  <c r="BN117" i="39" s="1"/>
  <c r="BN116" i="39"/>
  <c r="BE100" i="5"/>
  <c r="BO135" i="39" l="1"/>
  <c r="BO136" i="39" s="1"/>
  <c r="BO144" i="39" s="1"/>
  <c r="BO91" i="39"/>
  <c r="BO63" i="39"/>
  <c r="BO64" i="39" s="1"/>
  <c r="BO93" i="39"/>
  <c r="BN171" i="39"/>
  <c r="BN170" i="39" s="1"/>
  <c r="BE123" i="5"/>
  <c r="BN177" i="39" l="1"/>
  <c r="BN115" i="39"/>
  <c r="BO145" i="39"/>
  <c r="BO137" i="39" s="1"/>
  <c r="BO138" i="39" s="1"/>
  <c r="BO139" i="39" s="1" a="1"/>
  <c r="BO139" i="39" s="1"/>
  <c r="BO65" i="39" s="1"/>
  <c r="BO78" i="39" s="1"/>
  <c r="BE120" i="5"/>
  <c r="BO146" i="39" l="1"/>
  <c r="BP143" i="39" s="1"/>
  <c r="BO122" i="39"/>
  <c r="BO120" i="39"/>
  <c r="BO81" i="39"/>
  <c r="BN190" i="39"/>
  <c r="BN189" i="39"/>
  <c r="BO66" i="39"/>
  <c r="BF83" i="5"/>
  <c r="BO163" i="39" l="1"/>
  <c r="BO98" i="39"/>
  <c r="BF100" i="5"/>
  <c r="BO90" i="39" l="1"/>
  <c r="BO121" i="39"/>
  <c r="BO164" i="39"/>
  <c r="BO99" i="39"/>
  <c r="BF123" i="5"/>
  <c r="BO183" i="39" l="1"/>
  <c r="BO182" i="39" s="1"/>
  <c r="BP161" i="39"/>
  <c r="BO119" i="39" a="1"/>
  <c r="BO119" i="39" s="1"/>
  <c r="BO88" i="39"/>
  <c r="BO107" i="39"/>
  <c r="BF120" i="5"/>
  <c r="BO108" i="39" l="1"/>
  <c r="BO109" i="39"/>
  <c r="BO110" i="39" s="1"/>
  <c r="BO185" i="39"/>
  <c r="BO184" i="39" s="1"/>
  <c r="BO187" i="39" s="1"/>
  <c r="BO117" i="39" s="1"/>
  <c r="BO92" i="39"/>
  <c r="BO94" i="39" s="1"/>
  <c r="BO95" i="39" s="1"/>
  <c r="BO118" i="39"/>
  <c r="BP165" i="39"/>
  <c r="BG83" i="5"/>
  <c r="BP135" i="39" l="1"/>
  <c r="BP136" i="39" s="1"/>
  <c r="BP144" i="39" s="1"/>
  <c r="BP91" i="39"/>
  <c r="BP63" i="39"/>
  <c r="BP64" i="39" s="1"/>
  <c r="BO171" i="39"/>
  <c r="BO170" i="39" s="1"/>
  <c r="BP93" i="39"/>
  <c r="BO116" i="39"/>
  <c r="BG100" i="5"/>
  <c r="BO177" i="39" l="1"/>
  <c r="BO115" i="39"/>
  <c r="BP145" i="39"/>
  <c r="BP137" i="39" s="1"/>
  <c r="BP138" i="39" s="1"/>
  <c r="BP139" i="39" s="1" a="1"/>
  <c r="BP139" i="39" s="1"/>
  <c r="BP65" i="39" s="1"/>
  <c r="BP78" i="39" s="1"/>
  <c r="BG123" i="5"/>
  <c r="BP146" i="39" l="1"/>
  <c r="BQ143" i="39" s="1"/>
  <c r="BP122" i="39"/>
  <c r="BP120" i="39"/>
  <c r="BP81" i="39"/>
  <c r="BP66" i="39"/>
  <c r="BO189" i="39"/>
  <c r="BO190" i="39"/>
  <c r="BG120" i="5"/>
  <c r="BP163" i="39" l="1"/>
  <c r="BP98" i="39"/>
  <c r="BH83" i="5"/>
  <c r="BP99" i="39" l="1"/>
  <c r="BP90" i="39"/>
  <c r="BP121" i="39"/>
  <c r="BP164" i="39"/>
  <c r="BH100" i="5"/>
  <c r="BP88" i="39" l="1"/>
  <c r="BP107" i="39"/>
  <c r="BP183" i="39"/>
  <c r="BP182" i="39" s="1"/>
  <c r="BQ161" i="39"/>
  <c r="BP119" i="39" a="1"/>
  <c r="BP119" i="39" s="1"/>
  <c r="BH123" i="5"/>
  <c r="BP118" i="39" l="1"/>
  <c r="BQ165" i="39"/>
  <c r="BP108" i="39"/>
  <c r="BP109" i="39"/>
  <c r="BP110" i="39" s="1"/>
  <c r="BP185" i="39"/>
  <c r="BP184" i="39" s="1"/>
  <c r="BP116" i="39" s="1"/>
  <c r="BP92" i="39"/>
  <c r="BP94" i="39" s="1"/>
  <c r="BP95" i="39" s="1"/>
  <c r="BH120" i="5"/>
  <c r="BQ93" i="39" l="1"/>
  <c r="BP171" i="39"/>
  <c r="BP170" i="39" s="1"/>
  <c r="BP187" i="39"/>
  <c r="BP117" i="39" s="1"/>
  <c r="BQ91" i="39"/>
  <c r="BQ63" i="39"/>
  <c r="BQ64" i="39" s="1"/>
  <c r="BQ135" i="39"/>
  <c r="BQ136" i="39" s="1"/>
  <c r="BI83" i="5"/>
  <c r="BQ144" i="39" l="1"/>
  <c r="BQ145" i="39" s="1"/>
  <c r="BQ137" i="39" s="1"/>
  <c r="BQ138" i="39" s="1"/>
  <c r="BQ139" i="39" s="1" a="1"/>
  <c r="BQ139" i="39" s="1"/>
  <c r="BQ65" i="39" s="1"/>
  <c r="BQ78" i="39" s="1"/>
  <c r="BP177" i="39"/>
  <c r="BP115" i="39"/>
  <c r="BI100" i="5"/>
  <c r="BQ122" i="39" l="1"/>
  <c r="BQ120" i="39"/>
  <c r="BQ81" i="39"/>
  <c r="BP190" i="39"/>
  <c r="BP189" i="39"/>
  <c r="BQ66" i="39"/>
  <c r="BQ146" i="39"/>
  <c r="BR143" i="39" s="1"/>
  <c r="BI123" i="5"/>
  <c r="BQ163" i="39" l="1"/>
  <c r="BQ98" i="39"/>
  <c r="BI120" i="5"/>
  <c r="BQ99" i="39" l="1"/>
  <c r="BQ90" i="39"/>
  <c r="BQ121" i="39"/>
  <c r="BQ164" i="39"/>
  <c r="BJ83" i="5"/>
  <c r="BQ183" i="39" l="1"/>
  <c r="BQ182" i="39" s="1"/>
  <c r="BR161" i="39"/>
  <c r="BQ119" i="39" a="1"/>
  <c r="BQ119" i="39" s="1"/>
  <c r="BQ88" i="39"/>
  <c r="BQ107" i="39"/>
  <c r="BJ100" i="5"/>
  <c r="BQ109" i="39" l="1"/>
  <c r="BQ110" i="39" s="1"/>
  <c r="BQ108" i="39"/>
  <c r="BR165" i="39"/>
  <c r="BQ185" i="39"/>
  <c r="BQ184" i="39" s="1"/>
  <c r="BQ187" i="39" s="1"/>
  <c r="BQ117" i="39" s="1"/>
  <c r="BQ92" i="39"/>
  <c r="BQ94" i="39" s="1"/>
  <c r="BQ95" i="39" s="1"/>
  <c r="BQ118" i="39"/>
  <c r="BJ123" i="5"/>
  <c r="BQ116" i="39" l="1"/>
  <c r="BQ171" i="39"/>
  <c r="BQ170" i="39" s="1"/>
  <c r="BR93" i="39"/>
  <c r="BR135" i="39"/>
  <c r="BR136" i="39" s="1"/>
  <c r="BR91" i="39"/>
  <c r="BR63" i="39"/>
  <c r="BR64" i="39" s="1"/>
  <c r="BJ120" i="5"/>
  <c r="BR144" i="39" l="1"/>
  <c r="BR145" i="39" s="1"/>
  <c r="BR137" i="39" s="1"/>
  <c r="BR138" i="39" s="1"/>
  <c r="BR139" i="39" s="1" a="1"/>
  <c r="BR139" i="39" s="1"/>
  <c r="BR65" i="39" s="1"/>
  <c r="BR78" i="39" s="1"/>
  <c r="BQ177" i="39"/>
  <c r="BQ115" i="39"/>
  <c r="BK83" i="5"/>
  <c r="BR122" i="39" l="1"/>
  <c r="BR120" i="39"/>
  <c r="BR81" i="39"/>
  <c r="BQ189" i="39"/>
  <c r="BQ190" i="39"/>
  <c r="BR66" i="39"/>
  <c r="BR146" i="39"/>
  <c r="BS143" i="39" s="1"/>
  <c r="BK100" i="5"/>
  <c r="BR163" i="39" l="1"/>
  <c r="BR98" i="39"/>
  <c r="BK123" i="5"/>
  <c r="BR99" i="39" l="1"/>
  <c r="BR90" i="39"/>
  <c r="BR121" i="39"/>
  <c r="BR164" i="39"/>
  <c r="BK120" i="5"/>
  <c r="BR183" i="39" l="1"/>
  <c r="BR182" i="39" s="1"/>
  <c r="BS161" i="39"/>
  <c r="BR119" i="39" a="1"/>
  <c r="BR119" i="39" s="1"/>
  <c r="BR88" i="39"/>
  <c r="BR107" i="39"/>
  <c r="BL83" i="5"/>
  <c r="BR109" i="39" l="1"/>
  <c r="BR110" i="39" s="1"/>
  <c r="BR108" i="39"/>
  <c r="BR185" i="39"/>
  <c r="BR184" i="39" s="1"/>
  <c r="BR187" i="39" s="1"/>
  <c r="BR117" i="39" s="1"/>
  <c r="BR92" i="39"/>
  <c r="BR94" i="39" s="1"/>
  <c r="BR95" i="39" s="1"/>
  <c r="BS165" i="39"/>
  <c r="BR118" i="39"/>
  <c r="BL100" i="5"/>
  <c r="BR116" i="39" l="1"/>
  <c r="BS135" i="39"/>
  <c r="BS136" i="39" s="1"/>
  <c r="BS91" i="39"/>
  <c r="BS63" i="39"/>
  <c r="BS64" i="39" s="1"/>
  <c r="BR171" i="39"/>
  <c r="BR170" i="39" s="1"/>
  <c r="BS93" i="39"/>
  <c r="BL123" i="5"/>
  <c r="BR177" i="39" l="1"/>
  <c r="BR115" i="39"/>
  <c r="BS144" i="39"/>
  <c r="BS145" i="39" s="1"/>
  <c r="BS137" i="39" s="1"/>
  <c r="BS138" i="39" s="1"/>
  <c r="BS139" i="39" s="1" a="1"/>
  <c r="BS139" i="39" s="1"/>
  <c r="BS65" i="39" s="1"/>
  <c r="BS78" i="39" s="1"/>
  <c r="BL120" i="5"/>
  <c r="BS81" i="39" l="1"/>
  <c r="BS120" i="39"/>
  <c r="BS122" i="39"/>
  <c r="BR190" i="39"/>
  <c r="BR189" i="39"/>
  <c r="BS146" i="39"/>
  <c r="BT143" i="39" s="1"/>
  <c r="BS66" i="39"/>
  <c r="BM83" i="5"/>
  <c r="BS98" i="39" l="1"/>
  <c r="BS163" i="39"/>
  <c r="BM100" i="5"/>
  <c r="BS90" i="39" l="1"/>
  <c r="BS121" i="39"/>
  <c r="BS164" i="39"/>
  <c r="BS99" i="39"/>
  <c r="BM123" i="5"/>
  <c r="BS183" i="39" l="1"/>
  <c r="BS182" i="39" s="1"/>
  <c r="BT161" i="39"/>
  <c r="BS119" i="39" a="1"/>
  <c r="BS119" i="39" s="1"/>
  <c r="BS88" i="39"/>
  <c r="BS107" i="39"/>
  <c r="BM120" i="5"/>
  <c r="BS185" i="39" l="1"/>
  <c r="BS184" i="39" s="1"/>
  <c r="BS92" i="39"/>
  <c r="BS94" i="39" s="1"/>
  <c r="BS95" i="39" s="1"/>
  <c r="BS108" i="39"/>
  <c r="BS109" i="39"/>
  <c r="BS110" i="39" s="1"/>
  <c r="BS118" i="39"/>
  <c r="BS187" i="39"/>
  <c r="BS117" i="39" s="1"/>
  <c r="BS116" i="39"/>
  <c r="BT165" i="39"/>
  <c r="BN83" i="5"/>
  <c r="BT135" i="39" l="1"/>
  <c r="BT136" i="39" s="1"/>
  <c r="BT144" i="39" s="1"/>
  <c r="BT91" i="39"/>
  <c r="BT63" i="39"/>
  <c r="BT64" i="39" s="1"/>
  <c r="BS171" i="39"/>
  <c r="BS170" i="39" s="1"/>
  <c r="BT93" i="39"/>
  <c r="BN100" i="5"/>
  <c r="BS177" i="39" l="1"/>
  <c r="BS115" i="39"/>
  <c r="BT145" i="39"/>
  <c r="BT137" i="39" s="1"/>
  <c r="BT138" i="39" s="1"/>
  <c r="BT139" i="39" s="1" a="1"/>
  <c r="BT139" i="39" s="1"/>
  <c r="BT65" i="39" s="1"/>
  <c r="BT78" i="39" s="1"/>
  <c r="BN123" i="5"/>
  <c r="BT122" i="39" l="1"/>
  <c r="BT120" i="39"/>
  <c r="BT81" i="39"/>
  <c r="BT146" i="39"/>
  <c r="BU143" i="39" s="1"/>
  <c r="BT66" i="39"/>
  <c r="BS190" i="39"/>
  <c r="BS189" i="39"/>
  <c r="BN120" i="5"/>
  <c r="BT163" i="39" l="1"/>
  <c r="BT98" i="39"/>
  <c r="BO83" i="5"/>
  <c r="BT99" i="39" l="1"/>
  <c r="BT90" i="39"/>
  <c r="BT121" i="39"/>
  <c r="BT164" i="39"/>
  <c r="BO100" i="5"/>
  <c r="BU161" i="39" l="1"/>
  <c r="BT183" i="39"/>
  <c r="BT182" i="39" s="1"/>
  <c r="BT119" i="39" a="1"/>
  <c r="BT119" i="39" s="1"/>
  <c r="BT88" i="39"/>
  <c r="BT107" i="39"/>
  <c r="BO123" i="5"/>
  <c r="BT109" i="39" l="1"/>
  <c r="BT110" i="39" s="1"/>
  <c r="BT108" i="39"/>
  <c r="BT185" i="39"/>
  <c r="BT184" i="39" s="1"/>
  <c r="BT116" i="39" s="1"/>
  <c r="BT92" i="39"/>
  <c r="BT94" i="39" s="1"/>
  <c r="BT95" i="39" s="1"/>
  <c r="BT118" i="39"/>
  <c r="BU165" i="39"/>
  <c r="BO120" i="5"/>
  <c r="BT187" i="39" l="1"/>
  <c r="BT117" i="39" s="1"/>
  <c r="BU135" i="39"/>
  <c r="BU136" i="39" s="1"/>
  <c r="BU144" i="39" s="1"/>
  <c r="BU91" i="39"/>
  <c r="BU63" i="39"/>
  <c r="BU64" i="39" s="1"/>
  <c r="BT171" i="39"/>
  <c r="BT170" i="39" s="1"/>
  <c r="BU93" i="39"/>
  <c r="BP83" i="5"/>
  <c r="BT177" i="39" l="1"/>
  <c r="BT115" i="39"/>
  <c r="BU145" i="39"/>
  <c r="BU137" i="39" s="1"/>
  <c r="BU138" i="39" s="1"/>
  <c r="BU139" i="39" s="1" a="1"/>
  <c r="BU139" i="39" s="1"/>
  <c r="BU65" i="39" s="1"/>
  <c r="BU78" i="39" s="1"/>
  <c r="BP100" i="5"/>
  <c r="BU146" i="39" l="1"/>
  <c r="BV143" i="39" s="1"/>
  <c r="BT190" i="39"/>
  <c r="BT189" i="39"/>
  <c r="BU122" i="39"/>
  <c r="BU120" i="39"/>
  <c r="BU81" i="39"/>
  <c r="BU66" i="39"/>
  <c r="BP123" i="5"/>
  <c r="BU163" i="39" l="1"/>
  <c r="BU98" i="39"/>
  <c r="BP120" i="5"/>
  <c r="BU99" i="39" l="1"/>
  <c r="BU90" i="39"/>
  <c r="BU121" i="39"/>
  <c r="BU164" i="39"/>
  <c r="BQ83" i="5"/>
  <c r="BU183" i="39" l="1"/>
  <c r="BU182" i="39" s="1"/>
  <c r="BV161" i="39"/>
  <c r="BU119" i="39" a="1"/>
  <c r="BU119" i="39" s="1"/>
  <c r="BU88" i="39"/>
  <c r="BU107" i="39"/>
  <c r="BQ100" i="5"/>
  <c r="BU109" i="39" l="1"/>
  <c r="BU110" i="39" s="1"/>
  <c r="BU108" i="39"/>
  <c r="BU185" i="39"/>
  <c r="BU184" i="39" s="1"/>
  <c r="BU187" i="39" s="1"/>
  <c r="BU117" i="39" s="1"/>
  <c r="BU92" i="39"/>
  <c r="BU94" i="39" s="1"/>
  <c r="BU95" i="39" s="1"/>
  <c r="BV165" i="39"/>
  <c r="BU118" i="39"/>
  <c r="BQ123" i="5"/>
  <c r="BU116" i="39" l="1"/>
  <c r="BV135" i="39"/>
  <c r="BV136" i="39" s="1"/>
  <c r="BV144" i="39" s="1"/>
  <c r="BV91" i="39"/>
  <c r="BV63" i="39"/>
  <c r="BV64" i="39" s="1"/>
  <c r="BU171" i="39"/>
  <c r="BU170" i="39" s="1"/>
  <c r="BV93" i="39"/>
  <c r="BQ120" i="5"/>
  <c r="BV145" i="39" l="1"/>
  <c r="BV137" i="39" s="1"/>
  <c r="BV138" i="39" s="1"/>
  <c r="BV139" i="39" s="1" a="1"/>
  <c r="BV139" i="39" s="1"/>
  <c r="BV65" i="39" s="1"/>
  <c r="BV78" i="39" s="1"/>
  <c r="BU177" i="39"/>
  <c r="BU115" i="39"/>
  <c r="BR83" i="5"/>
  <c r="BU190" i="39" l="1"/>
  <c r="BU189" i="39"/>
  <c r="BV146" i="39"/>
  <c r="BW143" i="39" s="1"/>
  <c r="BV122" i="39"/>
  <c r="BV120" i="39"/>
  <c r="BV81" i="39"/>
  <c r="BV66" i="39"/>
  <c r="BR100" i="5"/>
  <c r="BV163" i="39" l="1"/>
  <c r="BV98" i="39"/>
  <c r="BR123" i="5"/>
  <c r="BV90" i="39" l="1"/>
  <c r="BV121" i="39"/>
  <c r="BV164" i="39"/>
  <c r="BV99" i="39"/>
  <c r="BR120" i="5"/>
  <c r="BV183" i="39" l="1"/>
  <c r="BV182" i="39" s="1"/>
  <c r="BW161" i="39"/>
  <c r="BV119" i="39" a="1"/>
  <c r="BV119" i="39" s="1"/>
  <c r="BV88" i="39"/>
  <c r="BV107" i="39"/>
  <c r="BS83" i="5"/>
  <c r="BV108" i="39" l="1"/>
  <c r="BV109" i="39"/>
  <c r="BV110" i="39" s="1"/>
  <c r="BV185" i="39"/>
  <c r="BV184" i="39" s="1"/>
  <c r="BV187" i="39" s="1"/>
  <c r="BV117" i="39" s="1"/>
  <c r="BV92" i="39"/>
  <c r="BV94" i="39" s="1"/>
  <c r="BV95" i="39" s="1"/>
  <c r="BW165" i="39"/>
  <c r="BV118" i="39"/>
  <c r="BS100" i="5"/>
  <c r="BV116" i="39" l="1"/>
  <c r="BV171" i="39"/>
  <c r="BV170" i="39" s="1"/>
  <c r="BW93" i="39"/>
  <c r="BW135" i="39"/>
  <c r="BW136" i="39" s="1"/>
  <c r="BW144" i="39" s="1"/>
  <c r="BW91" i="39"/>
  <c r="BW63" i="39"/>
  <c r="BW64" i="39" s="1"/>
  <c r="BS123" i="5"/>
  <c r="BW145" i="39" l="1"/>
  <c r="BW137" i="39" s="1"/>
  <c r="BW138" i="39" s="1"/>
  <c r="BW139" i="39" s="1" a="1"/>
  <c r="BW139" i="39" s="1"/>
  <c r="BW65" i="39" s="1"/>
  <c r="BW78" i="39" s="1"/>
  <c r="BV177" i="39"/>
  <c r="BV115" i="39"/>
  <c r="BS120" i="5"/>
  <c r="BW122" i="39" l="1"/>
  <c r="BW120" i="39"/>
  <c r="BW81" i="39"/>
  <c r="BV190" i="39"/>
  <c r="BV189" i="39"/>
  <c r="BW146" i="39"/>
  <c r="BX143" i="39" s="1"/>
  <c r="BW66" i="39"/>
  <c r="BT83" i="5"/>
  <c r="BW163" i="39" l="1"/>
  <c r="BW98" i="39"/>
  <c r="BT100" i="5"/>
  <c r="BW99" i="39" l="1"/>
  <c r="BW90" i="39"/>
  <c r="BW121" i="39"/>
  <c r="BW164" i="39"/>
  <c r="BT123" i="5"/>
  <c r="BW183" i="39" l="1"/>
  <c r="BW182" i="39" s="1"/>
  <c r="BX161" i="39"/>
  <c r="BW119" i="39" a="1"/>
  <c r="BW119" i="39" s="1"/>
  <c r="BW88" i="39"/>
  <c r="BW107" i="39"/>
  <c r="BT120" i="5"/>
  <c r="BW109" i="39" l="1"/>
  <c r="BW110" i="39" s="1"/>
  <c r="BW108" i="39"/>
  <c r="BW185" i="39"/>
  <c r="BW184" i="39" s="1"/>
  <c r="BW187" i="39" s="1"/>
  <c r="BW117" i="39" s="1"/>
  <c r="BW92" i="39"/>
  <c r="BW94" i="39" s="1"/>
  <c r="BW95" i="39" s="1"/>
  <c r="BX165" i="39"/>
  <c r="BW118" i="39"/>
  <c r="BU83" i="5"/>
  <c r="BW116" i="39" l="1"/>
  <c r="BW171" i="39"/>
  <c r="BW170" i="39" s="1"/>
  <c r="BX93" i="39"/>
  <c r="BX135" i="39"/>
  <c r="BX136" i="39" s="1"/>
  <c r="BX144" i="39" s="1"/>
  <c r="BX91" i="39"/>
  <c r="BX63" i="39"/>
  <c r="BX64" i="39" s="1"/>
  <c r="BU100" i="5"/>
  <c r="BX145" i="39" l="1"/>
  <c r="BX137" i="39" s="1"/>
  <c r="BX138" i="39" s="1"/>
  <c r="BX139" i="39" s="1" a="1"/>
  <c r="BX139" i="39" s="1"/>
  <c r="BX65" i="39" s="1"/>
  <c r="BX78" i="39" s="1"/>
  <c r="BW177" i="39"/>
  <c r="BW115" i="39"/>
  <c r="BU123" i="5"/>
  <c r="BX146" i="39" l="1"/>
  <c r="BY143" i="39" s="1"/>
  <c r="BX66" i="39"/>
  <c r="BW190" i="39"/>
  <c r="BW189" i="39"/>
  <c r="BX122" i="39"/>
  <c r="BX120" i="39"/>
  <c r="BX81" i="39"/>
  <c r="BU120" i="5"/>
  <c r="BX163" i="39" l="1"/>
  <c r="BX98" i="39"/>
  <c r="BV83" i="5"/>
  <c r="BX99" i="39" l="1"/>
  <c r="BX90" i="39"/>
  <c r="BX121" i="39"/>
  <c r="BX164" i="39"/>
  <c r="BV100" i="5"/>
  <c r="BX183" i="39" l="1"/>
  <c r="BX182" i="39" s="1"/>
  <c r="BY161" i="39"/>
  <c r="BX119" i="39" a="1"/>
  <c r="BX119" i="39" s="1"/>
  <c r="BX88" i="39"/>
  <c r="BX107" i="39"/>
  <c r="BV123" i="5"/>
  <c r="BX185" i="39" l="1"/>
  <c r="BX184" i="39" s="1"/>
  <c r="BX92" i="39"/>
  <c r="BX94" i="39" s="1"/>
  <c r="BX95" i="39" s="1"/>
  <c r="BX109" i="39"/>
  <c r="BX110" i="39" s="1"/>
  <c r="BX108" i="39"/>
  <c r="BY165" i="39"/>
  <c r="BX118" i="39"/>
  <c r="BX187" i="39"/>
  <c r="BX117" i="39" s="1"/>
  <c r="BX116" i="39"/>
  <c r="BV120" i="5"/>
  <c r="BX171" i="39" l="1"/>
  <c r="BX170" i="39" s="1"/>
  <c r="BY93" i="39"/>
  <c r="BY135" i="39"/>
  <c r="BY136" i="39" s="1"/>
  <c r="BY91" i="39"/>
  <c r="BY63" i="39"/>
  <c r="BY64" i="39" s="1"/>
  <c r="BW83" i="5"/>
  <c r="BY144" i="39" l="1"/>
  <c r="BY145" i="39" s="1"/>
  <c r="BY137" i="39" s="1"/>
  <c r="BY138" i="39" s="1"/>
  <c r="BY139" i="39" s="1" a="1"/>
  <c r="BY139" i="39" s="1"/>
  <c r="BY65" i="39" s="1"/>
  <c r="BY78" i="39" s="1"/>
  <c r="BX177" i="39"/>
  <c r="BX115" i="39"/>
  <c r="BW100" i="5"/>
  <c r="BY122" i="39" l="1"/>
  <c r="BY120" i="39"/>
  <c r="BY81" i="39"/>
  <c r="BX190" i="39"/>
  <c r="BX189" i="39"/>
  <c r="BY146" i="39"/>
  <c r="BZ143" i="39" s="1"/>
  <c r="BY66" i="39"/>
  <c r="BW123" i="5"/>
  <c r="BY163" i="39" l="1"/>
  <c r="BY98" i="39"/>
  <c r="BW120" i="5"/>
  <c r="BY99" i="39" l="1"/>
  <c r="BY90" i="39"/>
  <c r="BY121" i="39"/>
  <c r="BY164" i="39"/>
  <c r="BX83" i="5"/>
  <c r="BZ161" i="39" l="1"/>
  <c r="BY183" i="39"/>
  <c r="BY182" i="39" s="1"/>
  <c r="BY119" i="39" a="1"/>
  <c r="BY119" i="39" s="1"/>
  <c r="BY88" i="39"/>
  <c r="BY107" i="39"/>
  <c r="BX100" i="5"/>
  <c r="BY185" i="39" l="1"/>
  <c r="BY184" i="39" s="1"/>
  <c r="BY187" i="39" s="1"/>
  <c r="BY117" i="39" s="1"/>
  <c r="BY92" i="39"/>
  <c r="BY94" i="39" s="1"/>
  <c r="BY95" i="39" s="1"/>
  <c r="BY109" i="39"/>
  <c r="BY110" i="39" s="1"/>
  <c r="BY108" i="39"/>
  <c r="BY118" i="39"/>
  <c r="BZ165" i="39"/>
  <c r="BX123" i="5"/>
  <c r="BY116" i="39" l="1"/>
  <c r="BZ135" i="39"/>
  <c r="BZ136" i="39" s="1"/>
  <c r="BZ144" i="39" s="1"/>
  <c r="BZ91" i="39"/>
  <c r="BZ63" i="39"/>
  <c r="BZ64" i="39" s="1"/>
  <c r="BY171" i="39"/>
  <c r="BY170" i="39" s="1"/>
  <c r="BZ93" i="39"/>
  <c r="BX120" i="5"/>
  <c r="BY177" i="39" l="1"/>
  <c r="BY115" i="39"/>
  <c r="BZ145" i="39"/>
  <c r="BZ137" i="39" s="1"/>
  <c r="BZ138" i="39" s="1"/>
  <c r="BZ139" i="39" s="1" a="1"/>
  <c r="BZ139" i="39" s="1"/>
  <c r="BZ65" i="39" s="1"/>
  <c r="BZ78" i="39" s="1"/>
  <c r="BY83" i="5"/>
  <c r="BZ122" i="39" l="1"/>
  <c r="BZ120" i="39"/>
  <c r="BZ81" i="39"/>
  <c r="BZ146" i="39"/>
  <c r="CA143" i="39" s="1"/>
  <c r="BZ66" i="39"/>
  <c r="BY189" i="39"/>
  <c r="BY190" i="39"/>
  <c r="BY100" i="5"/>
  <c r="BZ163" i="39" l="1"/>
  <c r="BZ98" i="39"/>
  <c r="BY123" i="5"/>
  <c r="BZ99" i="39" l="1"/>
  <c r="BZ90" i="39"/>
  <c r="BZ121" i="39"/>
  <c r="BZ164" i="39"/>
  <c r="BY120" i="5"/>
  <c r="BZ183" i="39" l="1"/>
  <c r="BZ182" i="39" s="1"/>
  <c r="CA161" i="39"/>
  <c r="BZ119" i="39" a="1"/>
  <c r="BZ119" i="39" s="1"/>
  <c r="BZ88" i="39"/>
  <c r="BZ107" i="39"/>
  <c r="BZ83" i="5"/>
  <c r="BZ109" i="39" l="1"/>
  <c r="BZ110" i="39" s="1"/>
  <c r="BZ108" i="39"/>
  <c r="BZ185" i="39"/>
  <c r="BZ184" i="39" s="1"/>
  <c r="BZ116" i="39" s="1"/>
  <c r="BZ92" i="39"/>
  <c r="BZ94" i="39" s="1"/>
  <c r="BZ95" i="39" s="1"/>
  <c r="CA165" i="39"/>
  <c r="BZ118" i="39"/>
  <c r="BZ100" i="5"/>
  <c r="BZ187" i="39" l="1"/>
  <c r="BZ117" i="39" s="1"/>
  <c r="BZ171" i="39"/>
  <c r="BZ170" i="39" s="1"/>
  <c r="CA93" i="39"/>
  <c r="CA135" i="39"/>
  <c r="CA136" i="39" s="1"/>
  <c r="CA91" i="39"/>
  <c r="CA63" i="39"/>
  <c r="CA64" i="39" s="1"/>
  <c r="BZ123" i="5"/>
  <c r="CA144" i="39" l="1"/>
  <c r="CA145" i="39" s="1"/>
  <c r="CA137" i="39" s="1"/>
  <c r="CA138" i="39" s="1"/>
  <c r="CA139" i="39" s="1" a="1"/>
  <c r="CA139" i="39" s="1"/>
  <c r="CA65" i="39" s="1"/>
  <c r="CA78" i="39" s="1"/>
  <c r="BZ177" i="39"/>
  <c r="BZ115" i="39"/>
  <c r="BZ120" i="5"/>
  <c r="CA122" i="39" l="1"/>
  <c r="CA120" i="39"/>
  <c r="CA81" i="39"/>
  <c r="BZ189" i="39"/>
  <c r="BZ190" i="39"/>
  <c r="CA66" i="39"/>
  <c r="CA146" i="39"/>
  <c r="CB143" i="39" s="1"/>
  <c r="CA83" i="5"/>
  <c r="CA163" i="39" l="1"/>
  <c r="CA98" i="39"/>
  <c r="CA100" i="5"/>
  <c r="CA90" i="39" l="1"/>
  <c r="CA121" i="39"/>
  <c r="CA164" i="39"/>
  <c r="CA99" i="39"/>
  <c r="CA123" i="5"/>
  <c r="CA183" i="39" l="1"/>
  <c r="CA182" i="39" s="1"/>
  <c r="CB161" i="39"/>
  <c r="CA119" i="39" a="1"/>
  <c r="CA119" i="39" s="1"/>
  <c r="CA88" i="39"/>
  <c r="CA107" i="39"/>
  <c r="CA120" i="5"/>
  <c r="CA109" i="39" l="1"/>
  <c r="CA110" i="39" s="1"/>
  <c r="CA108" i="39"/>
  <c r="CA185" i="39"/>
  <c r="CA184" i="39" s="1"/>
  <c r="CA116" i="39" s="1"/>
  <c r="CA92" i="39"/>
  <c r="CA94" i="39" s="1"/>
  <c r="CA95" i="39" s="1"/>
  <c r="CB165" i="39"/>
  <c r="CA118" i="39"/>
  <c r="CB83" i="5"/>
  <c r="CA171" i="39" l="1"/>
  <c r="CA170" i="39" s="1"/>
  <c r="CB93" i="39"/>
  <c r="CA187" i="39"/>
  <c r="CA117" i="39" s="1"/>
  <c r="CB135" i="39"/>
  <c r="CB136" i="39" s="1"/>
  <c r="CB91" i="39"/>
  <c r="CB63" i="39"/>
  <c r="CB64" i="39" s="1"/>
  <c r="CB100" i="5"/>
  <c r="CB144" i="39" l="1"/>
  <c r="CB145" i="39" s="1"/>
  <c r="CB137" i="39" s="1"/>
  <c r="CB138" i="39" s="1"/>
  <c r="CB139" i="39" s="1" a="1"/>
  <c r="CB139" i="39" s="1"/>
  <c r="CB65" i="39" s="1"/>
  <c r="CB78" i="39" s="1"/>
  <c r="CA177" i="39"/>
  <c r="CA115" i="39"/>
  <c r="CB123" i="5"/>
  <c r="CB66" i="39" l="1"/>
  <c r="CB122" i="39"/>
  <c r="CB120" i="39"/>
  <c r="CB81" i="39"/>
  <c r="CA190" i="39"/>
  <c r="CA189" i="39"/>
  <c r="CB146" i="39"/>
  <c r="CC143" i="39" s="1"/>
  <c r="CB120" i="5"/>
  <c r="CB163" i="39" l="1"/>
  <c r="CB98" i="39"/>
  <c r="CC83" i="5"/>
  <c r="CB99" i="39" l="1"/>
  <c r="CB90" i="39"/>
  <c r="CB121" i="39"/>
  <c r="CB164" i="39"/>
  <c r="CC100" i="5"/>
  <c r="CB183" i="39" l="1"/>
  <c r="CB182" i="39" s="1"/>
  <c r="CC161" i="39"/>
  <c r="CB119" i="39" a="1"/>
  <c r="CB119" i="39" s="1"/>
  <c r="CB88" i="39"/>
  <c r="CB107" i="39"/>
  <c r="CC123" i="5"/>
  <c r="CB108" i="39" l="1"/>
  <c r="CB109" i="39"/>
  <c r="CB110" i="39" s="1"/>
  <c r="CB185" i="39"/>
  <c r="CB184" i="39" s="1"/>
  <c r="CB187" i="39" s="1"/>
  <c r="CB117" i="39" s="1"/>
  <c r="CB92" i="39"/>
  <c r="CB94" i="39" s="1"/>
  <c r="CB95" i="39" s="1"/>
  <c r="CC165" i="39"/>
  <c r="CB118" i="39"/>
  <c r="CC120" i="5"/>
  <c r="CB116" i="39" l="1"/>
  <c r="CC93" i="39"/>
  <c r="CB171" i="39"/>
  <c r="CB170" i="39" s="1"/>
  <c r="CC135" i="39"/>
  <c r="CC136" i="39" s="1"/>
  <c r="CC91" i="39"/>
  <c r="CC63" i="39"/>
  <c r="CC64" i="39" s="1"/>
  <c r="CD83" i="5"/>
  <c r="CB177" i="39" l="1"/>
  <c r="CB115" i="39"/>
  <c r="CC144" i="39"/>
  <c r="CD100" i="5"/>
  <c r="CC145" i="39" l="1"/>
  <c r="CC137" i="39" s="1"/>
  <c r="CC138" i="39" s="1"/>
  <c r="CC139" i="39" s="1" a="1"/>
  <c r="CC139" i="39" s="1"/>
  <c r="CC65" i="39" s="1"/>
  <c r="CB190" i="39"/>
  <c r="CB189" i="39"/>
  <c r="CD123" i="5"/>
  <c r="CC78" i="39" l="1"/>
  <c r="CC66" i="39"/>
  <c r="CC146" i="39"/>
  <c r="CD143" i="39" s="1"/>
  <c r="CD120" i="5"/>
  <c r="CC122" i="39" l="1"/>
  <c r="CC120" i="39"/>
  <c r="CC81" i="39"/>
  <c r="CE83" i="5"/>
  <c r="CC163" i="39" l="1"/>
  <c r="CC98" i="39"/>
  <c r="CE100" i="5"/>
  <c r="CC99" i="39" l="1"/>
  <c r="CC90" i="39"/>
  <c r="CC121" i="39"/>
  <c r="CC164" i="39"/>
  <c r="CE123" i="5"/>
  <c r="CC183" i="39" l="1"/>
  <c r="CC182" i="39" s="1"/>
  <c r="CD161" i="39"/>
  <c r="CC119" i="39" a="1"/>
  <c r="CC119" i="39" s="1"/>
  <c r="CC88" i="39"/>
  <c r="CC107" i="39"/>
  <c r="CE120" i="5"/>
  <c r="CC185" i="39" l="1"/>
  <c r="CC184" i="39" s="1"/>
  <c r="CC187" i="39" s="1"/>
  <c r="CC117" i="39" s="1"/>
  <c r="CC92" i="39"/>
  <c r="CC94" i="39" s="1"/>
  <c r="CC95" i="39" s="1"/>
  <c r="CC108" i="39"/>
  <c r="CC109" i="39"/>
  <c r="CC110" i="39" s="1"/>
  <c r="CD165" i="39"/>
  <c r="CC118" i="39"/>
  <c r="CC116" i="39"/>
  <c r="CF83" i="5"/>
  <c r="CD91" i="39" l="1"/>
  <c r="CD63" i="39"/>
  <c r="CD64" i="39" s="1"/>
  <c r="CD135" i="39"/>
  <c r="CD136" i="39" s="1"/>
  <c r="CD93" i="39"/>
  <c r="CC171" i="39"/>
  <c r="CC170" i="39" s="1"/>
  <c r="CF100" i="5"/>
  <c r="CD144" i="39" l="1"/>
  <c r="CD145" i="39" s="1"/>
  <c r="CD137" i="39" s="1"/>
  <c r="CD138" i="39" s="1"/>
  <c r="CD139" i="39" s="1" a="1"/>
  <c r="CD139" i="39" s="1"/>
  <c r="CD65" i="39" s="1"/>
  <c r="CD78" i="39" s="1"/>
  <c r="CC177" i="39"/>
  <c r="CC115" i="39"/>
  <c r="CF123" i="5"/>
  <c r="CD81" i="39" l="1"/>
  <c r="CD120" i="39"/>
  <c r="CD122" i="39"/>
  <c r="CD66" i="39"/>
  <c r="CC189" i="39"/>
  <c r="CC190" i="39"/>
  <c r="CD146" i="39"/>
  <c r="CE143" i="39" s="1"/>
  <c r="CF120" i="5"/>
  <c r="CD163" i="39" l="1"/>
  <c r="CD98" i="39"/>
  <c r="CG83" i="5"/>
  <c r="CD99" i="39" l="1"/>
  <c r="CD90" i="39"/>
  <c r="CD121" i="39"/>
  <c r="CD164" i="39"/>
  <c r="CG100" i="5"/>
  <c r="CD183" i="39" l="1"/>
  <c r="CD182" i="39" s="1"/>
  <c r="CE161" i="39"/>
  <c r="CD119" i="39" a="1"/>
  <c r="CD119" i="39" s="1"/>
  <c r="CD88" i="39"/>
  <c r="CD107" i="39"/>
  <c r="CG123" i="5"/>
  <c r="CD108" i="39" l="1"/>
  <c r="CD109" i="39"/>
  <c r="CD110" i="39" s="1"/>
  <c r="CD185" i="39"/>
  <c r="CD184" i="39" s="1"/>
  <c r="CD187" i="39" s="1"/>
  <c r="CD117" i="39" s="1"/>
  <c r="CD92" i="39"/>
  <c r="CD94" i="39" s="1"/>
  <c r="CD95" i="39" s="1"/>
  <c r="CE165" i="39"/>
  <c r="CD118" i="39"/>
  <c r="CG120" i="5"/>
  <c r="CD116" i="39" l="1"/>
  <c r="CE93" i="39"/>
  <c r="CD171" i="39"/>
  <c r="CD170" i="39" s="1"/>
  <c r="CE135" i="39"/>
  <c r="CE136" i="39" s="1"/>
  <c r="CE91" i="39"/>
  <c r="CE63" i="39"/>
  <c r="CE64" i="39" s="1"/>
  <c r="CH83" i="5"/>
  <c r="CE144" i="39" l="1"/>
  <c r="CE145" i="39"/>
  <c r="CE137" i="39" s="1"/>
  <c r="CE138" i="39" s="1"/>
  <c r="CE139" i="39" s="1" a="1"/>
  <c r="CE139" i="39" s="1"/>
  <c r="CE65" i="39" s="1"/>
  <c r="CE78" i="39" s="1"/>
  <c r="CD177" i="39"/>
  <c r="CD115" i="39"/>
  <c r="CH100" i="5"/>
  <c r="CD190" i="39" l="1"/>
  <c r="CD189" i="39"/>
  <c r="CE66" i="39"/>
  <c r="CE122" i="39"/>
  <c r="CE120" i="39"/>
  <c r="CE81" i="39"/>
  <c r="CE146" i="39"/>
  <c r="CF143" i="39" s="1"/>
  <c r="CH123" i="5"/>
  <c r="CE163" i="39" l="1"/>
  <c r="CE98" i="39"/>
  <c r="CH120" i="5"/>
  <c r="CE99" i="39" l="1"/>
  <c r="CE90" i="39"/>
  <c r="CE121" i="39"/>
  <c r="CE164" i="39"/>
  <c r="CI83" i="5"/>
  <c r="CE183" i="39" l="1"/>
  <c r="CE182" i="39" s="1"/>
  <c r="CF161" i="39"/>
  <c r="CE119" i="39" a="1"/>
  <c r="CE119" i="39" s="1"/>
  <c r="CE88" i="39"/>
  <c r="CE107" i="39"/>
  <c r="CI100" i="5"/>
  <c r="CE185" i="39" l="1"/>
  <c r="CE184" i="39" s="1"/>
  <c r="CE92" i="39"/>
  <c r="CE94" i="39" s="1"/>
  <c r="CE95" i="39" s="1"/>
  <c r="CE109" i="39"/>
  <c r="CE110" i="39" s="1"/>
  <c r="CE108" i="39"/>
  <c r="CF165" i="39"/>
  <c r="CE116" i="39"/>
  <c r="CE118" i="39"/>
  <c r="CE187" i="39"/>
  <c r="CE117" i="39" s="1"/>
  <c r="CI123" i="5"/>
  <c r="CE171" i="39" l="1"/>
  <c r="CE170" i="39" s="1"/>
  <c r="CF93" i="39"/>
  <c r="CF135" i="39"/>
  <c r="CF136" i="39" s="1"/>
  <c r="CF144" i="39" s="1"/>
  <c r="CF91" i="39"/>
  <c r="CF63" i="39"/>
  <c r="CF64" i="39" s="1"/>
  <c r="CI120" i="5"/>
  <c r="CF145" i="39" l="1"/>
  <c r="CF137" i="39" s="1"/>
  <c r="CF138" i="39" s="1"/>
  <c r="CF139" i="39" s="1" a="1"/>
  <c r="CF139" i="39" s="1"/>
  <c r="CF65" i="39" s="1"/>
  <c r="CF78" i="39" s="1"/>
  <c r="CE177" i="39"/>
  <c r="CE115" i="39"/>
  <c r="CJ83" i="5"/>
  <c r="CF122" i="39" l="1"/>
  <c r="CF120" i="39"/>
  <c r="CF81" i="39"/>
  <c r="CE189" i="39"/>
  <c r="CE190" i="39"/>
  <c r="CF146" i="39"/>
  <c r="CG143" i="39" s="1"/>
  <c r="CF66" i="39"/>
  <c r="CJ100" i="5"/>
  <c r="CF163" i="39" l="1"/>
  <c r="CF98" i="39"/>
  <c r="CJ123" i="5"/>
  <c r="CF99" i="39" l="1"/>
  <c r="CF90" i="39"/>
  <c r="CF121" i="39"/>
  <c r="CF164" i="39"/>
  <c r="CJ120" i="5"/>
  <c r="CG161" i="39" l="1"/>
  <c r="CF183" i="39"/>
  <c r="CF182" i="39" s="1"/>
  <c r="CF119" i="39" a="1"/>
  <c r="CF119" i="39" s="1"/>
  <c r="CF88" i="39"/>
  <c r="CF107" i="39"/>
  <c r="CK83" i="5"/>
  <c r="CF108" i="39" l="1"/>
  <c r="CF109" i="39"/>
  <c r="CF110" i="39" s="1"/>
  <c r="CF185" i="39"/>
  <c r="CF184" i="39" s="1"/>
  <c r="CF116" i="39" s="1"/>
  <c r="CF92" i="39"/>
  <c r="CF94" i="39" s="1"/>
  <c r="CF95" i="39" s="1"/>
  <c r="CF118" i="39"/>
  <c r="CG165" i="39"/>
  <c r="CK100" i="5"/>
  <c r="CF187" i="39" l="1"/>
  <c r="CF117" i="39" s="1"/>
  <c r="CG93" i="39"/>
  <c r="CF171" i="39"/>
  <c r="CF170" i="39" s="1"/>
  <c r="CG135" i="39"/>
  <c r="CG136" i="39" s="1"/>
  <c r="CG144" i="39" s="1"/>
  <c r="CG91" i="39"/>
  <c r="CG63" i="39"/>
  <c r="CG64" i="39" s="1"/>
  <c r="CK123" i="5"/>
  <c r="CF177" i="39" l="1"/>
  <c r="CF115" i="39"/>
  <c r="CG145" i="39"/>
  <c r="CG137" i="39" s="1"/>
  <c r="CG138" i="39" s="1"/>
  <c r="CG139" i="39" s="1" a="1"/>
  <c r="CG139" i="39" s="1"/>
  <c r="CG65" i="39" s="1"/>
  <c r="CG78" i="39" s="1"/>
  <c r="CK120" i="5"/>
  <c r="CG146" i="39" l="1"/>
  <c r="CH143" i="39" s="1"/>
  <c r="CF190" i="39"/>
  <c r="CF189" i="39"/>
  <c r="CG122" i="39"/>
  <c r="CG120" i="39"/>
  <c r="CG81" i="39"/>
  <c r="CG66" i="39"/>
  <c r="CL83" i="5"/>
  <c r="CG163" i="39" l="1"/>
  <c r="CG98" i="39"/>
  <c r="CL100" i="5"/>
  <c r="CG99" i="39" l="1"/>
  <c r="CG90" i="39"/>
  <c r="CG121" i="39"/>
  <c r="CG164" i="39"/>
  <c r="CL123" i="5"/>
  <c r="CH161" i="39" l="1"/>
  <c r="CG183" i="39"/>
  <c r="CG182" i="39" s="1"/>
  <c r="CG119" i="39" a="1"/>
  <c r="CG119" i="39" s="1"/>
  <c r="CG88" i="39"/>
  <c r="CG107" i="39"/>
  <c r="CL120" i="5"/>
  <c r="CG108" i="39" l="1"/>
  <c r="CG109" i="39"/>
  <c r="CG110" i="39" s="1"/>
  <c r="CG185" i="39"/>
  <c r="CG184" i="39" s="1"/>
  <c r="CG187" i="39" s="1"/>
  <c r="CG117" i="39" s="1"/>
  <c r="CG92" i="39"/>
  <c r="CG94" i="39" s="1"/>
  <c r="CG95" i="39" s="1"/>
  <c r="CG118" i="39"/>
  <c r="CH165" i="39"/>
  <c r="N145" i="33"/>
  <c r="T145" i="33"/>
  <c r="J145" i="33"/>
  <c r="O145" i="33"/>
  <c r="W145" i="33"/>
  <c r="S145" i="33"/>
  <c r="V145" i="33"/>
  <c r="G145" i="33"/>
  <c r="R145" i="33"/>
  <c r="Y145" i="33"/>
  <c r="K145" i="33"/>
  <c r="X145" i="33"/>
  <c r="M145" i="33"/>
  <c r="E145" i="33"/>
  <c r="Q145" i="33"/>
  <c r="I145" i="33"/>
  <c r="H145" i="33"/>
  <c r="F145" i="33"/>
  <c r="L145" i="33"/>
  <c r="P145" i="33"/>
  <c r="U145" i="33"/>
  <c r="Z145" i="33"/>
  <c r="CM83" i="5"/>
  <c r="CG116" i="39" l="1"/>
  <c r="CH135" i="39"/>
  <c r="CH136" i="39" s="1"/>
  <c r="CH144" i="39" s="1"/>
  <c r="CH91" i="39"/>
  <c r="CH63" i="39"/>
  <c r="CH64" i="39" s="1"/>
  <c r="CG171" i="39"/>
  <c r="CG170" i="39" s="1"/>
  <c r="CH93" i="39"/>
  <c r="CM100" i="5"/>
  <c r="CG177" i="39" l="1"/>
  <c r="CG115" i="39"/>
  <c r="CH145" i="39"/>
  <c r="CH137" i="39" s="1"/>
  <c r="CH138" i="39" s="1"/>
  <c r="CH139" i="39" s="1" a="1"/>
  <c r="CH139" i="39" s="1"/>
  <c r="CH65" i="39" s="1"/>
  <c r="CH78" i="39" s="1"/>
  <c r="CM123" i="5"/>
  <c r="CH122" i="39" l="1"/>
  <c r="CH120" i="39"/>
  <c r="CH81" i="39"/>
  <c r="CH146" i="39"/>
  <c r="CI143" i="39" s="1"/>
  <c r="CH66" i="39"/>
  <c r="CG189" i="39"/>
  <c r="CG190" i="39"/>
  <c r="CM120" i="5"/>
  <c r="CH163" i="39" l="1"/>
  <c r="CH98" i="39"/>
  <c r="CN65" i="5"/>
  <c r="CN138" i="5"/>
  <c r="CH90" i="39" l="1"/>
  <c r="CH121" i="39"/>
  <c r="CH164" i="39"/>
  <c r="CH99" i="39"/>
  <c r="C138" i="5"/>
  <c r="O138" i="33"/>
  <c r="N138" i="33"/>
  <c r="U138" i="33"/>
  <c r="V138" i="33"/>
  <c r="F138" i="33"/>
  <c r="E138" i="33"/>
  <c r="K138" i="33"/>
  <c r="L138" i="33"/>
  <c r="H138" i="33"/>
  <c r="W138" i="33"/>
  <c r="Z138" i="33"/>
  <c r="P138" i="33"/>
  <c r="R138" i="33"/>
  <c r="Y138" i="33"/>
  <c r="G138" i="33"/>
  <c r="T138" i="33"/>
  <c r="Q138" i="33"/>
  <c r="I138" i="33"/>
  <c r="M138" i="33"/>
  <c r="S138" i="33"/>
  <c r="X138" i="33"/>
  <c r="J138" i="33"/>
  <c r="W65" i="33"/>
  <c r="P65" i="33"/>
  <c r="O65" i="33"/>
  <c r="M65" i="33"/>
  <c r="S65" i="33"/>
  <c r="G65" i="33"/>
  <c r="U65" i="33"/>
  <c r="Y65" i="33"/>
  <c r="T65" i="33"/>
  <c r="F65" i="33"/>
  <c r="H65" i="33"/>
  <c r="E65" i="33"/>
  <c r="N65" i="33"/>
  <c r="V65" i="33"/>
  <c r="Q65" i="33"/>
  <c r="R65" i="33"/>
  <c r="X65" i="33"/>
  <c r="I65" i="33"/>
  <c r="L65" i="33"/>
  <c r="J65" i="33"/>
  <c r="K65" i="33"/>
  <c r="Z65" i="33"/>
  <c r="CN146" i="5"/>
  <c r="C65" i="5"/>
  <c r="CH183" i="39" l="1"/>
  <c r="CH182" i="39" s="1"/>
  <c r="CI161" i="39"/>
  <c r="CH119" i="39" a="1"/>
  <c r="CH119" i="39" s="1"/>
  <c r="CH88" i="39"/>
  <c r="CH107" i="39"/>
  <c r="C65" i="33"/>
  <c r="C138" i="33"/>
  <c r="CN147" i="5"/>
  <c r="C146" i="5"/>
  <c r="W146" i="33"/>
  <c r="O146" i="33"/>
  <c r="Q146" i="33"/>
  <c r="F146" i="33"/>
  <c r="N146" i="33"/>
  <c r="X146" i="33"/>
  <c r="E146" i="33"/>
  <c r="K146" i="33"/>
  <c r="T146" i="33"/>
  <c r="S146" i="33"/>
  <c r="H146" i="33"/>
  <c r="Z146" i="33"/>
  <c r="M146" i="33"/>
  <c r="J146" i="33"/>
  <c r="P146" i="33"/>
  <c r="V146" i="33"/>
  <c r="G146" i="33"/>
  <c r="L146" i="33"/>
  <c r="R146" i="33"/>
  <c r="I146" i="33"/>
  <c r="U146" i="33"/>
  <c r="Y146" i="33"/>
  <c r="CH109" i="39" l="1"/>
  <c r="CH110" i="39" s="1"/>
  <c r="CH108" i="39"/>
  <c r="CH185" i="39"/>
  <c r="CH184" i="39" s="1"/>
  <c r="CH187" i="39" s="1"/>
  <c r="CH117" i="39" s="1"/>
  <c r="CH92" i="39"/>
  <c r="CH94" i="39" s="1"/>
  <c r="CH95" i="39" s="1"/>
  <c r="CI165" i="39"/>
  <c r="CH118" i="39"/>
  <c r="CN139" i="5"/>
  <c r="C146" i="33"/>
  <c r="C147" i="5"/>
  <c r="H147" i="33"/>
  <c r="I147" i="33"/>
  <c r="T147" i="33"/>
  <c r="L147" i="33"/>
  <c r="M147" i="33"/>
  <c r="Y147" i="33"/>
  <c r="J147" i="33"/>
  <c r="Q147" i="33"/>
  <c r="K147" i="33"/>
  <c r="O147" i="33"/>
  <c r="Z147" i="33"/>
  <c r="W147" i="33"/>
  <c r="N147" i="33"/>
  <c r="E147" i="33"/>
  <c r="X147" i="33"/>
  <c r="V147" i="33"/>
  <c r="U147" i="33"/>
  <c r="P147" i="33"/>
  <c r="R147" i="33"/>
  <c r="F147" i="33"/>
  <c r="S147" i="33"/>
  <c r="G147" i="33"/>
  <c r="O148" i="33"/>
  <c r="J148" i="33"/>
  <c r="R148" i="33"/>
  <c r="X148" i="33"/>
  <c r="H148" i="33"/>
  <c r="K148" i="33"/>
  <c r="M148" i="33"/>
  <c r="V148" i="33"/>
  <c r="I148" i="33"/>
  <c r="P148" i="33"/>
  <c r="E148" i="33"/>
  <c r="Y148" i="33"/>
  <c r="F148" i="33"/>
  <c r="L148" i="33"/>
  <c r="T148" i="33"/>
  <c r="N148" i="33"/>
  <c r="U148" i="33"/>
  <c r="G148" i="33"/>
  <c r="Z148" i="33"/>
  <c r="S148" i="33"/>
  <c r="Q148" i="33"/>
  <c r="W148" i="33"/>
  <c r="C139" i="5"/>
  <c r="G139" i="33"/>
  <c r="V139" i="33"/>
  <c r="H139" i="33"/>
  <c r="S139" i="33"/>
  <c r="L139" i="33"/>
  <c r="Z139" i="33"/>
  <c r="O139" i="33"/>
  <c r="R139" i="33"/>
  <c r="K139" i="33"/>
  <c r="U139" i="33"/>
  <c r="P139" i="33"/>
  <c r="J139" i="33"/>
  <c r="W139" i="33"/>
  <c r="I139" i="33"/>
  <c r="Q139" i="33"/>
  <c r="T139" i="33"/>
  <c r="M139" i="33"/>
  <c r="E139" i="33"/>
  <c r="N139" i="33"/>
  <c r="Y139" i="33"/>
  <c r="X139" i="33"/>
  <c r="F139" i="33"/>
  <c r="CN140" i="5"/>
  <c r="CH116" i="39" l="1"/>
  <c r="CI135" i="39"/>
  <c r="CI136" i="39" s="1"/>
  <c r="CI91" i="39"/>
  <c r="CI63" i="39"/>
  <c r="CI64" i="39" s="1"/>
  <c r="CH171" i="39"/>
  <c r="CH170" i="39" s="1"/>
  <c r="CI93" i="39"/>
  <c r="C147" i="33"/>
  <c r="C140" i="5"/>
  <c r="Q140" i="33"/>
  <c r="K140" i="33"/>
  <c r="P140" i="33"/>
  <c r="U140" i="33"/>
  <c r="V140" i="33"/>
  <c r="T140" i="33"/>
  <c r="E140" i="33"/>
  <c r="J140" i="33"/>
  <c r="N140" i="33"/>
  <c r="L140" i="33"/>
  <c r="M140" i="33"/>
  <c r="H140" i="33"/>
  <c r="G140" i="33"/>
  <c r="F140" i="33"/>
  <c r="Y140" i="33"/>
  <c r="Z140" i="33"/>
  <c r="I140" i="33"/>
  <c r="X140" i="33"/>
  <c r="O140" i="33"/>
  <c r="S140" i="33"/>
  <c r="W140" i="33"/>
  <c r="R140" i="33"/>
  <c r="C139" i="33"/>
  <c r="CN141" i="5"/>
  <c r="CH177" i="39" l="1"/>
  <c r="CH115" i="39"/>
  <c r="CI144" i="39"/>
  <c r="CI145" i="39" s="1"/>
  <c r="CI137" i="39" s="1"/>
  <c r="CI138" i="39" s="1"/>
  <c r="CI139" i="39" s="1" a="1"/>
  <c r="CI139" i="39" s="1"/>
  <c r="CI65" i="39" s="1"/>
  <c r="CI78" i="39" s="1"/>
  <c r="C141" i="5"/>
  <c r="U141" i="33"/>
  <c r="K141" i="33"/>
  <c r="W141" i="33"/>
  <c r="Q141" i="33"/>
  <c r="O141" i="33"/>
  <c r="L141" i="33"/>
  <c r="S141" i="33"/>
  <c r="M141" i="33"/>
  <c r="F141" i="33"/>
  <c r="I141" i="33"/>
  <c r="P141" i="33"/>
  <c r="G141" i="33"/>
  <c r="R141" i="33"/>
  <c r="E141" i="33"/>
  <c r="T141" i="33"/>
  <c r="Z141" i="33"/>
  <c r="X141" i="33"/>
  <c r="J141" i="33"/>
  <c r="H141" i="33"/>
  <c r="V141" i="33"/>
  <c r="N141" i="33"/>
  <c r="Y141" i="33"/>
  <c r="C140" i="33"/>
  <c r="CN66" i="5"/>
  <c r="CI122" i="39" l="1"/>
  <c r="CI120" i="39"/>
  <c r="CI81" i="39"/>
  <c r="CI146" i="39"/>
  <c r="CJ143" i="39" s="1"/>
  <c r="CI66" i="39"/>
  <c r="CH190" i="39"/>
  <c r="CH189" i="39"/>
  <c r="C141" i="33"/>
  <c r="K66" i="33"/>
  <c r="Y66" i="33"/>
  <c r="R66" i="33"/>
  <c r="S66" i="33"/>
  <c r="E66" i="33"/>
  <c r="J66" i="33"/>
  <c r="N66" i="33"/>
  <c r="I66" i="33"/>
  <c r="Q66" i="33"/>
  <c r="L66" i="33"/>
  <c r="H66" i="33"/>
  <c r="M66" i="33"/>
  <c r="T66" i="33"/>
  <c r="O66" i="33"/>
  <c r="G66" i="33"/>
  <c r="P66" i="33"/>
  <c r="Z66" i="33"/>
  <c r="U66" i="33"/>
  <c r="W66" i="33"/>
  <c r="V66" i="33"/>
  <c r="F66" i="33"/>
  <c r="X66" i="33"/>
  <c r="CN80" i="5"/>
  <c r="CN67" i="5"/>
  <c r="CI163" i="39" l="1"/>
  <c r="CI98" i="39"/>
  <c r="C66" i="33"/>
  <c r="S80" i="33"/>
  <c r="F80" i="33"/>
  <c r="E80" i="33"/>
  <c r="U80" i="33"/>
  <c r="Z80" i="33"/>
  <c r="P80" i="33"/>
  <c r="Q80" i="33"/>
  <c r="X80" i="33"/>
  <c r="K80" i="33"/>
  <c r="H80" i="33"/>
  <c r="Y80" i="33"/>
  <c r="T80" i="33"/>
  <c r="O80" i="33"/>
  <c r="G80" i="33"/>
  <c r="V80" i="33"/>
  <c r="N80" i="33"/>
  <c r="M80" i="33"/>
  <c r="I80" i="33"/>
  <c r="L80" i="33"/>
  <c r="R80" i="33"/>
  <c r="W80" i="33"/>
  <c r="J80" i="33"/>
  <c r="K67" i="33"/>
  <c r="F67" i="33"/>
  <c r="O67" i="33"/>
  <c r="R67" i="33"/>
  <c r="W67" i="33"/>
  <c r="X67" i="33"/>
  <c r="E67" i="33"/>
  <c r="T67" i="33"/>
  <c r="S67" i="33"/>
  <c r="Q67" i="33"/>
  <c r="N67" i="33"/>
  <c r="L67" i="33"/>
  <c r="Y67" i="33"/>
  <c r="U67" i="33"/>
  <c r="P67" i="33"/>
  <c r="H67" i="33"/>
  <c r="I67" i="33"/>
  <c r="J67" i="33"/>
  <c r="V67" i="33"/>
  <c r="Z67" i="33"/>
  <c r="M67" i="33"/>
  <c r="G67" i="33"/>
  <c r="C67" i="5"/>
  <c r="CN83" i="5"/>
  <c r="C80" i="5"/>
  <c r="CI99" i="39" l="1"/>
  <c r="CI90" i="39"/>
  <c r="CI121" i="39"/>
  <c r="CI164" i="39"/>
  <c r="F83" i="33"/>
  <c r="X83" i="33"/>
  <c r="Y83" i="33"/>
  <c r="Z83" i="33"/>
  <c r="S83" i="33"/>
  <c r="U83" i="33"/>
  <c r="V83" i="33"/>
  <c r="L83" i="33"/>
  <c r="J83" i="33"/>
  <c r="O83" i="33"/>
  <c r="Q83" i="33"/>
  <c r="E83" i="33"/>
  <c r="M83" i="33"/>
  <c r="P83" i="33"/>
  <c r="W83" i="33"/>
  <c r="G83" i="33"/>
  <c r="H83" i="33"/>
  <c r="K83" i="33"/>
  <c r="N83" i="33"/>
  <c r="I83" i="33"/>
  <c r="T83" i="33"/>
  <c r="R83" i="33"/>
  <c r="C124" i="33"/>
  <c r="C67" i="33"/>
  <c r="C80" i="33"/>
  <c r="C125" i="5" a="1"/>
  <c r="CN100" i="5"/>
  <c r="C83" i="5"/>
  <c r="CI183" i="39" l="1"/>
  <c r="CI182" i="39" s="1"/>
  <c r="CJ161" i="39"/>
  <c r="CI119" i="39" a="1"/>
  <c r="CI119" i="39" s="1"/>
  <c r="CI88" i="39"/>
  <c r="CI107" i="39"/>
  <c r="C83" i="33"/>
  <c r="CN123" i="5"/>
  <c r="CI185" i="39" l="1"/>
  <c r="CI184" i="39" s="1"/>
  <c r="CI92" i="39"/>
  <c r="CI94" i="39" s="1"/>
  <c r="CI95" i="39" s="1"/>
  <c r="CI109" i="39"/>
  <c r="CI110" i="39" s="1"/>
  <c r="CI108" i="39"/>
  <c r="CJ165" i="39"/>
  <c r="CI118" i="39"/>
  <c r="CI187" i="39"/>
  <c r="CI117" i="39" s="1"/>
  <c r="CI116" i="39"/>
  <c r="CN96" i="5"/>
  <c r="CN120" i="5"/>
  <c r="CI171" i="39" l="1"/>
  <c r="CI170" i="39" s="1"/>
  <c r="CJ93" i="39"/>
  <c r="CJ135" i="39"/>
  <c r="CJ136" i="39" s="1"/>
  <c r="CJ144" i="39" s="1"/>
  <c r="CJ91" i="39"/>
  <c r="CJ63" i="39"/>
  <c r="CJ64" i="39" s="1"/>
  <c r="C106" i="5" a="1"/>
  <c r="C104" i="5" a="1"/>
  <c r="C113" i="5" a="1"/>
  <c r="CJ145" i="39" l="1"/>
  <c r="CJ137" i="39" s="1"/>
  <c r="CJ138" i="39" s="1"/>
  <c r="CJ139" i="39" s="1" a="1"/>
  <c r="CJ139" i="39" s="1"/>
  <c r="CJ65" i="39" s="1"/>
  <c r="CJ78" i="39" s="1"/>
  <c r="CJ146" i="39"/>
  <c r="CK143" i="39" s="1"/>
  <c r="CI177" i="39"/>
  <c r="CI115" i="39"/>
  <c r="X138" i="5"/>
  <c r="X140" i="5" s="1"/>
  <c r="X141" i="5" s="1"/>
  <c r="X66" i="5" s="1"/>
  <c r="F148" i="5"/>
  <c r="G145" i="5" s="1"/>
  <c r="G148" i="5" s="1"/>
  <c r="H145" i="5" s="1"/>
  <c r="H148" i="5" s="1"/>
  <c r="I145" i="5" s="1"/>
  <c r="I148" i="5" s="1"/>
  <c r="J145" i="5" s="1"/>
  <c r="J148" i="5" s="1"/>
  <c r="K145" i="5" s="1"/>
  <c r="K148" i="5" s="1"/>
  <c r="L145" i="5" s="1"/>
  <c r="L148" i="5" s="1"/>
  <c r="M145" i="5" s="1"/>
  <c r="M148" i="5" s="1"/>
  <c r="N145" i="5" s="1"/>
  <c r="N148" i="5" s="1"/>
  <c r="O145" i="5" s="1"/>
  <c r="O148" i="5" s="1"/>
  <c r="P145" i="5" s="1"/>
  <c r="P148" i="5" s="1"/>
  <c r="Q145" i="5" s="1"/>
  <c r="Q148" i="5" s="1"/>
  <c r="R145" i="5" s="1"/>
  <c r="R148" i="5" s="1"/>
  <c r="S145" i="5" s="1"/>
  <c r="S148" i="5" s="1"/>
  <c r="T145" i="5" s="1"/>
  <c r="T148" i="5" s="1"/>
  <c r="U145" i="5" s="1"/>
  <c r="U148" i="5" s="1"/>
  <c r="V145" i="5" s="1"/>
  <c r="V148" i="5" s="1"/>
  <c r="W145" i="5" s="1"/>
  <c r="W148" i="5" s="1"/>
  <c r="X145" i="5" s="1"/>
  <c r="X148" i="5" s="1"/>
  <c r="Y145" i="5" s="1"/>
  <c r="Y148" i="5" s="1"/>
  <c r="Z145" i="5" s="1"/>
  <c r="Z148" i="5" s="1"/>
  <c r="AA145" i="5" s="1"/>
  <c r="AA148" i="5" s="1"/>
  <c r="AB145" i="5" s="1"/>
  <c r="AB148" i="5" s="1"/>
  <c r="AC145" i="5" s="1"/>
  <c r="AC148" i="5" s="1"/>
  <c r="AD145" i="5" s="1"/>
  <c r="AD148" i="5" s="1"/>
  <c r="AE145" i="5" s="1"/>
  <c r="AE148" i="5" s="1"/>
  <c r="AF145" i="5" s="1"/>
  <c r="AF148" i="5" s="1"/>
  <c r="AG145" i="5" s="1"/>
  <c r="AG148" i="5" s="1"/>
  <c r="AH145" i="5" s="1"/>
  <c r="AH148" i="5" s="1"/>
  <c r="AI145" i="5" s="1"/>
  <c r="AI148" i="5" s="1"/>
  <c r="AJ145" i="5" s="1"/>
  <c r="AJ148" i="5" s="1"/>
  <c r="AK145" i="5" s="1"/>
  <c r="AK148" i="5" s="1"/>
  <c r="AL145" i="5" s="1"/>
  <c r="AL148" i="5" s="1"/>
  <c r="AM145" i="5" s="1"/>
  <c r="AM148" i="5" s="1"/>
  <c r="AN145" i="5" s="1"/>
  <c r="AN148" i="5" s="1"/>
  <c r="AO145" i="5" s="1"/>
  <c r="AO148" i="5" s="1"/>
  <c r="AP145" i="5" s="1"/>
  <c r="AP148" i="5" s="1"/>
  <c r="AQ145" i="5" s="1"/>
  <c r="AQ148" i="5" s="1"/>
  <c r="AR145" i="5" s="1"/>
  <c r="AR148" i="5" s="1"/>
  <c r="AS145" i="5" s="1"/>
  <c r="AS148" i="5" s="1"/>
  <c r="AT145" i="5" s="1"/>
  <c r="AT148" i="5" s="1"/>
  <c r="AU145" i="5" s="1"/>
  <c r="AU148" i="5" s="1"/>
  <c r="AV145" i="5" s="1"/>
  <c r="AV148" i="5" s="1"/>
  <c r="AW145" i="5" s="1"/>
  <c r="AW148" i="5" s="1"/>
  <c r="AX145" i="5" s="1"/>
  <c r="AX148" i="5" s="1"/>
  <c r="AY145" i="5" s="1"/>
  <c r="AY148" i="5" s="1"/>
  <c r="AZ145" i="5" s="1"/>
  <c r="AZ148" i="5" s="1"/>
  <c r="BA145" i="5" s="1"/>
  <c r="BA148" i="5" s="1"/>
  <c r="BB145" i="5" s="1"/>
  <c r="BB148" i="5" s="1"/>
  <c r="BC145" i="5" s="1"/>
  <c r="BC148" i="5" s="1"/>
  <c r="BD145" i="5" s="1"/>
  <c r="BD148" i="5" s="1"/>
  <c r="BE145" i="5" s="1"/>
  <c r="BE148" i="5" s="1"/>
  <c r="BF145" i="5" s="1"/>
  <c r="BF148" i="5" s="1"/>
  <c r="BG145" i="5" s="1"/>
  <c r="BG148" i="5" s="1"/>
  <c r="BH145" i="5" s="1"/>
  <c r="BH148" i="5" s="1"/>
  <c r="BI145" i="5" s="1"/>
  <c r="BI148" i="5" s="1"/>
  <c r="BJ145" i="5" s="1"/>
  <c r="BJ148" i="5" s="1"/>
  <c r="BK145" i="5" s="1"/>
  <c r="BK148" i="5" s="1"/>
  <c r="BL145" i="5" s="1"/>
  <c r="BL148" i="5" s="1"/>
  <c r="BM145" i="5" s="1"/>
  <c r="BM148" i="5" s="1"/>
  <c r="BN145" i="5" s="1"/>
  <c r="BN148" i="5" s="1"/>
  <c r="BO145" i="5" s="1"/>
  <c r="BO148" i="5" s="1"/>
  <c r="BP145" i="5" s="1"/>
  <c r="BP148" i="5" s="1"/>
  <c r="BQ145" i="5" s="1"/>
  <c r="BQ148" i="5" s="1"/>
  <c r="BR145" i="5" s="1"/>
  <c r="BR148" i="5" s="1"/>
  <c r="BS145" i="5" s="1"/>
  <c r="BS148" i="5" s="1"/>
  <c r="BT145" i="5" s="1"/>
  <c r="BT148" i="5" s="1"/>
  <c r="BU145" i="5" s="1"/>
  <c r="BU148" i="5" s="1"/>
  <c r="BV145" i="5" s="1"/>
  <c r="BV148" i="5" s="1"/>
  <c r="BW145" i="5" s="1"/>
  <c r="BW148" i="5" s="1"/>
  <c r="BX145" i="5" s="1"/>
  <c r="BX148" i="5" s="1"/>
  <c r="BY145" i="5" s="1"/>
  <c r="BY148" i="5" s="1"/>
  <c r="BZ145" i="5" s="1"/>
  <c r="BZ148" i="5" s="1"/>
  <c r="CA145" i="5" s="1"/>
  <c r="CA148" i="5" s="1"/>
  <c r="CB145" i="5" s="1"/>
  <c r="CB148" i="5" s="1"/>
  <c r="CC145" i="5" s="1"/>
  <c r="CC148" i="5" s="1"/>
  <c r="CD145" i="5" s="1"/>
  <c r="CD148" i="5" s="1"/>
  <c r="CE145" i="5" s="1"/>
  <c r="CE148" i="5" s="1"/>
  <c r="CF145" i="5" s="1"/>
  <c r="CF148" i="5" s="1"/>
  <c r="CG145" i="5" s="1"/>
  <c r="CG148" i="5" s="1"/>
  <c r="CH145" i="5" s="1"/>
  <c r="CH148" i="5" s="1"/>
  <c r="CI145" i="5" s="1"/>
  <c r="CI148" i="5" s="1"/>
  <c r="CJ145" i="5" s="1"/>
  <c r="CJ148" i="5" s="1"/>
  <c r="CK145" i="5" s="1"/>
  <c r="CK148" i="5" s="1"/>
  <c r="CL145" i="5" s="1"/>
  <c r="CL148" i="5" s="1"/>
  <c r="CM145" i="5" s="1"/>
  <c r="CM148" i="5" s="1"/>
  <c r="CN145" i="5" s="1"/>
  <c r="CN148" i="5" s="1"/>
  <c r="CM96" i="5"/>
  <c r="CM138" i="5"/>
  <c r="CM65" i="5"/>
  <c r="CM67" i="5" s="1"/>
  <c r="CL96" i="5"/>
  <c r="CL138" i="5"/>
  <c r="CL140" i="5" s="1"/>
  <c r="CL141" i="5" s="1"/>
  <c r="CL66" i="5" s="1"/>
  <c r="CL80" i="5" s="1"/>
  <c r="CL65" i="5"/>
  <c r="CL67" i="5" s="1"/>
  <c r="CK96" i="5"/>
  <c r="CK138" i="5"/>
  <c r="CK147" i="5" s="1"/>
  <c r="CK139" i="5" s="1"/>
  <c r="CK65" i="5"/>
  <c r="CK67" i="5" s="1"/>
  <c r="CJ96" i="5"/>
  <c r="CJ138" i="5"/>
  <c r="CJ140" i="5" s="1"/>
  <c r="CJ141" i="5" s="1"/>
  <c r="CJ66" i="5" s="1"/>
  <c r="CJ80" i="5" s="1"/>
  <c r="CJ65" i="5"/>
  <c r="CJ67" i="5" s="1"/>
  <c r="CI96" i="5"/>
  <c r="CI138" i="5"/>
  <c r="CI147" i="5" s="1"/>
  <c r="CI139" i="5" s="1"/>
  <c r="CI65" i="5"/>
  <c r="CI67" i="5" s="1"/>
  <c r="CH96" i="5"/>
  <c r="CH138" i="5"/>
  <c r="CH140" i="5" s="1"/>
  <c r="CH141" i="5" s="1"/>
  <c r="CH66" i="5" s="1"/>
  <c r="CH80" i="5" s="1"/>
  <c r="CH65" i="5"/>
  <c r="CH67" i="5" s="1"/>
  <c r="CG96" i="5"/>
  <c r="CG138" i="5"/>
  <c r="CG147" i="5" s="1"/>
  <c r="CG139" i="5" s="1"/>
  <c r="CG65" i="5"/>
  <c r="CG67" i="5" s="1"/>
  <c r="CF96" i="5"/>
  <c r="CF138" i="5"/>
  <c r="CF140" i="5" s="1"/>
  <c r="CF141" i="5" s="1"/>
  <c r="CF66" i="5" s="1"/>
  <c r="CF80" i="5" s="1"/>
  <c r="CF65" i="5"/>
  <c r="CF67" i="5" s="1"/>
  <c r="CE96" i="5"/>
  <c r="CE138" i="5"/>
  <c r="CE147" i="5" s="1"/>
  <c r="CE139" i="5" s="1"/>
  <c r="CE65" i="5"/>
  <c r="CE67" i="5" s="1"/>
  <c r="CD96" i="5"/>
  <c r="CD138" i="5"/>
  <c r="CD140" i="5" s="1"/>
  <c r="CD141" i="5" s="1"/>
  <c r="CD66" i="5" s="1"/>
  <c r="CD80" i="5" s="1"/>
  <c r="CD65" i="5"/>
  <c r="CD67" i="5" s="1"/>
  <c r="CC96" i="5"/>
  <c r="CC138" i="5"/>
  <c r="CC65" i="5"/>
  <c r="CC67" i="5" s="1"/>
  <c r="CB96" i="5"/>
  <c r="CB138" i="5"/>
  <c r="CB140" i="5" s="1"/>
  <c r="CB141" i="5" s="1"/>
  <c r="CB66" i="5" s="1"/>
  <c r="CB80" i="5" s="1"/>
  <c r="CB65" i="5"/>
  <c r="CB67" i="5" s="1"/>
  <c r="CA96" i="5"/>
  <c r="CA138" i="5"/>
  <c r="CA147" i="5" s="1"/>
  <c r="CA139" i="5" s="1"/>
  <c r="CA65" i="5"/>
  <c r="CA67" i="5" s="1"/>
  <c r="BZ96" i="5"/>
  <c r="BZ138" i="5"/>
  <c r="BZ140" i="5" s="1"/>
  <c r="BZ141" i="5" s="1"/>
  <c r="BZ66" i="5" s="1"/>
  <c r="BZ80" i="5" s="1"/>
  <c r="BZ65" i="5"/>
  <c r="BZ67" i="5" s="1"/>
  <c r="BY96" i="5"/>
  <c r="BY138" i="5"/>
  <c r="BY147" i="5" s="1"/>
  <c r="BY139" i="5" s="1"/>
  <c r="BY65" i="5"/>
  <c r="BY67" i="5" s="1"/>
  <c r="BX96" i="5"/>
  <c r="BX138" i="5"/>
  <c r="BX140" i="5" s="1"/>
  <c r="BX141" i="5" s="1"/>
  <c r="BX66" i="5" s="1"/>
  <c r="BX80" i="5" s="1"/>
  <c r="BX65" i="5"/>
  <c r="BX67" i="5" s="1"/>
  <c r="BW96" i="5"/>
  <c r="BW138" i="5"/>
  <c r="BW140" i="5" s="1"/>
  <c r="BW141" i="5" s="1"/>
  <c r="BW66" i="5" s="1"/>
  <c r="BW80" i="5" s="1"/>
  <c r="BW65" i="5"/>
  <c r="BW67" i="5" s="1"/>
  <c r="BV96" i="5"/>
  <c r="BV138" i="5"/>
  <c r="BV140" i="5" s="1"/>
  <c r="BV141" i="5" s="1"/>
  <c r="BV66" i="5" s="1"/>
  <c r="BV80" i="5" s="1"/>
  <c r="BV65" i="5"/>
  <c r="BV67" i="5" s="1"/>
  <c r="BU96" i="5"/>
  <c r="BU138" i="5"/>
  <c r="BU140" i="5" s="1"/>
  <c r="BU141" i="5" s="1"/>
  <c r="BU66" i="5" s="1"/>
  <c r="BU80" i="5" s="1"/>
  <c r="BU65" i="5"/>
  <c r="BU67" i="5" s="1"/>
  <c r="BT96" i="5"/>
  <c r="BT138" i="5"/>
  <c r="BT140" i="5" s="1"/>
  <c r="BT141" i="5" s="1"/>
  <c r="BT66" i="5" s="1"/>
  <c r="BT80" i="5" s="1"/>
  <c r="BT65" i="5"/>
  <c r="BT67" i="5" s="1"/>
  <c r="BS96" i="5"/>
  <c r="BS138" i="5"/>
  <c r="BS140" i="5" s="1"/>
  <c r="BS141" i="5" s="1"/>
  <c r="BS66" i="5" s="1"/>
  <c r="BS80" i="5" s="1"/>
  <c r="BS65" i="5"/>
  <c r="BS67" i="5" s="1"/>
  <c r="BR96" i="5"/>
  <c r="BR138" i="5"/>
  <c r="BR140" i="5" s="1"/>
  <c r="BR141" i="5" s="1"/>
  <c r="BR66" i="5" s="1"/>
  <c r="BR80" i="5" s="1"/>
  <c r="BR65" i="5"/>
  <c r="BR67" i="5" s="1"/>
  <c r="BQ96" i="5"/>
  <c r="BQ138" i="5"/>
  <c r="BQ140" i="5" s="1"/>
  <c r="BQ141" i="5" s="1"/>
  <c r="BQ66" i="5" s="1"/>
  <c r="BQ80" i="5" s="1"/>
  <c r="BQ65" i="5"/>
  <c r="BQ67" i="5" s="1"/>
  <c r="BP96" i="5"/>
  <c r="BP138" i="5"/>
  <c r="BP140" i="5" s="1"/>
  <c r="BP141" i="5" s="1"/>
  <c r="BP66" i="5" s="1"/>
  <c r="BP80" i="5" s="1"/>
  <c r="BP65" i="5"/>
  <c r="BP67" i="5" s="1"/>
  <c r="BO96" i="5"/>
  <c r="BO138" i="5"/>
  <c r="BO140" i="5" s="1"/>
  <c r="BO141" i="5" s="1"/>
  <c r="BO66" i="5" s="1"/>
  <c r="BO80" i="5" s="1"/>
  <c r="BO65" i="5"/>
  <c r="BO67" i="5" s="1"/>
  <c r="BN96" i="5"/>
  <c r="BN138" i="5"/>
  <c r="BN140" i="5" s="1"/>
  <c r="BN141" i="5" s="1"/>
  <c r="BN66" i="5" s="1"/>
  <c r="BN80" i="5" s="1"/>
  <c r="BN65" i="5"/>
  <c r="BN67" i="5" s="1"/>
  <c r="BM96" i="5"/>
  <c r="BM138" i="5"/>
  <c r="BM147" i="5" s="1"/>
  <c r="BM139" i="5" s="1"/>
  <c r="BM65" i="5"/>
  <c r="BM67" i="5" s="1"/>
  <c r="BL96" i="5"/>
  <c r="BL138" i="5"/>
  <c r="BL140" i="5" s="1"/>
  <c r="BL141" i="5" s="1"/>
  <c r="BL66" i="5" s="1"/>
  <c r="BL80" i="5" s="1"/>
  <c r="BL65" i="5"/>
  <c r="BL67" i="5" s="1"/>
  <c r="BK96" i="5"/>
  <c r="BK138" i="5"/>
  <c r="BK147" i="5" s="1"/>
  <c r="BK139" i="5" s="1"/>
  <c r="BK65" i="5"/>
  <c r="BK67" i="5" s="1"/>
  <c r="BJ96" i="5"/>
  <c r="BJ138" i="5"/>
  <c r="BJ140" i="5" s="1"/>
  <c r="BJ141" i="5" s="1"/>
  <c r="BJ66" i="5" s="1"/>
  <c r="BJ80" i="5" s="1"/>
  <c r="BJ65" i="5"/>
  <c r="BJ67" i="5" s="1"/>
  <c r="BI96" i="5"/>
  <c r="BI138" i="5"/>
  <c r="BI147" i="5" s="1"/>
  <c r="BI139" i="5" s="1"/>
  <c r="BI65" i="5"/>
  <c r="BI67" i="5" s="1"/>
  <c r="BH96" i="5"/>
  <c r="BH138" i="5"/>
  <c r="BH140" i="5" s="1"/>
  <c r="BH141" i="5" s="1"/>
  <c r="BH66" i="5" s="1"/>
  <c r="BH80" i="5" s="1"/>
  <c r="BH65" i="5"/>
  <c r="BH67" i="5" s="1"/>
  <c r="BG96" i="5"/>
  <c r="BG138" i="5"/>
  <c r="BG146" i="5" s="1"/>
  <c r="BG65" i="5"/>
  <c r="BG67" i="5" s="1"/>
  <c r="BF96" i="5"/>
  <c r="BF138" i="5"/>
  <c r="BF140" i="5" s="1"/>
  <c r="BF141" i="5" s="1"/>
  <c r="BF66" i="5" s="1"/>
  <c r="BF80" i="5" s="1"/>
  <c r="BF65" i="5"/>
  <c r="BF67" i="5" s="1"/>
  <c r="BE96" i="5"/>
  <c r="BE138" i="5"/>
  <c r="BE147" i="5" s="1"/>
  <c r="BE139" i="5" s="1"/>
  <c r="BE65" i="5"/>
  <c r="BE67" i="5" s="1"/>
  <c r="BD96" i="5"/>
  <c r="BD138" i="5"/>
  <c r="BD140" i="5" s="1"/>
  <c r="BD141" i="5" s="1"/>
  <c r="BD66" i="5" s="1"/>
  <c r="BD80" i="5" s="1"/>
  <c r="BD65" i="5"/>
  <c r="BD67" i="5" s="1"/>
  <c r="BC96" i="5"/>
  <c r="BC138" i="5"/>
  <c r="BC147" i="5" s="1"/>
  <c r="BC139" i="5" s="1"/>
  <c r="BC65" i="5"/>
  <c r="BC67" i="5" s="1"/>
  <c r="BB96" i="5"/>
  <c r="BB138" i="5"/>
  <c r="BB140" i="5" s="1"/>
  <c r="BB141" i="5" s="1"/>
  <c r="BB66" i="5" s="1"/>
  <c r="BB80" i="5" s="1"/>
  <c r="BB65" i="5"/>
  <c r="BB67" i="5" s="1"/>
  <c r="BA96" i="5"/>
  <c r="BA138" i="5"/>
  <c r="BA146" i="5" s="1"/>
  <c r="BA65" i="5"/>
  <c r="BA67" i="5" s="1"/>
  <c r="AZ96" i="5"/>
  <c r="AZ138" i="5"/>
  <c r="AZ140" i="5" s="1"/>
  <c r="AZ141" i="5" s="1"/>
  <c r="AZ66" i="5" s="1"/>
  <c r="AZ80" i="5" s="1"/>
  <c r="AZ65" i="5"/>
  <c r="AZ67" i="5" s="1"/>
  <c r="AY96" i="5"/>
  <c r="AY138" i="5"/>
  <c r="AY146" i="5" s="1"/>
  <c r="AY65" i="5"/>
  <c r="AY67" i="5" s="1"/>
  <c r="AX96" i="5"/>
  <c r="AX138" i="5"/>
  <c r="AX146" i="5" s="1"/>
  <c r="AX65" i="5"/>
  <c r="AX67" i="5" s="1"/>
  <c r="AW96" i="5"/>
  <c r="AW138" i="5"/>
  <c r="AW146" i="5" s="1"/>
  <c r="AW65" i="5"/>
  <c r="AW67" i="5" s="1"/>
  <c r="AV96" i="5"/>
  <c r="AV138" i="5"/>
  <c r="AV140" i="5" s="1"/>
  <c r="AV141" i="5" s="1"/>
  <c r="AV66" i="5" s="1"/>
  <c r="AV80" i="5" s="1"/>
  <c r="AV65" i="5"/>
  <c r="AV67" i="5" s="1"/>
  <c r="AU96" i="5"/>
  <c r="AU138" i="5"/>
  <c r="AU147" i="5" s="1"/>
  <c r="AU139" i="5" s="1"/>
  <c r="AU65" i="5"/>
  <c r="AU67" i="5" s="1"/>
  <c r="AT96" i="5"/>
  <c r="AT138" i="5"/>
  <c r="AT140" i="5" s="1"/>
  <c r="AT141" i="5" s="1"/>
  <c r="AT66" i="5" s="1"/>
  <c r="AT80" i="5" s="1"/>
  <c r="AT65" i="5"/>
  <c r="AT67" i="5" s="1"/>
  <c r="AS96" i="5"/>
  <c r="AS138" i="5"/>
  <c r="AS147" i="5" s="1"/>
  <c r="AS139" i="5" s="1"/>
  <c r="AS65" i="5"/>
  <c r="AS67" i="5" s="1"/>
  <c r="AR96" i="5"/>
  <c r="AR138" i="5"/>
  <c r="AR140" i="5" s="1"/>
  <c r="AR141" i="5" s="1"/>
  <c r="AR66" i="5" s="1"/>
  <c r="AR80" i="5" s="1"/>
  <c r="AR65" i="5"/>
  <c r="AR67" i="5" s="1"/>
  <c r="AQ96" i="5"/>
  <c r="AQ138" i="5"/>
  <c r="AQ147" i="5" s="1"/>
  <c r="AQ139" i="5" s="1"/>
  <c r="AQ65" i="5"/>
  <c r="AQ67" i="5" s="1"/>
  <c r="AP96" i="5"/>
  <c r="AP138" i="5"/>
  <c r="AP140" i="5" s="1"/>
  <c r="AP141" i="5" s="1"/>
  <c r="AP66" i="5" s="1"/>
  <c r="AP80" i="5" s="1"/>
  <c r="AP65" i="5"/>
  <c r="AP67" i="5" s="1"/>
  <c r="AO96" i="5"/>
  <c r="AO138" i="5"/>
  <c r="AO146" i="5" s="1"/>
  <c r="AO65" i="5"/>
  <c r="AO67" i="5" s="1"/>
  <c r="AN96" i="5"/>
  <c r="AN138" i="5"/>
  <c r="AN140" i="5" s="1"/>
  <c r="AN141" i="5" s="1"/>
  <c r="AN66" i="5" s="1"/>
  <c r="AN80" i="5" s="1"/>
  <c r="AN65" i="5"/>
  <c r="AN67" i="5" s="1"/>
  <c r="AM96" i="5"/>
  <c r="AM138" i="5"/>
  <c r="AM147" i="5" s="1"/>
  <c r="AM139" i="5" s="1"/>
  <c r="AM65" i="5"/>
  <c r="AM67" i="5" s="1"/>
  <c r="AL96" i="5"/>
  <c r="AL138" i="5"/>
  <c r="AL140" i="5" s="1"/>
  <c r="AL141" i="5" s="1"/>
  <c r="AL66" i="5" s="1"/>
  <c r="AL80" i="5" s="1"/>
  <c r="AL65" i="5"/>
  <c r="AL67" i="5" s="1"/>
  <c r="AK96" i="5"/>
  <c r="AK138" i="5"/>
  <c r="AK146" i="5" s="1"/>
  <c r="AK65" i="5"/>
  <c r="AK67" i="5" s="1"/>
  <c r="AJ96" i="5"/>
  <c r="AJ138" i="5"/>
  <c r="AJ140" i="5" s="1"/>
  <c r="AJ141" i="5" s="1"/>
  <c r="AJ66" i="5" s="1"/>
  <c r="AJ80" i="5" s="1"/>
  <c r="AJ65" i="5"/>
  <c r="AJ67" i="5" s="1"/>
  <c r="AI96" i="5"/>
  <c r="AI138" i="5"/>
  <c r="AI146" i="5" s="1"/>
  <c r="AI65" i="5"/>
  <c r="AI67" i="5" s="1"/>
  <c r="AH96" i="5"/>
  <c r="AH138" i="5"/>
  <c r="AH140" i="5" s="1"/>
  <c r="AH141" i="5" s="1"/>
  <c r="AH66" i="5" s="1"/>
  <c r="AH80" i="5" s="1"/>
  <c r="AH65" i="5"/>
  <c r="AH67" i="5" s="1"/>
  <c r="AG96" i="5"/>
  <c r="AG65" i="5"/>
  <c r="AG67" i="5" s="1"/>
  <c r="AG138" i="5"/>
  <c r="AG140" i="5" s="1"/>
  <c r="AG141" i="5" s="1"/>
  <c r="AG66" i="5" s="1"/>
  <c r="AG80" i="5" s="1"/>
  <c r="AF96" i="5"/>
  <c r="AF65" i="5"/>
  <c r="AF67" i="5" s="1"/>
  <c r="AF138" i="5"/>
  <c r="AF147" i="5" s="1"/>
  <c r="AF139" i="5" s="1"/>
  <c r="AE96" i="5"/>
  <c r="AE138" i="5"/>
  <c r="AE146" i="5" s="1"/>
  <c r="AE65" i="5"/>
  <c r="AE67" i="5" s="1"/>
  <c r="AD96" i="5"/>
  <c r="AD138" i="5"/>
  <c r="AD147" i="5" s="1"/>
  <c r="AD139" i="5" s="1"/>
  <c r="AD65" i="5"/>
  <c r="AD67" i="5" s="1"/>
  <c r="AC96" i="5"/>
  <c r="AC138" i="5"/>
  <c r="AC146" i="5" s="1"/>
  <c r="AC65" i="5"/>
  <c r="AC67" i="5" s="1"/>
  <c r="AB96" i="5"/>
  <c r="AB138" i="5"/>
  <c r="AB140" i="5" s="1"/>
  <c r="AB141" i="5" s="1"/>
  <c r="AB66" i="5" s="1"/>
  <c r="AB80" i="5" s="1"/>
  <c r="AB65" i="5"/>
  <c r="AB67" i="5" s="1"/>
  <c r="AA96" i="5"/>
  <c r="AA65" i="5"/>
  <c r="AA67" i="5" s="1"/>
  <c r="AA138" i="5"/>
  <c r="AA140" i="5" s="1"/>
  <c r="AA141" i="5" s="1"/>
  <c r="AA66" i="5" s="1"/>
  <c r="AA80" i="5" s="1"/>
  <c r="Z96" i="5"/>
  <c r="Z138" i="5"/>
  <c r="Z146" i="5" s="1"/>
  <c r="Z65" i="5"/>
  <c r="Z67" i="5" s="1"/>
  <c r="Y96" i="5"/>
  <c r="Y65" i="5"/>
  <c r="Y67" i="5" s="1"/>
  <c r="Y138" i="5"/>
  <c r="Y146" i="5" s="1"/>
  <c r="X96" i="5"/>
  <c r="X65" i="5"/>
  <c r="X67" i="5" s="1"/>
  <c r="W96" i="5"/>
  <c r="W138" i="5"/>
  <c r="W140" i="5" s="1"/>
  <c r="W141" i="5" s="1"/>
  <c r="W66" i="5" s="1"/>
  <c r="W80" i="5" s="1"/>
  <c r="W65" i="5"/>
  <c r="W67" i="5" s="1"/>
  <c r="V96" i="5"/>
  <c r="V138" i="5"/>
  <c r="V146" i="5" s="1"/>
  <c r="V65" i="5"/>
  <c r="V67" i="5" s="1"/>
  <c r="U96" i="5"/>
  <c r="U65" i="5"/>
  <c r="U67" i="5" s="1"/>
  <c r="U138" i="5"/>
  <c r="U147" i="5" s="1"/>
  <c r="U139" i="5" s="1"/>
  <c r="T96" i="5"/>
  <c r="T65" i="5"/>
  <c r="T67" i="5" s="1"/>
  <c r="T138" i="5"/>
  <c r="T140" i="5" s="1"/>
  <c r="T141" i="5" s="1"/>
  <c r="T66" i="5" s="1"/>
  <c r="T80" i="5" s="1"/>
  <c r="S96" i="5"/>
  <c r="S138" i="5"/>
  <c r="S140" i="5" s="1"/>
  <c r="S141" i="5" s="1"/>
  <c r="S66" i="5" s="1"/>
  <c r="S80" i="5" s="1"/>
  <c r="S65" i="5"/>
  <c r="S67" i="5" s="1"/>
  <c r="R96" i="5"/>
  <c r="R65" i="5"/>
  <c r="R67" i="5" s="1"/>
  <c r="R138" i="5"/>
  <c r="R140" i="5" s="1"/>
  <c r="R141" i="5" s="1"/>
  <c r="R66" i="5" s="1"/>
  <c r="R80" i="5" s="1"/>
  <c r="Q96" i="5"/>
  <c r="Q138" i="5"/>
  <c r="Q146" i="5" s="1"/>
  <c r="Q65" i="5"/>
  <c r="Q67" i="5" s="1"/>
  <c r="P96" i="5"/>
  <c r="L138" i="5"/>
  <c r="L147" i="5" s="1"/>
  <c r="L139" i="5" s="1"/>
  <c r="L65" i="5"/>
  <c r="L67" i="5" s="1"/>
  <c r="K96" i="5"/>
  <c r="K65" i="5"/>
  <c r="K67" i="5" s="1"/>
  <c r="K138" i="5"/>
  <c r="K147" i="5" s="1"/>
  <c r="K139" i="5" s="1"/>
  <c r="J96" i="5"/>
  <c r="J65" i="5"/>
  <c r="J67" i="5" s="1"/>
  <c r="J138" i="5"/>
  <c r="J140" i="5" s="1"/>
  <c r="J141" i="5" s="1"/>
  <c r="J66" i="5" s="1"/>
  <c r="J80" i="5" s="1"/>
  <c r="I96" i="5"/>
  <c r="I138" i="5"/>
  <c r="I147" i="5" s="1"/>
  <c r="I139" i="5" s="1"/>
  <c r="I65" i="5"/>
  <c r="I67" i="5" s="1"/>
  <c r="H96" i="5"/>
  <c r="H65" i="5"/>
  <c r="H67" i="5" s="1"/>
  <c r="G96" i="5"/>
  <c r="G65" i="5"/>
  <c r="G67" i="5" s="1"/>
  <c r="F96" i="5"/>
  <c r="F138" i="5"/>
  <c r="F140" i="5" s="1"/>
  <c r="F141" i="5" s="1"/>
  <c r="F66" i="5" s="1"/>
  <c r="F80" i="5" s="1"/>
  <c r="F65" i="5"/>
  <c r="F67" i="5" s="1"/>
  <c r="E96" i="5"/>
  <c r="D35" i="3"/>
  <c r="D89" i="5"/>
  <c r="CI190" i="39" l="1"/>
  <c r="CI189" i="39"/>
  <c r="CJ66" i="39"/>
  <c r="CJ122" i="39"/>
  <c r="CJ120" i="39"/>
  <c r="CJ81" i="39"/>
  <c r="CL147" i="5"/>
  <c r="CL139" i="5" s="1"/>
  <c r="AZ147" i="5"/>
  <c r="AZ139" i="5" s="1"/>
  <c r="BO147" i="5"/>
  <c r="BO139" i="5" s="1"/>
  <c r="CH147" i="5"/>
  <c r="CH139" i="5" s="1"/>
  <c r="Q140" i="5"/>
  <c r="Q141" i="5" s="1"/>
  <c r="Q66" i="5" s="1"/>
  <c r="Q80" i="5" s="1"/>
  <c r="U146" i="5"/>
  <c r="AE147" i="5"/>
  <c r="AE139" i="5" s="1"/>
  <c r="AG146" i="5"/>
  <c r="AL147" i="5"/>
  <c r="AL139" i="5" s="1"/>
  <c r="Q147" i="5"/>
  <c r="Q139" i="5" s="1"/>
  <c r="AE140" i="5"/>
  <c r="AE141" i="5" s="1"/>
  <c r="AE66" i="5" s="1"/>
  <c r="AE80" i="5" s="1"/>
  <c r="X146" i="5"/>
  <c r="BG140" i="5"/>
  <c r="BG141" i="5" s="1"/>
  <c r="BG66" i="5" s="1"/>
  <c r="BG80" i="5" s="1"/>
  <c r="J147" i="5"/>
  <c r="J139" i="5" s="1"/>
  <c r="AD140" i="5"/>
  <c r="AD141" i="5" s="1"/>
  <c r="AD66" i="5" s="1"/>
  <c r="AD80" i="5" s="1"/>
  <c r="CH146" i="5"/>
  <c r="CL146" i="5"/>
  <c r="CJ147" i="5"/>
  <c r="CJ139" i="5" s="1"/>
  <c r="X147" i="5"/>
  <c r="X139" i="5" s="1"/>
  <c r="AL146" i="5"/>
  <c r="AT146" i="5"/>
  <c r="BC140" i="5"/>
  <c r="BC141" i="5" s="1"/>
  <c r="BC66" i="5" s="1"/>
  <c r="BC80" i="5" s="1"/>
  <c r="K146" i="5"/>
  <c r="AR146" i="5"/>
  <c r="AT147" i="5"/>
  <c r="AT139" i="5" s="1"/>
  <c r="AY147" i="5"/>
  <c r="AY139" i="5" s="1"/>
  <c r="BZ147" i="5"/>
  <c r="BZ139" i="5" s="1"/>
  <c r="K140" i="5"/>
  <c r="K141" i="5" s="1"/>
  <c r="K66" i="5" s="1"/>
  <c r="K80" i="5" s="1"/>
  <c r="BK140" i="5"/>
  <c r="BK141" i="5" s="1"/>
  <c r="BK66" i="5" s="1"/>
  <c r="BK80" i="5" s="1"/>
  <c r="AP146" i="5"/>
  <c r="AX147" i="5"/>
  <c r="AX139" i="5" s="1"/>
  <c r="AB146" i="5"/>
  <c r="AD146" i="5"/>
  <c r="AN146" i="5"/>
  <c r="AP147" i="5"/>
  <c r="AP139" i="5" s="1"/>
  <c r="BD146" i="5"/>
  <c r="BH146" i="5"/>
  <c r="BL146" i="5"/>
  <c r="T147" i="5"/>
  <c r="T139" i="5" s="1"/>
  <c r="Z147" i="5"/>
  <c r="Z139" i="5" s="1"/>
  <c r="AB147" i="5"/>
  <c r="AB139" i="5" s="1"/>
  <c r="AJ146" i="5"/>
  <c r="AX140" i="5"/>
  <c r="AX141" i="5" s="1"/>
  <c r="AX66" i="5" s="1"/>
  <c r="AX80" i="5" s="1"/>
  <c r="AZ146" i="5"/>
  <c r="BD147" i="5"/>
  <c r="BD139" i="5" s="1"/>
  <c r="BH147" i="5"/>
  <c r="BH139" i="5" s="1"/>
  <c r="BL147" i="5"/>
  <c r="BL139" i="5" s="1"/>
  <c r="BP146" i="5"/>
  <c r="BR147" i="5"/>
  <c r="BR139" i="5" s="1"/>
  <c r="CF147" i="5"/>
  <c r="CF139" i="5" s="1"/>
  <c r="BP147" i="5"/>
  <c r="BP139" i="5" s="1"/>
  <c r="BV147" i="5"/>
  <c r="BV139" i="5" s="1"/>
  <c r="BX147" i="5"/>
  <c r="BX139" i="5" s="1"/>
  <c r="CD146" i="5"/>
  <c r="AW140" i="5"/>
  <c r="AW141" i="5" s="1"/>
  <c r="AW66" i="5" s="1"/>
  <c r="AW80" i="5" s="1"/>
  <c r="BZ146" i="5"/>
  <c r="CB147" i="5"/>
  <c r="CB139" i="5" s="1"/>
  <c r="I146" i="5"/>
  <c r="AG147" i="5"/>
  <c r="AG139" i="5" s="1"/>
  <c r="AV146" i="5"/>
  <c r="F146" i="5"/>
  <c r="U140" i="5"/>
  <c r="U141" i="5" s="1"/>
  <c r="U66" i="5" s="1"/>
  <c r="U80" i="5" s="1"/>
  <c r="AK140" i="5"/>
  <c r="AK141" i="5" s="1"/>
  <c r="AK66" i="5" s="1"/>
  <c r="AK80" i="5" s="1"/>
  <c r="AO140" i="5"/>
  <c r="AO141" i="5" s="1"/>
  <c r="AO66" i="5" s="1"/>
  <c r="AO80" i="5" s="1"/>
  <c r="AS140" i="5"/>
  <c r="AS141" i="5" s="1"/>
  <c r="AS66" i="5" s="1"/>
  <c r="AS80" i="5" s="1"/>
  <c r="AW147" i="5"/>
  <c r="AW139" i="5" s="1"/>
  <c r="AY140" i="5"/>
  <c r="AY141" i="5" s="1"/>
  <c r="AY66" i="5" s="1"/>
  <c r="AY80" i="5" s="1"/>
  <c r="BS147" i="5"/>
  <c r="BS139" i="5" s="1"/>
  <c r="BX146" i="5"/>
  <c r="CD147" i="5"/>
  <c r="CD139" i="5" s="1"/>
  <c r="I140" i="5"/>
  <c r="I141" i="5" s="1"/>
  <c r="I66" i="5" s="1"/>
  <c r="I80" i="5" s="1"/>
  <c r="T146" i="5"/>
  <c r="Z140" i="5"/>
  <c r="Z141" i="5" s="1"/>
  <c r="Z66" i="5" s="1"/>
  <c r="Z80" i="5" s="1"/>
  <c r="AH147" i="5"/>
  <c r="AH139" i="5" s="1"/>
  <c r="AJ147" i="5"/>
  <c r="AJ139" i="5" s="1"/>
  <c r="AN147" i="5"/>
  <c r="AN139" i="5" s="1"/>
  <c r="AR147" i="5"/>
  <c r="AR139" i="5" s="1"/>
  <c r="AV147" i="5"/>
  <c r="AV139" i="5" s="1"/>
  <c r="BB146" i="5"/>
  <c r="BF146" i="5"/>
  <c r="BJ146" i="5"/>
  <c r="BN146" i="5"/>
  <c r="BR146" i="5"/>
  <c r="CF146" i="5"/>
  <c r="F147" i="5"/>
  <c r="F139" i="5" s="1"/>
  <c r="W146" i="5"/>
  <c r="AH146" i="5"/>
  <c r="S146" i="5"/>
  <c r="BB147" i="5"/>
  <c r="BB139" i="5" s="1"/>
  <c r="BF147" i="5"/>
  <c r="BF139" i="5" s="1"/>
  <c r="BJ147" i="5"/>
  <c r="BJ139" i="5" s="1"/>
  <c r="BQ146" i="5"/>
  <c r="S147" i="5"/>
  <c r="S139" i="5" s="1"/>
  <c r="AI147" i="5"/>
  <c r="AI139" i="5" s="1"/>
  <c r="J146" i="5"/>
  <c r="W147" i="5"/>
  <c r="W139" i="5" s="1"/>
  <c r="AA146" i="5"/>
  <c r="AC140" i="5"/>
  <c r="AC141" i="5" s="1"/>
  <c r="AC66" i="5" s="1"/>
  <c r="AC80" i="5" s="1"/>
  <c r="AI140" i="5"/>
  <c r="AI141" i="5" s="1"/>
  <c r="AI66" i="5" s="1"/>
  <c r="AI80" i="5" s="1"/>
  <c r="AM140" i="5"/>
  <c r="AM141" i="5" s="1"/>
  <c r="AM66" i="5" s="1"/>
  <c r="AM80" i="5" s="1"/>
  <c r="AQ140" i="5"/>
  <c r="AQ141" i="5" s="1"/>
  <c r="AQ66" i="5" s="1"/>
  <c r="AQ80" i="5" s="1"/>
  <c r="AU140" i="5"/>
  <c r="AU141" i="5" s="1"/>
  <c r="AU66" i="5" s="1"/>
  <c r="AU80" i="5" s="1"/>
  <c r="BA147" i="5"/>
  <c r="BA139" i="5" s="1"/>
  <c r="BQ147" i="5"/>
  <c r="BQ139" i="5" s="1"/>
  <c r="BT146" i="5"/>
  <c r="CB146" i="5"/>
  <c r="BT147" i="5"/>
  <c r="BT139" i="5" s="1"/>
  <c r="R147" i="5"/>
  <c r="R139" i="5" s="1"/>
  <c r="R146" i="5"/>
  <c r="Y147" i="5"/>
  <c r="Y139" i="5" s="1"/>
  <c r="AA147" i="5"/>
  <c r="AA139" i="5" s="1"/>
  <c r="AF146" i="5"/>
  <c r="BA140" i="5"/>
  <c r="BA141" i="5" s="1"/>
  <c r="BA66" i="5" s="1"/>
  <c r="BA80" i="5" s="1"/>
  <c r="BE140" i="5"/>
  <c r="BE141" i="5" s="1"/>
  <c r="BE66" i="5" s="1"/>
  <c r="BE80" i="5" s="1"/>
  <c r="BI140" i="5"/>
  <c r="BI141" i="5" s="1"/>
  <c r="BI66" i="5" s="1"/>
  <c r="BI80" i="5" s="1"/>
  <c r="BM140" i="5"/>
  <c r="BM141" i="5" s="1"/>
  <c r="BM66" i="5" s="1"/>
  <c r="BM80" i="5" s="1"/>
  <c r="BO146" i="5"/>
  <c r="BV146" i="5"/>
  <c r="CJ146" i="5"/>
  <c r="L140" i="5"/>
  <c r="L141" i="5" s="1"/>
  <c r="L66" i="5" s="1"/>
  <c r="L80" i="5" s="1"/>
  <c r="L146" i="5"/>
  <c r="V140" i="5"/>
  <c r="V141" i="5" s="1"/>
  <c r="V66" i="5" s="1"/>
  <c r="V80" i="5" s="1"/>
  <c r="V147" i="5"/>
  <c r="V139" i="5" s="1"/>
  <c r="AC147" i="5"/>
  <c r="AC139" i="5" s="1"/>
  <c r="BG147" i="5"/>
  <c r="BG139" i="5" s="1"/>
  <c r="Y140" i="5"/>
  <c r="Y141" i="5" s="1"/>
  <c r="Y66" i="5" s="1"/>
  <c r="Y80" i="5" s="1"/>
  <c r="BS146" i="5"/>
  <c r="BU147" i="5"/>
  <c r="BU139" i="5" s="1"/>
  <c r="CI140" i="5"/>
  <c r="CI141" i="5" s="1"/>
  <c r="CI66" i="5" s="1"/>
  <c r="CI80" i="5" s="1"/>
  <c r="CI146" i="5"/>
  <c r="AK147" i="5"/>
  <c r="AK139" i="5" s="1"/>
  <c r="AO147" i="5"/>
  <c r="AO139" i="5" s="1"/>
  <c r="AM146" i="5"/>
  <c r="AQ146" i="5"/>
  <c r="AS146" i="5"/>
  <c r="AU146" i="5"/>
  <c r="BC146" i="5"/>
  <c r="BE146" i="5"/>
  <c r="BI146" i="5"/>
  <c r="BK146" i="5"/>
  <c r="BM146" i="5"/>
  <c r="CC140" i="5"/>
  <c r="CC141" i="5" s="1"/>
  <c r="CC66" i="5" s="1"/>
  <c r="CC80" i="5" s="1"/>
  <c r="CC146" i="5"/>
  <c r="CM140" i="5"/>
  <c r="CM141" i="5" s="1"/>
  <c r="CM66" i="5" s="1"/>
  <c r="CM80" i="5" s="1"/>
  <c r="CM146" i="5"/>
  <c r="C66" i="5"/>
  <c r="X80" i="5"/>
  <c r="CG140" i="5"/>
  <c r="CG141" i="5" s="1"/>
  <c r="CG66" i="5" s="1"/>
  <c r="CG80" i="5" s="1"/>
  <c r="CG146" i="5"/>
  <c r="AF140" i="5"/>
  <c r="AF141" i="5" s="1"/>
  <c r="AF66" i="5" s="1"/>
  <c r="AF80" i="5" s="1"/>
  <c r="CA140" i="5"/>
  <c r="CA141" i="5" s="1"/>
  <c r="CA66" i="5" s="1"/>
  <c r="CA80" i="5" s="1"/>
  <c r="CA146" i="5"/>
  <c r="CK140" i="5"/>
  <c r="CK141" i="5" s="1"/>
  <c r="CK66" i="5" s="1"/>
  <c r="CK80" i="5" s="1"/>
  <c r="CK146" i="5"/>
  <c r="BW146" i="5"/>
  <c r="CC147" i="5"/>
  <c r="CC139" i="5" s="1"/>
  <c r="CE140" i="5"/>
  <c r="CE141" i="5" s="1"/>
  <c r="CE66" i="5" s="1"/>
  <c r="CE80" i="5" s="1"/>
  <c r="CE146" i="5"/>
  <c r="BN147" i="5"/>
  <c r="BN139" i="5" s="1"/>
  <c r="BU146" i="5"/>
  <c r="BW147" i="5"/>
  <c r="BW139" i="5" s="1"/>
  <c r="BY140" i="5"/>
  <c r="BY141" i="5" s="1"/>
  <c r="BY66" i="5" s="1"/>
  <c r="BY80" i="5" s="1"/>
  <c r="BY146" i="5"/>
  <c r="CM147" i="5"/>
  <c r="CM139" i="5" s="1"/>
  <c r="D89" i="33"/>
  <c r="Y89" i="33"/>
  <c r="H89" i="33"/>
  <c r="R89" i="33"/>
  <c r="K89" i="33"/>
  <c r="N89" i="33"/>
  <c r="S89" i="33"/>
  <c r="G89" i="33"/>
  <c r="J89" i="33"/>
  <c r="V89" i="33"/>
  <c r="F89" i="33"/>
  <c r="I89" i="33"/>
  <c r="D192" i="5"/>
  <c r="U89" i="33"/>
  <c r="Z89" i="33"/>
  <c r="T89" i="33"/>
  <c r="M89" i="33"/>
  <c r="W89" i="33"/>
  <c r="Q89" i="33"/>
  <c r="L89" i="33"/>
  <c r="X89" i="33"/>
  <c r="O89" i="33"/>
  <c r="C89" i="5"/>
  <c r="E89" i="33"/>
  <c r="P89" i="33"/>
  <c r="B15" i="6"/>
  <c r="D85" i="5"/>
  <c r="AK91" i="5" s="1"/>
  <c r="CJ163" i="39" l="1"/>
  <c r="CJ98" i="39"/>
  <c r="E91" i="5"/>
  <c r="O91" i="5"/>
  <c r="BP91" i="5"/>
  <c r="BP164" i="5" s="1"/>
  <c r="BK91" i="5"/>
  <c r="BK164" i="5" s="1"/>
  <c r="CJ91" i="5"/>
  <c r="CJ122" i="5" s="1"/>
  <c r="D91" i="5"/>
  <c r="AK164" i="5"/>
  <c r="AK122" i="5"/>
  <c r="B17" i="6"/>
  <c r="E3" i="6" s="1"/>
  <c r="N91" i="5"/>
  <c r="S91" i="5"/>
  <c r="BH91" i="5"/>
  <c r="BC91" i="5"/>
  <c r="G89" i="4"/>
  <c r="H89" i="4"/>
  <c r="J89" i="4"/>
  <c r="L89" i="4"/>
  <c r="F89" i="4"/>
  <c r="K89" i="4"/>
  <c r="E89" i="4"/>
  <c r="I89" i="4"/>
  <c r="T79" i="32"/>
  <c r="O79" i="32"/>
  <c r="Z79" i="32"/>
  <c r="F84" i="4"/>
  <c r="F85" i="4" s="1"/>
  <c r="G79" i="32"/>
  <c r="X79" i="32"/>
  <c r="L79" i="32"/>
  <c r="D156" i="4"/>
  <c r="D176" i="4" s="1"/>
  <c r="E176" i="4" s="1"/>
  <c r="N79" i="32"/>
  <c r="R79" i="32"/>
  <c r="C83" i="4"/>
  <c r="U79" i="32"/>
  <c r="I79" i="32"/>
  <c r="K79" i="32"/>
  <c r="D79" i="32"/>
  <c r="V79" i="32"/>
  <c r="F79" i="32"/>
  <c r="E79" i="32"/>
  <c r="W79" i="32"/>
  <c r="Q79" i="32"/>
  <c r="D85" i="4"/>
  <c r="D107" i="4" s="1"/>
  <c r="Y79" i="32"/>
  <c r="P79" i="32"/>
  <c r="H79" i="32"/>
  <c r="S79" i="32"/>
  <c r="M79" i="32"/>
  <c r="J79" i="32"/>
  <c r="AP91" i="5"/>
  <c r="BI91" i="5"/>
  <c r="D188" i="33"/>
  <c r="E192" i="5"/>
  <c r="F192" i="5" s="1"/>
  <c r="G192" i="5" s="1"/>
  <c r="H192" i="5" s="1"/>
  <c r="I192" i="5" s="1"/>
  <c r="J192" i="5" s="1"/>
  <c r="K192" i="5" s="1"/>
  <c r="L192" i="5" s="1"/>
  <c r="M192" i="5" s="1"/>
  <c r="N192" i="5" s="1"/>
  <c r="O192" i="5" s="1"/>
  <c r="P192" i="5" s="1"/>
  <c r="Q192" i="5" s="1"/>
  <c r="R192" i="5" s="1"/>
  <c r="S192" i="5" s="1"/>
  <c r="T192" i="5" s="1"/>
  <c r="U192" i="5" s="1"/>
  <c r="V192" i="5" s="1"/>
  <c r="W192" i="5" s="1"/>
  <c r="X192" i="5" s="1"/>
  <c r="Y192" i="5" s="1"/>
  <c r="Z192" i="5" s="1"/>
  <c r="AA192" i="5" s="1"/>
  <c r="AB192" i="5" s="1"/>
  <c r="AC192" i="5" s="1"/>
  <c r="AD192" i="5" s="1"/>
  <c r="AE192" i="5" s="1"/>
  <c r="AF192" i="5" s="1"/>
  <c r="AG192" i="5" s="1"/>
  <c r="AH192" i="5" s="1"/>
  <c r="AI192" i="5" s="1"/>
  <c r="AJ192" i="5" s="1"/>
  <c r="AK192" i="5" s="1"/>
  <c r="AL192" i="5" s="1"/>
  <c r="AM192" i="5" s="1"/>
  <c r="AN192" i="5" s="1"/>
  <c r="AO192" i="5" s="1"/>
  <c r="AP192" i="5" s="1"/>
  <c r="AQ192" i="5" s="1"/>
  <c r="AR192" i="5" s="1"/>
  <c r="AS192" i="5" s="1"/>
  <c r="AT192" i="5" s="1"/>
  <c r="AU192" i="5" s="1"/>
  <c r="AV192" i="5" s="1"/>
  <c r="AW192" i="5" s="1"/>
  <c r="AX192" i="5" s="1"/>
  <c r="AY192" i="5" s="1"/>
  <c r="AZ192" i="5" s="1"/>
  <c r="BA192" i="5" s="1"/>
  <c r="BB192" i="5" s="1"/>
  <c r="BC192" i="5" s="1"/>
  <c r="BD192" i="5" s="1"/>
  <c r="BE192" i="5" s="1"/>
  <c r="BF192" i="5" s="1"/>
  <c r="BG192" i="5" s="1"/>
  <c r="BH192" i="5" s="1"/>
  <c r="BI192" i="5" s="1"/>
  <c r="BJ192" i="5" s="1"/>
  <c r="BK192" i="5" s="1"/>
  <c r="BL192" i="5" s="1"/>
  <c r="BM192" i="5" s="1"/>
  <c r="BN192" i="5" s="1"/>
  <c r="BO192" i="5" s="1"/>
  <c r="BP192" i="5" s="1"/>
  <c r="BQ192" i="5" s="1"/>
  <c r="BR192" i="5" s="1"/>
  <c r="BS192" i="5" s="1"/>
  <c r="BT192" i="5" s="1"/>
  <c r="BU192" i="5" s="1"/>
  <c r="BV192" i="5" s="1"/>
  <c r="BW192" i="5" s="1"/>
  <c r="BX192" i="5" s="1"/>
  <c r="BY192" i="5" s="1"/>
  <c r="BZ192" i="5" s="1"/>
  <c r="CA192" i="5" s="1"/>
  <c r="CB192" i="5" s="1"/>
  <c r="CC192" i="5" s="1"/>
  <c r="CD192" i="5" s="1"/>
  <c r="CE192" i="5" s="1"/>
  <c r="CF192" i="5" s="1"/>
  <c r="CG192" i="5" s="1"/>
  <c r="CH192" i="5" s="1"/>
  <c r="CI192" i="5" s="1"/>
  <c r="CJ192" i="5" s="1"/>
  <c r="CK192" i="5" s="1"/>
  <c r="CL192" i="5" s="1"/>
  <c r="CM192" i="5" s="1"/>
  <c r="CN192" i="5" s="1"/>
  <c r="BA91" i="5"/>
  <c r="BD91" i="5"/>
  <c r="CG91" i="5"/>
  <c r="W91" i="5"/>
  <c r="AS91" i="5"/>
  <c r="CH91" i="5"/>
  <c r="BY91" i="5"/>
  <c r="AG91" i="5"/>
  <c r="AD91" i="5"/>
  <c r="O122" i="5"/>
  <c r="O164" i="5"/>
  <c r="D85" i="33"/>
  <c r="C85" i="33" s="1"/>
  <c r="M85" i="33"/>
  <c r="G85" i="33"/>
  <c r="D87" i="5"/>
  <c r="F86" i="5"/>
  <c r="J85" i="33"/>
  <c r="R85" i="33"/>
  <c r="H85" i="33"/>
  <c r="X85" i="33"/>
  <c r="D158" i="5"/>
  <c r="D182" i="5" s="1"/>
  <c r="E85" i="33"/>
  <c r="N85" i="33"/>
  <c r="K85" i="33"/>
  <c r="L85" i="33"/>
  <c r="P85" i="33"/>
  <c r="I85" i="33"/>
  <c r="F85" i="33"/>
  <c r="Q85" i="33"/>
  <c r="Y85" i="33"/>
  <c r="C85" i="5"/>
  <c r="C87" i="5" s="1"/>
  <c r="T85" i="33"/>
  <c r="O85" i="33"/>
  <c r="Z85" i="33"/>
  <c r="V85" i="33"/>
  <c r="S85" i="33"/>
  <c r="W85" i="33"/>
  <c r="U85" i="33"/>
  <c r="CA91" i="5"/>
  <c r="AX91" i="5"/>
  <c r="AR91" i="5"/>
  <c r="BB91" i="5"/>
  <c r="X91" i="5"/>
  <c r="BR91" i="5"/>
  <c r="G91" i="5"/>
  <c r="BT91" i="5"/>
  <c r="AE91" i="5"/>
  <c r="BG91" i="5"/>
  <c r="BN91" i="5"/>
  <c r="BM91" i="5"/>
  <c r="AW91" i="5"/>
  <c r="AA91" i="5"/>
  <c r="J91" i="5"/>
  <c r="BE91" i="5"/>
  <c r="Y91" i="5"/>
  <c r="BS91" i="5"/>
  <c r="AV91" i="5"/>
  <c r="K91" i="5"/>
  <c r="H91" i="5"/>
  <c r="AM91" i="5"/>
  <c r="BL91" i="5"/>
  <c r="P91" i="5"/>
  <c r="AI91" i="5"/>
  <c r="BV91" i="5"/>
  <c r="AT91" i="5"/>
  <c r="BZ91" i="5"/>
  <c r="AU91" i="5"/>
  <c r="AQ91" i="5"/>
  <c r="Q91" i="5"/>
  <c r="CL91" i="5"/>
  <c r="CE91" i="5"/>
  <c r="AH91" i="5"/>
  <c r="BW91" i="5"/>
  <c r="L91" i="5"/>
  <c r="F91" i="5"/>
  <c r="Z91" i="5"/>
  <c r="C89" i="33"/>
  <c r="BJ91" i="5"/>
  <c r="T91" i="5"/>
  <c r="AZ91" i="5"/>
  <c r="BO91" i="5"/>
  <c r="AL91" i="5"/>
  <c r="CD91" i="5"/>
  <c r="E122" i="5"/>
  <c r="E164" i="5"/>
  <c r="AY91" i="5"/>
  <c r="V91" i="5"/>
  <c r="CM91" i="5"/>
  <c r="CC91" i="5"/>
  <c r="CF91" i="5"/>
  <c r="AC91" i="5"/>
  <c r="BF91" i="5"/>
  <c r="D91" i="33"/>
  <c r="C91" i="33" s="1"/>
  <c r="L91" i="33"/>
  <c r="I91" i="33"/>
  <c r="P91" i="33"/>
  <c r="E91" i="33"/>
  <c r="Q91" i="33"/>
  <c r="V91" i="33"/>
  <c r="S91" i="33"/>
  <c r="N91" i="33"/>
  <c r="W91" i="33"/>
  <c r="U91" i="33"/>
  <c r="Y91" i="33"/>
  <c r="D164" i="5"/>
  <c r="O91" i="33"/>
  <c r="F91" i="33"/>
  <c r="C91" i="5"/>
  <c r="J91" i="33"/>
  <c r="T91" i="33"/>
  <c r="G91" i="33"/>
  <c r="X91" i="33"/>
  <c r="R91" i="33"/>
  <c r="M91" i="33"/>
  <c r="H91" i="33"/>
  <c r="Z91" i="33"/>
  <c r="K91" i="33"/>
  <c r="M91" i="5"/>
  <c r="AF91" i="5"/>
  <c r="R91" i="5"/>
  <c r="AN91" i="5"/>
  <c r="AO91" i="5"/>
  <c r="AJ91" i="5"/>
  <c r="CK91" i="5"/>
  <c r="BU91" i="5"/>
  <c r="BQ91" i="5"/>
  <c r="I91" i="5"/>
  <c r="CI91" i="5"/>
  <c r="U91" i="5"/>
  <c r="AB91" i="5"/>
  <c r="CB91" i="5"/>
  <c r="BX91" i="5"/>
  <c r="CN91" i="5"/>
  <c r="M89" i="4" l="1"/>
  <c r="N89" i="4" s="1"/>
  <c r="CJ99" i="39"/>
  <c r="CJ90" i="39"/>
  <c r="CJ121" i="39"/>
  <c r="CJ164" i="39"/>
  <c r="C79" i="32"/>
  <c r="BP122" i="5"/>
  <c r="BK122" i="5"/>
  <c r="CJ164" i="5"/>
  <c r="Y188" i="33"/>
  <c r="L188" i="33"/>
  <c r="X188" i="33"/>
  <c r="U188" i="33"/>
  <c r="S188" i="33"/>
  <c r="T188" i="33"/>
  <c r="Q188" i="33"/>
  <c r="G188" i="33"/>
  <c r="F188" i="33"/>
  <c r="K188" i="33"/>
  <c r="Z188" i="33"/>
  <c r="M188" i="33"/>
  <c r="AA83" i="33"/>
  <c r="D11" i="3"/>
  <c r="N178" i="33"/>
  <c r="L178" i="33"/>
  <c r="O178" i="33"/>
  <c r="E178" i="33"/>
  <c r="Z178" i="33"/>
  <c r="I178" i="33"/>
  <c r="D181" i="5"/>
  <c r="J178" i="33"/>
  <c r="P178" i="33"/>
  <c r="H178" i="33"/>
  <c r="D178" i="33"/>
  <c r="V178" i="33"/>
  <c r="W178" i="33"/>
  <c r="S178" i="33"/>
  <c r="F178" i="33"/>
  <c r="K178" i="33"/>
  <c r="G178" i="33"/>
  <c r="Y178" i="33"/>
  <c r="U178" i="33"/>
  <c r="M178" i="33"/>
  <c r="R178" i="33"/>
  <c r="T178" i="33"/>
  <c r="Q178" i="33"/>
  <c r="X178" i="33"/>
  <c r="U122" i="5"/>
  <c r="U164" i="5"/>
  <c r="BQ122" i="5"/>
  <c r="BQ164" i="5"/>
  <c r="M164" i="5"/>
  <c r="M122" i="5"/>
  <c r="CN122" i="5"/>
  <c r="CN164" i="5"/>
  <c r="BU122" i="5"/>
  <c r="BU164" i="5"/>
  <c r="AB122" i="5"/>
  <c r="AB164" i="5"/>
  <c r="AO122" i="5"/>
  <c r="AO164" i="5"/>
  <c r="BF164" i="5"/>
  <c r="BF122" i="5"/>
  <c r="Z164" i="5"/>
  <c r="Z122" i="5"/>
  <c r="AQ164" i="5"/>
  <c r="AQ122" i="5"/>
  <c r="AM122" i="5"/>
  <c r="AM164" i="5"/>
  <c r="AA122" i="5"/>
  <c r="AA164" i="5"/>
  <c r="BT122" i="5"/>
  <c r="BT164" i="5"/>
  <c r="E87" i="33"/>
  <c r="D87" i="33"/>
  <c r="C87" i="33" s="1"/>
  <c r="G87" i="33"/>
  <c r="H87" i="33"/>
  <c r="Y87" i="33"/>
  <c r="U87" i="33"/>
  <c r="F87" i="33"/>
  <c r="K87" i="33"/>
  <c r="O87" i="33"/>
  <c r="S87" i="33"/>
  <c r="N87" i="33"/>
  <c r="W87" i="33"/>
  <c r="D96" i="5"/>
  <c r="J87" i="33"/>
  <c r="M87" i="33"/>
  <c r="R87" i="33"/>
  <c r="I87" i="33"/>
  <c r="V87" i="33"/>
  <c r="Q87" i="33"/>
  <c r="P87" i="33"/>
  <c r="L87" i="33"/>
  <c r="X87" i="33"/>
  <c r="Z87" i="33"/>
  <c r="D100" i="5"/>
  <c r="T87" i="33"/>
  <c r="AD122" i="5"/>
  <c r="AD164" i="5"/>
  <c r="BA122" i="5"/>
  <c r="BA164" i="5"/>
  <c r="W188" i="33"/>
  <c r="E188" i="33"/>
  <c r="H162" i="4"/>
  <c r="BH122" i="5"/>
  <c r="BH164" i="5"/>
  <c r="AC122" i="5"/>
  <c r="AC164" i="5"/>
  <c r="CD164" i="5"/>
  <c r="CD122" i="5"/>
  <c r="F164" i="5"/>
  <c r="F122" i="5"/>
  <c r="AU122" i="5"/>
  <c r="AU164" i="5"/>
  <c r="H164" i="5"/>
  <c r="H122" i="5"/>
  <c r="G164" i="5"/>
  <c r="G122" i="5"/>
  <c r="AG122" i="5"/>
  <c r="AG164" i="5"/>
  <c r="P188" i="33"/>
  <c r="N188" i="33"/>
  <c r="BI122" i="5"/>
  <c r="BI164" i="5"/>
  <c r="E81" i="32"/>
  <c r="K81" i="32"/>
  <c r="F81" i="32"/>
  <c r="H81" i="32"/>
  <c r="Z81" i="32"/>
  <c r="S81" i="32"/>
  <c r="J81" i="32"/>
  <c r="L81" i="32"/>
  <c r="V81" i="32"/>
  <c r="U81" i="32"/>
  <c r="Q81" i="32"/>
  <c r="Y81" i="32"/>
  <c r="O81" i="32"/>
  <c r="I81" i="32"/>
  <c r="N81" i="32"/>
  <c r="G81" i="32"/>
  <c r="T81" i="32"/>
  <c r="W81" i="32"/>
  <c r="R81" i="32"/>
  <c r="X81" i="32"/>
  <c r="M81" i="32"/>
  <c r="P81" i="32"/>
  <c r="D88" i="4"/>
  <c r="D92" i="4" s="1"/>
  <c r="D94" i="4" s="1"/>
  <c r="D81" i="32"/>
  <c r="D98" i="4"/>
  <c r="D120" i="4"/>
  <c r="S122" i="5"/>
  <c r="S164" i="5"/>
  <c r="AN122" i="5"/>
  <c r="AN164" i="5"/>
  <c r="CI122" i="5"/>
  <c r="CI164" i="5"/>
  <c r="R122" i="5"/>
  <c r="R164" i="5"/>
  <c r="CF122" i="5"/>
  <c r="CF164" i="5"/>
  <c r="AL122" i="5"/>
  <c r="AL164" i="5"/>
  <c r="L122" i="5"/>
  <c r="L164" i="5"/>
  <c r="BZ164" i="5"/>
  <c r="BZ122" i="5"/>
  <c r="K122" i="5"/>
  <c r="K164" i="5"/>
  <c r="BR164" i="5"/>
  <c r="BR122" i="5"/>
  <c r="D158" i="33"/>
  <c r="C158" i="33" s="1"/>
  <c r="H158" i="33"/>
  <c r="S158" i="33"/>
  <c r="V158" i="33"/>
  <c r="N158" i="33"/>
  <c r="P158" i="33"/>
  <c r="L158" i="33"/>
  <c r="R158" i="33"/>
  <c r="Y158" i="33"/>
  <c r="G158" i="33"/>
  <c r="T158" i="33"/>
  <c r="C158" i="5"/>
  <c r="M158" i="33"/>
  <c r="W158" i="33"/>
  <c r="J158" i="33"/>
  <c r="D160" i="5"/>
  <c r="F158" i="33"/>
  <c r="U158" i="33"/>
  <c r="O158" i="33"/>
  <c r="Z158" i="33"/>
  <c r="Q158" i="33"/>
  <c r="I158" i="33"/>
  <c r="X158" i="33"/>
  <c r="E158" i="33"/>
  <c r="K158" i="33"/>
  <c r="BY122" i="5"/>
  <c r="BY164" i="5"/>
  <c r="H188" i="33"/>
  <c r="AP164" i="5"/>
  <c r="AP122" i="5"/>
  <c r="N164" i="5"/>
  <c r="N122" i="5"/>
  <c r="I122" i="5"/>
  <c r="I164" i="5"/>
  <c r="AF122" i="5"/>
  <c r="AF164" i="5"/>
  <c r="D164" i="33"/>
  <c r="C164" i="33" s="1"/>
  <c r="V164" i="33"/>
  <c r="I164" i="33"/>
  <c r="N164" i="33"/>
  <c r="X164" i="33"/>
  <c r="Y164" i="33"/>
  <c r="J164" i="33"/>
  <c r="M164" i="33"/>
  <c r="F164" i="33"/>
  <c r="K164" i="33"/>
  <c r="G164" i="33"/>
  <c r="Q164" i="33"/>
  <c r="R164" i="33"/>
  <c r="L164" i="33"/>
  <c r="W164" i="33"/>
  <c r="D166" i="5"/>
  <c r="C164" i="5"/>
  <c r="U164" i="33"/>
  <c r="S164" i="33"/>
  <c r="P164" i="33"/>
  <c r="O164" i="33"/>
  <c r="H164" i="33"/>
  <c r="D165" i="5"/>
  <c r="Z164" i="33"/>
  <c r="E164" i="33"/>
  <c r="T164" i="33"/>
  <c r="CC122" i="5"/>
  <c r="CC164" i="5"/>
  <c r="BO122" i="5"/>
  <c r="BO164" i="5"/>
  <c r="BW122" i="5"/>
  <c r="BW164" i="5"/>
  <c r="AT164" i="5"/>
  <c r="AT122" i="5"/>
  <c r="AV164" i="5"/>
  <c r="AV122" i="5"/>
  <c r="AW164" i="5"/>
  <c r="AW122" i="5"/>
  <c r="X122" i="5"/>
  <c r="X164" i="5"/>
  <c r="CH122" i="5"/>
  <c r="CH164" i="5"/>
  <c r="J188" i="33"/>
  <c r="F124" i="4"/>
  <c r="C125" i="4" s="1" a="1"/>
  <c r="F157" i="4"/>
  <c r="E80" i="32"/>
  <c r="V80" i="32"/>
  <c r="X80" i="32"/>
  <c r="W80" i="32"/>
  <c r="I80" i="32"/>
  <c r="U80" i="32"/>
  <c r="F80" i="32"/>
  <c r="K80" i="32"/>
  <c r="L80" i="32"/>
  <c r="Y80" i="32"/>
  <c r="R80" i="32"/>
  <c r="Z80" i="32"/>
  <c r="O80" i="32"/>
  <c r="G80" i="32"/>
  <c r="N80" i="32"/>
  <c r="J80" i="32"/>
  <c r="Q80" i="32"/>
  <c r="H80" i="32"/>
  <c r="S80" i="32"/>
  <c r="T80" i="32"/>
  <c r="P80" i="32"/>
  <c r="C84" i="4"/>
  <c r="C85" i="4" s="1"/>
  <c r="M80" i="32"/>
  <c r="CM164" i="5"/>
  <c r="CM122" i="5"/>
  <c r="AZ122" i="5"/>
  <c r="AZ164" i="5"/>
  <c r="AH164" i="5"/>
  <c r="AH122" i="5"/>
  <c r="BV122" i="5"/>
  <c r="BV164" i="5"/>
  <c r="BS122" i="5"/>
  <c r="BS164" i="5"/>
  <c r="BM122" i="5"/>
  <c r="BM164" i="5"/>
  <c r="BB122" i="5"/>
  <c r="BB164" i="5"/>
  <c r="AS122" i="5"/>
  <c r="AS164" i="5"/>
  <c r="V188" i="33"/>
  <c r="E162" i="4"/>
  <c r="V122" i="5"/>
  <c r="V164" i="5"/>
  <c r="T164" i="5"/>
  <c r="T122" i="5"/>
  <c r="CE122" i="5"/>
  <c r="CE164" i="5"/>
  <c r="AI164" i="5"/>
  <c r="AI122" i="5"/>
  <c r="Y122" i="5"/>
  <c r="Y164" i="5"/>
  <c r="BN122" i="5"/>
  <c r="BN164" i="5"/>
  <c r="AR122" i="5"/>
  <c r="AR164" i="5"/>
  <c r="W164" i="5"/>
  <c r="W122" i="5"/>
  <c r="R188" i="33"/>
  <c r="E175" i="4"/>
  <c r="D175" i="4"/>
  <c r="D172" i="32"/>
  <c r="I162" i="4"/>
  <c r="K162" i="4"/>
  <c r="D122" i="5"/>
  <c r="BX122" i="5"/>
  <c r="BX164" i="5"/>
  <c r="CK164" i="5"/>
  <c r="CK122" i="5"/>
  <c r="AY164" i="5"/>
  <c r="AY122" i="5"/>
  <c r="CL122" i="5"/>
  <c r="CL164" i="5"/>
  <c r="BE122" i="5"/>
  <c r="BE164" i="5"/>
  <c r="AX122" i="5"/>
  <c r="AX164" i="5"/>
  <c r="CG164" i="5"/>
  <c r="CG122" i="5"/>
  <c r="F162" i="4"/>
  <c r="L162" i="4"/>
  <c r="G162" i="4"/>
  <c r="BJ122" i="5"/>
  <c r="BJ164" i="5"/>
  <c r="P122" i="5"/>
  <c r="P164" i="5"/>
  <c r="BG122" i="5"/>
  <c r="BG164" i="5"/>
  <c r="CB122" i="5"/>
  <c r="CB164" i="5"/>
  <c r="AJ122" i="5"/>
  <c r="AJ164" i="5"/>
  <c r="Q122" i="5"/>
  <c r="Q164" i="5"/>
  <c r="BL122" i="5"/>
  <c r="BL164" i="5"/>
  <c r="J122" i="5"/>
  <c r="J164" i="5"/>
  <c r="AE122" i="5"/>
  <c r="AE164" i="5"/>
  <c r="CA164" i="5"/>
  <c r="CA122" i="5"/>
  <c r="F126" i="5"/>
  <c r="E86" i="33"/>
  <c r="C86" i="33" s="1"/>
  <c r="F159" i="5"/>
  <c r="N86" i="33"/>
  <c r="O86" i="33"/>
  <c r="C86" i="5"/>
  <c r="T86" i="33"/>
  <c r="J86" i="33"/>
  <c r="P86" i="33"/>
  <c r="U86" i="33"/>
  <c r="Y86" i="33"/>
  <c r="W86" i="33"/>
  <c r="Q86" i="33"/>
  <c r="V86" i="33"/>
  <c r="K86" i="33"/>
  <c r="G86" i="33"/>
  <c r="F86" i="33"/>
  <c r="I86" i="33"/>
  <c r="H86" i="33"/>
  <c r="Z86" i="33"/>
  <c r="M86" i="33"/>
  <c r="S86" i="33"/>
  <c r="L86" i="33"/>
  <c r="R86" i="33"/>
  <c r="X86" i="33"/>
  <c r="BD122" i="5"/>
  <c r="BD164" i="5"/>
  <c r="I188" i="33"/>
  <c r="O188" i="33"/>
  <c r="D152" i="32"/>
  <c r="D158" i="4"/>
  <c r="L152" i="32"/>
  <c r="K152" i="32"/>
  <c r="C156" i="4"/>
  <c r="O152" i="32"/>
  <c r="V152" i="32"/>
  <c r="R152" i="32"/>
  <c r="E152" i="32"/>
  <c r="U152" i="32"/>
  <c r="J152" i="32"/>
  <c r="S152" i="32"/>
  <c r="G152" i="32"/>
  <c r="Q152" i="32"/>
  <c r="X152" i="32"/>
  <c r="N152" i="32"/>
  <c r="Y152" i="32"/>
  <c r="I152" i="32"/>
  <c r="W152" i="32"/>
  <c r="T152" i="32"/>
  <c r="M152" i="32"/>
  <c r="Z152" i="32"/>
  <c r="H152" i="32"/>
  <c r="F152" i="32"/>
  <c r="P152" i="32"/>
  <c r="J162" i="4"/>
  <c r="M162" i="4"/>
  <c r="BC122" i="5"/>
  <c r="BC164" i="5"/>
  <c r="N162" i="4" l="1"/>
  <c r="O89" i="4"/>
  <c r="E100" i="39"/>
  <c r="D100" i="39"/>
  <c r="F100" i="39"/>
  <c r="G100" i="39"/>
  <c r="H100" i="39"/>
  <c r="I100" i="39"/>
  <c r="J100" i="39"/>
  <c r="K100" i="39"/>
  <c r="L100" i="39"/>
  <c r="M100" i="39"/>
  <c r="N100" i="39"/>
  <c r="O100" i="39"/>
  <c r="P100" i="39"/>
  <c r="Q100" i="39"/>
  <c r="R100" i="39"/>
  <c r="S100" i="39"/>
  <c r="T100" i="39"/>
  <c r="U100" i="39"/>
  <c r="V100" i="39"/>
  <c r="W100" i="39"/>
  <c r="X100" i="39"/>
  <c r="Y100" i="39"/>
  <c r="Z100" i="39"/>
  <c r="AA100" i="39"/>
  <c r="AB100" i="39"/>
  <c r="AC100" i="39"/>
  <c r="AD100" i="39"/>
  <c r="AE100" i="39"/>
  <c r="AF100" i="39"/>
  <c r="AG100" i="39"/>
  <c r="AH100" i="39"/>
  <c r="AI100" i="39"/>
  <c r="AJ100" i="39"/>
  <c r="AK100" i="39"/>
  <c r="AL100" i="39"/>
  <c r="AM100" i="39"/>
  <c r="AN100" i="39"/>
  <c r="AO100" i="39"/>
  <c r="AP100" i="39"/>
  <c r="AQ100" i="39"/>
  <c r="AR100" i="39"/>
  <c r="AS100" i="39"/>
  <c r="AT100" i="39"/>
  <c r="AU100" i="39"/>
  <c r="AV100" i="39"/>
  <c r="AW100" i="39"/>
  <c r="AX100" i="39"/>
  <c r="AY100" i="39"/>
  <c r="AZ100" i="39"/>
  <c r="BA100" i="39"/>
  <c r="BB100" i="39"/>
  <c r="BC100" i="39"/>
  <c r="BD100" i="39"/>
  <c r="BE100" i="39"/>
  <c r="BF100" i="39"/>
  <c r="BG100" i="39"/>
  <c r="BH100" i="39"/>
  <c r="BI100" i="39"/>
  <c r="BJ100" i="39"/>
  <c r="BK100" i="39"/>
  <c r="BL100" i="39"/>
  <c r="BM100" i="39"/>
  <c r="BN100" i="39"/>
  <c r="BO100" i="39"/>
  <c r="BP100" i="39"/>
  <c r="BQ100" i="39"/>
  <c r="BR100" i="39"/>
  <c r="BS100" i="39"/>
  <c r="BT100" i="39"/>
  <c r="BU100" i="39"/>
  <c r="BV100" i="39"/>
  <c r="BW100" i="39"/>
  <c r="BX100" i="39"/>
  <c r="BY100" i="39"/>
  <c r="BZ100" i="39"/>
  <c r="CA100" i="39"/>
  <c r="CB100" i="39"/>
  <c r="CC100" i="39"/>
  <c r="CD100" i="39"/>
  <c r="CE100" i="39"/>
  <c r="CF100" i="39"/>
  <c r="CG100" i="39"/>
  <c r="CH100" i="39"/>
  <c r="CI100" i="39"/>
  <c r="CJ183" i="39"/>
  <c r="CJ182" i="39" s="1"/>
  <c r="CK161" i="39"/>
  <c r="CJ119" i="39" a="1"/>
  <c r="CJ119" i="39" s="1"/>
  <c r="CJ88" i="39"/>
  <c r="CJ107" i="39"/>
  <c r="CJ100" i="39"/>
  <c r="D88" i="32"/>
  <c r="C80" i="32"/>
  <c r="C81" i="32"/>
  <c r="C152" i="32"/>
  <c r="D121" i="5" a="1"/>
  <c r="D121" i="5" s="1"/>
  <c r="D121" i="33" s="1"/>
  <c r="E163" i="5"/>
  <c r="D189" i="5"/>
  <c r="I166" i="33"/>
  <c r="T166" i="33"/>
  <c r="L166" i="33"/>
  <c r="K166" i="33"/>
  <c r="J166" i="33"/>
  <c r="Z166" i="33"/>
  <c r="S166" i="33"/>
  <c r="P166" i="33"/>
  <c r="F166" i="33"/>
  <c r="M166" i="33"/>
  <c r="N166" i="33"/>
  <c r="H166" i="33"/>
  <c r="U166" i="33"/>
  <c r="Y166" i="33"/>
  <c r="O166" i="33"/>
  <c r="X166" i="33"/>
  <c r="E166" i="33"/>
  <c r="V166" i="33"/>
  <c r="G166" i="33"/>
  <c r="D166" i="33"/>
  <c r="Q166" i="33"/>
  <c r="R166" i="33"/>
  <c r="W166" i="33"/>
  <c r="D84" i="32"/>
  <c r="D185" i="4"/>
  <c r="V100" i="33"/>
  <c r="S100" i="33"/>
  <c r="G100" i="33"/>
  <c r="D165" i="33"/>
  <c r="C165" i="33" s="1"/>
  <c r="M165" i="33"/>
  <c r="C165" i="5"/>
  <c r="L165" i="33"/>
  <c r="S165" i="33"/>
  <c r="T165" i="33"/>
  <c r="U165" i="33"/>
  <c r="O165" i="33"/>
  <c r="J165" i="33"/>
  <c r="N165" i="33"/>
  <c r="H165" i="33"/>
  <c r="Z165" i="33"/>
  <c r="Y165" i="33"/>
  <c r="I165" i="33"/>
  <c r="E165" i="33"/>
  <c r="W165" i="33"/>
  <c r="V165" i="33"/>
  <c r="P165" i="33"/>
  <c r="K165" i="33"/>
  <c r="D92" i="5"/>
  <c r="X165" i="33"/>
  <c r="F165" i="33"/>
  <c r="G165" i="33"/>
  <c r="Q165" i="33"/>
  <c r="R165" i="33"/>
  <c r="D90" i="32"/>
  <c r="D95" i="4"/>
  <c r="T100" i="33"/>
  <c r="I100" i="33"/>
  <c r="O100" i="33"/>
  <c r="P159" i="33"/>
  <c r="L159" i="33"/>
  <c r="S159" i="33"/>
  <c r="O159" i="33"/>
  <c r="R159" i="33"/>
  <c r="C159" i="5"/>
  <c r="H159" i="33"/>
  <c r="X159" i="33"/>
  <c r="J159" i="33"/>
  <c r="U159" i="33"/>
  <c r="F159" i="33"/>
  <c r="V159" i="33"/>
  <c r="I159" i="33"/>
  <c r="G159" i="33"/>
  <c r="Q159" i="33"/>
  <c r="W159" i="33"/>
  <c r="E159" i="33"/>
  <c r="C159" i="33" s="1"/>
  <c r="K159" i="33"/>
  <c r="N159" i="33"/>
  <c r="T159" i="33"/>
  <c r="Y159" i="33"/>
  <c r="Z159" i="33"/>
  <c r="M159" i="33"/>
  <c r="D180" i="5"/>
  <c r="X160" i="33"/>
  <c r="M160" i="33"/>
  <c r="L160" i="33"/>
  <c r="E157" i="5"/>
  <c r="P160" i="33"/>
  <c r="F160" i="33"/>
  <c r="R160" i="33"/>
  <c r="I160" i="33"/>
  <c r="E160" i="33"/>
  <c r="Y160" i="33"/>
  <c r="Q160" i="33"/>
  <c r="U160" i="33"/>
  <c r="J160" i="33"/>
  <c r="H160" i="33"/>
  <c r="N160" i="33"/>
  <c r="W160" i="33"/>
  <c r="K160" i="33"/>
  <c r="T160" i="33"/>
  <c r="V160" i="33"/>
  <c r="G160" i="33"/>
  <c r="D160" i="33"/>
  <c r="S160" i="33"/>
  <c r="Z160" i="33"/>
  <c r="O160" i="33"/>
  <c r="D100" i="33"/>
  <c r="D102" i="5"/>
  <c r="D101" i="5"/>
  <c r="C100" i="5"/>
  <c r="C105" i="5"/>
  <c r="R100" i="33"/>
  <c r="K100" i="33"/>
  <c r="E100" i="33"/>
  <c r="H153" i="32"/>
  <c r="W153" i="32"/>
  <c r="C157" i="4"/>
  <c r="V153" i="32"/>
  <c r="N153" i="32"/>
  <c r="Q153" i="32"/>
  <c r="U153" i="32"/>
  <c r="O153" i="32"/>
  <c r="S153" i="32"/>
  <c r="X153" i="32"/>
  <c r="G153" i="32"/>
  <c r="P153" i="32"/>
  <c r="I153" i="32"/>
  <c r="M153" i="32"/>
  <c r="J153" i="32"/>
  <c r="T153" i="32"/>
  <c r="R153" i="32"/>
  <c r="L153" i="32"/>
  <c r="K153" i="32"/>
  <c r="E153" i="32"/>
  <c r="Y153" i="32"/>
  <c r="Z153" i="32"/>
  <c r="F153" i="32"/>
  <c r="Z100" i="33"/>
  <c r="M100" i="33"/>
  <c r="F100" i="33"/>
  <c r="C126" i="33"/>
  <c r="C126" i="5"/>
  <c r="C127" i="33"/>
  <c r="C127" i="5"/>
  <c r="C120" i="32"/>
  <c r="C121" i="32"/>
  <c r="C125" i="4"/>
  <c r="C124" i="4"/>
  <c r="D116" i="32"/>
  <c r="X100" i="33"/>
  <c r="J100" i="33"/>
  <c r="D122" i="33"/>
  <c r="C122" i="5"/>
  <c r="C122" i="33" s="1"/>
  <c r="D94" i="32"/>
  <c r="D100" i="4"/>
  <c r="D99" i="4"/>
  <c r="L100" i="33"/>
  <c r="D96" i="33"/>
  <c r="C96" i="33" s="1"/>
  <c r="I96" i="33"/>
  <c r="C96" i="5"/>
  <c r="P96" i="33"/>
  <c r="R96" i="33"/>
  <c r="V96" i="33"/>
  <c r="K96" i="33"/>
  <c r="Q96" i="33"/>
  <c r="Y96" i="33"/>
  <c r="O96" i="33"/>
  <c r="X96" i="33"/>
  <c r="S96" i="33"/>
  <c r="H96" i="33"/>
  <c r="Z96" i="33"/>
  <c r="M96" i="33"/>
  <c r="T96" i="33"/>
  <c r="D97" i="5"/>
  <c r="U96" i="33"/>
  <c r="N96" i="33"/>
  <c r="W96" i="33"/>
  <c r="J96" i="33"/>
  <c r="L96" i="33"/>
  <c r="E96" i="33"/>
  <c r="F96" i="33"/>
  <c r="G96" i="33"/>
  <c r="U100" i="33"/>
  <c r="AZ102" i="5"/>
  <c r="W102" i="5"/>
  <c r="BP102" i="5"/>
  <c r="AM102" i="5"/>
  <c r="BW102" i="5"/>
  <c r="AK102" i="5"/>
  <c r="BT102" i="5"/>
  <c r="AI102" i="5"/>
  <c r="BN102" i="5"/>
  <c r="AQ102" i="5"/>
  <c r="CI102" i="5"/>
  <c r="N102" i="5"/>
  <c r="BG102" i="5"/>
  <c r="AD102" i="5"/>
  <c r="BM102" i="5"/>
  <c r="AB102" i="5"/>
  <c r="BK102" i="5"/>
  <c r="Y102" i="5"/>
  <c r="BF102" i="5"/>
  <c r="J102" i="5"/>
  <c r="AG102" i="5"/>
  <c r="BZ102" i="5"/>
  <c r="E102" i="5"/>
  <c r="AW102" i="5"/>
  <c r="U102" i="5"/>
  <c r="BD102" i="5"/>
  <c r="CN102" i="5"/>
  <c r="S102" i="5"/>
  <c r="BB102" i="5"/>
  <c r="CK102" i="5"/>
  <c r="P102" i="5"/>
  <c r="AX102" i="5"/>
  <c r="X102" i="5"/>
  <c r="BQ102" i="5"/>
  <c r="AN102" i="5"/>
  <c r="CG102" i="5"/>
  <c r="L102" i="5"/>
  <c r="AU102" i="5"/>
  <c r="CE102" i="5"/>
  <c r="I102" i="5"/>
  <c r="AS102" i="5"/>
  <c r="CB102" i="5"/>
  <c r="G102" i="5"/>
  <c r="AP102" i="5"/>
  <c r="CJ102" i="5"/>
  <c r="O102" i="5"/>
  <c r="BH102" i="5"/>
  <c r="AE102" i="5"/>
  <c r="BX102" i="5"/>
  <c r="AL102" i="5"/>
  <c r="BU102" i="5"/>
  <c r="AJ102" i="5"/>
  <c r="BS102" i="5"/>
  <c r="AH102" i="5"/>
  <c r="CA102" i="5"/>
  <c r="F102" i="5"/>
  <c r="AY102" i="5"/>
  <c r="V102" i="5"/>
  <c r="BO102" i="5"/>
  <c r="AC102" i="5"/>
  <c r="BL102" i="5"/>
  <c r="AA102" i="5"/>
  <c r="BJ102" i="5"/>
  <c r="CL102" i="5"/>
  <c r="Z102" i="5"/>
  <c r="BR102" i="5"/>
  <c r="AO102" i="5"/>
  <c r="CH102" i="5"/>
  <c r="M102" i="5"/>
  <c r="BE102" i="5"/>
  <c r="T102" i="5"/>
  <c r="BC102" i="5"/>
  <c r="CM102" i="5"/>
  <c r="Q102" i="5"/>
  <c r="BA102" i="5"/>
  <c r="CD102" i="5"/>
  <c r="R102" i="5"/>
  <c r="BI102" i="5"/>
  <c r="AF102" i="5"/>
  <c r="BY102" i="5"/>
  <c r="AV102" i="5"/>
  <c r="CF102" i="5"/>
  <c r="K102" i="5"/>
  <c r="AT102" i="5"/>
  <c r="CC102" i="5"/>
  <c r="H102" i="5"/>
  <c r="AR102" i="5"/>
  <c r="BV102" i="5"/>
  <c r="D154" i="32"/>
  <c r="E155" i="4"/>
  <c r="D174" i="4"/>
  <c r="D171" i="32"/>
  <c r="P100" i="33"/>
  <c r="W100" i="33"/>
  <c r="Y100" i="33"/>
  <c r="N177" i="33"/>
  <c r="R177" i="33"/>
  <c r="Z177" i="33"/>
  <c r="Q177" i="33"/>
  <c r="D177" i="33"/>
  <c r="O177" i="33"/>
  <c r="H177" i="33"/>
  <c r="I177" i="33"/>
  <c r="S177" i="33"/>
  <c r="P177" i="33"/>
  <c r="L177" i="33"/>
  <c r="M177" i="33"/>
  <c r="K177" i="33"/>
  <c r="J177" i="33"/>
  <c r="T177" i="33"/>
  <c r="Y177" i="33"/>
  <c r="W177" i="33"/>
  <c r="E177" i="33"/>
  <c r="F177" i="33"/>
  <c r="X177" i="33"/>
  <c r="G177" i="33"/>
  <c r="V177" i="33"/>
  <c r="U177" i="33"/>
  <c r="CO83" i="5"/>
  <c r="C99" i="33"/>
  <c r="AA109" i="33"/>
  <c r="C99" i="5"/>
  <c r="AA100" i="33"/>
  <c r="D103" i="32"/>
  <c r="D109" i="4"/>
  <c r="D108" i="4"/>
  <c r="Q100" i="33"/>
  <c r="N100" i="33"/>
  <c r="H100" i="33"/>
  <c r="P89" i="4" l="1"/>
  <c r="O162" i="4"/>
  <c r="CJ108" i="39"/>
  <c r="CJ109" i="39"/>
  <c r="CJ110" i="39" s="1"/>
  <c r="CJ185" i="39"/>
  <c r="CJ184" i="39" s="1"/>
  <c r="CJ116" i="39" s="1"/>
  <c r="CJ92" i="39"/>
  <c r="CJ94" i="39" s="1"/>
  <c r="CJ95" i="39" s="1"/>
  <c r="CK165" i="39"/>
  <c r="CJ118" i="39"/>
  <c r="D96" i="40"/>
  <c r="D101" i="39"/>
  <c r="C153" i="32"/>
  <c r="D105" i="32"/>
  <c r="D110" i="4"/>
  <c r="D106" i="32" s="1"/>
  <c r="CO100" i="5"/>
  <c r="CO102" i="5" s="1"/>
  <c r="CO109" i="5"/>
  <c r="E93" i="4"/>
  <c r="D171" i="4"/>
  <c r="D91" i="32"/>
  <c r="U157" i="33"/>
  <c r="S157" i="33"/>
  <c r="Q157" i="33"/>
  <c r="F157" i="33"/>
  <c r="V157" i="33"/>
  <c r="P157" i="33"/>
  <c r="J157" i="33"/>
  <c r="W157" i="33"/>
  <c r="Y157" i="33"/>
  <c r="Z157" i="33"/>
  <c r="I157" i="33"/>
  <c r="G157" i="33"/>
  <c r="L157" i="33"/>
  <c r="E157" i="33"/>
  <c r="X157" i="33"/>
  <c r="O157" i="33"/>
  <c r="T157" i="33"/>
  <c r="R157" i="33"/>
  <c r="H157" i="33"/>
  <c r="K157" i="33"/>
  <c r="M157" i="33"/>
  <c r="N157" i="33"/>
  <c r="E160" i="5"/>
  <c r="N97" i="33"/>
  <c r="J97" i="33"/>
  <c r="G97" i="33"/>
  <c r="X97" i="33"/>
  <c r="M97" i="33"/>
  <c r="F97" i="33"/>
  <c r="Q97" i="33"/>
  <c r="R97" i="33"/>
  <c r="Y97" i="33"/>
  <c r="T97" i="33"/>
  <c r="P97" i="33"/>
  <c r="I97" i="33"/>
  <c r="E95" i="5"/>
  <c r="H97" i="33"/>
  <c r="O97" i="33"/>
  <c r="L97" i="33"/>
  <c r="K97" i="33"/>
  <c r="E97" i="33"/>
  <c r="Z97" i="33"/>
  <c r="D97" i="33"/>
  <c r="V97" i="33"/>
  <c r="D177" i="5"/>
  <c r="S97" i="33"/>
  <c r="W97" i="33"/>
  <c r="U97" i="33"/>
  <c r="E101" i="5"/>
  <c r="F101" i="5" s="1"/>
  <c r="G101" i="5" s="1"/>
  <c r="H101" i="5" s="1"/>
  <c r="I101" i="5" s="1"/>
  <c r="J101" i="5" s="1"/>
  <c r="K101" i="5" s="1"/>
  <c r="L101" i="5" s="1"/>
  <c r="M101" i="5" s="1"/>
  <c r="N101" i="5" s="1"/>
  <c r="O101" i="5" s="1"/>
  <c r="P101" i="5" s="1"/>
  <c r="Q101" i="5" s="1"/>
  <c r="R101" i="5" s="1"/>
  <c r="S101" i="5" s="1"/>
  <c r="T101" i="5" s="1"/>
  <c r="U101" i="5" s="1"/>
  <c r="V101" i="5" s="1"/>
  <c r="W101" i="5" s="1"/>
  <c r="X101" i="5" s="1"/>
  <c r="Y101" i="5" s="1"/>
  <c r="Z101" i="5" s="1"/>
  <c r="AA101" i="5" s="1"/>
  <c r="AB101" i="5" s="1"/>
  <c r="AC101" i="5" s="1"/>
  <c r="AD101" i="5" s="1"/>
  <c r="AE101" i="5" s="1"/>
  <c r="AF101" i="5" s="1"/>
  <c r="AG101" i="5" s="1"/>
  <c r="AH101" i="5" s="1"/>
  <c r="AI101" i="5" s="1"/>
  <c r="AJ101" i="5" s="1"/>
  <c r="AK101" i="5" s="1"/>
  <c r="AL101" i="5" s="1"/>
  <c r="AM101" i="5" s="1"/>
  <c r="AN101" i="5" s="1"/>
  <c r="AO101" i="5" s="1"/>
  <c r="AP101" i="5" s="1"/>
  <c r="AQ101" i="5" s="1"/>
  <c r="AR101" i="5" s="1"/>
  <c r="AS101" i="5" s="1"/>
  <c r="AT101" i="5" s="1"/>
  <c r="AU101" i="5" s="1"/>
  <c r="AV101" i="5" s="1"/>
  <c r="AW101" i="5" s="1"/>
  <c r="AX101" i="5" s="1"/>
  <c r="AY101" i="5" s="1"/>
  <c r="AZ101" i="5" s="1"/>
  <c r="BA101" i="5" s="1"/>
  <c r="BB101" i="5" s="1"/>
  <c r="BC101" i="5" s="1"/>
  <c r="BD101" i="5" s="1"/>
  <c r="BE101" i="5" s="1"/>
  <c r="BF101" i="5" s="1"/>
  <c r="BG101" i="5" s="1"/>
  <c r="BH101" i="5" s="1"/>
  <c r="BI101" i="5" s="1"/>
  <c r="BJ101" i="5" s="1"/>
  <c r="BK101" i="5" s="1"/>
  <c r="BL101" i="5" s="1"/>
  <c r="BM101" i="5" s="1"/>
  <c r="BN101" i="5" s="1"/>
  <c r="BO101" i="5" s="1"/>
  <c r="BP101" i="5" s="1"/>
  <c r="BQ101" i="5" s="1"/>
  <c r="BR101" i="5" s="1"/>
  <c r="BS101" i="5" s="1"/>
  <c r="BT101" i="5" s="1"/>
  <c r="BU101" i="5" s="1"/>
  <c r="BV101" i="5" s="1"/>
  <c r="BW101" i="5" s="1"/>
  <c r="BX101" i="5" s="1"/>
  <c r="BY101" i="5" s="1"/>
  <c r="BZ101" i="5" s="1"/>
  <c r="CA101" i="5" s="1"/>
  <c r="CB101" i="5" s="1"/>
  <c r="CC101" i="5" s="1"/>
  <c r="CD101" i="5" s="1"/>
  <c r="CE101" i="5" s="1"/>
  <c r="CF101" i="5" s="1"/>
  <c r="CG101" i="5" s="1"/>
  <c r="CH101" i="5" s="1"/>
  <c r="CI101" i="5" s="1"/>
  <c r="CJ101" i="5" s="1"/>
  <c r="CK101" i="5" s="1"/>
  <c r="CL101" i="5" s="1"/>
  <c r="CM101" i="5" s="1"/>
  <c r="CN101" i="5" s="1"/>
  <c r="D101" i="33"/>
  <c r="E101" i="33" s="1"/>
  <c r="F101" i="33" s="1"/>
  <c r="G101" i="33" s="1"/>
  <c r="H101" i="33" s="1"/>
  <c r="I101" i="33" s="1"/>
  <c r="J101" i="33" s="1"/>
  <c r="K101" i="33" s="1"/>
  <c r="L101" i="33" s="1"/>
  <c r="M101" i="33" s="1"/>
  <c r="N101" i="33" s="1"/>
  <c r="O101" i="33" s="1"/>
  <c r="P101" i="33" s="1"/>
  <c r="Q101" i="33" s="1"/>
  <c r="R101" i="33" s="1"/>
  <c r="S101" i="33" s="1"/>
  <c r="T101" i="33" s="1"/>
  <c r="U101" i="33" s="1"/>
  <c r="V101" i="33" s="1"/>
  <c r="W101" i="33" s="1"/>
  <c r="X101" i="33" s="1"/>
  <c r="Y101" i="33" s="1"/>
  <c r="Z101" i="33" s="1"/>
  <c r="AA101" i="33" s="1"/>
  <c r="C101" i="33" s="1"/>
  <c r="D170" i="32"/>
  <c r="C102" i="33"/>
  <c r="D102" i="33"/>
  <c r="D103" i="5"/>
  <c r="C102" i="5"/>
  <c r="F185" i="33"/>
  <c r="S185" i="33"/>
  <c r="I185" i="33"/>
  <c r="D188" i="5"/>
  <c r="M185" i="33"/>
  <c r="L185" i="33"/>
  <c r="P185" i="33"/>
  <c r="Y185" i="33"/>
  <c r="Q185" i="33"/>
  <c r="U185" i="33"/>
  <c r="Z185" i="33"/>
  <c r="N185" i="33"/>
  <c r="R185" i="33"/>
  <c r="H185" i="33"/>
  <c r="V185" i="33"/>
  <c r="T185" i="33"/>
  <c r="E185" i="33"/>
  <c r="W185" i="33"/>
  <c r="G185" i="33"/>
  <c r="K185" i="33"/>
  <c r="J185" i="33"/>
  <c r="O185" i="33"/>
  <c r="D185" i="33"/>
  <c r="X185" i="33"/>
  <c r="E158" i="4"/>
  <c r="D95" i="32"/>
  <c r="C105" i="33"/>
  <c r="D105" i="5" s="1"/>
  <c r="D105" i="33" s="1"/>
  <c r="C100" i="33"/>
  <c r="R176" i="33"/>
  <c r="H176" i="33"/>
  <c r="I176" i="33"/>
  <c r="G176" i="33"/>
  <c r="M176" i="33"/>
  <c r="Y176" i="33"/>
  <c r="W176" i="33"/>
  <c r="U176" i="33"/>
  <c r="X176" i="33"/>
  <c r="D176" i="33"/>
  <c r="Z176" i="33"/>
  <c r="Q176" i="33"/>
  <c r="V176" i="33"/>
  <c r="K176" i="33"/>
  <c r="T176" i="33"/>
  <c r="O176" i="33"/>
  <c r="P176" i="33"/>
  <c r="L176" i="33"/>
  <c r="N176" i="33"/>
  <c r="J176" i="33"/>
  <c r="F176" i="33"/>
  <c r="S176" i="33"/>
  <c r="E176" i="33"/>
  <c r="D92" i="33"/>
  <c r="C92" i="33" s="1"/>
  <c r="V92" i="33"/>
  <c r="S92" i="33"/>
  <c r="O92" i="33"/>
  <c r="F92" i="33"/>
  <c r="M92" i="33"/>
  <c r="N92" i="33"/>
  <c r="Y92" i="33"/>
  <c r="R92" i="33"/>
  <c r="I92" i="33"/>
  <c r="J92" i="33"/>
  <c r="U92" i="33"/>
  <c r="Z92" i="33"/>
  <c r="H92" i="33"/>
  <c r="Q92" i="33"/>
  <c r="E92" i="33"/>
  <c r="T92" i="33"/>
  <c r="P92" i="33"/>
  <c r="W92" i="33"/>
  <c r="K92" i="33"/>
  <c r="L92" i="33"/>
  <c r="C92" i="5"/>
  <c r="G92" i="33"/>
  <c r="X92" i="33"/>
  <c r="D109" i="5"/>
  <c r="D90" i="5"/>
  <c r="P163" i="33"/>
  <c r="K163" i="33"/>
  <c r="J163" i="33"/>
  <c r="V163" i="33"/>
  <c r="F163" i="33"/>
  <c r="N163" i="33"/>
  <c r="G163" i="33"/>
  <c r="I163" i="33"/>
  <c r="L163" i="33"/>
  <c r="W163" i="33"/>
  <c r="E163" i="33"/>
  <c r="M163" i="33"/>
  <c r="T163" i="33"/>
  <c r="O163" i="33"/>
  <c r="U163" i="33"/>
  <c r="Y163" i="33"/>
  <c r="R163" i="33"/>
  <c r="H163" i="33"/>
  <c r="E166" i="5"/>
  <c r="S163" i="33"/>
  <c r="Q163" i="33"/>
  <c r="E167" i="5"/>
  <c r="X163" i="33"/>
  <c r="Z163" i="33"/>
  <c r="D104" i="32"/>
  <c r="D101" i="4"/>
  <c r="D96" i="32"/>
  <c r="D184" i="4"/>
  <c r="D181" i="32"/>
  <c r="P162" i="4" l="1"/>
  <c r="Q89" i="4"/>
  <c r="CJ187" i="39"/>
  <c r="CJ117" i="39" s="1"/>
  <c r="CK93" i="39"/>
  <c r="CJ171" i="39"/>
  <c r="CJ170" i="39" s="1"/>
  <c r="CK135" i="39"/>
  <c r="CK136" i="39" s="1"/>
  <c r="CK91" i="39"/>
  <c r="CK63" i="39"/>
  <c r="CK64" i="39" s="1"/>
  <c r="D97" i="40"/>
  <c r="E101" i="39"/>
  <c r="F101" i="39" s="1"/>
  <c r="G101" i="39" s="1"/>
  <c r="H101" i="39" s="1"/>
  <c r="I101" i="39" s="1"/>
  <c r="J101" i="39" s="1"/>
  <c r="K101" i="39" s="1"/>
  <c r="L101" i="39" s="1"/>
  <c r="M101" i="39" s="1"/>
  <c r="N101" i="39" s="1"/>
  <c r="O101" i="39" s="1"/>
  <c r="P101" i="39" s="1"/>
  <c r="Q101" i="39" s="1"/>
  <c r="R101" i="39" s="1"/>
  <c r="S101" i="39" s="1"/>
  <c r="T101" i="39" s="1"/>
  <c r="U101" i="39" s="1"/>
  <c r="V101" i="39" s="1"/>
  <c r="W101" i="39" s="1"/>
  <c r="X101" i="39" s="1"/>
  <c r="Y101" i="39" s="1"/>
  <c r="Z101" i="39" s="1"/>
  <c r="AA101" i="39" s="1"/>
  <c r="AB101" i="39" s="1"/>
  <c r="AC101" i="39" s="1"/>
  <c r="AD101" i="39" s="1"/>
  <c r="AE101" i="39" s="1"/>
  <c r="AF101" i="39" s="1"/>
  <c r="AG101" i="39" s="1"/>
  <c r="AH101" i="39" s="1"/>
  <c r="AI101" i="39" s="1"/>
  <c r="AJ101" i="39" s="1"/>
  <c r="AK101" i="39" s="1"/>
  <c r="AL101" i="39" s="1"/>
  <c r="AM101" i="39" s="1"/>
  <c r="AN101" i="39" s="1"/>
  <c r="AO101" i="39" s="1"/>
  <c r="AP101" i="39" s="1"/>
  <c r="AQ101" i="39" s="1"/>
  <c r="AR101" i="39" s="1"/>
  <c r="AS101" i="39" s="1"/>
  <c r="AT101" i="39" s="1"/>
  <c r="AU101" i="39" s="1"/>
  <c r="AV101" i="39" s="1"/>
  <c r="AW101" i="39" s="1"/>
  <c r="AX101" i="39" s="1"/>
  <c r="AY101" i="39" s="1"/>
  <c r="AZ101" i="39" s="1"/>
  <c r="BA101" i="39" s="1"/>
  <c r="BB101" i="39" s="1"/>
  <c r="BC101" i="39" s="1"/>
  <c r="BD101" i="39" s="1"/>
  <c r="BE101" i="39" s="1"/>
  <c r="BF101" i="39" s="1"/>
  <c r="BG101" i="39" s="1"/>
  <c r="BH101" i="39" s="1"/>
  <c r="BI101" i="39" s="1"/>
  <c r="BJ101" i="39" s="1"/>
  <c r="BK101" i="39" s="1"/>
  <c r="BL101" i="39" s="1"/>
  <c r="BM101" i="39" s="1"/>
  <c r="BN101" i="39" s="1"/>
  <c r="BO101" i="39" s="1"/>
  <c r="BP101" i="39" s="1"/>
  <c r="BQ101" i="39" s="1"/>
  <c r="BR101" i="39" s="1"/>
  <c r="BS101" i="39" s="1"/>
  <c r="BT101" i="39" s="1"/>
  <c r="BU101" i="39" s="1"/>
  <c r="BV101" i="39" s="1"/>
  <c r="BW101" i="39" s="1"/>
  <c r="BX101" i="39" s="1"/>
  <c r="BY101" i="39" s="1"/>
  <c r="BZ101" i="39" s="1"/>
  <c r="CA101" i="39" s="1"/>
  <c r="CB101" i="39" s="1"/>
  <c r="CC101" i="39" s="1"/>
  <c r="CD101" i="39" s="1"/>
  <c r="CE101" i="39" s="1"/>
  <c r="CF101" i="39" s="1"/>
  <c r="CG101" i="39" s="1"/>
  <c r="CH101" i="39" s="1"/>
  <c r="CI101" i="39" s="1"/>
  <c r="CJ101" i="39" s="1"/>
  <c r="CO101" i="5"/>
  <c r="C101" i="5" s="1"/>
  <c r="CN172" i="5"/>
  <c r="CN142" i="5" s="1"/>
  <c r="CL172" i="5"/>
  <c r="CL142" i="5" s="1"/>
  <c r="CB172" i="5"/>
  <c r="CB142" i="5" s="1"/>
  <c r="BY172" i="5"/>
  <c r="BY142" i="5" s="1"/>
  <c r="BV172" i="5"/>
  <c r="BV142" i="5" s="1"/>
  <c r="BR172" i="5"/>
  <c r="BR142" i="5" s="1"/>
  <c r="BO172" i="5"/>
  <c r="BO142" i="5" s="1"/>
  <c r="CH172" i="5"/>
  <c r="CH142" i="5" s="1"/>
  <c r="CE172" i="5"/>
  <c r="CE142" i="5" s="1"/>
  <c r="BK172" i="5"/>
  <c r="BK142" i="5" s="1"/>
  <c r="CK172" i="5"/>
  <c r="CK142" i="5" s="1"/>
  <c r="CA172" i="5"/>
  <c r="CA142" i="5" s="1"/>
  <c r="BX172" i="5"/>
  <c r="BX142" i="5" s="1"/>
  <c r="BU172" i="5"/>
  <c r="BU142" i="5" s="1"/>
  <c r="BN172" i="5"/>
  <c r="BN142" i="5" s="1"/>
  <c r="BG172" i="5"/>
  <c r="BG142" i="5" s="1"/>
  <c r="E64" i="5"/>
  <c r="E167" i="33"/>
  <c r="C167" i="33" s="1"/>
  <c r="CD172" i="5"/>
  <c r="CD142" i="5" s="1"/>
  <c r="BQ172" i="5"/>
  <c r="BQ142" i="5" s="1"/>
  <c r="BJ172" i="5"/>
  <c r="BJ142" i="5" s="1"/>
  <c r="E93" i="5"/>
  <c r="CJ172" i="5"/>
  <c r="CJ142" i="5" s="1"/>
  <c r="CG172" i="5"/>
  <c r="CG142" i="5" s="1"/>
  <c r="BT172" i="5"/>
  <c r="BT142" i="5" s="1"/>
  <c r="BM172" i="5"/>
  <c r="BM142" i="5" s="1"/>
  <c r="BF172" i="5"/>
  <c r="BF142" i="5" s="1"/>
  <c r="E137" i="5"/>
  <c r="CC172" i="5"/>
  <c r="CC142" i="5" s="1"/>
  <c r="BZ172" i="5"/>
  <c r="BZ142" i="5" s="1"/>
  <c r="BW172" i="5"/>
  <c r="BW142" i="5" s="1"/>
  <c r="BI172" i="5"/>
  <c r="BI142" i="5" s="1"/>
  <c r="CM172" i="5"/>
  <c r="CM142" i="5" s="1"/>
  <c r="CF172" i="5"/>
  <c r="CF142" i="5" s="1"/>
  <c r="BS172" i="5"/>
  <c r="BS142" i="5" s="1"/>
  <c r="BP172" i="5"/>
  <c r="BP142" i="5" s="1"/>
  <c r="BE172" i="5"/>
  <c r="BE142" i="5" s="1"/>
  <c r="CI172" i="5"/>
  <c r="CI142" i="5" s="1"/>
  <c r="BL172" i="5"/>
  <c r="BL142" i="5" s="1"/>
  <c r="BH172" i="5"/>
  <c r="BH142" i="5" s="1"/>
  <c r="AX172" i="5"/>
  <c r="AX142" i="5" s="1"/>
  <c r="AU172" i="5"/>
  <c r="AU142" i="5" s="1"/>
  <c r="AP172" i="5"/>
  <c r="AP142" i="5" s="1"/>
  <c r="AM172" i="5"/>
  <c r="AM142" i="5" s="1"/>
  <c r="AL172" i="5"/>
  <c r="AL142" i="5" s="1"/>
  <c r="BD172" i="5"/>
  <c r="BD142" i="5" s="1"/>
  <c r="AG172" i="5"/>
  <c r="AG142" i="5" s="1"/>
  <c r="AZ172" i="5"/>
  <c r="AZ142" i="5" s="1"/>
  <c r="AT172" i="5"/>
  <c r="AT142" i="5" s="1"/>
  <c r="AR172" i="5"/>
  <c r="AR142" i="5" s="1"/>
  <c r="AO172" i="5"/>
  <c r="AO142" i="5" s="1"/>
  <c r="AK172" i="5"/>
  <c r="AK142" i="5" s="1"/>
  <c r="AS172" i="5"/>
  <c r="AS142" i="5" s="1"/>
  <c r="BC172" i="5"/>
  <c r="BC142" i="5" s="1"/>
  <c r="AW172" i="5"/>
  <c r="AW142" i="5" s="1"/>
  <c r="AQ172" i="5"/>
  <c r="AQ142" i="5" s="1"/>
  <c r="AJ172" i="5"/>
  <c r="AJ142" i="5" s="1"/>
  <c r="BB172" i="5"/>
  <c r="BB142" i="5" s="1"/>
  <c r="AY172" i="5"/>
  <c r="AY142" i="5" s="1"/>
  <c r="Z172" i="5"/>
  <c r="Z142" i="5" s="1"/>
  <c r="AI172" i="5"/>
  <c r="AI142" i="5" s="1"/>
  <c r="AV172" i="5"/>
  <c r="AV142" i="5" s="1"/>
  <c r="AN172" i="5"/>
  <c r="AN142" i="5" s="1"/>
  <c r="AH172" i="5"/>
  <c r="AH142" i="5" s="1"/>
  <c r="BA172" i="5"/>
  <c r="BA142" i="5" s="1"/>
  <c r="C167" i="5"/>
  <c r="Y167" i="33"/>
  <c r="J167" i="33"/>
  <c r="AC172" i="5"/>
  <c r="AC142" i="5" s="1"/>
  <c r="E182" i="5"/>
  <c r="E181" i="5" s="1"/>
  <c r="M167" i="33"/>
  <c r="V167" i="33"/>
  <c r="N167" i="33"/>
  <c r="T167" i="33"/>
  <c r="W167" i="33"/>
  <c r="R167" i="33"/>
  <c r="AA172" i="5"/>
  <c r="AA142" i="5" s="1"/>
  <c r="Y172" i="5"/>
  <c r="K167" i="33"/>
  <c r="G167" i="33"/>
  <c r="Q167" i="33"/>
  <c r="U167" i="33"/>
  <c r="Z167" i="33"/>
  <c r="S167" i="33"/>
  <c r="AD172" i="5"/>
  <c r="AD142" i="5" s="1"/>
  <c r="AB172" i="5"/>
  <c r="AB142" i="5" s="1"/>
  <c r="AE172" i="5"/>
  <c r="AE142" i="5" s="1"/>
  <c r="E165" i="5"/>
  <c r="E92" i="5" s="1"/>
  <c r="E142" i="5"/>
  <c r="I167" i="33"/>
  <c r="O167" i="33"/>
  <c r="AF172" i="5"/>
  <c r="AF142" i="5" s="1"/>
  <c r="F167" i="33"/>
  <c r="P167" i="33"/>
  <c r="H167" i="33"/>
  <c r="L167" i="33"/>
  <c r="X167" i="33"/>
  <c r="I184" i="33"/>
  <c r="X184" i="33"/>
  <c r="M184" i="33"/>
  <c r="W184" i="33"/>
  <c r="U184" i="33"/>
  <c r="F184" i="33"/>
  <c r="D184" i="33"/>
  <c r="S184" i="33"/>
  <c r="Q184" i="33"/>
  <c r="Z184" i="33"/>
  <c r="H184" i="33"/>
  <c r="P184" i="33"/>
  <c r="N184" i="33"/>
  <c r="R184" i="33"/>
  <c r="O184" i="33"/>
  <c r="J184" i="33"/>
  <c r="Y184" i="33"/>
  <c r="L184" i="33"/>
  <c r="K184" i="33"/>
  <c r="T184" i="33"/>
  <c r="V184" i="33"/>
  <c r="G184" i="33"/>
  <c r="E184" i="33"/>
  <c r="C107" i="33"/>
  <c r="D97" i="32"/>
  <c r="E189" i="5"/>
  <c r="E188" i="5" s="1"/>
  <c r="E121" i="5" a="1"/>
  <c r="E121" i="5" s="1"/>
  <c r="F163" i="5"/>
  <c r="D187" i="4"/>
  <c r="D116" i="4"/>
  <c r="D180" i="32"/>
  <c r="F155" i="4"/>
  <c r="F157" i="5"/>
  <c r="F160" i="5" s="1"/>
  <c r="E180" i="5"/>
  <c r="E103" i="5"/>
  <c r="F103" i="5" s="1"/>
  <c r="G103" i="5" s="1"/>
  <c r="H103" i="5" s="1"/>
  <c r="I103" i="5" s="1"/>
  <c r="J103" i="5" s="1"/>
  <c r="K103" i="5" s="1"/>
  <c r="L103" i="5" s="1"/>
  <c r="M103" i="5" s="1"/>
  <c r="N103" i="5" s="1"/>
  <c r="O103" i="5" s="1"/>
  <c r="P103" i="5" s="1"/>
  <c r="Q103" i="5" s="1"/>
  <c r="R103" i="5" s="1"/>
  <c r="S103" i="5" s="1"/>
  <c r="T103" i="5" s="1"/>
  <c r="U103" i="5" s="1"/>
  <c r="V103" i="5" s="1"/>
  <c r="W103" i="5" s="1"/>
  <c r="X103" i="5" s="1"/>
  <c r="Y103" i="5" s="1"/>
  <c r="Z103" i="5" s="1"/>
  <c r="AA103" i="5" s="1"/>
  <c r="AB103" i="5" s="1"/>
  <c r="AC103" i="5" s="1"/>
  <c r="AD103" i="5" s="1"/>
  <c r="AE103" i="5" s="1"/>
  <c r="AF103" i="5" s="1"/>
  <c r="AG103" i="5" s="1"/>
  <c r="AH103" i="5" s="1"/>
  <c r="AI103" i="5" s="1"/>
  <c r="AJ103" i="5" s="1"/>
  <c r="AK103" i="5" s="1"/>
  <c r="AL103" i="5" s="1"/>
  <c r="AM103" i="5" s="1"/>
  <c r="AN103" i="5" s="1"/>
  <c r="AO103" i="5" s="1"/>
  <c r="AP103" i="5" s="1"/>
  <c r="AQ103" i="5" s="1"/>
  <c r="AR103" i="5" s="1"/>
  <c r="AS103" i="5" s="1"/>
  <c r="AT103" i="5" s="1"/>
  <c r="AU103" i="5" s="1"/>
  <c r="AV103" i="5" s="1"/>
  <c r="AW103" i="5" s="1"/>
  <c r="AX103" i="5" s="1"/>
  <c r="AY103" i="5" s="1"/>
  <c r="AZ103" i="5" s="1"/>
  <c r="BA103" i="5" s="1"/>
  <c r="BB103" i="5" s="1"/>
  <c r="BC103" i="5" s="1"/>
  <c r="BD103" i="5" s="1"/>
  <c r="BE103" i="5" s="1"/>
  <c r="BF103" i="5" s="1"/>
  <c r="BG103" i="5" s="1"/>
  <c r="BH103" i="5" s="1"/>
  <c r="BI103" i="5" s="1"/>
  <c r="BJ103" i="5" s="1"/>
  <c r="BK103" i="5" s="1"/>
  <c r="BL103" i="5" s="1"/>
  <c r="BM103" i="5" s="1"/>
  <c r="BN103" i="5" s="1"/>
  <c r="BO103" i="5" s="1"/>
  <c r="BP103" i="5" s="1"/>
  <c r="BQ103" i="5" s="1"/>
  <c r="BR103" i="5" s="1"/>
  <c r="BS103" i="5" s="1"/>
  <c r="BT103" i="5" s="1"/>
  <c r="BU103" i="5" s="1"/>
  <c r="BV103" i="5" s="1"/>
  <c r="BW103" i="5" s="1"/>
  <c r="BX103" i="5" s="1"/>
  <c r="BY103" i="5" s="1"/>
  <c r="BZ103" i="5" s="1"/>
  <c r="CA103" i="5" s="1"/>
  <c r="CB103" i="5" s="1"/>
  <c r="CC103" i="5" s="1"/>
  <c r="CD103" i="5" s="1"/>
  <c r="CE103" i="5" s="1"/>
  <c r="CF103" i="5" s="1"/>
  <c r="CG103" i="5" s="1"/>
  <c r="CH103" i="5" s="1"/>
  <c r="CI103" i="5" s="1"/>
  <c r="CJ103" i="5" s="1"/>
  <c r="CK103" i="5" s="1"/>
  <c r="CL103" i="5" s="1"/>
  <c r="CM103" i="5" s="1"/>
  <c r="CN103" i="5" s="1"/>
  <c r="CO103" i="5" s="1"/>
  <c r="D103" i="33"/>
  <c r="D90" i="33"/>
  <c r="C90" i="33" s="1"/>
  <c r="Z90" i="33"/>
  <c r="O90" i="33"/>
  <c r="W90" i="33"/>
  <c r="D191" i="5"/>
  <c r="P90" i="33"/>
  <c r="F90" i="33"/>
  <c r="L90" i="33"/>
  <c r="K90" i="33"/>
  <c r="S90" i="33"/>
  <c r="U90" i="33"/>
  <c r="G90" i="33"/>
  <c r="H90" i="33"/>
  <c r="I90" i="33"/>
  <c r="Q90" i="33"/>
  <c r="E90" i="33"/>
  <c r="T90" i="33"/>
  <c r="J90" i="33"/>
  <c r="X90" i="33"/>
  <c r="V90" i="33"/>
  <c r="C90" i="5"/>
  <c r="Y90" i="33"/>
  <c r="R90" i="33"/>
  <c r="M90" i="33"/>
  <c r="N90" i="33"/>
  <c r="D94" i="5"/>
  <c r="D176" i="5"/>
  <c r="D173" i="33"/>
  <c r="K173" i="33"/>
  <c r="Q173" i="33"/>
  <c r="Y173" i="33"/>
  <c r="T173" i="33"/>
  <c r="Z173" i="33"/>
  <c r="P173" i="33"/>
  <c r="O173" i="33"/>
  <c r="U173" i="33"/>
  <c r="E173" i="33"/>
  <c r="H173" i="33"/>
  <c r="I173" i="33"/>
  <c r="S173" i="33"/>
  <c r="R173" i="33"/>
  <c r="N173" i="33"/>
  <c r="G173" i="33"/>
  <c r="M173" i="33"/>
  <c r="W173" i="33"/>
  <c r="L173" i="33"/>
  <c r="F173" i="33"/>
  <c r="J173" i="33"/>
  <c r="V173" i="33"/>
  <c r="X173" i="33"/>
  <c r="CO111" i="5"/>
  <c r="D109" i="33"/>
  <c r="D111" i="5"/>
  <c r="D110" i="5"/>
  <c r="C109" i="5"/>
  <c r="C114" i="5"/>
  <c r="C107" i="5"/>
  <c r="P95" i="33"/>
  <c r="N95" i="33"/>
  <c r="S95" i="33"/>
  <c r="X95" i="33"/>
  <c r="E95" i="33"/>
  <c r="Z95" i="33"/>
  <c r="K95" i="33"/>
  <c r="U95" i="33"/>
  <c r="W95" i="33"/>
  <c r="Q95" i="33"/>
  <c r="Y95" i="33"/>
  <c r="I95" i="33"/>
  <c r="O95" i="33"/>
  <c r="T95" i="33"/>
  <c r="F95" i="33"/>
  <c r="J95" i="33"/>
  <c r="V95" i="33"/>
  <c r="R95" i="33"/>
  <c r="H95" i="33"/>
  <c r="L95" i="33"/>
  <c r="M95" i="33"/>
  <c r="G95" i="33"/>
  <c r="E97" i="5"/>
  <c r="D167" i="32"/>
  <c r="D170" i="4"/>
  <c r="C104" i="5"/>
  <c r="C106" i="33"/>
  <c r="C104" i="33"/>
  <c r="C106" i="5"/>
  <c r="Q162" i="4" l="1"/>
  <c r="R89" i="4"/>
  <c r="S89" i="4"/>
  <c r="CK144" i="39"/>
  <c r="CK145" i="39" s="1"/>
  <c r="CK137" i="39" s="1"/>
  <c r="CK138" i="39" s="1"/>
  <c r="CK139" i="39" s="1" a="1"/>
  <c r="CK139" i="39" s="1"/>
  <c r="CK65" i="39" s="1"/>
  <c r="CK78" i="39" s="1"/>
  <c r="CJ177" i="39"/>
  <c r="CJ115" i="39"/>
  <c r="F158" i="4"/>
  <c r="G155" i="4" s="1"/>
  <c r="G158" i="4" s="1"/>
  <c r="E109" i="5"/>
  <c r="C113" i="5" s="1"/>
  <c r="O172" i="33"/>
  <c r="P172" i="33"/>
  <c r="D172" i="33"/>
  <c r="K172" i="33"/>
  <c r="T172" i="33"/>
  <c r="D183" i="5"/>
  <c r="R172" i="33"/>
  <c r="E172" i="33"/>
  <c r="M172" i="33"/>
  <c r="F172" i="33"/>
  <c r="N172" i="33"/>
  <c r="V172" i="33"/>
  <c r="L172" i="33"/>
  <c r="I172" i="33"/>
  <c r="Q172" i="33"/>
  <c r="S172" i="33"/>
  <c r="W172" i="33"/>
  <c r="G172" i="33"/>
  <c r="Y172" i="33"/>
  <c r="H172" i="33"/>
  <c r="J172" i="33"/>
  <c r="X172" i="33"/>
  <c r="Z172" i="33"/>
  <c r="U172" i="33"/>
  <c r="D190" i="5"/>
  <c r="F187" i="33"/>
  <c r="L187" i="33"/>
  <c r="M187" i="33"/>
  <c r="S187" i="33"/>
  <c r="D187" i="33"/>
  <c r="Y187" i="33"/>
  <c r="X187" i="33"/>
  <c r="U187" i="33"/>
  <c r="T187" i="33"/>
  <c r="E90" i="5"/>
  <c r="E94" i="5" s="1"/>
  <c r="P187" i="33"/>
  <c r="V187" i="33"/>
  <c r="R187" i="33"/>
  <c r="Q187" i="33"/>
  <c r="J187" i="33"/>
  <c r="H187" i="33"/>
  <c r="I187" i="33"/>
  <c r="N187" i="33"/>
  <c r="Z187" i="33"/>
  <c r="O187" i="33"/>
  <c r="K187" i="33"/>
  <c r="E187" i="33"/>
  <c r="W187" i="33"/>
  <c r="G187" i="33"/>
  <c r="F180" i="5"/>
  <c r="G157" i="5"/>
  <c r="G160" i="5" s="1"/>
  <c r="F167" i="5"/>
  <c r="F166" i="5"/>
  <c r="Y142" i="5"/>
  <c r="C172" i="5"/>
  <c r="E93" i="33"/>
  <c r="T93" i="33"/>
  <c r="T109" i="33" s="1"/>
  <c r="H93" i="33"/>
  <c r="H109" i="33" s="1"/>
  <c r="C93" i="5"/>
  <c r="G93" i="33"/>
  <c r="G109" i="33" s="1"/>
  <c r="N93" i="33"/>
  <c r="N109" i="33" s="1"/>
  <c r="F93" i="33"/>
  <c r="F109" i="33" s="1"/>
  <c r="W93" i="33"/>
  <c r="W109" i="33" s="1"/>
  <c r="Y93" i="33"/>
  <c r="Y109" i="33" s="1"/>
  <c r="U93" i="33"/>
  <c r="U109" i="33" s="1"/>
  <c r="Q93" i="33"/>
  <c r="Q109" i="33" s="1"/>
  <c r="L93" i="33"/>
  <c r="L109" i="33" s="1"/>
  <c r="S93" i="33"/>
  <c r="S109" i="33" s="1"/>
  <c r="M93" i="33"/>
  <c r="M109" i="33" s="1"/>
  <c r="I93" i="33"/>
  <c r="I109" i="33" s="1"/>
  <c r="K93" i="33"/>
  <c r="K109" i="33" s="1"/>
  <c r="R93" i="33"/>
  <c r="R109" i="33" s="1"/>
  <c r="J93" i="33"/>
  <c r="J109" i="33" s="1"/>
  <c r="P93" i="33"/>
  <c r="P109" i="33" s="1"/>
  <c r="V93" i="33"/>
  <c r="V109" i="33" s="1"/>
  <c r="Z93" i="33"/>
  <c r="Z109" i="33" s="1"/>
  <c r="O93" i="33"/>
  <c r="O109" i="33" s="1"/>
  <c r="X93" i="33"/>
  <c r="X109" i="33" s="1"/>
  <c r="D110" i="33"/>
  <c r="D94" i="33"/>
  <c r="C94" i="33" s="1"/>
  <c r="W94" i="33"/>
  <c r="R94" i="33"/>
  <c r="C94" i="5"/>
  <c r="F94" i="33"/>
  <c r="E94" i="33"/>
  <c r="G94" i="33"/>
  <c r="V94" i="33"/>
  <c r="I94" i="33"/>
  <c r="H94" i="33"/>
  <c r="Z94" i="33"/>
  <c r="Q94" i="33"/>
  <c r="Y94" i="33"/>
  <c r="P94" i="33"/>
  <c r="O94" i="33"/>
  <c r="X94" i="33"/>
  <c r="J94" i="33"/>
  <c r="N94" i="33"/>
  <c r="T94" i="33"/>
  <c r="S94" i="33"/>
  <c r="L94" i="33"/>
  <c r="K94" i="33"/>
  <c r="M94" i="33"/>
  <c r="U94" i="33"/>
  <c r="C103" i="33"/>
  <c r="C103" i="5"/>
  <c r="E137" i="33"/>
  <c r="C137" i="33" s="1"/>
  <c r="X137" i="33"/>
  <c r="O137" i="33"/>
  <c r="T137" i="33"/>
  <c r="I137" i="33"/>
  <c r="P137" i="33"/>
  <c r="Z137" i="33"/>
  <c r="G137" i="33"/>
  <c r="C137" i="5"/>
  <c r="J137" i="33"/>
  <c r="F137" i="33"/>
  <c r="Y137" i="33"/>
  <c r="M137" i="33"/>
  <c r="H137" i="33"/>
  <c r="L137" i="33"/>
  <c r="S137" i="33"/>
  <c r="Q137" i="33"/>
  <c r="K137" i="33"/>
  <c r="R137" i="33"/>
  <c r="U137" i="33"/>
  <c r="W137" i="33"/>
  <c r="V137" i="33"/>
  <c r="N137" i="33"/>
  <c r="C111" i="33"/>
  <c r="D111" i="33"/>
  <c r="D112" i="5"/>
  <c r="D112" i="33" s="1"/>
  <c r="C111" i="5"/>
  <c r="D112" i="32"/>
  <c r="C108" i="33"/>
  <c r="C108" i="5"/>
  <c r="D177" i="4"/>
  <c r="D166" i="32"/>
  <c r="E177" i="5"/>
  <c r="E176" i="5" s="1"/>
  <c r="E183" i="5" s="1"/>
  <c r="F95" i="5"/>
  <c r="F97" i="5" s="1"/>
  <c r="C114" i="33"/>
  <c r="D114" i="5" s="1"/>
  <c r="D114" i="33" s="1"/>
  <c r="C109" i="33"/>
  <c r="D117" i="4"/>
  <c r="D183" i="32"/>
  <c r="E142" i="33"/>
  <c r="C142" i="33" s="1"/>
  <c r="G142" i="33"/>
  <c r="N142" i="33"/>
  <c r="X142" i="33"/>
  <c r="Q142" i="33"/>
  <c r="H142" i="33"/>
  <c r="P142" i="33"/>
  <c r="S142" i="33"/>
  <c r="M142" i="33"/>
  <c r="O142" i="33"/>
  <c r="W142" i="33"/>
  <c r="T142" i="33"/>
  <c r="J142" i="33"/>
  <c r="V142" i="33"/>
  <c r="I142" i="33"/>
  <c r="R142" i="33"/>
  <c r="Z142" i="33"/>
  <c r="L142" i="33"/>
  <c r="K142" i="33"/>
  <c r="Y142" i="33"/>
  <c r="E187" i="5"/>
  <c r="C142" i="5"/>
  <c r="F142" i="33"/>
  <c r="U142" i="33"/>
  <c r="V64" i="33"/>
  <c r="U64" i="33"/>
  <c r="P64" i="33"/>
  <c r="J64" i="33"/>
  <c r="K64" i="33"/>
  <c r="C64" i="5"/>
  <c r="E64" i="33"/>
  <c r="C64" i="33" s="1"/>
  <c r="L64" i="33"/>
  <c r="H64" i="33"/>
  <c r="Z64" i="33"/>
  <c r="G64" i="33"/>
  <c r="S64" i="33"/>
  <c r="I64" i="33"/>
  <c r="O64" i="33"/>
  <c r="Q64" i="33"/>
  <c r="M64" i="33"/>
  <c r="Y64" i="33"/>
  <c r="R64" i="33"/>
  <c r="F64" i="33"/>
  <c r="T64" i="33"/>
  <c r="N64" i="33"/>
  <c r="X64" i="33"/>
  <c r="W64" i="33"/>
  <c r="T89" i="4" l="1"/>
  <c r="S162" i="4"/>
  <c r="R162" i="4"/>
  <c r="U89" i="4"/>
  <c r="CJ190" i="39"/>
  <c r="CJ189" i="39"/>
  <c r="CK122" i="39"/>
  <c r="CK120" i="39"/>
  <c r="CK81" i="39"/>
  <c r="CK146" i="39"/>
  <c r="CL143" i="39" s="1"/>
  <c r="CK66" i="39"/>
  <c r="E111" i="5"/>
  <c r="E112" i="5" s="1"/>
  <c r="E110" i="5"/>
  <c r="C113" i="33"/>
  <c r="C93" i="33"/>
  <c r="E109" i="33"/>
  <c r="D113" i="32"/>
  <c r="H155" i="4"/>
  <c r="H158" i="4" s="1"/>
  <c r="G163" i="5"/>
  <c r="F189" i="5"/>
  <c r="F188" i="5" s="1"/>
  <c r="F121" i="5" a="1"/>
  <c r="F121" i="5" s="1"/>
  <c r="P179" i="33"/>
  <c r="G179" i="33"/>
  <c r="R179" i="33"/>
  <c r="W179" i="33"/>
  <c r="L179" i="33"/>
  <c r="T179" i="33"/>
  <c r="K179" i="33"/>
  <c r="Y179" i="33"/>
  <c r="M179" i="33"/>
  <c r="O179" i="33"/>
  <c r="E179" i="33"/>
  <c r="V179" i="33"/>
  <c r="N179" i="33"/>
  <c r="I179" i="33"/>
  <c r="F179" i="33"/>
  <c r="H179" i="33"/>
  <c r="J179" i="33"/>
  <c r="S179" i="33"/>
  <c r="Z179" i="33"/>
  <c r="Q179" i="33"/>
  <c r="U179" i="33"/>
  <c r="X179" i="33"/>
  <c r="D179" i="33"/>
  <c r="F182" i="5"/>
  <c r="F181" i="5" s="1"/>
  <c r="F142" i="5"/>
  <c r="F187" i="5" s="1"/>
  <c r="F93" i="5"/>
  <c r="F64" i="5"/>
  <c r="F137" i="5"/>
  <c r="F165" i="5"/>
  <c r="F92" i="5" s="1"/>
  <c r="Q186" i="33"/>
  <c r="Y186" i="33"/>
  <c r="P186" i="33"/>
  <c r="K186" i="33"/>
  <c r="S186" i="33"/>
  <c r="Z186" i="33"/>
  <c r="I186" i="33"/>
  <c r="G186" i="33"/>
  <c r="W186" i="33"/>
  <c r="J186" i="33"/>
  <c r="O186" i="33"/>
  <c r="N186" i="33"/>
  <c r="R186" i="33"/>
  <c r="U186" i="33"/>
  <c r="V186" i="33"/>
  <c r="L186" i="33"/>
  <c r="X186" i="33"/>
  <c r="H186" i="33"/>
  <c r="M186" i="33"/>
  <c r="F186" i="33"/>
  <c r="T186" i="33"/>
  <c r="E186" i="33"/>
  <c r="D186" i="33"/>
  <c r="D193" i="5"/>
  <c r="D118" i="5"/>
  <c r="D118" i="33" s="1"/>
  <c r="G95" i="5"/>
  <c r="G97" i="5" s="1"/>
  <c r="F177" i="5"/>
  <c r="F176" i="5" s="1"/>
  <c r="D173" i="32"/>
  <c r="D189" i="4"/>
  <c r="D185" i="32" s="1"/>
  <c r="D190" i="4"/>
  <c r="D186" i="32" s="1"/>
  <c r="W183" i="33"/>
  <c r="S183" i="33"/>
  <c r="R183" i="33"/>
  <c r="U183" i="33"/>
  <c r="N183" i="33"/>
  <c r="X183" i="33"/>
  <c r="V183" i="33"/>
  <c r="J183" i="33"/>
  <c r="Z183" i="33"/>
  <c r="Y183" i="33"/>
  <c r="G183" i="33"/>
  <c r="P183" i="33"/>
  <c r="Q183" i="33"/>
  <c r="I183" i="33"/>
  <c r="K183" i="33"/>
  <c r="E183" i="33"/>
  <c r="M183" i="33"/>
  <c r="T183" i="33"/>
  <c r="H183" i="33"/>
  <c r="F183" i="33"/>
  <c r="O183" i="33"/>
  <c r="L183" i="33"/>
  <c r="G180" i="5"/>
  <c r="H157" i="5"/>
  <c r="H160" i="5" s="1"/>
  <c r="E191" i="5"/>
  <c r="V89" i="4" l="1"/>
  <c r="U162" i="4"/>
  <c r="T162" i="4"/>
  <c r="CK163" i="39"/>
  <c r="CK98" i="39"/>
  <c r="F183" i="5"/>
  <c r="G167" i="5"/>
  <c r="G166" i="5"/>
  <c r="H95" i="5"/>
  <c r="H97" i="5" s="1"/>
  <c r="G177" i="5"/>
  <c r="G176" i="5" s="1"/>
  <c r="I155" i="4"/>
  <c r="I158" i="4" s="1"/>
  <c r="F90" i="5"/>
  <c r="F94" i="5" s="1"/>
  <c r="E190" i="5"/>
  <c r="I157" i="5"/>
  <c r="I160" i="5" s="1"/>
  <c r="H180" i="5"/>
  <c r="Y189" i="33"/>
  <c r="Y192" i="33" s="1"/>
  <c r="O189" i="33"/>
  <c r="O191" i="33" s="1"/>
  <c r="L189" i="33"/>
  <c r="L192" i="33" s="1"/>
  <c r="V189" i="33"/>
  <c r="V192" i="33" s="1"/>
  <c r="E189" i="33"/>
  <c r="E192" i="33" s="1"/>
  <c r="H189" i="33"/>
  <c r="H192" i="33" s="1"/>
  <c r="N189" i="33"/>
  <c r="N192" i="33" s="1"/>
  <c r="T189" i="33"/>
  <c r="T192" i="33" s="1"/>
  <c r="S189" i="33"/>
  <c r="S191" i="33" s="1"/>
  <c r="G189" i="33"/>
  <c r="G192" i="33" s="1"/>
  <c r="W189" i="33"/>
  <c r="W192" i="33" s="1"/>
  <c r="D189" i="33"/>
  <c r="F189" i="33"/>
  <c r="F192" i="33" s="1"/>
  <c r="M189" i="33"/>
  <c r="M191" i="33" s="1"/>
  <c r="Q189" i="33"/>
  <c r="Q191" i="33" s="1"/>
  <c r="U189" i="33"/>
  <c r="U191" i="33" s="1"/>
  <c r="R189" i="33"/>
  <c r="R191" i="33" s="1"/>
  <c r="K189" i="33"/>
  <c r="K192" i="33" s="1"/>
  <c r="J189" i="33"/>
  <c r="J192" i="33" s="1"/>
  <c r="Z189" i="33"/>
  <c r="Z192" i="33" s="1"/>
  <c r="P189" i="33"/>
  <c r="P191" i="33" s="1"/>
  <c r="I189" i="33"/>
  <c r="I192" i="33" s="1"/>
  <c r="X189" i="33"/>
  <c r="X192" i="33" s="1"/>
  <c r="D119" i="5"/>
  <c r="D119" i="33" s="1"/>
  <c r="F109" i="5"/>
  <c r="D195" i="5"/>
  <c r="D191" i="33" s="1"/>
  <c r="D196" i="5"/>
  <c r="D192" i="33" s="1"/>
  <c r="W89" i="4" l="1"/>
  <c r="V162" i="4"/>
  <c r="CK100" i="39"/>
  <c r="CK101" i="39" s="1"/>
  <c r="CK99" i="39"/>
  <c r="CK121" i="39"/>
  <c r="CK90" i="39"/>
  <c r="CK164" i="39"/>
  <c r="Y191" i="33"/>
  <c r="H191" i="33"/>
  <c r="M192" i="33"/>
  <c r="F191" i="5"/>
  <c r="F190" i="5" s="1"/>
  <c r="P192" i="33"/>
  <c r="G191" i="33"/>
  <c r="Z191" i="33"/>
  <c r="Q192" i="33"/>
  <c r="N191" i="33"/>
  <c r="I95" i="5"/>
  <c r="I97" i="5" s="1"/>
  <c r="H177" i="5"/>
  <c r="H176" i="5" s="1"/>
  <c r="T191" i="33"/>
  <c r="F191" i="33"/>
  <c r="U192" i="33"/>
  <c r="O192" i="33"/>
  <c r="I191" i="33"/>
  <c r="J191" i="33"/>
  <c r="R192" i="33"/>
  <c r="S192" i="33"/>
  <c r="W191" i="33"/>
  <c r="J155" i="4"/>
  <c r="J158" i="4" s="1"/>
  <c r="X191" i="33"/>
  <c r="E191" i="33"/>
  <c r="L191" i="33"/>
  <c r="F110" i="5"/>
  <c r="F111" i="5"/>
  <c r="F112" i="5" s="1"/>
  <c r="V191" i="33"/>
  <c r="G189" i="5"/>
  <c r="G188" i="5" s="1"/>
  <c r="G121" i="5" a="1"/>
  <c r="G121" i="5" s="1"/>
  <c r="H163" i="5"/>
  <c r="K191" i="33"/>
  <c r="I180" i="5"/>
  <c r="J157" i="5"/>
  <c r="J160" i="5" s="1"/>
  <c r="G182" i="5"/>
  <c r="G181" i="5" s="1"/>
  <c r="G183" i="5" s="1"/>
  <c r="G165" i="5"/>
  <c r="G92" i="5" s="1"/>
  <c r="G93" i="5"/>
  <c r="G142" i="5"/>
  <c r="G187" i="5" s="1"/>
  <c r="G64" i="5"/>
  <c r="G137" i="5"/>
  <c r="W162" i="4" l="1"/>
  <c r="X89" i="4"/>
  <c r="CL161" i="39"/>
  <c r="CK183" i="39"/>
  <c r="CK182" i="39" s="1"/>
  <c r="CK119" i="39" a="1"/>
  <c r="CK119" i="39" s="1"/>
  <c r="CK88" i="39"/>
  <c r="CK107" i="39"/>
  <c r="G90" i="5"/>
  <c r="G94" i="5" s="1"/>
  <c r="G109" i="5"/>
  <c r="G111" i="5" s="1"/>
  <c r="G112" i="5" s="1"/>
  <c r="K155" i="4"/>
  <c r="K158" i="4" s="1"/>
  <c r="I177" i="5"/>
  <c r="I176" i="5" s="1"/>
  <c r="J95" i="5"/>
  <c r="J97" i="5" s="1"/>
  <c r="K157" i="5"/>
  <c r="K160" i="5" s="1"/>
  <c r="J180" i="5"/>
  <c r="H166" i="5"/>
  <c r="H167" i="5"/>
  <c r="X162" i="4" l="1"/>
  <c r="Y89" i="4"/>
  <c r="CK109" i="39"/>
  <c r="CK110" i="39" s="1"/>
  <c r="CK108" i="39"/>
  <c r="CK118" i="39"/>
  <c r="CK185" i="39"/>
  <c r="CK184" i="39" s="1"/>
  <c r="CK187" i="39" s="1"/>
  <c r="CK117" i="39" s="1"/>
  <c r="CK92" i="39"/>
  <c r="CK94" i="39" s="1"/>
  <c r="CK95" i="39" s="1"/>
  <c r="CL165" i="39"/>
  <c r="G110" i="5"/>
  <c r="G191" i="5"/>
  <c r="H121" i="5" a="1"/>
  <c r="H121" i="5" s="1"/>
  <c r="H189" i="5"/>
  <c r="H188" i="5" s="1"/>
  <c r="I163" i="5"/>
  <c r="L155" i="4"/>
  <c r="L158" i="4" s="1"/>
  <c r="K95" i="5"/>
  <c r="K97" i="5" s="1"/>
  <c r="J177" i="5"/>
  <c r="J176" i="5" s="1"/>
  <c r="K180" i="5"/>
  <c r="L157" i="5"/>
  <c r="L160" i="5" s="1"/>
  <c r="H137" i="5"/>
  <c r="H165" i="5"/>
  <c r="H92" i="5" s="1"/>
  <c r="H182" i="5"/>
  <c r="H181" i="5" s="1"/>
  <c r="H183" i="5" s="1"/>
  <c r="H142" i="5"/>
  <c r="H187" i="5" s="1"/>
  <c r="H64" i="5"/>
  <c r="H93" i="5"/>
  <c r="Y162" i="4" l="1"/>
  <c r="Z89" i="4"/>
  <c r="AA89" i="4" s="1"/>
  <c r="CK171" i="39"/>
  <c r="CK170" i="39" s="1"/>
  <c r="CL93" i="39"/>
  <c r="CK116" i="39"/>
  <c r="CL135" i="39"/>
  <c r="CL136" i="39" s="1"/>
  <c r="CL144" i="39" s="1"/>
  <c r="CL91" i="39"/>
  <c r="CL63" i="39"/>
  <c r="CL64" i="39" s="1"/>
  <c r="G190" i="5"/>
  <c r="H90" i="5"/>
  <c r="L95" i="5"/>
  <c r="L97" i="5" s="1"/>
  <c r="K177" i="5"/>
  <c r="K176" i="5" s="1"/>
  <c r="M157" i="5"/>
  <c r="M160" i="5" s="1"/>
  <c r="L180" i="5"/>
  <c r="I167" i="5"/>
  <c r="I166" i="5"/>
  <c r="M155" i="4"/>
  <c r="M158" i="4" s="1"/>
  <c r="H109" i="5"/>
  <c r="AA162" i="4" l="1"/>
  <c r="Z162" i="4"/>
  <c r="AB89" i="4"/>
  <c r="AB162" i="4" s="1"/>
  <c r="CL145" i="39"/>
  <c r="CL137" i="39" s="1"/>
  <c r="CL138" i="39" s="1"/>
  <c r="CL139" i="39" s="1" a="1"/>
  <c r="CL139" i="39" s="1"/>
  <c r="CL65" i="39" s="1"/>
  <c r="CL78" i="39" s="1"/>
  <c r="CK177" i="39"/>
  <c r="CK115" i="39"/>
  <c r="H94" i="5"/>
  <c r="H191" i="5"/>
  <c r="H111" i="5"/>
  <c r="H112" i="5" s="1"/>
  <c r="H110" i="5"/>
  <c r="L177" i="5"/>
  <c r="L176" i="5" s="1"/>
  <c r="M95" i="5"/>
  <c r="M97" i="5" s="1"/>
  <c r="I121" i="5" a="1"/>
  <c r="I121" i="5" s="1"/>
  <c r="J163" i="5"/>
  <c r="I189" i="5"/>
  <c r="I188" i="5" s="1"/>
  <c r="N155" i="4"/>
  <c r="N158" i="4" s="1"/>
  <c r="I142" i="5"/>
  <c r="I187" i="5" s="1"/>
  <c r="I64" i="5"/>
  <c r="I93" i="5"/>
  <c r="I182" i="5"/>
  <c r="I181" i="5" s="1"/>
  <c r="I183" i="5" s="1"/>
  <c r="I165" i="5"/>
  <c r="I92" i="5" s="1"/>
  <c r="I137" i="5"/>
  <c r="M180" i="5"/>
  <c r="N157" i="5"/>
  <c r="N160" i="5" s="1"/>
  <c r="AC89" i="4" l="1"/>
  <c r="CK189" i="39"/>
  <c r="CK190" i="39"/>
  <c r="CL146" i="39"/>
  <c r="CM143" i="39" s="1"/>
  <c r="CL122" i="39"/>
  <c r="CL120" i="39"/>
  <c r="CL81" i="39"/>
  <c r="CL66" i="39"/>
  <c r="I90" i="5"/>
  <c r="H190" i="5"/>
  <c r="I109" i="5"/>
  <c r="I111" i="5" s="1"/>
  <c r="I112" i="5" s="1"/>
  <c r="N95" i="5"/>
  <c r="N97" i="5" s="1"/>
  <c r="M177" i="5"/>
  <c r="M176" i="5" s="1"/>
  <c r="J166" i="5"/>
  <c r="J167" i="5"/>
  <c r="N180" i="5"/>
  <c r="O157" i="5"/>
  <c r="O160" i="5" s="1"/>
  <c r="O155" i="4"/>
  <c r="O158" i="4" s="1"/>
  <c r="AC162" i="4" l="1"/>
  <c r="AD89" i="4"/>
  <c r="CL163" i="39"/>
  <c r="CL98" i="39"/>
  <c r="I110" i="5"/>
  <c r="I94" i="5"/>
  <c r="I191" i="5"/>
  <c r="O180" i="5"/>
  <c r="P157" i="5"/>
  <c r="P160" i="5" s="1"/>
  <c r="J165" i="5"/>
  <c r="J92" i="5" s="1"/>
  <c r="J93" i="5"/>
  <c r="J137" i="5"/>
  <c r="J64" i="5"/>
  <c r="J182" i="5"/>
  <c r="J181" i="5" s="1"/>
  <c r="J183" i="5" s="1"/>
  <c r="J142" i="5"/>
  <c r="J187" i="5" s="1"/>
  <c r="J121" i="5" a="1"/>
  <c r="J121" i="5" s="1"/>
  <c r="J189" i="5"/>
  <c r="J188" i="5" s="1"/>
  <c r="K163" i="5"/>
  <c r="P155" i="4"/>
  <c r="P158" i="4" s="1"/>
  <c r="N177" i="5"/>
  <c r="N176" i="5" s="1"/>
  <c r="O95" i="5"/>
  <c r="O97" i="5" s="1"/>
  <c r="AD162" i="4" l="1"/>
  <c r="AE89" i="4"/>
  <c r="AF89" i="4" s="1"/>
  <c r="CL100" i="39"/>
  <c r="CL101" i="39" s="1"/>
  <c r="CL99" i="39"/>
  <c r="CL90" i="39"/>
  <c r="CL121" i="39"/>
  <c r="CL164" i="39"/>
  <c r="J90" i="5"/>
  <c r="I190" i="5"/>
  <c r="J109" i="5"/>
  <c r="P180" i="5"/>
  <c r="Q157" i="5"/>
  <c r="Q160" i="5" s="1"/>
  <c r="Q155" i="4"/>
  <c r="Q158" i="4" s="1"/>
  <c r="K166" i="5"/>
  <c r="K167" i="5"/>
  <c r="P95" i="5"/>
  <c r="P97" i="5" s="1"/>
  <c r="O177" i="5"/>
  <c r="O176" i="5" s="1"/>
  <c r="AF162" i="4" l="1"/>
  <c r="AE162" i="4"/>
  <c r="AG89" i="4"/>
  <c r="AG162" i="4" s="1"/>
  <c r="CL88" i="39"/>
  <c r="CL107" i="39"/>
  <c r="CL183" i="39"/>
  <c r="CL182" i="39" s="1"/>
  <c r="CM161" i="39"/>
  <c r="CL119" i="39" a="1"/>
  <c r="CL119" i="39" s="1"/>
  <c r="J94" i="5"/>
  <c r="J191" i="5"/>
  <c r="R155" i="4"/>
  <c r="R158" i="4" s="1"/>
  <c r="Q180" i="5"/>
  <c r="R157" i="5"/>
  <c r="R160" i="5" s="1"/>
  <c r="K142" i="5"/>
  <c r="K187" i="5" s="1"/>
  <c r="K182" i="5"/>
  <c r="K181" i="5" s="1"/>
  <c r="K183" i="5" s="1"/>
  <c r="K165" i="5"/>
  <c r="K92" i="5" s="1"/>
  <c r="K93" i="5"/>
  <c r="K137" i="5"/>
  <c r="K64" i="5"/>
  <c r="Q95" i="5"/>
  <c r="Q97" i="5" s="1"/>
  <c r="P177" i="5"/>
  <c r="P176" i="5" s="1"/>
  <c r="K189" i="5"/>
  <c r="K188" i="5" s="1"/>
  <c r="L163" i="5"/>
  <c r="K121" i="5" a="1"/>
  <c r="K121" i="5" s="1"/>
  <c r="J111" i="5"/>
  <c r="J112" i="5" s="1"/>
  <c r="J110" i="5"/>
  <c r="AH89" i="4" l="1"/>
  <c r="AI89" i="4"/>
  <c r="AI162" i="4" s="1"/>
  <c r="CM165" i="39"/>
  <c r="CL118" i="39"/>
  <c r="CL109" i="39"/>
  <c r="CL110" i="39" s="1"/>
  <c r="CL108" i="39"/>
  <c r="CL185" i="39"/>
  <c r="CL92" i="39"/>
  <c r="CL94" i="39" s="1"/>
  <c r="CL95" i="39" s="1"/>
  <c r="J190" i="5"/>
  <c r="K90" i="5"/>
  <c r="K109" i="5"/>
  <c r="K111" i="5" s="1"/>
  <c r="K112" i="5" s="1"/>
  <c r="L166" i="5"/>
  <c r="L167" i="5"/>
  <c r="S155" i="4"/>
  <c r="S158" i="4" s="1"/>
  <c r="R180" i="5"/>
  <c r="S157" i="5"/>
  <c r="S160" i="5" s="1"/>
  <c r="R95" i="5"/>
  <c r="R97" i="5" s="1"/>
  <c r="Q177" i="5"/>
  <c r="Q176" i="5" s="1"/>
  <c r="AH162" i="4" l="1"/>
  <c r="AJ89" i="4"/>
  <c r="CL184" i="39"/>
  <c r="CL171" i="39"/>
  <c r="CL170" i="39" s="1"/>
  <c r="CM93" i="39"/>
  <c r="CM135" i="39"/>
  <c r="CM136" i="39" s="1"/>
  <c r="CM91" i="39"/>
  <c r="CM63" i="39"/>
  <c r="CM64" i="39" s="1"/>
  <c r="K110" i="5"/>
  <c r="K94" i="5"/>
  <c r="K191" i="5"/>
  <c r="L93" i="5"/>
  <c r="L182" i="5"/>
  <c r="L181" i="5" s="1"/>
  <c r="L183" i="5" s="1"/>
  <c r="L142" i="5"/>
  <c r="L187" i="5" s="1"/>
  <c r="L137" i="5"/>
  <c r="L165" i="5"/>
  <c r="L92" i="5" s="1"/>
  <c r="L64" i="5"/>
  <c r="S180" i="5"/>
  <c r="T157" i="5"/>
  <c r="T160" i="5" s="1"/>
  <c r="M163" i="5"/>
  <c r="L121" i="5" a="1"/>
  <c r="L121" i="5" s="1"/>
  <c r="L189" i="5"/>
  <c r="L188" i="5" s="1"/>
  <c r="R177" i="5"/>
  <c r="R176" i="5" s="1"/>
  <c r="S95" i="5"/>
  <c r="S97" i="5" s="1"/>
  <c r="T155" i="4"/>
  <c r="T158" i="4" s="1"/>
  <c r="AK89" i="4" l="1"/>
  <c r="AJ162" i="4"/>
  <c r="CM144" i="39"/>
  <c r="CM145" i="39" s="1"/>
  <c r="CM137" i="39" s="1"/>
  <c r="CM138" i="39" s="1"/>
  <c r="CM139" i="39" s="1" a="1"/>
  <c r="CM139" i="39" s="1"/>
  <c r="CM65" i="39" s="1"/>
  <c r="CM78" i="39" s="1"/>
  <c r="CL177" i="39"/>
  <c r="CL115" i="39"/>
  <c r="CL116" i="39"/>
  <c r="CL187" i="39"/>
  <c r="CL117" i="39" s="1"/>
  <c r="K190" i="5"/>
  <c r="L90" i="5"/>
  <c r="L94" i="5" s="1"/>
  <c r="L109" i="5"/>
  <c r="L111" i="5" s="1"/>
  <c r="L112" i="5" s="1"/>
  <c r="M167" i="5"/>
  <c r="M166" i="5"/>
  <c r="U157" i="5"/>
  <c r="U160" i="5" s="1"/>
  <c r="T180" i="5"/>
  <c r="U155" i="4"/>
  <c r="U158" i="4" s="1"/>
  <c r="S177" i="5"/>
  <c r="S176" i="5" s="1"/>
  <c r="T95" i="5"/>
  <c r="T97" i="5" s="1"/>
  <c r="AL89" i="4" l="1"/>
  <c r="AK162" i="4"/>
  <c r="CL189" i="39"/>
  <c r="CL190" i="39"/>
  <c r="CM122" i="39"/>
  <c r="CM120" i="39"/>
  <c r="CM81" i="39"/>
  <c r="CM146" i="39"/>
  <c r="CN143" i="39" s="1"/>
  <c r="CM66" i="39"/>
  <c r="L191" i="5"/>
  <c r="M90" i="5" s="1"/>
  <c r="M94" i="5" s="1"/>
  <c r="L110" i="5"/>
  <c r="N163" i="5"/>
  <c r="M189" i="5"/>
  <c r="M188" i="5" s="1"/>
  <c r="M121" i="5" a="1"/>
  <c r="M121" i="5" s="1"/>
  <c r="M142" i="5"/>
  <c r="M187" i="5" s="1"/>
  <c r="M182" i="5"/>
  <c r="M181" i="5" s="1"/>
  <c r="M183" i="5" s="1"/>
  <c r="M137" i="5"/>
  <c r="M93" i="5"/>
  <c r="M165" i="5"/>
  <c r="M92" i="5" s="1"/>
  <c r="M64" i="5"/>
  <c r="V155" i="4"/>
  <c r="V158" i="4" s="1"/>
  <c r="V157" i="5"/>
  <c r="V160" i="5" s="1"/>
  <c r="U180" i="5"/>
  <c r="U95" i="5"/>
  <c r="U97" i="5" s="1"/>
  <c r="T177" i="5"/>
  <c r="T176" i="5" s="1"/>
  <c r="AL162" i="4" l="1"/>
  <c r="AM89" i="4"/>
  <c r="O139" i="40" a="1"/>
  <c r="O139" i="40" s="1"/>
  <c r="W139" i="40" a="1"/>
  <c r="W139" i="40" s="1"/>
  <c r="N139" i="40" a="1"/>
  <c r="N139" i="40" s="1"/>
  <c r="E139" i="40" a="1"/>
  <c r="E139" i="40" s="1"/>
  <c r="T139" i="40" a="1"/>
  <c r="T139" i="40" s="1"/>
  <c r="F139" i="40" a="1"/>
  <c r="F139" i="40" s="1"/>
  <c r="U139" i="40" a="1"/>
  <c r="U139" i="40" s="1"/>
  <c r="Y139" i="40" a="1"/>
  <c r="Y139" i="40" s="1"/>
  <c r="H139" i="40" a="1"/>
  <c r="H139" i="40" s="1"/>
  <c r="L139" i="40" a="1"/>
  <c r="L139" i="40" s="1"/>
  <c r="M139" i="40" a="1"/>
  <c r="M139" i="40" s="1"/>
  <c r="J139" i="40" a="1"/>
  <c r="J139" i="40" s="1"/>
  <c r="X139" i="40" a="1"/>
  <c r="X139" i="40" s="1"/>
  <c r="Q139" i="40" a="1"/>
  <c r="Q139" i="40" s="1"/>
  <c r="I139" i="40" a="1"/>
  <c r="I139" i="40" s="1"/>
  <c r="P139" i="40" a="1"/>
  <c r="P139" i="40" s="1"/>
  <c r="V139" i="40" a="1"/>
  <c r="V139" i="40" s="1"/>
  <c r="Z139" i="40" a="1"/>
  <c r="Z139" i="40" s="1"/>
  <c r="K139" i="40" a="1"/>
  <c r="K139" i="40" s="1"/>
  <c r="G139" i="40" a="1"/>
  <c r="G139" i="40" s="1"/>
  <c r="R139" i="40" a="1"/>
  <c r="R139" i="40" s="1"/>
  <c r="S139" i="40" a="1"/>
  <c r="S139" i="40" s="1"/>
  <c r="CM163" i="39"/>
  <c r="CM98" i="39"/>
  <c r="L190" i="5"/>
  <c r="M191" i="5"/>
  <c r="N90" i="5" s="1"/>
  <c r="N94" i="5" s="1"/>
  <c r="M109" i="5"/>
  <c r="M111" i="5" s="1"/>
  <c r="M112" i="5" s="1"/>
  <c r="N167" i="5"/>
  <c r="N166" i="5"/>
  <c r="V95" i="5"/>
  <c r="V97" i="5" s="1"/>
  <c r="U177" i="5"/>
  <c r="U176" i="5" s="1"/>
  <c r="W157" i="5"/>
  <c r="W160" i="5" s="1"/>
  <c r="V180" i="5"/>
  <c r="W155" i="4"/>
  <c r="W158" i="4" s="1"/>
  <c r="AM162" i="4" l="1"/>
  <c r="AN89" i="4"/>
  <c r="CM100" i="39"/>
  <c r="CM101" i="39" s="1"/>
  <c r="CM99" i="39"/>
  <c r="CM90" i="39"/>
  <c r="CM121" i="39"/>
  <c r="CM164" i="39"/>
  <c r="M190" i="5"/>
  <c r="M110" i="5"/>
  <c r="N191" i="5"/>
  <c r="O90" i="5" s="1"/>
  <c r="O94" i="5" s="1"/>
  <c r="X155" i="4"/>
  <c r="X158" i="4" s="1"/>
  <c r="W95" i="5"/>
  <c r="W97" i="5" s="1"/>
  <c r="V177" i="5"/>
  <c r="V176" i="5" s="1"/>
  <c r="N121" i="5" a="1"/>
  <c r="N121" i="5" s="1"/>
  <c r="N189" i="5"/>
  <c r="N188" i="5" s="1"/>
  <c r="O163" i="5"/>
  <c r="W180" i="5"/>
  <c r="X157" i="5"/>
  <c r="X160" i="5" s="1"/>
  <c r="N165" i="5"/>
  <c r="N92" i="5" s="1"/>
  <c r="N137" i="5"/>
  <c r="N182" i="5"/>
  <c r="N181" i="5" s="1"/>
  <c r="N183" i="5" s="1"/>
  <c r="N142" i="5"/>
  <c r="N187" i="5" s="1"/>
  <c r="N64" i="5"/>
  <c r="N93" i="5"/>
  <c r="AN162" i="4" l="1"/>
  <c r="AO89" i="4"/>
  <c r="CM183" i="39"/>
  <c r="CM182" i="39" s="1"/>
  <c r="CN161" i="39"/>
  <c r="CM119" i="39" a="1"/>
  <c r="CM119" i="39" s="1"/>
  <c r="CM107" i="39"/>
  <c r="CM88" i="39"/>
  <c r="N190" i="5"/>
  <c r="N109" i="5"/>
  <c r="N110" i="5" s="1"/>
  <c r="O167" i="5"/>
  <c r="O191" i="5" s="1"/>
  <c r="O166" i="5"/>
  <c r="Y155" i="4"/>
  <c r="Y158" i="4" s="1"/>
  <c r="Y157" i="5"/>
  <c r="Y160" i="5" s="1"/>
  <c r="X180" i="5"/>
  <c r="W177" i="5"/>
  <c r="W176" i="5" s="1"/>
  <c r="X95" i="5"/>
  <c r="X97" i="5" s="1"/>
  <c r="AO162" i="4" l="1"/>
  <c r="AP89" i="4"/>
  <c r="CM109" i="39"/>
  <c r="CM110" i="39" s="1"/>
  <c r="CM108" i="39"/>
  <c r="CN165" i="39"/>
  <c r="J157" i="40" a="1"/>
  <c r="J157" i="40" s="1"/>
  <c r="T157" i="40" a="1"/>
  <c r="T157" i="40" s="1"/>
  <c r="H157" i="40" a="1"/>
  <c r="H157" i="40" s="1"/>
  <c r="R157" i="40" a="1"/>
  <c r="R157" i="40" s="1"/>
  <c r="K157" i="40" a="1"/>
  <c r="K157" i="40" s="1"/>
  <c r="Q157" i="40" a="1"/>
  <c r="Q157" i="40" s="1"/>
  <c r="S157" i="40" a="1"/>
  <c r="S157" i="40" s="1"/>
  <c r="V157" i="40" a="1"/>
  <c r="V157" i="40" s="1"/>
  <c r="O157" i="40" a="1"/>
  <c r="O157" i="40" s="1"/>
  <c r="L157" i="40" a="1"/>
  <c r="L157" i="40" s="1"/>
  <c r="Y157" i="40" a="1"/>
  <c r="Y157" i="40" s="1"/>
  <c r="Z157" i="40" a="1"/>
  <c r="Z157" i="40" s="1"/>
  <c r="F157" i="40" a="1"/>
  <c r="F157" i="40" s="1"/>
  <c r="N157" i="40" a="1"/>
  <c r="N157" i="40" s="1"/>
  <c r="G157" i="40" a="1"/>
  <c r="G157" i="40" s="1"/>
  <c r="X157" i="40" a="1"/>
  <c r="X157" i="40" s="1"/>
  <c r="W157" i="40" a="1"/>
  <c r="W157" i="40" s="1"/>
  <c r="U157" i="40" a="1"/>
  <c r="U157" i="40" s="1"/>
  <c r="M157" i="40" a="1"/>
  <c r="M157" i="40" s="1"/>
  <c r="P157" i="40" a="1"/>
  <c r="P157" i="40" s="1"/>
  <c r="I157" i="40" a="1"/>
  <c r="I157" i="40" s="1"/>
  <c r="E157" i="40" a="1"/>
  <c r="E157" i="40" s="1"/>
  <c r="CM185" i="39"/>
  <c r="CM92" i="39"/>
  <c r="CM94" i="39" s="1"/>
  <c r="CM95" i="39" s="1"/>
  <c r="CM118" i="39"/>
  <c r="N111" i="5"/>
  <c r="N112" i="5" s="1"/>
  <c r="P163" i="5"/>
  <c r="O121" i="5" a="1"/>
  <c r="O121" i="5" s="1"/>
  <c r="O189" i="5"/>
  <c r="O188" i="5" s="1"/>
  <c r="O64" i="5"/>
  <c r="O165" i="5"/>
  <c r="O92" i="5" s="1"/>
  <c r="O93" i="5"/>
  <c r="O142" i="5"/>
  <c r="O187" i="5" s="1"/>
  <c r="O137" i="5"/>
  <c r="O182" i="5"/>
  <c r="O181" i="5" s="1"/>
  <c r="O183" i="5" s="1"/>
  <c r="P90" i="5"/>
  <c r="P94" i="5" s="1"/>
  <c r="O190" i="5"/>
  <c r="Z155" i="4"/>
  <c r="Z158" i="4" s="1"/>
  <c r="Y180" i="5"/>
  <c r="Z157" i="5"/>
  <c r="Z160" i="5" s="1"/>
  <c r="Y95" i="5"/>
  <c r="Y97" i="5" s="1"/>
  <c r="X177" i="5"/>
  <c r="X176" i="5" s="1"/>
  <c r="AQ89" i="4" l="1"/>
  <c r="AP162" i="4"/>
  <c r="CM184" i="39"/>
  <c r="CN135" i="39"/>
  <c r="CN91" i="39"/>
  <c r="CN63" i="39"/>
  <c r="X161" i="40" a="1"/>
  <c r="X161" i="40" s="1"/>
  <c r="T161" i="40" a="1"/>
  <c r="T161" i="40" s="1"/>
  <c r="O161" i="40" a="1"/>
  <c r="O161" i="40" s="1"/>
  <c r="E161" i="40" a="1"/>
  <c r="E161" i="40" s="1"/>
  <c r="J161" i="40" a="1"/>
  <c r="J161" i="40" s="1"/>
  <c r="S161" i="40" a="1"/>
  <c r="S161" i="40" s="1"/>
  <c r="Z161" i="40" a="1"/>
  <c r="Z161" i="40" s="1"/>
  <c r="M161" i="40" a="1"/>
  <c r="M161" i="40" s="1"/>
  <c r="Y161" i="40" a="1"/>
  <c r="Y161" i="40" s="1"/>
  <c r="P161" i="40" a="1"/>
  <c r="P161" i="40" s="1"/>
  <c r="H161" i="40" a="1"/>
  <c r="H161" i="40" s="1"/>
  <c r="U161" i="40" a="1"/>
  <c r="U161" i="40" s="1"/>
  <c r="K161" i="40" a="1"/>
  <c r="K161" i="40" s="1"/>
  <c r="I161" i="40" a="1"/>
  <c r="I161" i="40" s="1"/>
  <c r="R161" i="40" a="1"/>
  <c r="R161" i="40" s="1"/>
  <c r="L161" i="40" a="1"/>
  <c r="L161" i="40" s="1"/>
  <c r="F161" i="40" a="1"/>
  <c r="F161" i="40" s="1"/>
  <c r="C165" i="39"/>
  <c r="N161" i="40" a="1"/>
  <c r="N161" i="40" s="1"/>
  <c r="G161" i="40" a="1"/>
  <c r="G161" i="40" s="1"/>
  <c r="V161" i="40" a="1"/>
  <c r="V161" i="40" s="1"/>
  <c r="W161" i="40" a="1"/>
  <c r="W161" i="40" s="1"/>
  <c r="Q161" i="40" a="1"/>
  <c r="Q161" i="40" s="1"/>
  <c r="CM171" i="39"/>
  <c r="CM170" i="39" s="1"/>
  <c r="CN93" i="39"/>
  <c r="O109" i="5"/>
  <c r="AA155" i="4"/>
  <c r="AA158" i="4" s="1"/>
  <c r="Y177" i="5"/>
  <c r="Y176" i="5" s="1"/>
  <c r="Z95" i="5"/>
  <c r="Z97" i="5" s="1"/>
  <c r="Z180" i="5"/>
  <c r="AA157" i="5"/>
  <c r="AA160" i="5" s="1"/>
  <c r="P166" i="5"/>
  <c r="P167" i="5"/>
  <c r="AQ162" i="4" l="1"/>
  <c r="AR89" i="4"/>
  <c r="C161" i="40"/>
  <c r="CN64" i="39"/>
  <c r="Q59" i="40" a="1"/>
  <c r="Q59" i="40" s="1"/>
  <c r="F59" i="40" a="1"/>
  <c r="F59" i="40" s="1"/>
  <c r="S59" i="40" a="1"/>
  <c r="S59" i="40" s="1"/>
  <c r="J59" i="40" a="1"/>
  <c r="J59" i="40" s="1"/>
  <c r="I59" i="40" a="1"/>
  <c r="I59" i="40" s="1"/>
  <c r="E59" i="40" a="1"/>
  <c r="E59" i="40" s="1"/>
  <c r="K59" i="40" a="1"/>
  <c r="K59" i="40" s="1"/>
  <c r="N59" i="40" a="1"/>
  <c r="N59" i="40" s="1"/>
  <c r="W59" i="40" a="1"/>
  <c r="W59" i="40" s="1"/>
  <c r="U59" i="40" a="1"/>
  <c r="U59" i="40" s="1"/>
  <c r="C63" i="39"/>
  <c r="O59" i="40" a="1"/>
  <c r="O59" i="40" s="1"/>
  <c r="Z59" i="40" a="1"/>
  <c r="Z59" i="40" s="1"/>
  <c r="H59" i="40" a="1"/>
  <c r="H59" i="40" s="1"/>
  <c r="V59" i="40" a="1"/>
  <c r="V59" i="40" s="1"/>
  <c r="Y59" i="40" a="1"/>
  <c r="Y59" i="40" s="1"/>
  <c r="G59" i="40" a="1"/>
  <c r="G59" i="40" s="1"/>
  <c r="R59" i="40" a="1"/>
  <c r="R59" i="40" s="1"/>
  <c r="X59" i="40" a="1"/>
  <c r="X59" i="40" s="1"/>
  <c r="T59" i="40" a="1"/>
  <c r="T59" i="40" s="1"/>
  <c r="L59" i="40" a="1"/>
  <c r="L59" i="40" s="1"/>
  <c r="M59" i="40" a="1"/>
  <c r="M59" i="40" s="1"/>
  <c r="P59" i="40" a="1"/>
  <c r="P59" i="40" s="1"/>
  <c r="C91" i="39"/>
  <c r="G87" i="40" a="1"/>
  <c r="G87" i="40" s="1"/>
  <c r="Q87" i="40" a="1"/>
  <c r="Q87" i="40" s="1"/>
  <c r="M87" i="40" a="1"/>
  <c r="M87" i="40" s="1"/>
  <c r="S87" i="40" a="1"/>
  <c r="S87" i="40" s="1"/>
  <c r="P87" i="40" a="1"/>
  <c r="P87" i="40" s="1"/>
  <c r="L87" i="40" a="1"/>
  <c r="L87" i="40" s="1"/>
  <c r="J87" i="40" a="1"/>
  <c r="J87" i="40" s="1"/>
  <c r="T87" i="40" a="1"/>
  <c r="T87" i="40" s="1"/>
  <c r="U87" i="40" a="1"/>
  <c r="U87" i="40" s="1"/>
  <c r="Z87" i="40" a="1"/>
  <c r="Z87" i="40" s="1"/>
  <c r="H87" i="40" a="1"/>
  <c r="H87" i="40" s="1"/>
  <c r="N87" i="40" a="1"/>
  <c r="N87" i="40" s="1"/>
  <c r="K87" i="40" a="1"/>
  <c r="K87" i="40" s="1"/>
  <c r="I87" i="40" a="1"/>
  <c r="I87" i="40" s="1"/>
  <c r="O87" i="40" a="1"/>
  <c r="O87" i="40" s="1"/>
  <c r="V87" i="40" a="1"/>
  <c r="V87" i="40" s="1"/>
  <c r="X87" i="40" a="1"/>
  <c r="X87" i="40" s="1"/>
  <c r="R87" i="40" a="1"/>
  <c r="R87" i="40" s="1"/>
  <c r="E87" i="40" a="1"/>
  <c r="E87" i="40" s="1"/>
  <c r="F87" i="40" a="1"/>
  <c r="F87" i="40" s="1"/>
  <c r="W87" i="40" a="1"/>
  <c r="W87" i="40" s="1"/>
  <c r="Y87" i="40" a="1"/>
  <c r="Y87" i="40" s="1"/>
  <c r="CN136" i="39"/>
  <c r="X131" i="40" a="1"/>
  <c r="X131" i="40" s="1"/>
  <c r="I131" i="40" a="1"/>
  <c r="I131" i="40" s="1"/>
  <c r="C135" i="39"/>
  <c r="L131" i="40" a="1"/>
  <c r="L131" i="40" s="1"/>
  <c r="K131" i="40" a="1"/>
  <c r="K131" i="40" s="1"/>
  <c r="W131" i="40" a="1"/>
  <c r="W131" i="40" s="1"/>
  <c r="P131" i="40" a="1"/>
  <c r="P131" i="40" s="1"/>
  <c r="J131" i="40" a="1"/>
  <c r="J131" i="40" s="1"/>
  <c r="T131" i="40" a="1"/>
  <c r="T131" i="40" s="1"/>
  <c r="S131" i="40" a="1"/>
  <c r="S131" i="40" s="1"/>
  <c r="V131" i="40" a="1"/>
  <c r="V131" i="40" s="1"/>
  <c r="M131" i="40" a="1"/>
  <c r="M131" i="40" s="1"/>
  <c r="G131" i="40" a="1"/>
  <c r="G131" i="40" s="1"/>
  <c r="O131" i="40" a="1"/>
  <c r="O131" i="40" s="1"/>
  <c r="E131" i="40" a="1"/>
  <c r="E131" i="40" s="1"/>
  <c r="N131" i="40" a="1"/>
  <c r="N131" i="40" s="1"/>
  <c r="U131" i="40" a="1"/>
  <c r="U131" i="40" s="1"/>
  <c r="H131" i="40" a="1"/>
  <c r="H131" i="40" s="1"/>
  <c r="Y131" i="40" a="1"/>
  <c r="Y131" i="40" s="1"/>
  <c r="F131" i="40" a="1"/>
  <c r="F131" i="40" s="1"/>
  <c r="Z131" i="40" a="1"/>
  <c r="Z131" i="40" s="1"/>
  <c r="Q131" i="40" a="1"/>
  <c r="Q131" i="40" s="1"/>
  <c r="R131" i="40" a="1"/>
  <c r="R131" i="40" s="1"/>
  <c r="L89" i="40" a="1"/>
  <c r="L89" i="40" s="1"/>
  <c r="K89" i="40" a="1"/>
  <c r="K89" i="40" s="1"/>
  <c r="S89" i="40" a="1"/>
  <c r="S89" i="40" s="1"/>
  <c r="V89" i="40" a="1"/>
  <c r="V89" i="40" s="1"/>
  <c r="H89" i="40" a="1"/>
  <c r="H89" i="40" s="1"/>
  <c r="E89" i="40" a="1"/>
  <c r="E89" i="40" s="1"/>
  <c r="M89" i="40" a="1"/>
  <c r="M89" i="40" s="1"/>
  <c r="T89" i="40" a="1"/>
  <c r="T89" i="40" s="1"/>
  <c r="P89" i="40" a="1"/>
  <c r="P89" i="40" s="1"/>
  <c r="N89" i="40" a="1"/>
  <c r="N89" i="40" s="1"/>
  <c r="Q89" i="40" a="1"/>
  <c r="Q89" i="40" s="1"/>
  <c r="I89" i="40" a="1"/>
  <c r="I89" i="40" s="1"/>
  <c r="W89" i="40" a="1"/>
  <c r="W89" i="40" s="1"/>
  <c r="U89" i="40" a="1"/>
  <c r="U89" i="40" s="1"/>
  <c r="Z89" i="40" a="1"/>
  <c r="Z89" i="40" s="1"/>
  <c r="J89" i="40" a="1"/>
  <c r="J89" i="40" s="1"/>
  <c r="R89" i="40" a="1"/>
  <c r="R89" i="40" s="1"/>
  <c r="Y89" i="40" a="1"/>
  <c r="Y89" i="40" s="1"/>
  <c r="G89" i="40" a="1"/>
  <c r="G89" i="40" s="1"/>
  <c r="O89" i="40" a="1"/>
  <c r="O89" i="40" s="1"/>
  <c r="X89" i="40" a="1"/>
  <c r="X89" i="40" s="1"/>
  <c r="F89" i="40" a="1"/>
  <c r="F89" i="40" s="1"/>
  <c r="CM177" i="39"/>
  <c r="CM115" i="39"/>
  <c r="CM116" i="39"/>
  <c r="CM187" i="39"/>
  <c r="CM117" i="39" s="1"/>
  <c r="O110" i="5"/>
  <c r="O111" i="5"/>
  <c r="O112" i="5" s="1"/>
  <c r="P165" i="5"/>
  <c r="P92" i="5" s="1"/>
  <c r="P64" i="5"/>
  <c r="P142" i="5"/>
  <c r="P187" i="5" s="1"/>
  <c r="P137" i="5"/>
  <c r="P93" i="5"/>
  <c r="P182" i="5"/>
  <c r="P181" i="5" s="1"/>
  <c r="P183" i="5" s="1"/>
  <c r="AB155" i="4"/>
  <c r="AB158" i="4" s="1"/>
  <c r="P189" i="5"/>
  <c r="P188" i="5" s="1"/>
  <c r="Q163" i="5"/>
  <c r="P121" i="5" a="1"/>
  <c r="P121" i="5" s="1"/>
  <c r="Z177" i="5"/>
  <c r="Z176" i="5" s="1"/>
  <c r="AA95" i="5"/>
  <c r="AA97" i="5" s="1"/>
  <c r="P191" i="5"/>
  <c r="AB157" i="5"/>
  <c r="AB160" i="5" s="1"/>
  <c r="AA180" i="5"/>
  <c r="AS89" i="4" l="1"/>
  <c r="AR162" i="4"/>
  <c r="C131" i="40"/>
  <c r="C59" i="40"/>
  <c r="C87" i="40"/>
  <c r="P60" i="40" a="1"/>
  <c r="P60" i="40" s="1"/>
  <c r="I60" i="40" a="1"/>
  <c r="I60" i="40" s="1"/>
  <c r="R60" i="40" a="1"/>
  <c r="R60" i="40" s="1"/>
  <c r="T60" i="40" a="1"/>
  <c r="T60" i="40" s="1"/>
  <c r="N60" i="40" a="1"/>
  <c r="N60" i="40" s="1"/>
  <c r="U60" i="40" a="1"/>
  <c r="U60" i="40" s="1"/>
  <c r="O60" i="40" a="1"/>
  <c r="O60" i="40" s="1"/>
  <c r="C64" i="39"/>
  <c r="F60" i="40" a="1"/>
  <c r="F60" i="40" s="1"/>
  <c r="S60" i="40" a="1"/>
  <c r="S60" i="40" s="1"/>
  <c r="H60" i="40" a="1"/>
  <c r="H60" i="40" s="1"/>
  <c r="Y60" i="40" a="1"/>
  <c r="Y60" i="40" s="1"/>
  <c r="K60" i="40" a="1"/>
  <c r="K60" i="40" s="1"/>
  <c r="W60" i="40" a="1"/>
  <c r="W60" i="40" s="1"/>
  <c r="J60" i="40" a="1"/>
  <c r="J60" i="40" s="1"/>
  <c r="L60" i="40" a="1"/>
  <c r="L60" i="40" s="1"/>
  <c r="G60" i="40" a="1"/>
  <c r="G60" i="40" s="1"/>
  <c r="V60" i="40" a="1"/>
  <c r="V60" i="40" s="1"/>
  <c r="E60" i="40" a="1"/>
  <c r="E60" i="40" s="1"/>
  <c r="Q60" i="40" a="1"/>
  <c r="Q60" i="40" s="1"/>
  <c r="Z60" i="40" a="1"/>
  <c r="Z60" i="40" s="1"/>
  <c r="X60" i="40" a="1"/>
  <c r="X60" i="40" s="1"/>
  <c r="M60" i="40" a="1"/>
  <c r="M60" i="40" s="1"/>
  <c r="CM190" i="39"/>
  <c r="CM189" i="39"/>
  <c r="CN144" i="39"/>
  <c r="E132" i="40" a="1"/>
  <c r="E132" i="40" s="1"/>
  <c r="L132" i="40" a="1"/>
  <c r="L132" i="40" s="1"/>
  <c r="T132" i="40" a="1"/>
  <c r="T132" i="40" s="1"/>
  <c r="P132" i="40" a="1"/>
  <c r="P132" i="40" s="1"/>
  <c r="R132" i="40" a="1"/>
  <c r="R132" i="40" s="1"/>
  <c r="Q132" i="40" a="1"/>
  <c r="Q132" i="40" s="1"/>
  <c r="N132" i="40" a="1"/>
  <c r="N132" i="40" s="1"/>
  <c r="I132" i="40" a="1"/>
  <c r="I132" i="40" s="1"/>
  <c r="U132" i="40" a="1"/>
  <c r="U132" i="40" s="1"/>
  <c r="J132" i="40" a="1"/>
  <c r="J132" i="40" s="1"/>
  <c r="H132" i="40" a="1"/>
  <c r="H132" i="40" s="1"/>
  <c r="C136" i="39"/>
  <c r="Z132" i="40" a="1"/>
  <c r="Z132" i="40" s="1"/>
  <c r="S132" i="40" a="1"/>
  <c r="S132" i="40" s="1"/>
  <c r="G132" i="40" a="1"/>
  <c r="G132" i="40" s="1"/>
  <c r="M132" i="40" a="1"/>
  <c r="M132" i="40" s="1"/>
  <c r="V132" i="40" a="1"/>
  <c r="V132" i="40" s="1"/>
  <c r="Y132" i="40" a="1"/>
  <c r="Y132" i="40" s="1"/>
  <c r="O132" i="40" a="1"/>
  <c r="O132" i="40" s="1"/>
  <c r="K132" i="40" a="1"/>
  <c r="K132" i="40" s="1"/>
  <c r="F132" i="40" a="1"/>
  <c r="F132" i="40" s="1"/>
  <c r="W132" i="40" a="1"/>
  <c r="W132" i="40" s="1"/>
  <c r="X132" i="40" a="1"/>
  <c r="X132" i="40" s="1"/>
  <c r="P109" i="5"/>
  <c r="P111" i="5" s="1"/>
  <c r="P112" i="5" s="1"/>
  <c r="P190" i="5"/>
  <c r="Q90" i="5"/>
  <c r="Q94" i="5" s="1"/>
  <c r="AC155" i="4"/>
  <c r="AC158" i="4" s="1"/>
  <c r="Q166" i="5"/>
  <c r="Q167" i="5"/>
  <c r="AB180" i="5"/>
  <c r="AC157" i="5"/>
  <c r="AC160" i="5" s="1"/>
  <c r="AA177" i="5"/>
  <c r="AA176" i="5" s="1"/>
  <c r="AB95" i="5"/>
  <c r="AB97" i="5" s="1"/>
  <c r="AS162" i="4" l="1"/>
  <c r="AT89" i="4"/>
  <c r="C132" i="40"/>
  <c r="CN145" i="39"/>
  <c r="K140" i="40" a="1"/>
  <c r="K140" i="40" s="1"/>
  <c r="H140" i="40" a="1"/>
  <c r="H140" i="40" s="1"/>
  <c r="E140" i="40" a="1"/>
  <c r="E140" i="40" s="1"/>
  <c r="G140" i="40" a="1"/>
  <c r="G140" i="40" s="1"/>
  <c r="W140" i="40" a="1"/>
  <c r="W140" i="40" s="1"/>
  <c r="X140" i="40" a="1"/>
  <c r="X140" i="40" s="1"/>
  <c r="I140" i="40" a="1"/>
  <c r="I140" i="40" s="1"/>
  <c r="F140" i="40" a="1"/>
  <c r="F140" i="40" s="1"/>
  <c r="M140" i="40" a="1"/>
  <c r="M140" i="40" s="1"/>
  <c r="V140" i="40" a="1"/>
  <c r="V140" i="40" s="1"/>
  <c r="Y140" i="40" a="1"/>
  <c r="Y140" i="40" s="1"/>
  <c r="Q140" i="40" a="1"/>
  <c r="Q140" i="40" s="1"/>
  <c r="P140" i="40" a="1"/>
  <c r="P140" i="40" s="1"/>
  <c r="O140" i="40" a="1"/>
  <c r="O140" i="40" s="1"/>
  <c r="R140" i="40" a="1"/>
  <c r="R140" i="40" s="1"/>
  <c r="C144" i="39"/>
  <c r="S140" i="40" a="1"/>
  <c r="S140" i="40" s="1"/>
  <c r="J140" i="40" a="1"/>
  <c r="J140" i="40" s="1"/>
  <c r="T140" i="40" a="1"/>
  <c r="T140" i="40" s="1"/>
  <c r="N140" i="40" a="1"/>
  <c r="N140" i="40" s="1"/>
  <c r="Z140" i="40" a="1"/>
  <c r="Z140" i="40" s="1"/>
  <c r="U140" i="40" a="1"/>
  <c r="U140" i="40" s="1"/>
  <c r="L140" i="40" a="1"/>
  <c r="L140" i="40" s="1"/>
  <c r="CN146" i="39"/>
  <c r="C60" i="40"/>
  <c r="P110" i="5"/>
  <c r="Q191" i="5"/>
  <c r="Q190" i="5" s="1"/>
  <c r="AC180" i="5"/>
  <c r="AD157" i="5"/>
  <c r="AD160" i="5" s="1"/>
  <c r="Q121" i="5" a="1"/>
  <c r="Q121" i="5" s="1"/>
  <c r="R163" i="5"/>
  <c r="Q189" i="5"/>
  <c r="Q188" i="5" s="1"/>
  <c r="AC95" i="5"/>
  <c r="AC97" i="5" s="1"/>
  <c r="AB177" i="5"/>
  <c r="AB176" i="5" s="1"/>
  <c r="AD155" i="4"/>
  <c r="AD158" i="4" s="1"/>
  <c r="Q93" i="5"/>
  <c r="Q182" i="5"/>
  <c r="Q181" i="5" s="1"/>
  <c r="Q183" i="5" s="1"/>
  <c r="Q64" i="5"/>
  <c r="Q142" i="5"/>
  <c r="Q187" i="5" s="1"/>
  <c r="Q137" i="5"/>
  <c r="Q165" i="5"/>
  <c r="Q92" i="5" s="1"/>
  <c r="AT162" i="4" l="1"/>
  <c r="AU89" i="4"/>
  <c r="K142" i="40" a="1"/>
  <c r="K142" i="40" s="1"/>
  <c r="L142" i="40" a="1"/>
  <c r="L142" i="40" s="1"/>
  <c r="W142" i="40" a="1"/>
  <c r="W142" i="40" s="1"/>
  <c r="M142" i="40" a="1"/>
  <c r="M142" i="40" s="1"/>
  <c r="Z142" i="40" a="1"/>
  <c r="Z142" i="40" s="1"/>
  <c r="X142" i="40" a="1"/>
  <c r="X142" i="40" s="1"/>
  <c r="U142" i="40" a="1"/>
  <c r="U142" i="40" s="1"/>
  <c r="P142" i="40" a="1"/>
  <c r="P142" i="40" s="1"/>
  <c r="Y142" i="40" a="1"/>
  <c r="Y142" i="40" s="1"/>
  <c r="E142" i="40" a="1"/>
  <c r="E142" i="40" s="1"/>
  <c r="T142" i="40" a="1"/>
  <c r="T142" i="40" s="1"/>
  <c r="V142" i="40" a="1"/>
  <c r="V142" i="40" s="1"/>
  <c r="S142" i="40" a="1"/>
  <c r="S142" i="40" s="1"/>
  <c r="R142" i="40" a="1"/>
  <c r="R142" i="40" s="1"/>
  <c r="G142" i="40" a="1"/>
  <c r="G142" i="40" s="1"/>
  <c r="N142" i="40" a="1"/>
  <c r="N142" i="40" s="1"/>
  <c r="O142" i="40" a="1"/>
  <c r="O142" i="40" s="1"/>
  <c r="H142" i="40" a="1"/>
  <c r="H142" i="40" s="1"/>
  <c r="I142" i="40" a="1"/>
  <c r="I142" i="40" s="1"/>
  <c r="Q142" i="40" a="1"/>
  <c r="Q142" i="40" s="1"/>
  <c r="F142" i="40" a="1"/>
  <c r="F142" i="40" s="1"/>
  <c r="J142" i="40" a="1"/>
  <c r="J142" i="40" s="1"/>
  <c r="C140" i="40"/>
  <c r="CN137" i="39"/>
  <c r="E141" i="40" a="1"/>
  <c r="E141" i="40" s="1"/>
  <c r="P141" i="40" a="1"/>
  <c r="P141" i="40" s="1"/>
  <c r="N141" i="40" a="1"/>
  <c r="N141" i="40" s="1"/>
  <c r="Y141" i="40" a="1"/>
  <c r="Y141" i="40" s="1"/>
  <c r="I141" i="40" a="1"/>
  <c r="I141" i="40" s="1"/>
  <c r="G141" i="40" a="1"/>
  <c r="G141" i="40" s="1"/>
  <c r="U141" i="40" a="1"/>
  <c r="U141" i="40" s="1"/>
  <c r="Z141" i="40" a="1"/>
  <c r="Z141" i="40" s="1"/>
  <c r="V141" i="40" a="1"/>
  <c r="V141" i="40" s="1"/>
  <c r="W141" i="40" a="1"/>
  <c r="W141" i="40" s="1"/>
  <c r="O141" i="40" a="1"/>
  <c r="O141" i="40" s="1"/>
  <c r="T141" i="40" a="1"/>
  <c r="T141" i="40" s="1"/>
  <c r="H141" i="40" a="1"/>
  <c r="H141" i="40" s="1"/>
  <c r="F141" i="40" a="1"/>
  <c r="F141" i="40" s="1"/>
  <c r="L141" i="40" a="1"/>
  <c r="L141" i="40" s="1"/>
  <c r="R141" i="40" a="1"/>
  <c r="R141" i="40" s="1"/>
  <c r="S141" i="40" a="1"/>
  <c r="S141" i="40" s="1"/>
  <c r="J141" i="40" a="1"/>
  <c r="J141" i="40" s="1"/>
  <c r="M141" i="40" a="1"/>
  <c r="M141" i="40" s="1"/>
  <c r="C145" i="39"/>
  <c r="Q141" i="40" a="1"/>
  <c r="Q141" i="40" s="1"/>
  <c r="X141" i="40" a="1"/>
  <c r="X141" i="40" s="1"/>
  <c r="K141" i="40" a="1"/>
  <c r="K141" i="40" s="1"/>
  <c r="R90" i="5"/>
  <c r="R94" i="5" s="1"/>
  <c r="Q109" i="5"/>
  <c r="Q110" i="5" s="1"/>
  <c r="R167" i="5"/>
  <c r="R166" i="5"/>
  <c r="AE157" i="5"/>
  <c r="AE160" i="5" s="1"/>
  <c r="AD180" i="5"/>
  <c r="AC177" i="5"/>
  <c r="AC176" i="5" s="1"/>
  <c r="AD95" i="5"/>
  <c r="AD97" i="5" s="1"/>
  <c r="AE155" i="4"/>
  <c r="AE158" i="4" s="1"/>
  <c r="AU162" i="4" l="1"/>
  <c r="AV89" i="4"/>
  <c r="C141" i="40"/>
  <c r="U133" i="40" a="1"/>
  <c r="U133" i="40" s="1"/>
  <c r="I133" i="40" a="1"/>
  <c r="I133" i="40" s="1"/>
  <c r="K133" i="40" a="1"/>
  <c r="K133" i="40" s="1"/>
  <c r="M133" i="40" a="1"/>
  <c r="M133" i="40" s="1"/>
  <c r="W133" i="40" a="1"/>
  <c r="W133" i="40" s="1"/>
  <c r="O133" i="40" a="1"/>
  <c r="O133" i="40" s="1"/>
  <c r="C137" i="39"/>
  <c r="T133" i="40" a="1"/>
  <c r="T133" i="40" s="1"/>
  <c r="R133" i="40" a="1"/>
  <c r="R133" i="40" s="1"/>
  <c r="J133" i="40" a="1"/>
  <c r="J133" i="40" s="1"/>
  <c r="H133" i="40" a="1"/>
  <c r="H133" i="40" s="1"/>
  <c r="F133" i="40" a="1"/>
  <c r="F133" i="40" s="1"/>
  <c r="S133" i="40" a="1"/>
  <c r="S133" i="40" s="1"/>
  <c r="P133" i="40" a="1"/>
  <c r="P133" i="40" s="1"/>
  <c r="X133" i="40" a="1"/>
  <c r="X133" i="40" s="1"/>
  <c r="N133" i="40" a="1"/>
  <c r="N133" i="40" s="1"/>
  <c r="V133" i="40" a="1"/>
  <c r="V133" i="40" s="1"/>
  <c r="L133" i="40" a="1"/>
  <c r="L133" i="40" s="1"/>
  <c r="Z133" i="40" a="1"/>
  <c r="Z133" i="40" s="1"/>
  <c r="Y133" i="40" a="1"/>
  <c r="Y133" i="40" s="1"/>
  <c r="G133" i="40" a="1"/>
  <c r="G133" i="40" s="1"/>
  <c r="E133" i="40" a="1"/>
  <c r="E133" i="40" s="1"/>
  <c r="Q133" i="40" a="1"/>
  <c r="Q133" i="40" s="1"/>
  <c r="CN138" i="39"/>
  <c r="R191" i="5"/>
  <c r="R190" i="5" s="1"/>
  <c r="Q111" i="5"/>
  <c r="Q112" i="5" s="1"/>
  <c r="R182" i="5"/>
  <c r="R181" i="5" s="1"/>
  <c r="R183" i="5" s="1"/>
  <c r="R93" i="5"/>
  <c r="R137" i="5"/>
  <c r="R165" i="5"/>
  <c r="R92" i="5" s="1"/>
  <c r="R64" i="5"/>
  <c r="R142" i="5"/>
  <c r="R187" i="5" s="1"/>
  <c r="AE95" i="5"/>
  <c r="AE97" i="5" s="1"/>
  <c r="AD177" i="5"/>
  <c r="AD176" i="5" s="1"/>
  <c r="AF155" i="4"/>
  <c r="AF158" i="4" s="1"/>
  <c r="AE180" i="5"/>
  <c r="AF157" i="5"/>
  <c r="AF160" i="5" s="1"/>
  <c r="R121" i="5" a="1"/>
  <c r="R121" i="5" s="1"/>
  <c r="S163" i="5"/>
  <c r="R189" i="5"/>
  <c r="R188" i="5" s="1"/>
  <c r="AV162" i="4" l="1"/>
  <c r="AW89" i="4"/>
  <c r="CN139" i="39" a="1"/>
  <c r="CN139" i="39" s="1"/>
  <c r="J134" i="40" a="1"/>
  <c r="J134" i="40" s="1"/>
  <c r="Q134" i="40" a="1"/>
  <c r="Q134" i="40" s="1"/>
  <c r="O134" i="40" a="1"/>
  <c r="O134" i="40" s="1"/>
  <c r="F134" i="40" a="1"/>
  <c r="F134" i="40" s="1"/>
  <c r="Y134" i="40" a="1"/>
  <c r="Y134" i="40" s="1"/>
  <c r="U134" i="40" a="1"/>
  <c r="U134" i="40" s="1"/>
  <c r="V134" i="40" a="1"/>
  <c r="V134" i="40" s="1"/>
  <c r="I134" i="40" a="1"/>
  <c r="I134" i="40" s="1"/>
  <c r="P134" i="40" a="1"/>
  <c r="P134" i="40" s="1"/>
  <c r="R134" i="40" a="1"/>
  <c r="R134" i="40" s="1"/>
  <c r="L134" i="40" a="1"/>
  <c r="L134" i="40" s="1"/>
  <c r="T134" i="40" a="1"/>
  <c r="T134" i="40" s="1"/>
  <c r="H134" i="40" a="1"/>
  <c r="H134" i="40" s="1"/>
  <c r="Z134" i="40" a="1"/>
  <c r="Z134" i="40" s="1"/>
  <c r="K134" i="40" a="1"/>
  <c r="K134" i="40" s="1"/>
  <c r="N134" i="40" a="1"/>
  <c r="N134" i="40" s="1"/>
  <c r="W134" i="40" a="1"/>
  <c r="W134" i="40" s="1"/>
  <c r="X134" i="40" a="1"/>
  <c r="X134" i="40" s="1"/>
  <c r="M134" i="40" a="1"/>
  <c r="M134" i="40" s="1"/>
  <c r="S134" i="40" a="1"/>
  <c r="S134" i="40" s="1"/>
  <c r="C138" i="39"/>
  <c r="E134" i="40" a="1"/>
  <c r="E134" i="40" s="1"/>
  <c r="G134" i="40" a="1"/>
  <c r="G134" i="40" s="1"/>
  <c r="C133" i="40"/>
  <c r="S90" i="5"/>
  <c r="S94" i="5" s="1"/>
  <c r="R109" i="5"/>
  <c r="R110" i="5" s="1"/>
  <c r="AF180" i="5"/>
  <c r="AG157" i="5"/>
  <c r="AG160" i="5" s="1"/>
  <c r="AG155" i="4"/>
  <c r="AG158" i="4" s="1"/>
  <c r="AF95" i="5"/>
  <c r="AF97" i="5" s="1"/>
  <c r="AE177" i="5"/>
  <c r="AE176" i="5" s="1"/>
  <c r="S167" i="5"/>
  <c r="S166" i="5"/>
  <c r="AW162" i="4" l="1"/>
  <c r="AX89" i="4"/>
  <c r="C134" i="40"/>
  <c r="CN65" i="39"/>
  <c r="U135" i="40" a="1"/>
  <c r="U135" i="40" s="1"/>
  <c r="O135" i="40" a="1"/>
  <c r="O135" i="40" s="1"/>
  <c r="N135" i="40" a="1"/>
  <c r="N135" i="40" s="1"/>
  <c r="Z135" i="40" a="1"/>
  <c r="Z135" i="40" s="1"/>
  <c r="W135" i="40" a="1"/>
  <c r="W135" i="40" s="1"/>
  <c r="I135" i="40" a="1"/>
  <c r="I135" i="40" s="1"/>
  <c r="G135" i="40" a="1"/>
  <c r="G135" i="40" s="1"/>
  <c r="X135" i="40" a="1"/>
  <c r="X135" i="40" s="1"/>
  <c r="F135" i="40" a="1"/>
  <c r="F135" i="40" s="1"/>
  <c r="Y135" i="40" a="1"/>
  <c r="Y135" i="40" s="1"/>
  <c r="C139" i="39"/>
  <c r="M135" i="40" a="1"/>
  <c r="M135" i="40" s="1"/>
  <c r="R135" i="40" a="1"/>
  <c r="R135" i="40" s="1"/>
  <c r="Q135" i="40" a="1"/>
  <c r="Q135" i="40" s="1"/>
  <c r="E135" i="40" a="1"/>
  <c r="E135" i="40" s="1"/>
  <c r="K135" i="40" a="1"/>
  <c r="K135" i="40" s="1"/>
  <c r="T135" i="40" a="1"/>
  <c r="T135" i="40" s="1"/>
  <c r="L135" i="40" a="1"/>
  <c r="L135" i="40" s="1"/>
  <c r="P135" i="40" a="1"/>
  <c r="P135" i="40" s="1"/>
  <c r="V135" i="40" a="1"/>
  <c r="V135" i="40" s="1"/>
  <c r="H135" i="40" a="1"/>
  <c r="H135" i="40" s="1"/>
  <c r="J135" i="40" a="1"/>
  <c r="J135" i="40" s="1"/>
  <c r="S135" i="40" a="1"/>
  <c r="S135" i="40" s="1"/>
  <c r="R111" i="5"/>
  <c r="R112" i="5" s="1"/>
  <c r="AH155" i="4"/>
  <c r="AH158" i="4" s="1"/>
  <c r="AG180" i="5"/>
  <c r="AH157" i="5"/>
  <c r="AH160" i="5" s="1"/>
  <c r="AG95" i="5"/>
  <c r="AG97" i="5" s="1"/>
  <c r="AF177" i="5"/>
  <c r="AF176" i="5" s="1"/>
  <c r="S121" i="5" a="1"/>
  <c r="S121" i="5" s="1"/>
  <c r="T163" i="5"/>
  <c r="S189" i="5"/>
  <c r="S188" i="5" s="1"/>
  <c r="S182" i="5"/>
  <c r="S181" i="5" s="1"/>
  <c r="S183" i="5" s="1"/>
  <c r="S165" i="5"/>
  <c r="S92" i="5" s="1"/>
  <c r="S64" i="5"/>
  <c r="S137" i="5"/>
  <c r="S142" i="5"/>
  <c r="S187" i="5" s="1"/>
  <c r="S93" i="5"/>
  <c r="S191" i="5"/>
  <c r="AX162" i="4" l="1"/>
  <c r="AY89" i="4"/>
  <c r="C135" i="40"/>
  <c r="CN78" i="39"/>
  <c r="K61" i="40" a="1"/>
  <c r="K61" i="40" s="1"/>
  <c r="O61" i="40" a="1"/>
  <c r="O61" i="40" s="1"/>
  <c r="L61" i="40" a="1"/>
  <c r="L61" i="40" s="1"/>
  <c r="R61" i="40" a="1"/>
  <c r="R61" i="40" s="1"/>
  <c r="G61" i="40" a="1"/>
  <c r="G61" i="40" s="1"/>
  <c r="Z61" i="40" a="1"/>
  <c r="Z61" i="40" s="1"/>
  <c r="X61" i="40" a="1"/>
  <c r="X61" i="40" s="1"/>
  <c r="W61" i="40" a="1"/>
  <c r="W61" i="40" s="1"/>
  <c r="T61" i="40" a="1"/>
  <c r="T61" i="40" s="1"/>
  <c r="Q61" i="40" a="1"/>
  <c r="Q61" i="40" s="1"/>
  <c r="U61" i="40" a="1"/>
  <c r="U61" i="40" s="1"/>
  <c r="F61" i="40" a="1"/>
  <c r="F61" i="40" s="1"/>
  <c r="P61" i="40" a="1"/>
  <c r="P61" i="40" s="1"/>
  <c r="V61" i="40" a="1"/>
  <c r="V61" i="40" s="1"/>
  <c r="J61" i="40" a="1"/>
  <c r="J61" i="40" s="1"/>
  <c r="E61" i="40" a="1"/>
  <c r="E61" i="40" s="1"/>
  <c r="M61" i="40" a="1"/>
  <c r="M61" i="40" s="1"/>
  <c r="Y61" i="40" a="1"/>
  <c r="Y61" i="40" s="1"/>
  <c r="S61" i="40" a="1"/>
  <c r="S61" i="40" s="1"/>
  <c r="H61" i="40" a="1"/>
  <c r="H61" i="40" s="1"/>
  <c r="N61" i="40" a="1"/>
  <c r="N61" i="40" s="1"/>
  <c r="I61" i="40" a="1"/>
  <c r="I61" i="40" s="1"/>
  <c r="C65" i="39"/>
  <c r="CN66" i="39"/>
  <c r="AI155" i="4"/>
  <c r="AI158" i="4" s="1"/>
  <c r="S190" i="5"/>
  <c r="T90" i="5"/>
  <c r="T94" i="5" s="1"/>
  <c r="T166" i="5"/>
  <c r="T167" i="5"/>
  <c r="AG177" i="5"/>
  <c r="AG176" i="5" s="1"/>
  <c r="AH95" i="5"/>
  <c r="AH97" i="5" s="1"/>
  <c r="S109" i="5"/>
  <c r="AH180" i="5"/>
  <c r="AI157" i="5"/>
  <c r="AI160" i="5" s="1"/>
  <c r="AY162" i="4" l="1"/>
  <c r="AZ89" i="4"/>
  <c r="N62" i="40" a="1"/>
  <c r="N62" i="40" s="1"/>
  <c r="I62" i="40" a="1"/>
  <c r="I62" i="40" s="1"/>
  <c r="C66" i="39"/>
  <c r="G62" i="40" a="1"/>
  <c r="G62" i="40" s="1"/>
  <c r="J62" i="40" a="1"/>
  <c r="J62" i="40" s="1"/>
  <c r="E62" i="40" a="1"/>
  <c r="E62" i="40" s="1"/>
  <c r="Q62" i="40" a="1"/>
  <c r="Q62" i="40" s="1"/>
  <c r="R62" i="40" a="1"/>
  <c r="R62" i="40" s="1"/>
  <c r="F62" i="40" a="1"/>
  <c r="F62" i="40" s="1"/>
  <c r="U62" i="40" a="1"/>
  <c r="U62" i="40" s="1"/>
  <c r="H62" i="40" a="1"/>
  <c r="H62" i="40" s="1"/>
  <c r="Y62" i="40" a="1"/>
  <c r="Y62" i="40" s="1"/>
  <c r="K62" i="40" a="1"/>
  <c r="K62" i="40" s="1"/>
  <c r="Z62" i="40" a="1"/>
  <c r="Z62" i="40" s="1"/>
  <c r="S62" i="40" a="1"/>
  <c r="S62" i="40" s="1"/>
  <c r="O62" i="40" a="1"/>
  <c r="O62" i="40" s="1"/>
  <c r="L62" i="40" a="1"/>
  <c r="L62" i="40" s="1"/>
  <c r="M62" i="40" a="1"/>
  <c r="M62" i="40" s="1"/>
  <c r="W62" i="40" a="1"/>
  <c r="W62" i="40" s="1"/>
  <c r="T62" i="40" a="1"/>
  <c r="T62" i="40" s="1"/>
  <c r="X62" i="40" a="1"/>
  <c r="X62" i="40" s="1"/>
  <c r="P62" i="40" a="1"/>
  <c r="P62" i="40" s="1"/>
  <c r="V62" i="40" a="1"/>
  <c r="V62" i="40" s="1"/>
  <c r="C61" i="40"/>
  <c r="CN122" i="39"/>
  <c r="CN120" i="39"/>
  <c r="CN81" i="39"/>
  <c r="F74" i="40" a="1"/>
  <c r="F74" i="40" s="1"/>
  <c r="T74" i="40" a="1"/>
  <c r="T74" i="40" s="1"/>
  <c r="E74" i="40" a="1"/>
  <c r="E74" i="40" s="1"/>
  <c r="S74" i="40" a="1"/>
  <c r="S74" i="40" s="1"/>
  <c r="L74" i="40" a="1"/>
  <c r="L74" i="40" s="1"/>
  <c r="C78" i="39"/>
  <c r="J74" i="40" a="1"/>
  <c r="J74" i="40" s="1"/>
  <c r="P74" i="40" a="1"/>
  <c r="P74" i="40" s="1"/>
  <c r="N74" i="40" a="1"/>
  <c r="N74" i="40" s="1"/>
  <c r="U74" i="40" a="1"/>
  <c r="U74" i="40" s="1"/>
  <c r="O74" i="40" a="1"/>
  <c r="O74" i="40" s="1"/>
  <c r="H74" i="40" a="1"/>
  <c r="H74" i="40" s="1"/>
  <c r="G74" i="40" a="1"/>
  <c r="G74" i="40" s="1"/>
  <c r="Q74" i="40" a="1"/>
  <c r="Q74" i="40" s="1"/>
  <c r="X74" i="40" a="1"/>
  <c r="X74" i="40" s="1"/>
  <c r="R74" i="40" a="1"/>
  <c r="R74" i="40" s="1"/>
  <c r="Y74" i="40" a="1"/>
  <c r="Y74" i="40" s="1"/>
  <c r="V74" i="40" a="1"/>
  <c r="V74" i="40" s="1"/>
  <c r="I74" i="40" a="1"/>
  <c r="I74" i="40" s="1"/>
  <c r="Z74" i="40" a="1"/>
  <c r="Z74" i="40" s="1"/>
  <c r="K74" i="40" a="1"/>
  <c r="K74" i="40" s="1"/>
  <c r="M74" i="40" a="1"/>
  <c r="M74" i="40" s="1"/>
  <c r="W74" i="40" a="1"/>
  <c r="W74" i="40" s="1"/>
  <c r="T189" i="5"/>
  <c r="T188" i="5" s="1"/>
  <c r="T121" i="5" a="1"/>
  <c r="T121" i="5" s="1"/>
  <c r="U163" i="5"/>
  <c r="S110" i="5"/>
  <c r="S111" i="5"/>
  <c r="S112" i="5" s="1"/>
  <c r="AH177" i="5"/>
  <c r="AH176" i="5" s="1"/>
  <c r="AI95" i="5"/>
  <c r="AI97" i="5" s="1"/>
  <c r="T191" i="5"/>
  <c r="AJ155" i="4"/>
  <c r="AJ158" i="4" s="1"/>
  <c r="AI180" i="5"/>
  <c r="AJ157" i="5"/>
  <c r="AJ160" i="5" s="1"/>
  <c r="T137" i="5"/>
  <c r="T182" i="5"/>
  <c r="T181" i="5" s="1"/>
  <c r="T183" i="5" s="1"/>
  <c r="T64" i="5"/>
  <c r="T93" i="5"/>
  <c r="T165" i="5"/>
  <c r="T92" i="5" s="1"/>
  <c r="T142" i="5"/>
  <c r="T187" i="5" s="1"/>
  <c r="BA89" i="4" l="1"/>
  <c r="AZ162" i="4"/>
  <c r="N119" i="39" a="1"/>
  <c r="N119" i="39" s="1"/>
  <c r="AR119" i="39" a="1"/>
  <c r="AR119" i="39" s="1"/>
  <c r="C74" i="40"/>
  <c r="C62" i="40"/>
  <c r="CN163" i="39"/>
  <c r="CN98" i="39"/>
  <c r="H77" i="40" a="1"/>
  <c r="H77" i="40" s="1"/>
  <c r="V77" i="40" a="1"/>
  <c r="V77" i="40" s="1"/>
  <c r="M77" i="40" a="1"/>
  <c r="M77" i="40" s="1"/>
  <c r="P77" i="40" a="1"/>
  <c r="P77" i="40" s="1"/>
  <c r="S77" i="40" a="1"/>
  <c r="S77" i="40" s="1"/>
  <c r="F77" i="40" a="1"/>
  <c r="F77" i="40" s="1"/>
  <c r="Z77" i="40" a="1"/>
  <c r="Z77" i="40" s="1"/>
  <c r="E77" i="40" a="1"/>
  <c r="E77" i="40" s="1"/>
  <c r="Y77" i="40" a="1"/>
  <c r="Y77" i="40" s="1"/>
  <c r="O77" i="40" a="1"/>
  <c r="O77" i="40" s="1"/>
  <c r="C81" i="39"/>
  <c r="U77" i="40" a="1"/>
  <c r="U77" i="40" s="1"/>
  <c r="Q77" i="40" a="1"/>
  <c r="Q77" i="40" s="1"/>
  <c r="L77" i="40" a="1"/>
  <c r="L77" i="40" s="1"/>
  <c r="J77" i="40" a="1"/>
  <c r="J77" i="40" s="1"/>
  <c r="G77" i="40" a="1"/>
  <c r="G77" i="40" s="1"/>
  <c r="I77" i="40" a="1"/>
  <c r="I77" i="40" s="1"/>
  <c r="T77" i="40" a="1"/>
  <c r="T77" i="40" s="1"/>
  <c r="W77" i="40" a="1"/>
  <c r="W77" i="40" s="1"/>
  <c r="X77" i="40" a="1"/>
  <c r="X77" i="40" s="1"/>
  <c r="K77" i="40" a="1"/>
  <c r="K77" i="40" s="1"/>
  <c r="N77" i="40" a="1"/>
  <c r="N77" i="40" s="1"/>
  <c r="R77" i="40" a="1"/>
  <c r="R77" i="40" s="1"/>
  <c r="C120" i="39"/>
  <c r="O119" i="39" a="1"/>
  <c r="O119" i="39" s="1"/>
  <c r="P119" i="39" a="1"/>
  <c r="P119" i="39" s="1"/>
  <c r="Q119" i="39" a="1"/>
  <c r="Q119" i="39" s="1"/>
  <c r="R119" i="39" a="1"/>
  <c r="R119" i="39" s="1"/>
  <c r="S119" i="39" a="1"/>
  <c r="S119" i="39" s="1"/>
  <c r="T119" i="39" a="1"/>
  <c r="T119" i="39" s="1"/>
  <c r="U119" i="39" a="1"/>
  <c r="U119" i="39" s="1"/>
  <c r="V119" i="39" a="1"/>
  <c r="V119" i="39" s="1"/>
  <c r="W119" i="39" a="1"/>
  <c r="W119" i="39" s="1"/>
  <c r="X119" i="39" a="1"/>
  <c r="X119" i="39" s="1"/>
  <c r="Y119" i="39" a="1"/>
  <c r="Y119" i="39" s="1"/>
  <c r="Z119" i="39" a="1"/>
  <c r="Z119" i="39" s="1"/>
  <c r="AA119" i="39" a="1"/>
  <c r="AA119" i="39" s="1"/>
  <c r="AB119" i="39" a="1"/>
  <c r="AB119" i="39" s="1"/>
  <c r="AC119" i="39" a="1"/>
  <c r="AC119" i="39" s="1"/>
  <c r="AD119" i="39" a="1"/>
  <c r="AD119" i="39" s="1"/>
  <c r="AE119" i="39" a="1"/>
  <c r="AE119" i="39" s="1"/>
  <c r="AF119" i="39" a="1"/>
  <c r="AF119" i="39" s="1"/>
  <c r="AG119" i="39" a="1"/>
  <c r="AG119" i="39" s="1"/>
  <c r="AH119" i="39" a="1"/>
  <c r="AH119" i="39" s="1"/>
  <c r="AI119" i="39" a="1"/>
  <c r="AI119" i="39" s="1"/>
  <c r="AJ119" i="39" a="1"/>
  <c r="AJ119" i="39" s="1"/>
  <c r="AK119" i="39" a="1"/>
  <c r="AK119" i="39" s="1"/>
  <c r="AL119" i="39" a="1"/>
  <c r="AL119" i="39" s="1"/>
  <c r="AM119" i="39" a="1"/>
  <c r="AM119" i="39" s="1"/>
  <c r="AN119" i="39" a="1"/>
  <c r="AN119" i="39" s="1"/>
  <c r="AO119" i="39" a="1"/>
  <c r="AO119" i="39" s="1"/>
  <c r="AP119" i="39" a="1"/>
  <c r="AP119" i="39" s="1"/>
  <c r="AQ119" i="39" a="1"/>
  <c r="AQ119" i="39" s="1"/>
  <c r="C123" i="39"/>
  <c r="C122" i="39"/>
  <c r="C119" i="40"/>
  <c r="C118" i="40"/>
  <c r="T109" i="5"/>
  <c r="T110" i="5" s="1"/>
  <c r="U166" i="5"/>
  <c r="U167" i="5"/>
  <c r="AK155" i="4"/>
  <c r="AK158" i="4" s="1"/>
  <c r="U90" i="5"/>
  <c r="U94" i="5" s="1"/>
  <c r="T190" i="5"/>
  <c r="AK157" i="5"/>
  <c r="AK160" i="5" s="1"/>
  <c r="AJ180" i="5"/>
  <c r="AJ95" i="5"/>
  <c r="AJ97" i="5" s="1"/>
  <c r="AI177" i="5"/>
  <c r="AI176" i="5" s="1"/>
  <c r="BA162" i="4" l="1"/>
  <c r="BB89" i="4"/>
  <c r="O94" i="40"/>
  <c r="Y94" i="40"/>
  <c r="C122" i="40"/>
  <c r="C123" i="40"/>
  <c r="E94" i="40"/>
  <c r="R94" i="40"/>
  <c r="C77" i="40"/>
  <c r="C93" i="40"/>
  <c r="AA94" i="40" s="1"/>
  <c r="Z94" i="40"/>
  <c r="N94" i="40"/>
  <c r="F94" i="40"/>
  <c r="K94" i="40"/>
  <c r="S94" i="40"/>
  <c r="X94" i="40"/>
  <c r="P94" i="40"/>
  <c r="W94" i="40"/>
  <c r="M94" i="40"/>
  <c r="T94" i="40"/>
  <c r="V94" i="40"/>
  <c r="I94" i="40"/>
  <c r="H94" i="40"/>
  <c r="G94" i="40"/>
  <c r="C127" i="39"/>
  <c r="C126" i="39"/>
  <c r="J94" i="40"/>
  <c r="L94" i="40"/>
  <c r="CN100" i="39"/>
  <c r="CN101" i="39" s="1"/>
  <c r="CN99" i="39"/>
  <c r="Q94" i="40"/>
  <c r="CN121" i="39"/>
  <c r="C121" i="39" s="1"/>
  <c r="CN90" i="39"/>
  <c r="T159" i="40" a="1"/>
  <c r="T159" i="40" s="1"/>
  <c r="G159" i="40" a="1"/>
  <c r="G159" i="40" s="1"/>
  <c r="Y159" i="40" a="1"/>
  <c r="Y159" i="40" s="1"/>
  <c r="V159" i="40" a="1"/>
  <c r="V159" i="40" s="1"/>
  <c r="X159" i="40" a="1"/>
  <c r="X159" i="40" s="1"/>
  <c r="E159" i="40" a="1"/>
  <c r="E159" i="40" s="1"/>
  <c r="W159" i="40" a="1"/>
  <c r="W159" i="40" s="1"/>
  <c r="M159" i="40" a="1"/>
  <c r="M159" i="40" s="1"/>
  <c r="R159" i="40" a="1"/>
  <c r="R159" i="40" s="1"/>
  <c r="Z159" i="40" a="1"/>
  <c r="Z159" i="40" s="1"/>
  <c r="U159" i="40" a="1"/>
  <c r="U159" i="40" s="1"/>
  <c r="J159" i="40" a="1"/>
  <c r="J159" i="40" s="1"/>
  <c r="S159" i="40" a="1"/>
  <c r="S159" i="40" s="1"/>
  <c r="C163" i="39"/>
  <c r="P159" i="40" a="1"/>
  <c r="P159" i="40" s="1"/>
  <c r="L159" i="40" a="1"/>
  <c r="L159" i="40" s="1"/>
  <c r="N159" i="40" a="1"/>
  <c r="N159" i="40" s="1"/>
  <c r="F159" i="40" a="1"/>
  <c r="F159" i="40" s="1"/>
  <c r="H159" i="40" a="1"/>
  <c r="H159" i="40" s="1"/>
  <c r="K159" i="40" a="1"/>
  <c r="K159" i="40" s="1"/>
  <c r="I159" i="40" a="1"/>
  <c r="I159" i="40" s="1"/>
  <c r="Q159" i="40" a="1"/>
  <c r="Q159" i="40" s="1"/>
  <c r="O159" i="40" a="1"/>
  <c r="O159" i="40" s="1"/>
  <c r="CN164" i="39"/>
  <c r="U94" i="40"/>
  <c r="T111" i="5"/>
  <c r="T112" i="5" s="1"/>
  <c r="U165" i="5"/>
  <c r="U92" i="5" s="1"/>
  <c r="U142" i="5"/>
  <c r="U187" i="5" s="1"/>
  <c r="U182" i="5"/>
  <c r="U181" i="5" s="1"/>
  <c r="U183" i="5" s="1"/>
  <c r="U93" i="5"/>
  <c r="U137" i="5"/>
  <c r="U64" i="5"/>
  <c r="U189" i="5"/>
  <c r="U188" i="5" s="1"/>
  <c r="V163" i="5"/>
  <c r="U121" i="5" a="1"/>
  <c r="U121" i="5" s="1"/>
  <c r="AL155" i="4"/>
  <c r="AL158" i="4" s="1"/>
  <c r="AK95" i="5"/>
  <c r="AK97" i="5" s="1"/>
  <c r="AJ177" i="5"/>
  <c r="AJ176" i="5" s="1"/>
  <c r="U191" i="5"/>
  <c r="AL157" i="5"/>
  <c r="AL160" i="5" s="1"/>
  <c r="AK180" i="5"/>
  <c r="BB162" i="4" l="1"/>
  <c r="BC89" i="4"/>
  <c r="C105" i="39"/>
  <c r="C101" i="40"/>
  <c r="C159" i="40"/>
  <c r="CN183" i="39"/>
  <c r="CN119" i="39" a="1"/>
  <c r="CN119" i="39" s="1"/>
  <c r="C119" i="39" s="1"/>
  <c r="Z160" i="40" a="1"/>
  <c r="Z160" i="40" s="1"/>
  <c r="F160" i="40" a="1"/>
  <c r="F160" i="40" s="1"/>
  <c r="Q160" i="40" a="1"/>
  <c r="Q160" i="40" s="1"/>
  <c r="S160" i="40" a="1"/>
  <c r="S160" i="40" s="1"/>
  <c r="Y160" i="40" a="1"/>
  <c r="Y160" i="40" s="1"/>
  <c r="N160" i="40" a="1"/>
  <c r="N160" i="40" s="1"/>
  <c r="E160" i="40" a="1"/>
  <c r="E160" i="40" s="1"/>
  <c r="K160" i="40" a="1"/>
  <c r="K160" i="40" s="1"/>
  <c r="G160" i="40" a="1"/>
  <c r="G160" i="40" s="1"/>
  <c r="U160" i="40" a="1"/>
  <c r="U160" i="40" s="1"/>
  <c r="W160" i="40" a="1"/>
  <c r="W160" i="40" s="1"/>
  <c r="V160" i="40" a="1"/>
  <c r="V160" i="40" s="1"/>
  <c r="P160" i="40" a="1"/>
  <c r="P160" i="40" s="1"/>
  <c r="J160" i="40" a="1"/>
  <c r="J160" i="40" s="1"/>
  <c r="M160" i="40" a="1"/>
  <c r="M160" i="40" s="1"/>
  <c r="L160" i="40" a="1"/>
  <c r="L160" i="40" s="1"/>
  <c r="T160" i="40" a="1"/>
  <c r="T160" i="40" s="1"/>
  <c r="R160" i="40" a="1"/>
  <c r="R160" i="40" s="1"/>
  <c r="O160" i="40" a="1"/>
  <c r="O160" i="40" s="1"/>
  <c r="X160" i="40" a="1"/>
  <c r="X160" i="40" s="1"/>
  <c r="I160" i="40" a="1"/>
  <c r="I160" i="40" s="1"/>
  <c r="H160" i="40" a="1"/>
  <c r="H160" i="40" s="1"/>
  <c r="C99" i="40"/>
  <c r="C94" i="40"/>
  <c r="E95" i="40"/>
  <c r="F95" i="40" s="1"/>
  <c r="G95" i="40" s="1"/>
  <c r="H95" i="40" s="1"/>
  <c r="I95" i="40" s="1"/>
  <c r="J95" i="40" s="1"/>
  <c r="K95" i="40" s="1"/>
  <c r="L95" i="40" s="1"/>
  <c r="M95" i="40" s="1"/>
  <c r="N95" i="40" s="1"/>
  <c r="O95" i="40" s="1"/>
  <c r="P95" i="40" s="1"/>
  <c r="Q95" i="40" s="1"/>
  <c r="R95" i="40" s="1"/>
  <c r="S95" i="40" s="1"/>
  <c r="T95" i="40" s="1"/>
  <c r="U95" i="40" s="1"/>
  <c r="V95" i="40" s="1"/>
  <c r="W95" i="40" s="1"/>
  <c r="X95" i="40" s="1"/>
  <c r="Y95" i="40" s="1"/>
  <c r="Z95" i="40" s="1"/>
  <c r="AA95" i="40" s="1"/>
  <c r="C95" i="40" s="1"/>
  <c r="Q86" i="40" a="1"/>
  <c r="Q86" i="40" s="1"/>
  <c r="Q103" i="40" s="1"/>
  <c r="T86" i="40" a="1"/>
  <c r="T86" i="40" s="1"/>
  <c r="T103" i="40" s="1"/>
  <c r="W86" i="40" a="1"/>
  <c r="W86" i="40" s="1"/>
  <c r="W103" i="40" s="1"/>
  <c r="V86" i="40" a="1"/>
  <c r="V86" i="40" s="1"/>
  <c r="V103" i="40" s="1"/>
  <c r="S86" i="40" a="1"/>
  <c r="S86" i="40" s="1"/>
  <c r="S103" i="40" s="1"/>
  <c r="M86" i="40" a="1"/>
  <c r="M86" i="40" s="1"/>
  <c r="M103" i="40" s="1"/>
  <c r="N86" i="40" a="1"/>
  <c r="N86" i="40" s="1"/>
  <c r="N103" i="40" s="1"/>
  <c r="F86" i="40" a="1"/>
  <c r="F86" i="40" s="1"/>
  <c r="F103" i="40" s="1"/>
  <c r="K86" i="40" a="1"/>
  <c r="K86" i="40" s="1"/>
  <c r="K103" i="40" s="1"/>
  <c r="L86" i="40" a="1"/>
  <c r="L86" i="40" s="1"/>
  <c r="L103" i="40" s="1"/>
  <c r="Z86" i="40" a="1"/>
  <c r="Z86" i="40" s="1"/>
  <c r="Z103" i="40" s="1"/>
  <c r="I86" i="40" a="1"/>
  <c r="I86" i="40" s="1"/>
  <c r="I103" i="40" s="1"/>
  <c r="H86" i="40" a="1"/>
  <c r="H86" i="40" s="1"/>
  <c r="H103" i="40" s="1"/>
  <c r="G86" i="40" a="1"/>
  <c r="G86" i="40" s="1"/>
  <c r="G103" i="40" s="1"/>
  <c r="O86" i="40" a="1"/>
  <c r="O86" i="40" s="1"/>
  <c r="O103" i="40" s="1"/>
  <c r="X86" i="40" a="1"/>
  <c r="X86" i="40" s="1"/>
  <c r="X103" i="40" s="1"/>
  <c r="C90" i="39"/>
  <c r="R86" i="40" a="1"/>
  <c r="R86" i="40" s="1"/>
  <c r="R103" i="40" s="1"/>
  <c r="U86" i="40" a="1"/>
  <c r="U86" i="40" s="1"/>
  <c r="U103" i="40" s="1"/>
  <c r="Y86" i="40" a="1"/>
  <c r="Y86" i="40" s="1"/>
  <c r="Y103" i="40" s="1"/>
  <c r="J86" i="40" a="1"/>
  <c r="J86" i="40" s="1"/>
  <c r="J103" i="40" s="1"/>
  <c r="E86" i="40" a="1"/>
  <c r="E86" i="40" s="1"/>
  <c r="P86" i="40" a="1"/>
  <c r="P86" i="40" s="1"/>
  <c r="P103" i="40" s="1"/>
  <c r="CN107" i="39"/>
  <c r="CN88" i="39"/>
  <c r="AL95" i="5"/>
  <c r="AL97" i="5" s="1"/>
  <c r="AK177" i="5"/>
  <c r="AK176" i="5" s="1"/>
  <c r="U109" i="5"/>
  <c r="AL180" i="5"/>
  <c r="AM157" i="5"/>
  <c r="AM160" i="5" s="1"/>
  <c r="V166" i="5"/>
  <c r="V167" i="5"/>
  <c r="AM155" i="4"/>
  <c r="AM158" i="4" s="1"/>
  <c r="V90" i="5"/>
  <c r="V94" i="5" s="1"/>
  <c r="U190" i="5"/>
  <c r="BC162" i="4" l="1"/>
  <c r="BD89" i="4"/>
  <c r="CN182" i="39"/>
  <c r="X179" i="40" a="1"/>
  <c r="X179" i="40" s="1"/>
  <c r="Y179" i="40" a="1"/>
  <c r="Y179" i="40" s="1"/>
  <c r="N179" i="40" a="1"/>
  <c r="N179" i="40" s="1"/>
  <c r="G179" i="40" a="1"/>
  <c r="G179" i="40" s="1"/>
  <c r="S179" i="40" a="1"/>
  <c r="S179" i="40" s="1"/>
  <c r="P179" i="40" a="1"/>
  <c r="P179" i="40" s="1"/>
  <c r="Z179" i="40" a="1"/>
  <c r="Z179" i="40" s="1"/>
  <c r="M179" i="40" a="1"/>
  <c r="M179" i="40" s="1"/>
  <c r="T179" i="40" a="1"/>
  <c r="T179" i="40" s="1"/>
  <c r="F179" i="40" a="1"/>
  <c r="F179" i="40" s="1"/>
  <c r="J179" i="40" a="1"/>
  <c r="J179" i="40" s="1"/>
  <c r="Q179" i="40" a="1"/>
  <c r="Q179" i="40" s="1"/>
  <c r="H179" i="40" a="1"/>
  <c r="H179" i="40" s="1"/>
  <c r="W179" i="40" a="1"/>
  <c r="W179" i="40" s="1"/>
  <c r="L179" i="40" a="1"/>
  <c r="L179" i="40" s="1"/>
  <c r="O179" i="40" a="1"/>
  <c r="O179" i="40" s="1"/>
  <c r="V179" i="40" a="1"/>
  <c r="V179" i="40" s="1"/>
  <c r="U179" i="40" a="1"/>
  <c r="U179" i="40" s="1"/>
  <c r="I179" i="40" a="1"/>
  <c r="I179" i="40" s="1"/>
  <c r="R179" i="40" a="1"/>
  <c r="R179" i="40" s="1"/>
  <c r="E179" i="40" a="1"/>
  <c r="E179" i="40" s="1"/>
  <c r="K179" i="40" a="1"/>
  <c r="K179" i="40" s="1"/>
  <c r="CN185" i="39"/>
  <c r="CN92" i="39"/>
  <c r="W84" i="40" a="1"/>
  <c r="W84" i="40" s="1"/>
  <c r="Z84" i="40" a="1"/>
  <c r="Z84" i="40" s="1"/>
  <c r="Y84" i="40" a="1"/>
  <c r="Y84" i="40" s="1"/>
  <c r="U84" i="40" a="1"/>
  <c r="U84" i="40" s="1"/>
  <c r="J84" i="40" a="1"/>
  <c r="J84" i="40" s="1"/>
  <c r="S84" i="40" a="1"/>
  <c r="S84" i="40" s="1"/>
  <c r="R84" i="40" a="1"/>
  <c r="R84" i="40" s="1"/>
  <c r="V84" i="40" a="1"/>
  <c r="V84" i="40" s="1"/>
  <c r="F84" i="40" a="1"/>
  <c r="F84" i="40" s="1"/>
  <c r="C88" i="39"/>
  <c r="N84" i="40" a="1"/>
  <c r="N84" i="40" s="1"/>
  <c r="K84" i="40" a="1"/>
  <c r="K84" i="40" s="1"/>
  <c r="O84" i="40" a="1"/>
  <c r="O84" i="40" s="1"/>
  <c r="Q84" i="40" a="1"/>
  <c r="Q84" i="40" s="1"/>
  <c r="G84" i="40" a="1"/>
  <c r="G84" i="40" s="1"/>
  <c r="I84" i="40" a="1"/>
  <c r="I84" i="40" s="1"/>
  <c r="M84" i="40" a="1"/>
  <c r="M84" i="40" s="1"/>
  <c r="H84" i="40" a="1"/>
  <c r="H84" i="40" s="1"/>
  <c r="T84" i="40" a="1"/>
  <c r="T84" i="40" s="1"/>
  <c r="E84" i="40" a="1"/>
  <c r="E84" i="40" s="1"/>
  <c r="P84" i="40" a="1"/>
  <c r="P84" i="40" s="1"/>
  <c r="X84" i="40" a="1"/>
  <c r="X84" i="40" s="1"/>
  <c r="L84" i="40" a="1"/>
  <c r="L84" i="40" s="1"/>
  <c r="CN109" i="39"/>
  <c r="CN108" i="39"/>
  <c r="CO108" i="39" s="1"/>
  <c r="C111" i="39"/>
  <c r="C107" i="39"/>
  <c r="C107" i="40"/>
  <c r="C86" i="40"/>
  <c r="E103" i="40"/>
  <c r="V142" i="5"/>
  <c r="V187" i="5" s="1"/>
  <c r="V64" i="5"/>
  <c r="V165" i="5"/>
  <c r="V92" i="5" s="1"/>
  <c r="V182" i="5"/>
  <c r="V181" i="5" s="1"/>
  <c r="V183" i="5" s="1"/>
  <c r="V137" i="5"/>
  <c r="V93" i="5"/>
  <c r="AM180" i="5"/>
  <c r="AN157" i="5"/>
  <c r="AN160" i="5" s="1"/>
  <c r="V189" i="5"/>
  <c r="V188" i="5" s="1"/>
  <c r="W163" i="5"/>
  <c r="V121" i="5" a="1"/>
  <c r="V121" i="5" s="1"/>
  <c r="U111" i="5"/>
  <c r="U112" i="5" s="1"/>
  <c r="U110" i="5"/>
  <c r="AM95" i="5"/>
  <c r="AM97" i="5" s="1"/>
  <c r="AL177" i="5"/>
  <c r="AL176" i="5" s="1"/>
  <c r="V191" i="5"/>
  <c r="AN155" i="4"/>
  <c r="AN158" i="4" s="1"/>
  <c r="BD162" i="4" l="1"/>
  <c r="BE89" i="4"/>
  <c r="C84" i="40"/>
  <c r="E88" i="40" a="1"/>
  <c r="E88" i="40" s="1"/>
  <c r="L88" i="40" a="1"/>
  <c r="L88" i="40" s="1"/>
  <c r="G88" i="40" a="1"/>
  <c r="G88" i="40" s="1"/>
  <c r="I88" i="40" a="1"/>
  <c r="I88" i="40" s="1"/>
  <c r="X88" i="40" a="1"/>
  <c r="X88" i="40" s="1"/>
  <c r="T88" i="40" a="1"/>
  <c r="T88" i="40" s="1"/>
  <c r="O88" i="40" a="1"/>
  <c r="O88" i="40" s="1"/>
  <c r="N88" i="40" a="1"/>
  <c r="N88" i="40" s="1"/>
  <c r="W88" i="40" a="1"/>
  <c r="W88" i="40" s="1"/>
  <c r="H88" i="40" a="1"/>
  <c r="H88" i="40" s="1"/>
  <c r="J88" i="40" a="1"/>
  <c r="J88" i="40" s="1"/>
  <c r="Y88" i="40" a="1"/>
  <c r="Y88" i="40" s="1"/>
  <c r="M88" i="40" a="1"/>
  <c r="M88" i="40" s="1"/>
  <c r="V88" i="40" a="1"/>
  <c r="V88" i="40" s="1"/>
  <c r="C92" i="39"/>
  <c r="P88" i="40" a="1"/>
  <c r="P88" i="40" s="1"/>
  <c r="Z88" i="40" a="1"/>
  <c r="Z88" i="40" s="1"/>
  <c r="Q88" i="40" a="1"/>
  <c r="Q88" i="40" s="1"/>
  <c r="U88" i="40" a="1"/>
  <c r="U88" i="40" s="1"/>
  <c r="R88" i="40" a="1"/>
  <c r="R88" i="40" s="1"/>
  <c r="K88" i="40" a="1"/>
  <c r="K88" i="40" s="1"/>
  <c r="F88" i="40" a="1"/>
  <c r="F88" i="40" s="1"/>
  <c r="S88" i="40" a="1"/>
  <c r="S88" i="40" s="1"/>
  <c r="CN94" i="39"/>
  <c r="CN184" i="39"/>
  <c r="CN116" i="39" s="1"/>
  <c r="C116" i="39" s="1"/>
  <c r="X181" i="40" a="1"/>
  <c r="X181" i="40" s="1"/>
  <c r="I181" i="40" a="1"/>
  <c r="I181" i="40" s="1"/>
  <c r="L181" i="40" a="1"/>
  <c r="L181" i="40" s="1"/>
  <c r="W181" i="40" a="1"/>
  <c r="W181" i="40" s="1"/>
  <c r="H181" i="40" a="1"/>
  <c r="H181" i="40" s="1"/>
  <c r="K181" i="40" a="1"/>
  <c r="K181" i="40" s="1"/>
  <c r="G181" i="40" a="1"/>
  <c r="G181" i="40" s="1"/>
  <c r="J181" i="40" a="1"/>
  <c r="J181" i="40" s="1"/>
  <c r="P181" i="40" a="1"/>
  <c r="P181" i="40" s="1"/>
  <c r="Z181" i="40" a="1"/>
  <c r="Z181" i="40" s="1"/>
  <c r="Q181" i="40" a="1"/>
  <c r="Q181" i="40" s="1"/>
  <c r="F181" i="40" a="1"/>
  <c r="F181" i="40" s="1"/>
  <c r="M181" i="40" a="1"/>
  <c r="M181" i="40" s="1"/>
  <c r="S181" i="40" a="1"/>
  <c r="S181" i="40" s="1"/>
  <c r="N181" i="40" a="1"/>
  <c r="N181" i="40" s="1"/>
  <c r="U181" i="40" a="1"/>
  <c r="U181" i="40" s="1"/>
  <c r="O181" i="40" a="1"/>
  <c r="O181" i="40" s="1"/>
  <c r="Y181" i="40" a="1"/>
  <c r="Y181" i="40" s="1"/>
  <c r="E181" i="40" a="1"/>
  <c r="E181" i="40" s="1"/>
  <c r="R181" i="40" a="1"/>
  <c r="R181" i="40" s="1"/>
  <c r="T181" i="40" a="1"/>
  <c r="T181" i="40" s="1"/>
  <c r="V181" i="40" a="1"/>
  <c r="V181" i="40" s="1"/>
  <c r="C108" i="40"/>
  <c r="C103" i="40"/>
  <c r="C104" i="40"/>
  <c r="C108" i="39"/>
  <c r="C113" i="39"/>
  <c r="C109" i="40"/>
  <c r="CN110" i="39"/>
  <c r="CO110" i="39" s="1"/>
  <c r="C109" i="39"/>
  <c r="C105" i="40"/>
  <c r="G178" i="40" a="1"/>
  <c r="G178" i="40" s="1"/>
  <c r="I178" i="40" a="1"/>
  <c r="I178" i="40" s="1"/>
  <c r="F178" i="40" a="1"/>
  <c r="F178" i="40" s="1"/>
  <c r="O178" i="40" a="1"/>
  <c r="O178" i="40" s="1"/>
  <c r="U178" i="40" a="1"/>
  <c r="U178" i="40" s="1"/>
  <c r="S178" i="40" a="1"/>
  <c r="S178" i="40" s="1"/>
  <c r="E178" i="40" a="1"/>
  <c r="E178" i="40" s="1"/>
  <c r="P178" i="40" a="1"/>
  <c r="P178" i="40" s="1"/>
  <c r="Z178" i="40" a="1"/>
  <c r="Z178" i="40" s="1"/>
  <c r="V178" i="40" a="1"/>
  <c r="V178" i="40" s="1"/>
  <c r="T178" i="40" a="1"/>
  <c r="T178" i="40" s="1"/>
  <c r="Y178" i="40" a="1"/>
  <c r="Y178" i="40" s="1"/>
  <c r="Q178" i="40" a="1"/>
  <c r="Q178" i="40" s="1"/>
  <c r="R178" i="40" a="1"/>
  <c r="R178" i="40" s="1"/>
  <c r="M178" i="40" a="1"/>
  <c r="M178" i="40" s="1"/>
  <c r="L178" i="40" a="1"/>
  <c r="L178" i="40" s="1"/>
  <c r="X178" i="40" a="1"/>
  <c r="X178" i="40" s="1"/>
  <c r="H178" i="40" a="1"/>
  <c r="H178" i="40" s="1"/>
  <c r="J178" i="40" a="1"/>
  <c r="J178" i="40" s="1"/>
  <c r="W178" i="40" a="1"/>
  <c r="W178" i="40" s="1"/>
  <c r="K178" i="40" a="1"/>
  <c r="K178" i="40" s="1"/>
  <c r="N178" i="40" a="1"/>
  <c r="N178" i="40" s="1"/>
  <c r="CN118" i="39"/>
  <c r="C118" i="39" s="1"/>
  <c r="V109" i="5"/>
  <c r="V111" i="5" s="1"/>
  <c r="V112" i="5" s="1"/>
  <c r="W166" i="5"/>
  <c r="W167" i="5"/>
  <c r="AN95" i="5"/>
  <c r="AN97" i="5" s="1"/>
  <c r="AM177" i="5"/>
  <c r="AM176" i="5" s="1"/>
  <c r="V190" i="5"/>
  <c r="W90" i="5"/>
  <c r="W94" i="5" s="1"/>
  <c r="AO157" i="5"/>
  <c r="AO160" i="5" s="1"/>
  <c r="AN180" i="5"/>
  <c r="AO155" i="4"/>
  <c r="AO158" i="4" s="1"/>
  <c r="BE162" i="4" l="1"/>
  <c r="BF89" i="4"/>
  <c r="CN187" i="39"/>
  <c r="E180" i="40" a="1"/>
  <c r="E180" i="40" s="1"/>
  <c r="N180" i="40" a="1"/>
  <c r="N180" i="40" s="1"/>
  <c r="S180" i="40" a="1"/>
  <c r="S180" i="40" s="1"/>
  <c r="I180" i="40" a="1"/>
  <c r="I180" i="40" s="1"/>
  <c r="F180" i="40" a="1"/>
  <c r="F180" i="40" s="1"/>
  <c r="T180" i="40" a="1"/>
  <c r="T180" i="40" s="1"/>
  <c r="U180" i="40" a="1"/>
  <c r="U180" i="40" s="1"/>
  <c r="G180" i="40" a="1"/>
  <c r="G180" i="40" s="1"/>
  <c r="R180" i="40" a="1"/>
  <c r="R180" i="40" s="1"/>
  <c r="Q180" i="40" a="1"/>
  <c r="Q180" i="40" s="1"/>
  <c r="P180" i="40" a="1"/>
  <c r="P180" i="40" s="1"/>
  <c r="L180" i="40" a="1"/>
  <c r="L180" i="40" s="1"/>
  <c r="K180" i="40" a="1"/>
  <c r="K180" i="40" s="1"/>
  <c r="J180" i="40" a="1"/>
  <c r="J180" i="40" s="1"/>
  <c r="Z180" i="40" a="1"/>
  <c r="Z180" i="40" s="1"/>
  <c r="V180" i="40" a="1"/>
  <c r="V180" i="40" s="1"/>
  <c r="Y180" i="40" a="1"/>
  <c r="Y180" i="40" s="1"/>
  <c r="H180" i="40" a="1"/>
  <c r="H180" i="40" s="1"/>
  <c r="X180" i="40" a="1"/>
  <c r="X180" i="40" s="1"/>
  <c r="O180" i="40" a="1"/>
  <c r="O180" i="40" s="1"/>
  <c r="W180" i="40" a="1"/>
  <c r="W180" i="40" s="1"/>
  <c r="M180" i="40" a="1"/>
  <c r="M180" i="40" s="1"/>
  <c r="Z90" i="40" a="1"/>
  <c r="Z90" i="40" s="1"/>
  <c r="S90" i="40" a="1"/>
  <c r="S90" i="40" s="1"/>
  <c r="E90" i="40" a="1"/>
  <c r="E90" i="40" s="1"/>
  <c r="U90" i="40" a="1"/>
  <c r="U90" i="40" s="1"/>
  <c r="R90" i="40" a="1"/>
  <c r="R90" i="40" s="1"/>
  <c r="X90" i="40" a="1"/>
  <c r="X90" i="40" s="1"/>
  <c r="I90" i="40" a="1"/>
  <c r="I90" i="40" s="1"/>
  <c r="N90" i="40" a="1"/>
  <c r="N90" i="40" s="1"/>
  <c r="H90" i="40" a="1"/>
  <c r="H90" i="40" s="1"/>
  <c r="C94" i="39"/>
  <c r="G90" i="40" a="1"/>
  <c r="G90" i="40" s="1"/>
  <c r="P90" i="40" a="1"/>
  <c r="P90" i="40" s="1"/>
  <c r="V90" i="40" a="1"/>
  <c r="V90" i="40" s="1"/>
  <c r="L90" i="40" a="1"/>
  <c r="L90" i="40" s="1"/>
  <c r="F90" i="40" a="1"/>
  <c r="F90" i="40" s="1"/>
  <c r="K90" i="40" a="1"/>
  <c r="K90" i="40" s="1"/>
  <c r="W90" i="40" a="1"/>
  <c r="W90" i="40" s="1"/>
  <c r="T90" i="40" a="1"/>
  <c r="T90" i="40" s="1"/>
  <c r="Y90" i="40" a="1"/>
  <c r="Y90" i="40" s="1"/>
  <c r="J90" i="40" a="1"/>
  <c r="J90" i="40" s="1"/>
  <c r="Q90" i="40" a="1"/>
  <c r="Q90" i="40" s="1"/>
  <c r="O90" i="40" a="1"/>
  <c r="O90" i="40" s="1"/>
  <c r="M90" i="40" a="1"/>
  <c r="M90" i="40" s="1"/>
  <c r="CN95" i="39"/>
  <c r="C110" i="39"/>
  <c r="C106" i="40"/>
  <c r="C88" i="40"/>
  <c r="V110" i="5"/>
  <c r="W191" i="5"/>
  <c r="X90" i="5" s="1"/>
  <c r="X94" i="5" s="1"/>
  <c r="W121" i="5" a="1"/>
  <c r="W121" i="5" s="1"/>
  <c r="X163" i="5"/>
  <c r="W189" i="5"/>
  <c r="W188" i="5" s="1"/>
  <c r="AO95" i="5"/>
  <c r="AO97" i="5" s="1"/>
  <c r="AN177" i="5"/>
  <c r="AN176" i="5" s="1"/>
  <c r="AP155" i="4"/>
  <c r="AP158" i="4" s="1"/>
  <c r="AP157" i="5"/>
  <c r="AP160" i="5" s="1"/>
  <c r="AO180" i="5"/>
  <c r="W182" i="5"/>
  <c r="W181" i="5" s="1"/>
  <c r="W183" i="5" s="1"/>
  <c r="W64" i="5"/>
  <c r="W93" i="5"/>
  <c r="W165" i="5"/>
  <c r="W92" i="5" s="1"/>
  <c r="W142" i="5"/>
  <c r="W187" i="5" s="1"/>
  <c r="W137" i="5"/>
  <c r="BG89" i="4" l="1"/>
  <c r="BF162" i="4"/>
  <c r="C114" i="39"/>
  <c r="C110" i="40"/>
  <c r="CN171" i="39"/>
  <c r="Y91" i="40" a="1"/>
  <c r="Y91" i="40" s="1"/>
  <c r="Z91" i="40" a="1"/>
  <c r="Z91" i="40" s="1"/>
  <c r="G91" i="40" a="1"/>
  <c r="G91" i="40" s="1"/>
  <c r="Q91" i="40" a="1"/>
  <c r="Q91" i="40" s="1"/>
  <c r="S91" i="40" a="1"/>
  <c r="S91" i="40" s="1"/>
  <c r="W91" i="40" a="1"/>
  <c r="W91" i="40" s="1"/>
  <c r="H91" i="40" a="1"/>
  <c r="H91" i="40" s="1"/>
  <c r="I91" i="40" a="1"/>
  <c r="I91" i="40" s="1"/>
  <c r="F91" i="40" a="1"/>
  <c r="F91" i="40" s="1"/>
  <c r="M91" i="40" a="1"/>
  <c r="M91" i="40" s="1"/>
  <c r="O91" i="40" a="1"/>
  <c r="O91" i="40" s="1"/>
  <c r="J91" i="40" a="1"/>
  <c r="J91" i="40" s="1"/>
  <c r="E91" i="40" a="1"/>
  <c r="E91" i="40" s="1"/>
  <c r="P91" i="40" a="1"/>
  <c r="P91" i="40" s="1"/>
  <c r="U91" i="40" a="1"/>
  <c r="U91" i="40" s="1"/>
  <c r="X91" i="40" a="1"/>
  <c r="X91" i="40" s="1"/>
  <c r="N91" i="40" a="1"/>
  <c r="N91" i="40" s="1"/>
  <c r="T91" i="40" a="1"/>
  <c r="T91" i="40" s="1"/>
  <c r="L91" i="40" a="1"/>
  <c r="L91" i="40" s="1"/>
  <c r="R91" i="40" a="1"/>
  <c r="R91" i="40" s="1"/>
  <c r="K91" i="40" a="1"/>
  <c r="K91" i="40" s="1"/>
  <c r="V91" i="40" a="1"/>
  <c r="V91" i="40" s="1"/>
  <c r="C90" i="40"/>
  <c r="CN117" i="39"/>
  <c r="C117" i="39" s="1"/>
  <c r="G183" i="40" a="1"/>
  <c r="G183" i="40" s="1"/>
  <c r="J183" i="40" a="1"/>
  <c r="J183" i="40" s="1"/>
  <c r="M183" i="40" a="1"/>
  <c r="M183" i="40" s="1"/>
  <c r="Y183" i="40" a="1"/>
  <c r="Y183" i="40" s="1"/>
  <c r="T183" i="40" a="1"/>
  <c r="T183" i="40" s="1"/>
  <c r="S183" i="40" a="1"/>
  <c r="S183" i="40" s="1"/>
  <c r="N183" i="40" a="1"/>
  <c r="N183" i="40" s="1"/>
  <c r="F183" i="40" a="1"/>
  <c r="F183" i="40" s="1"/>
  <c r="X183" i="40" a="1"/>
  <c r="X183" i="40" s="1"/>
  <c r="U183" i="40" a="1"/>
  <c r="U183" i="40" s="1"/>
  <c r="O183" i="40" a="1"/>
  <c r="O183" i="40" s="1"/>
  <c r="L183" i="40" a="1"/>
  <c r="L183" i="40" s="1"/>
  <c r="W183" i="40" a="1"/>
  <c r="W183" i="40" s="1"/>
  <c r="I183" i="40" a="1"/>
  <c r="I183" i="40" s="1"/>
  <c r="P183" i="40" a="1"/>
  <c r="P183" i="40" s="1"/>
  <c r="Z183" i="40" a="1"/>
  <c r="Z183" i="40" s="1"/>
  <c r="R183" i="40" a="1"/>
  <c r="R183" i="40" s="1"/>
  <c r="E183" i="40" a="1"/>
  <c r="E183" i="40" s="1"/>
  <c r="V183" i="40" a="1"/>
  <c r="V183" i="40" s="1"/>
  <c r="K183" i="40" a="1"/>
  <c r="K183" i="40" s="1"/>
  <c r="Q183" i="40" a="1"/>
  <c r="Q183" i="40" s="1"/>
  <c r="H183" i="40" a="1"/>
  <c r="H183" i="40" s="1"/>
  <c r="W109" i="5"/>
  <c r="W111" i="5" s="1"/>
  <c r="W112" i="5" s="1"/>
  <c r="W190" i="5"/>
  <c r="X166" i="5"/>
  <c r="X167" i="5"/>
  <c r="AQ155" i="4"/>
  <c r="AQ158" i="4" s="1"/>
  <c r="AO177" i="5"/>
  <c r="AO176" i="5" s="1"/>
  <c r="AP95" i="5"/>
  <c r="AP97" i="5" s="1"/>
  <c r="AP180" i="5"/>
  <c r="AQ157" i="5"/>
  <c r="AQ160" i="5" s="1"/>
  <c r="BG162" i="4" l="1"/>
  <c r="BH89" i="4"/>
  <c r="CN170" i="39"/>
  <c r="W167" i="40" a="1"/>
  <c r="W167" i="40" s="1"/>
  <c r="J167" i="40" a="1"/>
  <c r="J167" i="40" s="1"/>
  <c r="O167" i="40" a="1"/>
  <c r="O167" i="40" s="1"/>
  <c r="V167" i="40" a="1"/>
  <c r="V167" i="40" s="1"/>
  <c r="F167" i="40" a="1"/>
  <c r="F167" i="40" s="1"/>
  <c r="Z167" i="40" a="1"/>
  <c r="Z167" i="40" s="1"/>
  <c r="L167" i="40" a="1"/>
  <c r="L167" i="40" s="1"/>
  <c r="M167" i="40" a="1"/>
  <c r="M167" i="40" s="1"/>
  <c r="S167" i="40" a="1"/>
  <c r="S167" i="40" s="1"/>
  <c r="R167" i="40" a="1"/>
  <c r="R167" i="40" s="1"/>
  <c r="P167" i="40" a="1"/>
  <c r="P167" i="40" s="1"/>
  <c r="T167" i="40" a="1"/>
  <c r="T167" i="40" s="1"/>
  <c r="I167" i="40" a="1"/>
  <c r="I167" i="40" s="1"/>
  <c r="K167" i="40" a="1"/>
  <c r="K167" i="40" s="1"/>
  <c r="E167" i="40" a="1"/>
  <c r="E167" i="40" s="1"/>
  <c r="N167" i="40" a="1"/>
  <c r="N167" i="40" s="1"/>
  <c r="Y167" i="40" a="1"/>
  <c r="Y167" i="40" s="1"/>
  <c r="Q167" i="40" a="1"/>
  <c r="Q167" i="40" s="1"/>
  <c r="C171" i="39"/>
  <c r="X167" i="40" a="1"/>
  <c r="X167" i="40" s="1"/>
  <c r="U167" i="40" a="1"/>
  <c r="U167" i="40" s="1"/>
  <c r="G167" i="40" a="1"/>
  <c r="G167" i="40" s="1"/>
  <c r="H167" i="40" a="1"/>
  <c r="H167" i="40" s="1"/>
  <c r="W110" i="5"/>
  <c r="AQ180" i="5"/>
  <c r="AR157" i="5"/>
  <c r="AR160" i="5" s="1"/>
  <c r="X137" i="5"/>
  <c r="X64" i="5"/>
  <c r="X165" i="5"/>
  <c r="X92" i="5" s="1"/>
  <c r="X142" i="5"/>
  <c r="X187" i="5" s="1"/>
  <c r="X182" i="5"/>
  <c r="X93" i="5"/>
  <c r="X191" i="5"/>
  <c r="AP177" i="5"/>
  <c r="AP176" i="5" s="1"/>
  <c r="AQ95" i="5"/>
  <c r="AQ97" i="5" s="1"/>
  <c r="AR155" i="4"/>
  <c r="AR158" i="4" s="1"/>
  <c r="X121" i="5" a="1"/>
  <c r="X121" i="5" s="1"/>
  <c r="X189" i="5"/>
  <c r="X188" i="5" s="1"/>
  <c r="Y163" i="5"/>
  <c r="BH162" i="4" l="1"/>
  <c r="BI89" i="4"/>
  <c r="CN177" i="39"/>
  <c r="Z166" i="40" a="1"/>
  <c r="Z166" i="40" s="1"/>
  <c r="L166" i="40" a="1"/>
  <c r="L166" i="40" s="1"/>
  <c r="M166" i="40" a="1"/>
  <c r="M166" i="40" s="1"/>
  <c r="X166" i="40" a="1"/>
  <c r="X166" i="40" s="1"/>
  <c r="G166" i="40" a="1"/>
  <c r="G166" i="40" s="1"/>
  <c r="P166" i="40" a="1"/>
  <c r="P166" i="40" s="1"/>
  <c r="Y166" i="40" a="1"/>
  <c r="Y166" i="40" s="1"/>
  <c r="U166" i="40" a="1"/>
  <c r="U166" i="40" s="1"/>
  <c r="I166" i="40" a="1"/>
  <c r="I166" i="40" s="1"/>
  <c r="H166" i="40" a="1"/>
  <c r="H166" i="40" s="1"/>
  <c r="N166" i="40" a="1"/>
  <c r="N166" i="40" s="1"/>
  <c r="J166" i="40" a="1"/>
  <c r="J166" i="40" s="1"/>
  <c r="W166" i="40" a="1"/>
  <c r="W166" i="40" s="1"/>
  <c r="Q166" i="40" a="1"/>
  <c r="Q166" i="40" s="1"/>
  <c r="T166" i="40" a="1"/>
  <c r="T166" i="40" s="1"/>
  <c r="E166" i="40" a="1"/>
  <c r="E166" i="40" s="1"/>
  <c r="V166" i="40" a="1"/>
  <c r="V166" i="40" s="1"/>
  <c r="K166" i="40" a="1"/>
  <c r="K166" i="40" s="1"/>
  <c r="R166" i="40" a="1"/>
  <c r="R166" i="40" s="1"/>
  <c r="F166" i="40" a="1"/>
  <c r="F166" i="40" s="1"/>
  <c r="O166" i="40" a="1"/>
  <c r="O166" i="40" s="1"/>
  <c r="S166" i="40" a="1"/>
  <c r="S166" i="40" s="1"/>
  <c r="CN115" i="39"/>
  <c r="C115" i="39" s="1"/>
  <c r="X109" i="5"/>
  <c r="X110" i="5" s="1"/>
  <c r="Y187" i="5"/>
  <c r="Y166" i="5"/>
  <c r="Y167" i="5"/>
  <c r="Y90" i="5"/>
  <c r="Y94" i="5" s="1"/>
  <c r="X190" i="5"/>
  <c r="AR95" i="5"/>
  <c r="AR97" i="5" s="1"/>
  <c r="AQ177" i="5"/>
  <c r="AQ176" i="5" s="1"/>
  <c r="AS157" i="5"/>
  <c r="AS160" i="5" s="1"/>
  <c r="AR180" i="5"/>
  <c r="AS155" i="4"/>
  <c r="AS158" i="4" s="1"/>
  <c r="Y182" i="5"/>
  <c r="X181" i="5"/>
  <c r="X183" i="5" s="1"/>
  <c r="BI162" i="4" l="1"/>
  <c r="BJ89" i="4"/>
  <c r="CN190" i="39"/>
  <c r="CN189" i="39"/>
  <c r="O173" i="40" a="1"/>
  <c r="O173" i="40" s="1"/>
  <c r="G173" i="40" a="1"/>
  <c r="G173" i="40" s="1"/>
  <c r="T173" i="40" a="1"/>
  <c r="T173" i="40" s="1"/>
  <c r="Y173" i="40" a="1"/>
  <c r="Y173" i="40" s="1"/>
  <c r="K173" i="40" a="1"/>
  <c r="K173" i="40" s="1"/>
  <c r="I173" i="40" a="1"/>
  <c r="I173" i="40" s="1"/>
  <c r="J173" i="40" a="1"/>
  <c r="J173" i="40" s="1"/>
  <c r="W173" i="40" a="1"/>
  <c r="W173" i="40" s="1"/>
  <c r="M173" i="40" a="1"/>
  <c r="M173" i="40" s="1"/>
  <c r="Z173" i="40" a="1"/>
  <c r="Z173" i="40" s="1"/>
  <c r="L173" i="40" a="1"/>
  <c r="L173" i="40" s="1"/>
  <c r="V173" i="40" a="1"/>
  <c r="V173" i="40" s="1"/>
  <c r="X173" i="40" a="1"/>
  <c r="X173" i="40" s="1"/>
  <c r="S173" i="40" a="1"/>
  <c r="S173" i="40" s="1"/>
  <c r="N173" i="40" a="1"/>
  <c r="N173" i="40" s="1"/>
  <c r="U173" i="40" a="1"/>
  <c r="U173" i="40" s="1"/>
  <c r="P173" i="40" a="1"/>
  <c r="P173" i="40" s="1"/>
  <c r="R173" i="40" a="1"/>
  <c r="R173" i="40" s="1"/>
  <c r="F173" i="40" a="1"/>
  <c r="F173" i="40" s="1"/>
  <c r="E173" i="40" a="1"/>
  <c r="E173" i="40" s="1"/>
  <c r="H173" i="40" a="1"/>
  <c r="H173" i="40" s="1"/>
  <c r="Q173" i="40" a="1"/>
  <c r="Q173" i="40" s="1"/>
  <c r="X111" i="5"/>
  <c r="X112" i="5" s="1"/>
  <c r="AT155" i="4"/>
  <c r="AT158" i="4" s="1"/>
  <c r="Y93" i="5"/>
  <c r="Y64" i="5"/>
  <c r="Y137" i="5"/>
  <c r="Y165" i="5"/>
  <c r="Y92" i="5" s="1"/>
  <c r="Y189" i="5"/>
  <c r="Y188" i="5" s="1"/>
  <c r="Y121" i="5" a="1"/>
  <c r="Y121" i="5" s="1"/>
  <c r="Z163" i="5"/>
  <c r="AT157" i="5"/>
  <c r="AT160" i="5" s="1"/>
  <c r="AS180" i="5"/>
  <c r="AR177" i="5"/>
  <c r="AR176" i="5" s="1"/>
  <c r="AS95" i="5"/>
  <c r="AS97" i="5" s="1"/>
  <c r="Z187" i="5"/>
  <c r="Y181" i="5"/>
  <c r="Y183" i="5" s="1"/>
  <c r="Z182" i="5"/>
  <c r="Y191" i="5"/>
  <c r="BJ162" i="4" l="1"/>
  <c r="BK89" i="4"/>
  <c r="S185" i="40"/>
  <c r="S186" i="40"/>
  <c r="X185" i="40"/>
  <c r="X186" i="40"/>
  <c r="V185" i="40"/>
  <c r="V186" i="40"/>
  <c r="L186" i="40"/>
  <c r="L185" i="40"/>
  <c r="Z186" i="40"/>
  <c r="Z185" i="40"/>
  <c r="M186" i="40"/>
  <c r="M185" i="40"/>
  <c r="W185" i="40"/>
  <c r="W186" i="40"/>
  <c r="J185" i="40"/>
  <c r="J186" i="40"/>
  <c r="Q185" i="40"/>
  <c r="Q186" i="40"/>
  <c r="I185" i="40"/>
  <c r="I186" i="40"/>
  <c r="H185" i="40"/>
  <c r="H186" i="40"/>
  <c r="K185" i="40"/>
  <c r="K186" i="40"/>
  <c r="E185" i="40"/>
  <c r="E186" i="40"/>
  <c r="Y186" i="40"/>
  <c r="Y185" i="40"/>
  <c r="T185" i="40"/>
  <c r="T186" i="40"/>
  <c r="R186" i="40"/>
  <c r="R185" i="40"/>
  <c r="G185" i="40"/>
  <c r="G186" i="40"/>
  <c r="P186" i="40"/>
  <c r="P185" i="40"/>
  <c r="O185" i="40"/>
  <c r="O186" i="40"/>
  <c r="F186" i="40"/>
  <c r="F185" i="40"/>
  <c r="U185" i="40"/>
  <c r="U186" i="40"/>
  <c r="N186" i="40"/>
  <c r="N185" i="40"/>
  <c r="Y109" i="5"/>
  <c r="Y111" i="5" s="1"/>
  <c r="Y112" i="5" s="1"/>
  <c r="AA187" i="5"/>
  <c r="AS177" i="5"/>
  <c r="AS176" i="5" s="1"/>
  <c r="AT95" i="5"/>
  <c r="AT97" i="5" s="1"/>
  <c r="AA182" i="5"/>
  <c r="Z181" i="5"/>
  <c r="Z183" i="5" s="1"/>
  <c r="AT180" i="5"/>
  <c r="AU157" i="5"/>
  <c r="AU160" i="5" s="1"/>
  <c r="Z90" i="5"/>
  <c r="Z94" i="5" s="1"/>
  <c r="Y190" i="5"/>
  <c r="Z167" i="5"/>
  <c r="Z166" i="5"/>
  <c r="AU155" i="4"/>
  <c r="AU158" i="4" s="1"/>
  <c r="BK162" i="4" l="1"/>
  <c r="BL89" i="4"/>
  <c r="Y110" i="5"/>
  <c r="Z64" i="5"/>
  <c r="Z137" i="5"/>
  <c r="Z93" i="5"/>
  <c r="Z165" i="5"/>
  <c r="Z92" i="5" s="1"/>
  <c r="AB187" i="5"/>
  <c r="AA181" i="5"/>
  <c r="AA183" i="5" s="1"/>
  <c r="AB182" i="5"/>
  <c r="AU180" i="5"/>
  <c r="AV157" i="5"/>
  <c r="AV160" i="5" s="1"/>
  <c r="Z191" i="5"/>
  <c r="AT177" i="5"/>
  <c r="AT176" i="5" s="1"/>
  <c r="AU95" i="5"/>
  <c r="AU97" i="5" s="1"/>
  <c r="AV155" i="4"/>
  <c r="AV158" i="4" s="1"/>
  <c r="Z189" i="5"/>
  <c r="Z188" i="5" s="1"/>
  <c r="Z121" i="5" a="1"/>
  <c r="Z121" i="5" s="1"/>
  <c r="AA163" i="5"/>
  <c r="BM89" i="4" l="1"/>
  <c r="BL162" i="4"/>
  <c r="Z109" i="5"/>
  <c r="Z111" i="5" s="1"/>
  <c r="Z112" i="5" s="1"/>
  <c r="AC187" i="5"/>
  <c r="AV95" i="5"/>
  <c r="AV97" i="5" s="1"/>
  <c r="AU177" i="5"/>
  <c r="AU176" i="5" s="1"/>
  <c r="AB181" i="5"/>
  <c r="AB183" i="5" s="1"/>
  <c r="AC182" i="5"/>
  <c r="AW155" i="4"/>
  <c r="AW158" i="4" s="1"/>
  <c r="AA90" i="5"/>
  <c r="AA94" i="5" s="1"/>
  <c r="Z190" i="5"/>
  <c r="AA166" i="5"/>
  <c r="AA167" i="5"/>
  <c r="AW157" i="5"/>
  <c r="AW160" i="5" s="1"/>
  <c r="AV180" i="5"/>
  <c r="BM162" i="4" l="1"/>
  <c r="BN89" i="4"/>
  <c r="Z110" i="5"/>
  <c r="AA191" i="5"/>
  <c r="AB90" i="5" s="1"/>
  <c r="AB94" i="5" s="1"/>
  <c r="AV177" i="5"/>
  <c r="AV176" i="5" s="1"/>
  <c r="AW95" i="5"/>
  <c r="AW97" i="5" s="1"/>
  <c r="AX155" i="4"/>
  <c r="AX158" i="4" s="1"/>
  <c r="AA189" i="5"/>
  <c r="AA188" i="5" s="1"/>
  <c r="AB163" i="5"/>
  <c r="AA121" i="5" a="1"/>
  <c r="AA121" i="5" s="1"/>
  <c r="AD187" i="5"/>
  <c r="AA64" i="5"/>
  <c r="AA137" i="5"/>
  <c r="AA93" i="5"/>
  <c r="AA165" i="5"/>
  <c r="AA92" i="5" s="1"/>
  <c r="AC181" i="5"/>
  <c r="AC183" i="5" s="1"/>
  <c r="AD182" i="5"/>
  <c r="AX157" i="5"/>
  <c r="AX160" i="5" s="1"/>
  <c r="AW180" i="5"/>
  <c r="BN162" i="4" l="1"/>
  <c r="BO89" i="4"/>
  <c r="AA190" i="5"/>
  <c r="AA109" i="5"/>
  <c r="AA110" i="5" s="1"/>
  <c r="AB191" i="5"/>
  <c r="AB190" i="5" s="1"/>
  <c r="AY155" i="4"/>
  <c r="AY158" i="4" s="1"/>
  <c r="AW177" i="5"/>
  <c r="AW176" i="5" s="1"/>
  <c r="AX95" i="5"/>
  <c r="AX97" i="5" s="1"/>
  <c r="AD181" i="5"/>
  <c r="AD183" i="5" s="1"/>
  <c r="AE182" i="5"/>
  <c r="AB166" i="5"/>
  <c r="AB167" i="5"/>
  <c r="AX180" i="5"/>
  <c r="AY157" i="5"/>
  <c r="AY160" i="5" s="1"/>
  <c r="AE187" i="5"/>
  <c r="BO162" i="4" l="1"/>
  <c r="BP89" i="4"/>
  <c r="AA111" i="5"/>
  <c r="AA112" i="5" s="1"/>
  <c r="AC90" i="5"/>
  <c r="AC94" i="5" s="1"/>
  <c r="AB121" i="5" a="1"/>
  <c r="AB121" i="5" s="1"/>
  <c r="AC163" i="5"/>
  <c r="AB189" i="5"/>
  <c r="AB188" i="5" s="1"/>
  <c r="AX177" i="5"/>
  <c r="AX176" i="5" s="1"/>
  <c r="AY95" i="5"/>
  <c r="AY97" i="5" s="1"/>
  <c r="AE181" i="5"/>
  <c r="AE183" i="5" s="1"/>
  <c r="AF182" i="5"/>
  <c r="AY180" i="5"/>
  <c r="AZ157" i="5"/>
  <c r="AZ160" i="5" s="1"/>
  <c r="AF187" i="5"/>
  <c r="AB165" i="5"/>
  <c r="AB92" i="5" s="1"/>
  <c r="AB93" i="5"/>
  <c r="AB64" i="5"/>
  <c r="AB137" i="5"/>
  <c r="AZ155" i="4"/>
  <c r="AZ158" i="4" s="1"/>
  <c r="BP162" i="4" l="1"/>
  <c r="BQ89" i="4"/>
  <c r="AC191" i="5"/>
  <c r="AC190" i="5" s="1"/>
  <c r="AF181" i="5"/>
  <c r="AF183" i="5" s="1"/>
  <c r="AG182" i="5"/>
  <c r="AZ95" i="5"/>
  <c r="AZ97" i="5" s="1"/>
  <c r="AY177" i="5"/>
  <c r="AY176" i="5" s="1"/>
  <c r="AG187" i="5"/>
  <c r="AB109" i="5"/>
  <c r="BA157" i="5"/>
  <c r="BA160" i="5" s="1"/>
  <c r="AZ180" i="5"/>
  <c r="BA155" i="4"/>
  <c r="BA158" i="4" s="1"/>
  <c r="AC167" i="5"/>
  <c r="AC166" i="5"/>
  <c r="BQ162" i="4" l="1"/>
  <c r="BR89" i="4"/>
  <c r="AD90" i="5"/>
  <c r="AD94" i="5" s="1"/>
  <c r="BA180" i="5"/>
  <c r="BB157" i="5"/>
  <c r="BB160" i="5" s="1"/>
  <c r="AC189" i="5"/>
  <c r="AC188" i="5" s="1"/>
  <c r="AD163" i="5"/>
  <c r="AC121" i="5" a="1"/>
  <c r="AC121" i="5" s="1"/>
  <c r="AC165" i="5"/>
  <c r="AC92" i="5" s="1"/>
  <c r="AC64" i="5"/>
  <c r="AC137" i="5"/>
  <c r="AC93" i="5"/>
  <c r="AH187" i="5"/>
  <c r="AH182" i="5"/>
  <c r="AG181" i="5"/>
  <c r="AG183" i="5" s="1"/>
  <c r="AZ177" i="5"/>
  <c r="AZ176" i="5" s="1"/>
  <c r="BA95" i="5"/>
  <c r="BA97" i="5" s="1"/>
  <c r="AB111" i="5"/>
  <c r="AB112" i="5" s="1"/>
  <c r="AB110" i="5"/>
  <c r="BB155" i="4"/>
  <c r="BB158" i="4" s="1"/>
  <c r="BS89" i="4" l="1"/>
  <c r="BR162" i="4"/>
  <c r="AD191" i="5"/>
  <c r="AE90" i="5" s="1"/>
  <c r="AE94" i="5" s="1"/>
  <c r="AC109" i="5"/>
  <c r="AC111" i="5" s="1"/>
  <c r="AC112" i="5" s="1"/>
  <c r="AI187" i="5"/>
  <c r="BC155" i="4"/>
  <c r="BC158" i="4" s="1"/>
  <c r="AD166" i="5"/>
  <c r="AD167" i="5"/>
  <c r="BB180" i="5"/>
  <c r="BC157" i="5"/>
  <c r="BC160" i="5" s="1"/>
  <c r="AH181" i="5"/>
  <c r="AH183" i="5" s="1"/>
  <c r="AI182" i="5"/>
  <c r="BB95" i="5"/>
  <c r="BB97" i="5" s="1"/>
  <c r="BA177" i="5"/>
  <c r="BA176" i="5" s="1"/>
  <c r="BS162" i="4" l="1"/>
  <c r="BT89" i="4"/>
  <c r="AD190" i="5"/>
  <c r="AC110" i="5"/>
  <c r="AD165" i="5"/>
  <c r="AD92" i="5" s="1"/>
  <c r="AD137" i="5"/>
  <c r="AD64" i="5"/>
  <c r="AD93" i="5"/>
  <c r="AD189" i="5"/>
  <c r="AD188" i="5" s="1"/>
  <c r="AE163" i="5"/>
  <c r="AD121" i="5" a="1"/>
  <c r="AD121" i="5" s="1"/>
  <c r="BD155" i="4"/>
  <c r="BD158" i="4" s="1"/>
  <c r="BC95" i="5"/>
  <c r="BC97" i="5" s="1"/>
  <c r="BB177" i="5"/>
  <c r="BB176" i="5" s="1"/>
  <c r="AI181" i="5"/>
  <c r="AI183" i="5" s="1"/>
  <c r="AJ182" i="5"/>
  <c r="BC180" i="5"/>
  <c r="BD157" i="5"/>
  <c r="BD160" i="5" s="1"/>
  <c r="AJ187" i="5"/>
  <c r="AE191" i="5"/>
  <c r="BU89" i="4" l="1"/>
  <c r="BT162" i="4"/>
  <c r="AJ181" i="5"/>
  <c r="AJ183" i="5" s="1"/>
  <c r="AK182" i="5"/>
  <c r="AE166" i="5"/>
  <c r="AE167" i="5"/>
  <c r="AK187" i="5"/>
  <c r="BC177" i="5"/>
  <c r="BC176" i="5" s="1"/>
  <c r="BD95" i="5"/>
  <c r="BD97" i="5" s="1"/>
  <c r="BD180" i="5"/>
  <c r="BE157" i="5"/>
  <c r="BE160" i="5" s="1"/>
  <c r="BE155" i="4"/>
  <c r="BE158" i="4" s="1"/>
  <c r="AD109" i="5"/>
  <c r="AF90" i="5"/>
  <c r="AF94" i="5" s="1"/>
  <c r="AE190" i="5"/>
  <c r="BV89" i="4" l="1"/>
  <c r="BU162" i="4"/>
  <c r="AF191" i="5"/>
  <c r="AG90" i="5" s="1"/>
  <c r="AG94" i="5" s="1"/>
  <c r="BF157" i="5"/>
  <c r="BF160" i="5" s="1"/>
  <c r="BE180" i="5"/>
  <c r="AD110" i="5"/>
  <c r="AD111" i="5"/>
  <c r="AD112" i="5" s="1"/>
  <c r="AL187" i="5"/>
  <c r="AE165" i="5"/>
  <c r="AE92" i="5" s="1"/>
  <c r="AE93" i="5"/>
  <c r="AE137" i="5"/>
  <c r="AE64" i="5"/>
  <c r="BF155" i="4"/>
  <c r="BF158" i="4" s="1"/>
  <c r="AE189" i="5"/>
  <c r="AE188" i="5" s="1"/>
  <c r="AE121" i="5" a="1"/>
  <c r="AE121" i="5" s="1"/>
  <c r="AF163" i="5"/>
  <c r="AK181" i="5"/>
  <c r="AK183" i="5" s="1"/>
  <c r="AL182" i="5"/>
  <c r="BD177" i="5"/>
  <c r="BD176" i="5" s="1"/>
  <c r="BE95" i="5"/>
  <c r="BE97" i="5" s="1"/>
  <c r="BV162" i="4" l="1"/>
  <c r="BW89" i="4"/>
  <c r="AF190" i="5"/>
  <c r="AG191" i="5"/>
  <c r="AH90" i="5" s="1"/>
  <c r="AH94" i="5" s="1"/>
  <c r="AE109" i="5"/>
  <c r="AE110" i="5" s="1"/>
  <c r="BG155" i="4"/>
  <c r="BG158" i="4" s="1"/>
  <c r="AM187" i="5"/>
  <c r="AF167" i="5"/>
  <c r="AF166" i="5"/>
  <c r="AL181" i="5"/>
  <c r="AL183" i="5" s="1"/>
  <c r="AM182" i="5"/>
  <c r="BE177" i="5"/>
  <c r="BE176" i="5" s="1"/>
  <c r="BF95" i="5"/>
  <c r="BF97" i="5" s="1"/>
  <c r="BF180" i="5"/>
  <c r="BG157" i="5"/>
  <c r="BG160" i="5" s="1"/>
  <c r="BW162" i="4" l="1"/>
  <c r="BX89" i="4"/>
  <c r="AG190" i="5"/>
  <c r="AE111" i="5"/>
  <c r="AE112" i="5" s="1"/>
  <c r="AF93" i="5"/>
  <c r="AF64" i="5"/>
  <c r="AF137" i="5"/>
  <c r="AF165" i="5"/>
  <c r="AF92" i="5" s="1"/>
  <c r="BH155" i="4"/>
  <c r="BH158" i="4" s="1"/>
  <c r="AH191" i="5"/>
  <c r="AN187" i="5"/>
  <c r="AM181" i="5"/>
  <c r="AM183" i="5" s="1"/>
  <c r="AN182" i="5"/>
  <c r="BG180" i="5"/>
  <c r="BH157" i="5"/>
  <c r="BH160" i="5" s="1"/>
  <c r="BG95" i="5"/>
  <c r="BG97" i="5" s="1"/>
  <c r="BF177" i="5"/>
  <c r="BF176" i="5" s="1"/>
  <c r="AF189" i="5"/>
  <c r="AF188" i="5" s="1"/>
  <c r="AF121" i="5" a="1"/>
  <c r="AF121" i="5" s="1"/>
  <c r="AG163" i="5"/>
  <c r="BY89" i="4" l="1"/>
  <c r="BX162" i="4"/>
  <c r="AF109" i="5"/>
  <c r="AF110" i="5" s="1"/>
  <c r="BI157" i="5"/>
  <c r="BI160" i="5" s="1"/>
  <c r="BH180" i="5"/>
  <c r="BI155" i="4"/>
  <c r="BI158" i="4" s="1"/>
  <c r="AO187" i="5"/>
  <c r="AG167" i="5"/>
  <c r="AG166" i="5"/>
  <c r="AI90" i="5"/>
  <c r="AI94" i="5" s="1"/>
  <c r="AH190" i="5"/>
  <c r="AN181" i="5"/>
  <c r="AN183" i="5" s="1"/>
  <c r="AO182" i="5"/>
  <c r="BH95" i="5"/>
  <c r="BH97" i="5" s="1"/>
  <c r="BG177" i="5"/>
  <c r="BG176" i="5" s="1"/>
  <c r="BZ89" i="4" l="1"/>
  <c r="BY162" i="4"/>
  <c r="AF111" i="5"/>
  <c r="AF112" i="5" s="1"/>
  <c r="AP187" i="5"/>
  <c r="BJ155" i="4"/>
  <c r="BJ158" i="4" s="1"/>
  <c r="AG189" i="5"/>
  <c r="AG188" i="5" s="1"/>
  <c r="AG121" i="5" a="1"/>
  <c r="AG121" i="5" s="1"/>
  <c r="AH163" i="5"/>
  <c r="AG165" i="5"/>
  <c r="AG92" i="5" s="1"/>
  <c r="AG64" i="5"/>
  <c r="AG137" i="5"/>
  <c r="AG93" i="5"/>
  <c r="AI191" i="5"/>
  <c r="AO181" i="5"/>
  <c r="AO183" i="5" s="1"/>
  <c r="AP182" i="5"/>
  <c r="BI95" i="5"/>
  <c r="BI97" i="5" s="1"/>
  <c r="BH177" i="5"/>
  <c r="BH176" i="5" s="1"/>
  <c r="BJ157" i="5"/>
  <c r="BJ160" i="5" s="1"/>
  <c r="BI180" i="5"/>
  <c r="BZ162" i="4" l="1"/>
  <c r="CA89" i="4"/>
  <c r="AG109" i="5"/>
  <c r="AG111" i="5" s="1"/>
  <c r="AG112" i="5" s="1"/>
  <c r="AH166" i="5"/>
  <c r="AH167" i="5"/>
  <c r="BJ95" i="5"/>
  <c r="BJ97" i="5" s="1"/>
  <c r="BI177" i="5"/>
  <c r="BI176" i="5" s="1"/>
  <c r="BK155" i="4"/>
  <c r="BK158" i="4" s="1"/>
  <c r="AQ187" i="5"/>
  <c r="BK157" i="5"/>
  <c r="BK160" i="5" s="1"/>
  <c r="BJ180" i="5"/>
  <c r="AQ182" i="5"/>
  <c r="AP181" i="5"/>
  <c r="AP183" i="5" s="1"/>
  <c r="AJ90" i="5"/>
  <c r="AJ94" i="5" s="1"/>
  <c r="AI190" i="5"/>
  <c r="CA162" i="4" l="1"/>
  <c r="CB89" i="4"/>
  <c r="AG110" i="5"/>
  <c r="BJ177" i="5"/>
  <c r="BJ176" i="5" s="1"/>
  <c r="BK95" i="5"/>
  <c r="BK97" i="5" s="1"/>
  <c r="AH165" i="5"/>
  <c r="AH92" i="5" s="1"/>
  <c r="AH137" i="5"/>
  <c r="AH64" i="5"/>
  <c r="AH93" i="5"/>
  <c r="AI163" i="5"/>
  <c r="AH189" i="5"/>
  <c r="AH188" i="5" s="1"/>
  <c r="AH121" i="5" a="1"/>
  <c r="AH121" i="5" s="1"/>
  <c r="AR187" i="5"/>
  <c r="AJ191" i="5"/>
  <c r="BL155" i="4"/>
  <c r="BL158" i="4" s="1"/>
  <c r="BK180" i="5"/>
  <c r="BL157" i="5"/>
  <c r="BL160" i="5" s="1"/>
  <c r="AQ181" i="5"/>
  <c r="AQ183" i="5" s="1"/>
  <c r="AR182" i="5"/>
  <c r="CC89" i="4" l="1"/>
  <c r="CB162" i="4"/>
  <c r="AH109" i="5"/>
  <c r="AH111" i="5" s="1"/>
  <c r="AH112" i="5" s="1"/>
  <c r="AS182" i="5"/>
  <c r="AR181" i="5"/>
  <c r="AR183" i="5" s="1"/>
  <c r="BK177" i="5"/>
  <c r="BK176" i="5" s="1"/>
  <c r="BL95" i="5"/>
  <c r="BL97" i="5" s="1"/>
  <c r="AS187" i="5"/>
  <c r="BM155" i="4"/>
  <c r="BM158" i="4" s="1"/>
  <c r="BL180" i="5"/>
  <c r="BM157" i="5"/>
  <c r="BM160" i="5" s="1"/>
  <c r="AI166" i="5"/>
  <c r="AI167" i="5"/>
  <c r="AJ190" i="5"/>
  <c r="AK90" i="5"/>
  <c r="AK94" i="5" s="1"/>
  <c r="CD89" i="4" l="1"/>
  <c r="CC162" i="4"/>
  <c r="AH110" i="5"/>
  <c r="AT187" i="5"/>
  <c r="AI93" i="5"/>
  <c r="AI137" i="5"/>
  <c r="AI165" i="5"/>
  <c r="AI92" i="5" s="1"/>
  <c r="AI64" i="5"/>
  <c r="AI121" i="5" a="1"/>
  <c r="AI121" i="5" s="1"/>
  <c r="AI189" i="5"/>
  <c r="AI188" i="5" s="1"/>
  <c r="AJ163" i="5"/>
  <c r="BM180" i="5"/>
  <c r="BN157" i="5"/>
  <c r="BN160" i="5" s="1"/>
  <c r="BN155" i="4"/>
  <c r="BN158" i="4" s="1"/>
  <c r="BM95" i="5"/>
  <c r="BM97" i="5" s="1"/>
  <c r="BL177" i="5"/>
  <c r="BL176" i="5" s="1"/>
  <c r="AK191" i="5"/>
  <c r="AS181" i="5"/>
  <c r="AS183" i="5" s="1"/>
  <c r="AT182" i="5"/>
  <c r="CE89" i="4" l="1"/>
  <c r="CD162" i="4"/>
  <c r="AI109" i="5"/>
  <c r="AI111" i="5" s="1"/>
  <c r="AI112" i="5" s="1"/>
  <c r="AT181" i="5"/>
  <c r="AT183" i="5" s="1"/>
  <c r="AU182" i="5"/>
  <c r="BO155" i="4"/>
  <c r="BO158" i="4" s="1"/>
  <c r="BN95" i="5"/>
  <c r="BN97" i="5" s="1"/>
  <c r="BM177" i="5"/>
  <c r="BM176" i="5" s="1"/>
  <c r="AL90" i="5"/>
  <c r="AL94" i="5" s="1"/>
  <c r="AK190" i="5"/>
  <c r="AU187" i="5"/>
  <c r="AJ166" i="5"/>
  <c r="AJ167" i="5"/>
  <c r="BN180" i="5"/>
  <c r="BO157" i="5"/>
  <c r="BO160" i="5" s="1"/>
  <c r="CF89" i="4" l="1"/>
  <c r="CE162" i="4"/>
  <c r="AI110" i="5"/>
  <c r="AL191" i="5"/>
  <c r="AL190" i="5" s="1"/>
  <c r="AK163" i="5"/>
  <c r="AJ189" i="5"/>
  <c r="AJ188" i="5" s="1"/>
  <c r="AJ121" i="5" a="1"/>
  <c r="AJ121" i="5" s="1"/>
  <c r="AV187" i="5"/>
  <c r="BN177" i="5"/>
  <c r="BN176" i="5" s="1"/>
  <c r="BO95" i="5"/>
  <c r="BO97" i="5" s="1"/>
  <c r="BP155" i="4"/>
  <c r="BP158" i="4" s="1"/>
  <c r="BO180" i="5"/>
  <c r="BP157" i="5"/>
  <c r="BP160" i="5" s="1"/>
  <c r="AU181" i="5"/>
  <c r="AU183" i="5" s="1"/>
  <c r="AV182" i="5"/>
  <c r="AJ137" i="5"/>
  <c r="AJ64" i="5"/>
  <c r="AJ165" i="5"/>
  <c r="AJ92" i="5" s="1"/>
  <c r="AJ93" i="5"/>
  <c r="CF162" i="4" l="1"/>
  <c r="CG89" i="4"/>
  <c r="AM90" i="5"/>
  <c r="AM94" i="5" s="1"/>
  <c r="AW187" i="5"/>
  <c r="BQ155" i="4"/>
  <c r="BQ158" i="4" s="1"/>
  <c r="AK167" i="5"/>
  <c r="AK166" i="5"/>
  <c r="BQ157" i="5"/>
  <c r="BQ160" i="5" s="1"/>
  <c r="BP180" i="5"/>
  <c r="BO177" i="5"/>
  <c r="BO176" i="5" s="1"/>
  <c r="BP95" i="5"/>
  <c r="BP97" i="5" s="1"/>
  <c r="AV181" i="5"/>
  <c r="AV183" i="5" s="1"/>
  <c r="AW182" i="5"/>
  <c r="AJ109" i="5"/>
  <c r="CG162" i="4" l="1"/>
  <c r="CH89" i="4"/>
  <c r="AM191" i="5"/>
  <c r="AN90" i="5" s="1"/>
  <c r="AN94" i="5" s="1"/>
  <c r="AK189" i="5"/>
  <c r="AK188" i="5" s="1"/>
  <c r="AK121" i="5" a="1"/>
  <c r="AK121" i="5" s="1"/>
  <c r="AL163" i="5"/>
  <c r="BQ180" i="5"/>
  <c r="BR157" i="5"/>
  <c r="BR160" i="5" s="1"/>
  <c r="AK93" i="5"/>
  <c r="AK165" i="5"/>
  <c r="AK92" i="5" s="1"/>
  <c r="AK137" i="5"/>
  <c r="AK64" i="5"/>
  <c r="AX182" i="5"/>
  <c r="AW181" i="5"/>
  <c r="AW183" i="5" s="1"/>
  <c r="BP177" i="5"/>
  <c r="BP176" i="5" s="1"/>
  <c r="BQ95" i="5"/>
  <c r="BQ97" i="5" s="1"/>
  <c r="BR155" i="4"/>
  <c r="BR158" i="4" s="1"/>
  <c r="AX187" i="5"/>
  <c r="AJ111" i="5"/>
  <c r="AJ112" i="5" s="1"/>
  <c r="AJ110" i="5"/>
  <c r="CH162" i="4" l="1"/>
  <c r="CI89" i="4"/>
  <c r="AM190" i="5"/>
  <c r="AK109" i="5"/>
  <c r="AK110" i="5" s="1"/>
  <c r="BR95" i="5"/>
  <c r="BR97" i="5" s="1"/>
  <c r="BQ177" i="5"/>
  <c r="BQ176" i="5" s="1"/>
  <c r="AX181" i="5"/>
  <c r="AX183" i="5" s="1"/>
  <c r="AY182" i="5"/>
  <c r="AL166" i="5"/>
  <c r="AL167" i="5"/>
  <c r="AY187" i="5"/>
  <c r="AN191" i="5"/>
  <c r="BS155" i="4"/>
  <c r="BS158" i="4" s="1"/>
  <c r="BR180" i="5"/>
  <c r="BS157" i="5"/>
  <c r="BS160" i="5" s="1"/>
  <c r="CJ89" i="4" l="1"/>
  <c r="CI162" i="4"/>
  <c r="AK111" i="5"/>
  <c r="AK112" i="5" s="1"/>
  <c r="BS180" i="5"/>
  <c r="BT157" i="5"/>
  <c r="BT160" i="5" s="1"/>
  <c r="AZ187" i="5"/>
  <c r="AL137" i="5"/>
  <c r="AL64" i="5"/>
  <c r="AL93" i="5"/>
  <c r="AL165" i="5"/>
  <c r="AL92" i="5" s="1"/>
  <c r="AL189" i="5"/>
  <c r="AL188" i="5" s="1"/>
  <c r="AM163" i="5"/>
  <c r="AL121" i="5" a="1"/>
  <c r="AL121" i="5" s="1"/>
  <c r="BT155" i="4"/>
  <c r="BT158" i="4" s="1"/>
  <c r="AZ182" i="5"/>
  <c r="AY181" i="5"/>
  <c r="AY183" i="5" s="1"/>
  <c r="AN190" i="5"/>
  <c r="AO90" i="5"/>
  <c r="AO94" i="5" s="1"/>
  <c r="BR177" i="5"/>
  <c r="BR176" i="5" s="1"/>
  <c r="BS95" i="5"/>
  <c r="BS97" i="5" s="1"/>
  <c r="CJ162" i="4" l="1"/>
  <c r="CK89" i="4"/>
  <c r="AO191" i="5"/>
  <c r="AO190" i="5" s="1"/>
  <c r="AL109" i="5"/>
  <c r="AL110" i="5" s="1"/>
  <c r="BT95" i="5"/>
  <c r="BT97" i="5" s="1"/>
  <c r="BS177" i="5"/>
  <c r="BS176" i="5" s="1"/>
  <c r="AM167" i="5"/>
  <c r="AM166" i="5"/>
  <c r="BA187" i="5"/>
  <c r="AZ181" i="5"/>
  <c r="AZ183" i="5" s="1"/>
  <c r="BA182" i="5"/>
  <c r="BT180" i="5"/>
  <c r="BU157" i="5"/>
  <c r="BU160" i="5" s="1"/>
  <c r="BU155" i="4"/>
  <c r="BU158" i="4" s="1"/>
  <c r="CK162" i="4" l="1"/>
  <c r="CL89" i="4"/>
  <c r="CL162" i="4" s="1"/>
  <c r="AL111" i="5"/>
  <c r="AL112" i="5" s="1"/>
  <c r="AP90" i="5"/>
  <c r="AP94" i="5" s="1"/>
  <c r="AM189" i="5"/>
  <c r="AM188" i="5" s="1"/>
  <c r="AM121" i="5" a="1"/>
  <c r="AM121" i="5" s="1"/>
  <c r="AN163" i="5"/>
  <c r="AM93" i="5"/>
  <c r="AM165" i="5"/>
  <c r="AM92" i="5" s="1"/>
  <c r="AM137" i="5"/>
  <c r="AM64" i="5"/>
  <c r="BB187" i="5"/>
  <c r="BU180" i="5"/>
  <c r="BV157" i="5"/>
  <c r="BV160" i="5" s="1"/>
  <c r="BV155" i="4"/>
  <c r="BV158" i="4" s="1"/>
  <c r="BA181" i="5"/>
  <c r="BA183" i="5" s="1"/>
  <c r="BB182" i="5"/>
  <c r="BU95" i="5"/>
  <c r="BU97" i="5" s="1"/>
  <c r="BT177" i="5"/>
  <c r="BT176" i="5" s="1"/>
  <c r="CM89" i="4" l="1"/>
  <c r="AP191" i="5"/>
  <c r="AM109" i="5"/>
  <c r="AM111" i="5" s="1"/>
  <c r="AM112" i="5" s="1"/>
  <c r="BW155" i="4"/>
  <c r="BW158" i="4" s="1"/>
  <c r="BW157" i="5"/>
  <c r="BW160" i="5" s="1"/>
  <c r="BV180" i="5"/>
  <c r="BB181" i="5"/>
  <c r="BB183" i="5" s="1"/>
  <c r="BC182" i="5"/>
  <c r="AN166" i="5"/>
  <c r="AN167" i="5"/>
  <c r="BV95" i="5"/>
  <c r="BV97" i="5" s="1"/>
  <c r="BU177" i="5"/>
  <c r="BU176" i="5" s="1"/>
  <c r="BC187" i="5"/>
  <c r="CM162" i="4" l="1"/>
  <c r="CN89" i="4"/>
  <c r="AM110" i="5"/>
  <c r="AQ90" i="5"/>
  <c r="AP190" i="5"/>
  <c r="BD187" i="5"/>
  <c r="BX157" i="5"/>
  <c r="BX160" i="5" s="1"/>
  <c r="BW180" i="5"/>
  <c r="BC181" i="5"/>
  <c r="BC183" i="5" s="1"/>
  <c r="BD182" i="5"/>
  <c r="BW95" i="5"/>
  <c r="BW97" i="5" s="1"/>
  <c r="BV177" i="5"/>
  <c r="BV176" i="5" s="1"/>
  <c r="BX155" i="4"/>
  <c r="BX158" i="4" s="1"/>
  <c r="AN137" i="5"/>
  <c r="AN64" i="5"/>
  <c r="AN93" i="5"/>
  <c r="AN165" i="5"/>
  <c r="AN92" i="5" s="1"/>
  <c r="AN189" i="5"/>
  <c r="AN188" i="5" s="1"/>
  <c r="AO163" i="5"/>
  <c r="AN121" i="5" a="1"/>
  <c r="AN121" i="5" s="1"/>
  <c r="X85" i="32" l="1"/>
  <c r="CN162" i="4"/>
  <c r="W85" i="32"/>
  <c r="E85" i="32"/>
  <c r="V85" i="32"/>
  <c r="P85" i="32"/>
  <c r="K85" i="32"/>
  <c r="Z85" i="32"/>
  <c r="O85" i="32"/>
  <c r="L85" i="32"/>
  <c r="M85" i="32"/>
  <c r="G85" i="32"/>
  <c r="U85" i="32"/>
  <c r="Q85" i="32"/>
  <c r="C89" i="4"/>
  <c r="T85" i="32"/>
  <c r="D36" i="3"/>
  <c r="F85" i="32"/>
  <c r="N85" i="32"/>
  <c r="J85" i="32"/>
  <c r="H85" i="32"/>
  <c r="I85" i="32"/>
  <c r="Y85" i="32"/>
  <c r="S85" i="32"/>
  <c r="R85" i="32"/>
  <c r="AN109" i="5"/>
  <c r="AN110" i="5" s="1"/>
  <c r="AQ94" i="5"/>
  <c r="AQ191" i="5"/>
  <c r="BE187" i="5"/>
  <c r="AO167" i="5"/>
  <c r="AO166" i="5"/>
  <c r="BD181" i="5"/>
  <c r="BD183" i="5" s="1"/>
  <c r="BE182" i="5"/>
  <c r="BY155" i="4"/>
  <c r="BY158" i="4" s="1"/>
  <c r="BX95" i="5"/>
  <c r="BX97" i="5" s="1"/>
  <c r="BW177" i="5"/>
  <c r="BW176" i="5" s="1"/>
  <c r="BX180" i="5"/>
  <c r="BY157" i="5"/>
  <c r="BY160" i="5" s="1"/>
  <c r="C85" i="32" l="1"/>
  <c r="Y158" i="32"/>
  <c r="W158" i="32"/>
  <c r="O158" i="32"/>
  <c r="X158" i="32"/>
  <c r="J158" i="32"/>
  <c r="T158" i="32"/>
  <c r="P158" i="32"/>
  <c r="F158" i="32"/>
  <c r="M158" i="32"/>
  <c r="I158" i="32"/>
  <c r="H158" i="32"/>
  <c r="Q158" i="32"/>
  <c r="N158" i="32"/>
  <c r="C162" i="4"/>
  <c r="Z158" i="32"/>
  <c r="L158" i="32"/>
  <c r="K158" i="32"/>
  <c r="U158" i="32"/>
  <c r="G158" i="32"/>
  <c r="V158" i="32"/>
  <c r="E158" i="32"/>
  <c r="S158" i="32"/>
  <c r="R158" i="32"/>
  <c r="AN111" i="5"/>
  <c r="AN112" i="5" s="1"/>
  <c r="AR90" i="5"/>
  <c r="AQ190" i="5"/>
  <c r="BY95" i="5"/>
  <c r="BY97" i="5" s="1"/>
  <c r="BX177" i="5"/>
  <c r="BX176" i="5" s="1"/>
  <c r="AO121" i="5" a="1"/>
  <c r="AO121" i="5" s="1"/>
  <c r="AP163" i="5"/>
  <c r="AO189" i="5"/>
  <c r="AO188" i="5" s="1"/>
  <c r="BF187" i="5"/>
  <c r="BZ157" i="5"/>
  <c r="BZ160" i="5" s="1"/>
  <c r="BY180" i="5"/>
  <c r="BZ155" i="4"/>
  <c r="BZ158" i="4" s="1"/>
  <c r="BE181" i="5"/>
  <c r="BE183" i="5" s="1"/>
  <c r="BF182" i="5"/>
  <c r="AO137" i="5"/>
  <c r="AO165" i="5"/>
  <c r="AO92" i="5" s="1"/>
  <c r="AO93" i="5"/>
  <c r="AO64" i="5"/>
  <c r="C158" i="32" l="1"/>
  <c r="AR94" i="5"/>
  <c r="AR191" i="5"/>
  <c r="BZ95" i="5"/>
  <c r="BZ97" i="5" s="1"/>
  <c r="BY177" i="5"/>
  <c r="BY176" i="5" s="1"/>
  <c r="AP166" i="5"/>
  <c r="AP167" i="5"/>
  <c r="BZ180" i="5"/>
  <c r="CA157" i="5"/>
  <c r="CA160" i="5" s="1"/>
  <c r="BG187" i="5"/>
  <c r="AO109" i="5"/>
  <c r="BF181" i="5"/>
  <c r="BF183" i="5" s="1"/>
  <c r="BG182" i="5"/>
  <c r="CA155" i="4"/>
  <c r="CA158" i="4" s="1"/>
  <c r="AR190" i="5" l="1"/>
  <c r="AS90" i="5"/>
  <c r="AS94" i="5" s="1"/>
  <c r="CB157" i="5"/>
  <c r="CB160" i="5" s="1"/>
  <c r="CA180" i="5"/>
  <c r="AO111" i="5"/>
  <c r="AO112" i="5" s="1"/>
  <c r="AO110" i="5"/>
  <c r="BH187" i="5"/>
  <c r="AP165" i="5"/>
  <c r="AP92" i="5" s="1"/>
  <c r="AP93" i="5"/>
  <c r="AP64" i="5"/>
  <c r="AP137" i="5"/>
  <c r="AP121" i="5" a="1"/>
  <c r="AP121" i="5" s="1"/>
  <c r="AQ163" i="5"/>
  <c r="AP189" i="5"/>
  <c r="AP188" i="5" s="1"/>
  <c r="CB155" i="4"/>
  <c r="CB158" i="4" s="1"/>
  <c r="BG181" i="5"/>
  <c r="BG183" i="5" s="1"/>
  <c r="BH182" i="5"/>
  <c r="CA95" i="5"/>
  <c r="CA97" i="5" s="1"/>
  <c r="BZ177" i="5"/>
  <c r="BZ176" i="5" s="1"/>
  <c r="AS191" i="5" l="1"/>
  <c r="AT90" i="5" s="1"/>
  <c r="AT94" i="5" s="1"/>
  <c r="AP109" i="5"/>
  <c r="AP110" i="5" s="1"/>
  <c r="BI187" i="5"/>
  <c r="AQ166" i="5"/>
  <c r="AQ167" i="5"/>
  <c r="BH181" i="5"/>
  <c r="BH183" i="5" s="1"/>
  <c r="BI182" i="5"/>
  <c r="CC155" i="4"/>
  <c r="CC158" i="4" s="1"/>
  <c r="CA177" i="5"/>
  <c r="CA176" i="5" s="1"/>
  <c r="CB95" i="5"/>
  <c r="CB97" i="5" s="1"/>
  <c r="CB180" i="5"/>
  <c r="CC157" i="5"/>
  <c r="CC160" i="5" s="1"/>
  <c r="AS190" i="5" l="1"/>
  <c r="AP111" i="5"/>
  <c r="AP112" i="5" s="1"/>
  <c r="AT191" i="5"/>
  <c r="AQ64" i="5"/>
  <c r="AQ93" i="5"/>
  <c r="AQ165" i="5"/>
  <c r="AQ92" i="5" s="1"/>
  <c r="AQ137" i="5"/>
  <c r="AR163" i="5"/>
  <c r="AQ121" i="5" a="1"/>
  <c r="AQ121" i="5" s="1"/>
  <c r="AQ189" i="5"/>
  <c r="AQ188" i="5" s="1"/>
  <c r="BJ182" i="5"/>
  <c r="BI181" i="5"/>
  <c r="BI183" i="5" s="1"/>
  <c r="CD157" i="5"/>
  <c r="CD160" i="5" s="1"/>
  <c r="CC180" i="5"/>
  <c r="CC95" i="5"/>
  <c r="CC97" i="5" s="1"/>
  <c r="CB177" i="5"/>
  <c r="CB176" i="5" s="1"/>
  <c r="BJ187" i="5"/>
  <c r="CD155" i="4"/>
  <c r="CD158" i="4" s="1"/>
  <c r="AQ109" i="5" l="1"/>
  <c r="AQ111" i="5" s="1"/>
  <c r="AQ112" i="5" s="1"/>
  <c r="AU90" i="5"/>
  <c r="AU94" i="5" s="1"/>
  <c r="AT190" i="5"/>
  <c r="BK187" i="5"/>
  <c r="AR167" i="5"/>
  <c r="AR166" i="5"/>
  <c r="BJ181" i="5"/>
  <c r="BJ183" i="5" s="1"/>
  <c r="BK182" i="5"/>
  <c r="CE157" i="5"/>
  <c r="CE160" i="5" s="1"/>
  <c r="CD180" i="5"/>
  <c r="CE155" i="4"/>
  <c r="CE158" i="4" s="1"/>
  <c r="CC177" i="5"/>
  <c r="CC176" i="5" s="1"/>
  <c r="CD95" i="5"/>
  <c r="CD97" i="5" s="1"/>
  <c r="AQ110" i="5" l="1"/>
  <c r="AU191" i="5"/>
  <c r="AV90" i="5" s="1"/>
  <c r="AR165" i="5"/>
  <c r="AR92" i="5" s="1"/>
  <c r="AR137" i="5"/>
  <c r="AR64" i="5"/>
  <c r="AR93" i="5"/>
  <c r="CF155" i="4"/>
  <c r="CF158" i="4" s="1"/>
  <c r="CE95" i="5"/>
  <c r="CE97" i="5" s="1"/>
  <c r="CD177" i="5"/>
  <c r="CD176" i="5" s="1"/>
  <c r="BK181" i="5"/>
  <c r="BK183" i="5" s="1"/>
  <c r="BL182" i="5"/>
  <c r="CE180" i="5"/>
  <c r="CF157" i="5"/>
  <c r="CF160" i="5" s="1"/>
  <c r="AR121" i="5" a="1"/>
  <c r="AR121" i="5" s="1"/>
  <c r="AR189" i="5"/>
  <c r="AR188" i="5" s="1"/>
  <c r="AS163" i="5"/>
  <c r="BL187" i="5"/>
  <c r="AU190" i="5" l="1"/>
  <c r="AV94" i="5"/>
  <c r="AV191" i="5"/>
  <c r="CG157" i="5"/>
  <c r="CG160" i="5" s="1"/>
  <c r="CF180" i="5"/>
  <c r="CG155" i="4"/>
  <c r="CG158" i="4" s="1"/>
  <c r="BM187" i="5"/>
  <c r="AS166" i="5"/>
  <c r="AS167" i="5"/>
  <c r="CF95" i="5"/>
  <c r="CF97" i="5" s="1"/>
  <c r="CE177" i="5"/>
  <c r="CE176" i="5" s="1"/>
  <c r="BL181" i="5"/>
  <c r="BL183" i="5" s="1"/>
  <c r="BM182" i="5"/>
  <c r="AR109" i="5"/>
  <c r="AW90" i="5" l="1"/>
  <c r="AV190" i="5"/>
  <c r="CH155" i="4"/>
  <c r="CH158" i="4" s="1"/>
  <c r="BN187" i="5"/>
  <c r="CH157" i="5"/>
  <c r="CH160" i="5" s="1"/>
  <c r="CG180" i="5"/>
  <c r="AS121" i="5" a="1"/>
  <c r="AS121" i="5" s="1"/>
  <c r="AS189" i="5"/>
  <c r="AS188" i="5" s="1"/>
  <c r="AT163" i="5"/>
  <c r="BM181" i="5"/>
  <c r="BM183" i="5" s="1"/>
  <c r="BN182" i="5"/>
  <c r="AR110" i="5"/>
  <c r="AR111" i="5"/>
  <c r="AR112" i="5" s="1"/>
  <c r="CF177" i="5"/>
  <c r="CF176" i="5" s="1"/>
  <c r="CG95" i="5"/>
  <c r="CG97" i="5" s="1"/>
  <c r="AS165" i="5"/>
  <c r="AS92" i="5" s="1"/>
  <c r="AS93" i="5"/>
  <c r="AS64" i="5"/>
  <c r="AS137" i="5"/>
  <c r="AW94" i="5" l="1"/>
  <c r="AW191" i="5"/>
  <c r="AS109" i="5"/>
  <c r="AS110" i="5" s="1"/>
  <c r="CI155" i="4"/>
  <c r="CI158" i="4" s="1"/>
  <c r="CH95" i="5"/>
  <c r="CH97" i="5" s="1"/>
  <c r="CG177" i="5"/>
  <c r="CG176" i="5" s="1"/>
  <c r="AT166" i="5"/>
  <c r="AT167" i="5"/>
  <c r="BO187" i="5"/>
  <c r="BN181" i="5"/>
  <c r="BN183" i="5" s="1"/>
  <c r="BO182" i="5"/>
  <c r="CI157" i="5"/>
  <c r="CI160" i="5" s="1"/>
  <c r="CH180" i="5"/>
  <c r="AS111" i="5" l="1"/>
  <c r="AS112" i="5" s="1"/>
  <c r="AX90" i="5"/>
  <c r="AW190" i="5"/>
  <c r="AT64" i="5"/>
  <c r="AT93" i="5"/>
  <c r="AT165" i="5"/>
  <c r="AT92" i="5" s="1"/>
  <c r="AT137" i="5"/>
  <c r="AT121" i="5" a="1"/>
  <c r="AT121" i="5" s="1"/>
  <c r="AU163" i="5"/>
  <c r="AT189" i="5"/>
  <c r="AT188" i="5" s="1"/>
  <c r="CH177" i="5"/>
  <c r="CH176" i="5" s="1"/>
  <c r="CI95" i="5"/>
  <c r="CI97" i="5" s="1"/>
  <c r="CI180" i="5"/>
  <c r="CJ157" i="5"/>
  <c r="CJ160" i="5" s="1"/>
  <c r="CJ155" i="4"/>
  <c r="CJ158" i="4" s="1"/>
  <c r="BO181" i="5"/>
  <c r="BO183" i="5" s="1"/>
  <c r="BP182" i="5"/>
  <c r="BP187" i="5"/>
  <c r="AX94" i="5" l="1"/>
  <c r="AX191" i="5"/>
  <c r="AT109" i="5"/>
  <c r="AT111" i="5" s="1"/>
  <c r="AT112" i="5" s="1"/>
  <c r="BP181" i="5"/>
  <c r="BP183" i="5" s="1"/>
  <c r="BQ182" i="5"/>
  <c r="CJ180" i="5"/>
  <c r="CK157" i="5"/>
  <c r="CK160" i="5" s="1"/>
  <c r="AU166" i="5"/>
  <c r="AU167" i="5"/>
  <c r="BQ187" i="5"/>
  <c r="CK155" i="4"/>
  <c r="CK158" i="4" s="1"/>
  <c r="CJ95" i="5"/>
  <c r="CJ97" i="5" s="1"/>
  <c r="CI177" i="5"/>
  <c r="CI176" i="5" s="1"/>
  <c r="AT110" i="5" l="1"/>
  <c r="AY90" i="5"/>
  <c r="AY94" i="5" s="1"/>
  <c r="AX190" i="5"/>
  <c r="CK180" i="5"/>
  <c r="CL157" i="5"/>
  <c r="CL160" i="5" s="1"/>
  <c r="CJ177" i="5"/>
  <c r="CJ176" i="5" s="1"/>
  <c r="CK95" i="5"/>
  <c r="CK97" i="5" s="1"/>
  <c r="AU189" i="5"/>
  <c r="AU188" i="5" s="1"/>
  <c r="AV163" i="5"/>
  <c r="AU121" i="5" a="1"/>
  <c r="AU121" i="5" s="1"/>
  <c r="BR187" i="5"/>
  <c r="BQ181" i="5"/>
  <c r="BQ183" i="5" s="1"/>
  <c r="BR182" i="5"/>
  <c r="AU64" i="5"/>
  <c r="AU165" i="5"/>
  <c r="AU92" i="5" s="1"/>
  <c r="AU93" i="5"/>
  <c r="AU137" i="5"/>
  <c r="CL155" i="4"/>
  <c r="CL158" i="4" s="1"/>
  <c r="AY191" i="5" l="1"/>
  <c r="AY190" i="5" s="1"/>
  <c r="AU109" i="5"/>
  <c r="AV166" i="5"/>
  <c r="AV167" i="5"/>
  <c r="BR181" i="5"/>
  <c r="BR183" i="5" s="1"/>
  <c r="BS182" i="5"/>
  <c r="CM157" i="5"/>
  <c r="CM160" i="5" s="1"/>
  <c r="CL180" i="5"/>
  <c r="CK177" i="5"/>
  <c r="CK176" i="5" s="1"/>
  <c r="CL95" i="5"/>
  <c r="CL97" i="5" s="1"/>
  <c r="CM155" i="4"/>
  <c r="CM158" i="4" s="1"/>
  <c r="BS187" i="5"/>
  <c r="AZ90" i="5" l="1"/>
  <c r="AZ94" i="5" s="1"/>
  <c r="CM95" i="5"/>
  <c r="CM97" i="5" s="1"/>
  <c r="CL177" i="5"/>
  <c r="CL176" i="5" s="1"/>
  <c r="BS181" i="5"/>
  <c r="BS183" i="5" s="1"/>
  <c r="BT182" i="5"/>
  <c r="AV93" i="5"/>
  <c r="AV64" i="5"/>
  <c r="AV165" i="5"/>
  <c r="AV92" i="5" s="1"/>
  <c r="AV137" i="5"/>
  <c r="CN155" i="4"/>
  <c r="CN157" i="5"/>
  <c r="CN160" i="5" s="1"/>
  <c r="CN180" i="5" s="1"/>
  <c r="CM180" i="5"/>
  <c r="AV189" i="5"/>
  <c r="AV188" i="5" s="1"/>
  <c r="AV121" i="5" a="1"/>
  <c r="AV121" i="5" s="1"/>
  <c r="AW163" i="5"/>
  <c r="BT187" i="5"/>
  <c r="AU111" i="5"/>
  <c r="AU112" i="5" s="1"/>
  <c r="AU110" i="5"/>
  <c r="CN158" i="4" l="1"/>
  <c r="F151" i="32"/>
  <c r="Z151" i="32"/>
  <c r="T151" i="32"/>
  <c r="Q151" i="32"/>
  <c r="G151" i="32"/>
  <c r="L151" i="32"/>
  <c r="K151" i="32"/>
  <c r="M151" i="32"/>
  <c r="Y151" i="32"/>
  <c r="U151" i="32"/>
  <c r="O151" i="32"/>
  <c r="I151" i="32"/>
  <c r="X151" i="32"/>
  <c r="N151" i="32"/>
  <c r="V151" i="32"/>
  <c r="J151" i="32"/>
  <c r="H151" i="32"/>
  <c r="R151" i="32"/>
  <c r="P151" i="32"/>
  <c r="E151" i="32"/>
  <c r="W151" i="32"/>
  <c r="S151" i="32"/>
  <c r="AZ191" i="5"/>
  <c r="AZ190" i="5" s="1"/>
  <c r="BT181" i="5"/>
  <c r="BT183" i="5" s="1"/>
  <c r="BU182" i="5"/>
  <c r="AW166" i="5"/>
  <c r="AW167" i="5"/>
  <c r="CN95" i="5"/>
  <c r="CN97" i="5" s="1"/>
  <c r="CN177" i="5" s="1"/>
  <c r="CN176" i="5" s="1"/>
  <c r="CM177" i="5"/>
  <c r="CM176" i="5" s="1"/>
  <c r="BU187" i="5"/>
  <c r="AV109" i="5"/>
  <c r="H154" i="32" l="1"/>
  <c r="U154" i="32"/>
  <c r="G154" i="32"/>
  <c r="M154" i="32"/>
  <c r="Z154" i="32"/>
  <c r="E154" i="32"/>
  <c r="N154" i="32"/>
  <c r="Q154" i="32"/>
  <c r="P154" i="32"/>
  <c r="X154" i="32"/>
  <c r="I154" i="32"/>
  <c r="K154" i="32"/>
  <c r="F154" i="32"/>
  <c r="L154" i="32"/>
  <c r="Y154" i="32"/>
  <c r="S154" i="32"/>
  <c r="T154" i="32"/>
  <c r="R154" i="32"/>
  <c r="V154" i="32"/>
  <c r="J154" i="32"/>
  <c r="O154" i="32"/>
  <c r="W154" i="32"/>
  <c r="BA90" i="5"/>
  <c r="BA94" i="5" s="1"/>
  <c r="AV110" i="5"/>
  <c r="AV111" i="5"/>
  <c r="AV112" i="5" s="1"/>
  <c r="AW137" i="5"/>
  <c r="AW93" i="5"/>
  <c r="AW64" i="5"/>
  <c r="AW165" i="5"/>
  <c r="AW92" i="5" s="1"/>
  <c r="AW121" i="5" a="1"/>
  <c r="AW121" i="5" s="1"/>
  <c r="AX163" i="5"/>
  <c r="AW189" i="5"/>
  <c r="AW188" i="5" s="1"/>
  <c r="BV187" i="5"/>
  <c r="BU181" i="5"/>
  <c r="BU183" i="5" s="1"/>
  <c r="BV182" i="5"/>
  <c r="BA191" i="5" l="1"/>
  <c r="BA190" i="5" s="1"/>
  <c r="AW109" i="5"/>
  <c r="AW111" i="5" s="1"/>
  <c r="AW112" i="5" s="1"/>
  <c r="AX166" i="5"/>
  <c r="AX167" i="5"/>
  <c r="BW187" i="5"/>
  <c r="BV181" i="5"/>
  <c r="BV183" i="5" s="1"/>
  <c r="BW182" i="5"/>
  <c r="AW110" i="5" l="1"/>
  <c r="BB90" i="5"/>
  <c r="BB94" i="5" s="1"/>
  <c r="AY163" i="5"/>
  <c r="AX189" i="5"/>
  <c r="AX188" i="5" s="1"/>
  <c r="AX121" i="5" a="1"/>
  <c r="AX121" i="5" s="1"/>
  <c r="AX137" i="5"/>
  <c r="AX64" i="5"/>
  <c r="AX165" i="5"/>
  <c r="AX92" i="5" s="1"/>
  <c r="AX93" i="5"/>
  <c r="BW181" i="5"/>
  <c r="BW183" i="5" s="1"/>
  <c r="BX182" i="5"/>
  <c r="BX187" i="5"/>
  <c r="BB191" i="5" l="1"/>
  <c r="BB190" i="5" s="1"/>
  <c r="AX109" i="5"/>
  <c r="AX110" i="5" s="1"/>
  <c r="BY187" i="5"/>
  <c r="BX181" i="5"/>
  <c r="BX183" i="5" s="1"/>
  <c r="BY182" i="5"/>
  <c r="AY167" i="5"/>
  <c r="AY166" i="5"/>
  <c r="BC90" i="5" l="1"/>
  <c r="BC94" i="5" s="1"/>
  <c r="AX111" i="5"/>
  <c r="AX112" i="5" s="1"/>
  <c r="BY181" i="5"/>
  <c r="BY183" i="5" s="1"/>
  <c r="BZ182" i="5"/>
  <c r="AY189" i="5"/>
  <c r="AY188" i="5" s="1"/>
  <c r="AY121" i="5" a="1"/>
  <c r="AY121" i="5" s="1"/>
  <c r="AZ163" i="5"/>
  <c r="BZ187" i="5"/>
  <c r="AY165" i="5"/>
  <c r="AY92" i="5" s="1"/>
  <c r="AY137" i="5"/>
  <c r="AY93" i="5"/>
  <c r="AY64" i="5"/>
  <c r="BC191" i="5" l="1"/>
  <c r="BC190" i="5" s="1"/>
  <c r="AY109" i="5"/>
  <c r="AY110" i="5" s="1"/>
  <c r="CA187" i="5"/>
  <c r="BZ181" i="5"/>
  <c r="BZ183" i="5" s="1"/>
  <c r="CA182" i="5"/>
  <c r="AZ166" i="5"/>
  <c r="AZ167" i="5"/>
  <c r="BD90" i="5" l="1"/>
  <c r="AY111" i="5"/>
  <c r="AY112" i="5" s="1"/>
  <c r="CB187" i="5"/>
  <c r="CB182" i="5"/>
  <c r="CA181" i="5"/>
  <c r="CA183" i="5" s="1"/>
  <c r="AZ93" i="5"/>
  <c r="AZ137" i="5"/>
  <c r="AZ64" i="5"/>
  <c r="AZ165" i="5"/>
  <c r="AZ92" i="5" s="1"/>
  <c r="AZ121" i="5" a="1"/>
  <c r="AZ121" i="5" s="1"/>
  <c r="BA163" i="5"/>
  <c r="AZ189" i="5"/>
  <c r="AZ188" i="5" s="1"/>
  <c r="BD94" i="5" l="1"/>
  <c r="BD191" i="5"/>
  <c r="BA166" i="5"/>
  <c r="BA167" i="5"/>
  <c r="AZ109" i="5"/>
  <c r="CC187" i="5"/>
  <c r="CB181" i="5"/>
  <c r="CB183" i="5" s="1"/>
  <c r="CC182" i="5"/>
  <c r="BE90" i="5" l="1"/>
  <c r="BE94" i="5" s="1"/>
  <c r="BD190" i="5"/>
  <c r="CC181" i="5"/>
  <c r="CC183" i="5" s="1"/>
  <c r="CD182" i="5"/>
  <c r="AZ111" i="5"/>
  <c r="AZ112" i="5" s="1"/>
  <c r="AZ110" i="5"/>
  <c r="CD187" i="5"/>
  <c r="BA165" i="5"/>
  <c r="BA92" i="5" s="1"/>
  <c r="BA93" i="5"/>
  <c r="BA137" i="5"/>
  <c r="BA64" i="5"/>
  <c r="BB163" i="5"/>
  <c r="BA189" i="5"/>
  <c r="BA188" i="5" s="1"/>
  <c r="BA121" i="5" a="1"/>
  <c r="BA121" i="5" s="1"/>
  <c r="BE191" i="5" l="1"/>
  <c r="BF90" i="5" s="1"/>
  <c r="BF94" i="5" s="1"/>
  <c r="BA109" i="5"/>
  <c r="BA111" i="5" s="1"/>
  <c r="BA112" i="5" s="1"/>
  <c r="BB166" i="5"/>
  <c r="BB167" i="5"/>
  <c r="CD181" i="5"/>
  <c r="CD183" i="5" s="1"/>
  <c r="CE182" i="5"/>
  <c r="CE187" i="5"/>
  <c r="BE190" i="5" l="1"/>
  <c r="BF191" i="5"/>
  <c r="BA110" i="5"/>
  <c r="BB137" i="5"/>
  <c r="BB64" i="5"/>
  <c r="BB93" i="5"/>
  <c r="BB165" i="5"/>
  <c r="BB92" i="5" s="1"/>
  <c r="CE181" i="5"/>
  <c r="CE183" i="5" s="1"/>
  <c r="CF182" i="5"/>
  <c r="BB121" i="5" a="1"/>
  <c r="BB121" i="5" s="1"/>
  <c r="BB189" i="5"/>
  <c r="BB188" i="5" s="1"/>
  <c r="BC163" i="5"/>
  <c r="CF187" i="5"/>
  <c r="BB109" i="5" l="1"/>
  <c r="BB111" i="5" s="1"/>
  <c r="BB112" i="5" s="1"/>
  <c r="BF190" i="5"/>
  <c r="BG90" i="5"/>
  <c r="BG94" i="5" s="1"/>
  <c r="BC166" i="5"/>
  <c r="BC167" i="5"/>
  <c r="CG187" i="5"/>
  <c r="CF181" i="5"/>
  <c r="CF183" i="5" s="1"/>
  <c r="CG182" i="5"/>
  <c r="BB110" i="5" l="1"/>
  <c r="BG191" i="5"/>
  <c r="BG190" i="5" s="1"/>
  <c r="BC64" i="5"/>
  <c r="BC137" i="5"/>
  <c r="BC165" i="5"/>
  <c r="BC92" i="5" s="1"/>
  <c r="BC93" i="5"/>
  <c r="BC189" i="5"/>
  <c r="BC188" i="5" s="1"/>
  <c r="BC121" i="5" a="1"/>
  <c r="BC121" i="5" s="1"/>
  <c r="BD163" i="5"/>
  <c r="CH187" i="5"/>
  <c r="CH182" i="5"/>
  <c r="CG181" i="5"/>
  <c r="CG183" i="5" s="1"/>
  <c r="BH90" i="5" l="1"/>
  <c r="BH94" i="5" s="1"/>
  <c r="CI187" i="5"/>
  <c r="CH181" i="5"/>
  <c r="CH183" i="5" s="1"/>
  <c r="CI182" i="5"/>
  <c r="BD167" i="5"/>
  <c r="BD166" i="5"/>
  <c r="BC109" i="5"/>
  <c r="BH191" i="5" l="1"/>
  <c r="BH190" i="5" s="1"/>
  <c r="CJ187" i="5"/>
  <c r="BD189" i="5"/>
  <c r="BD188" i="5" s="1"/>
  <c r="BE163" i="5"/>
  <c r="BD121" i="5" a="1"/>
  <c r="BD121" i="5" s="1"/>
  <c r="CI181" i="5"/>
  <c r="CI183" i="5" s="1"/>
  <c r="CJ182" i="5"/>
  <c r="BC111" i="5"/>
  <c r="BC112" i="5" s="1"/>
  <c r="BC110" i="5"/>
  <c r="BD165" i="5"/>
  <c r="BD92" i="5" s="1"/>
  <c r="BD93" i="5"/>
  <c r="BD64" i="5"/>
  <c r="BD137" i="5"/>
  <c r="BI90" i="5" l="1"/>
  <c r="BI94" i="5" s="1"/>
  <c r="BD109" i="5"/>
  <c r="BD111" i="5" s="1"/>
  <c r="BD112" i="5" s="1"/>
  <c r="CK187" i="5"/>
  <c r="CJ181" i="5"/>
  <c r="CJ183" i="5" s="1"/>
  <c r="CK182" i="5"/>
  <c r="BE167" i="5"/>
  <c r="BE166" i="5"/>
  <c r="BI191" i="5" l="1"/>
  <c r="BJ90" i="5" s="1"/>
  <c r="BD110" i="5"/>
  <c r="BE189" i="5"/>
  <c r="BE188" i="5" s="1"/>
  <c r="BF163" i="5"/>
  <c r="BE121" i="5" a="1"/>
  <c r="BE121" i="5" s="1"/>
  <c r="CL182" i="5"/>
  <c r="CK181" i="5"/>
  <c r="CK183" i="5" s="1"/>
  <c r="BE137" i="5"/>
  <c r="BE64" i="5"/>
  <c r="BE165" i="5"/>
  <c r="BE92" i="5" s="1"/>
  <c r="BE93" i="5"/>
  <c r="CL187" i="5"/>
  <c r="BI190" i="5" l="1"/>
  <c r="BJ94" i="5"/>
  <c r="BJ191" i="5"/>
  <c r="BE109" i="5"/>
  <c r="BE110" i="5" s="1"/>
  <c r="CL181" i="5"/>
  <c r="CL183" i="5" s="1"/>
  <c r="CM182" i="5"/>
  <c r="CM187" i="5"/>
  <c r="BF167" i="5"/>
  <c r="BF166" i="5"/>
  <c r="BJ190" i="5" l="1"/>
  <c r="BK90" i="5"/>
  <c r="BK94" i="5" s="1"/>
  <c r="BE111" i="5"/>
  <c r="BE112" i="5" s="1"/>
  <c r="CN187" i="5"/>
  <c r="CM181" i="5"/>
  <c r="CM183" i="5" s="1"/>
  <c r="CN182" i="5"/>
  <c r="CN181" i="5" s="1"/>
  <c r="CN183" i="5" s="1"/>
  <c r="BF189" i="5"/>
  <c r="BF188" i="5" s="1"/>
  <c r="BF121" i="5" a="1"/>
  <c r="BF121" i="5" s="1"/>
  <c r="BG163" i="5"/>
  <c r="BF137" i="5"/>
  <c r="BF64" i="5"/>
  <c r="BF165" i="5"/>
  <c r="BF92" i="5" s="1"/>
  <c r="BF93" i="5"/>
  <c r="BK191" i="5" l="1"/>
  <c r="BG167" i="5"/>
  <c r="BG166" i="5"/>
  <c r="BF109" i="5"/>
  <c r="BK190" i="5" l="1"/>
  <c r="BL90" i="5"/>
  <c r="BL94" i="5" s="1"/>
  <c r="BG64" i="5"/>
  <c r="BG93" i="5"/>
  <c r="BG137" i="5"/>
  <c r="BG165" i="5"/>
  <c r="BG92" i="5" s="1"/>
  <c r="BG121" i="5" a="1"/>
  <c r="BG121" i="5" s="1"/>
  <c r="BH163" i="5"/>
  <c r="BG189" i="5"/>
  <c r="BG188" i="5" s="1"/>
  <c r="BF111" i="5"/>
  <c r="BF112" i="5" s="1"/>
  <c r="BF110" i="5"/>
  <c r="BL191" i="5" l="1"/>
  <c r="BH167" i="5"/>
  <c r="BH166" i="5"/>
  <c r="BG109" i="5"/>
  <c r="BM90" i="5" l="1"/>
  <c r="BM94" i="5" s="1"/>
  <c r="BL190" i="5"/>
  <c r="BH64" i="5"/>
  <c r="BH93" i="5"/>
  <c r="BH137" i="5"/>
  <c r="BH165" i="5"/>
  <c r="BH92" i="5" s="1"/>
  <c r="BG111" i="5"/>
  <c r="BG112" i="5" s="1"/>
  <c r="BG110" i="5"/>
  <c r="BH189" i="5"/>
  <c r="BH188" i="5" s="1"/>
  <c r="BH121" i="5" a="1"/>
  <c r="BH121" i="5" s="1"/>
  <c r="BI163" i="5"/>
  <c r="BM191" i="5" l="1"/>
  <c r="BM190" i="5" s="1"/>
  <c r="BH109" i="5"/>
  <c r="BH110" i="5" s="1"/>
  <c r="BI166" i="5"/>
  <c r="BI167" i="5"/>
  <c r="BN90" i="5" l="1"/>
  <c r="BN94" i="5" s="1"/>
  <c r="BH111" i="5"/>
  <c r="BH112" i="5" s="1"/>
  <c r="BI189" i="5"/>
  <c r="BI188" i="5" s="1"/>
  <c r="BI121" i="5" a="1"/>
  <c r="BI121" i="5" s="1"/>
  <c r="BJ163" i="5"/>
  <c r="BI165" i="5"/>
  <c r="BI92" i="5" s="1"/>
  <c r="BI64" i="5"/>
  <c r="BI93" i="5"/>
  <c r="BI137" i="5"/>
  <c r="BN191" i="5" l="1"/>
  <c r="BO90" i="5" s="1"/>
  <c r="BO94" i="5" s="1"/>
  <c r="BI109" i="5"/>
  <c r="BI110" i="5" s="1"/>
  <c r="BJ167" i="5"/>
  <c r="BJ166" i="5"/>
  <c r="BN190" i="5" l="1"/>
  <c r="BO191" i="5"/>
  <c r="BO190" i="5" s="1"/>
  <c r="BI111" i="5"/>
  <c r="BI112" i="5" s="1"/>
  <c r="BJ189" i="5"/>
  <c r="BJ188" i="5" s="1"/>
  <c r="BJ121" i="5" a="1"/>
  <c r="BJ121" i="5" s="1"/>
  <c r="BK163" i="5"/>
  <c r="BJ165" i="5"/>
  <c r="BJ92" i="5" s="1"/>
  <c r="BJ137" i="5"/>
  <c r="BJ93" i="5"/>
  <c r="BJ64" i="5"/>
  <c r="BP90" i="5" l="1"/>
  <c r="BP94" i="5" s="1"/>
  <c r="BJ109" i="5"/>
  <c r="BJ110" i="5" s="1"/>
  <c r="BK167" i="5"/>
  <c r="BK166" i="5"/>
  <c r="BP191" i="5" l="1"/>
  <c r="BP190" i="5" s="1"/>
  <c r="BJ111" i="5"/>
  <c r="BJ112" i="5" s="1"/>
  <c r="BK189" i="5"/>
  <c r="BK188" i="5" s="1"/>
  <c r="BK121" i="5" a="1"/>
  <c r="BK121" i="5" s="1"/>
  <c r="BL163" i="5"/>
  <c r="BK165" i="5"/>
  <c r="BK92" i="5" s="1"/>
  <c r="BK137" i="5"/>
  <c r="BK93" i="5"/>
  <c r="BK64" i="5"/>
  <c r="BQ90" i="5" l="1"/>
  <c r="BQ94" i="5" s="1"/>
  <c r="BL166" i="5"/>
  <c r="BL167" i="5"/>
  <c r="BK109" i="5"/>
  <c r="BQ191" i="5" l="1"/>
  <c r="BR90" i="5" s="1"/>
  <c r="BR94" i="5" s="1"/>
  <c r="BL189" i="5"/>
  <c r="BL188" i="5" s="1"/>
  <c r="BL121" i="5" a="1"/>
  <c r="BL121" i="5" s="1"/>
  <c r="BM163" i="5"/>
  <c r="BK110" i="5"/>
  <c r="BK111" i="5"/>
  <c r="BK112" i="5" s="1"/>
  <c r="BL165" i="5"/>
  <c r="BL92" i="5" s="1"/>
  <c r="BL93" i="5"/>
  <c r="BL64" i="5"/>
  <c r="BL137" i="5"/>
  <c r="BR191" i="5" l="1"/>
  <c r="BS90" i="5" s="1"/>
  <c r="BS94" i="5" s="1"/>
  <c r="BQ190" i="5"/>
  <c r="BL109" i="5"/>
  <c r="BL111" i="5" s="1"/>
  <c r="BL112" i="5" s="1"/>
  <c r="BM167" i="5"/>
  <c r="BM166" i="5"/>
  <c r="BS191" i="5" l="1"/>
  <c r="BT90" i="5" s="1"/>
  <c r="BT94" i="5" s="1"/>
  <c r="BR190" i="5"/>
  <c r="BL110" i="5"/>
  <c r="BM64" i="5"/>
  <c r="BM93" i="5"/>
  <c r="BM165" i="5"/>
  <c r="BM92" i="5" s="1"/>
  <c r="BM137" i="5"/>
  <c r="BM189" i="5"/>
  <c r="BM188" i="5" s="1"/>
  <c r="BM121" i="5" a="1"/>
  <c r="BM121" i="5" s="1"/>
  <c r="BN163" i="5"/>
  <c r="BS190" i="5" l="1"/>
  <c r="BT191" i="5"/>
  <c r="BU90" i="5" s="1"/>
  <c r="BM109" i="5"/>
  <c r="BM110" i="5" s="1"/>
  <c r="BN167" i="5"/>
  <c r="BN166" i="5"/>
  <c r="BT190" i="5" l="1"/>
  <c r="BU94" i="5"/>
  <c r="BU191" i="5"/>
  <c r="BM111" i="5"/>
  <c r="BM112" i="5" s="1"/>
  <c r="BN121" i="5" a="1"/>
  <c r="BN121" i="5" s="1"/>
  <c r="BN189" i="5"/>
  <c r="BN188" i="5" s="1"/>
  <c r="BO163" i="5"/>
  <c r="BN64" i="5"/>
  <c r="BN165" i="5"/>
  <c r="BN92" i="5" s="1"/>
  <c r="BN93" i="5"/>
  <c r="BN137" i="5"/>
  <c r="BV90" i="5" l="1"/>
  <c r="BV94" i="5" s="1"/>
  <c r="BU190" i="5"/>
  <c r="BN109" i="5"/>
  <c r="BN110" i="5" s="1"/>
  <c r="BO167" i="5"/>
  <c r="BO166" i="5"/>
  <c r="BV191" i="5" l="1"/>
  <c r="BW90" i="5" s="1"/>
  <c r="BN111" i="5"/>
  <c r="BN112" i="5" s="1"/>
  <c r="BO189" i="5"/>
  <c r="BO188" i="5" s="1"/>
  <c r="BP163" i="5"/>
  <c r="BO121" i="5" a="1"/>
  <c r="BO121" i="5" s="1"/>
  <c r="BO93" i="5"/>
  <c r="BO137" i="5"/>
  <c r="BO64" i="5"/>
  <c r="BO165" i="5"/>
  <c r="BO92" i="5" s="1"/>
  <c r="BV190" i="5" l="1"/>
  <c r="BW94" i="5"/>
  <c r="BW191" i="5"/>
  <c r="BP167" i="5"/>
  <c r="BP166" i="5"/>
  <c r="BO109" i="5"/>
  <c r="BX90" i="5" l="1"/>
  <c r="BX94" i="5" s="1"/>
  <c r="BW190" i="5"/>
  <c r="BP189" i="5"/>
  <c r="BP188" i="5" s="1"/>
  <c r="BP121" i="5" a="1"/>
  <c r="BP121" i="5" s="1"/>
  <c r="BQ163" i="5"/>
  <c r="BO111" i="5"/>
  <c r="BO112" i="5" s="1"/>
  <c r="BO110" i="5"/>
  <c r="BP93" i="5"/>
  <c r="BP64" i="5"/>
  <c r="BP165" i="5"/>
  <c r="BP92" i="5" s="1"/>
  <c r="BP137" i="5"/>
  <c r="BX191" i="5" l="1"/>
  <c r="BP109" i="5"/>
  <c r="BP110" i="5" s="1"/>
  <c r="BQ167" i="5"/>
  <c r="BQ166" i="5"/>
  <c r="BY90" i="5" l="1"/>
  <c r="BY94" i="5" s="1"/>
  <c r="BX190" i="5"/>
  <c r="BP111" i="5"/>
  <c r="BP112" i="5" s="1"/>
  <c r="BQ189" i="5"/>
  <c r="BQ188" i="5" s="1"/>
  <c r="BQ121" i="5" a="1"/>
  <c r="BQ121" i="5" s="1"/>
  <c r="BR163" i="5"/>
  <c r="BQ64" i="5"/>
  <c r="BQ165" i="5"/>
  <c r="BQ92" i="5" s="1"/>
  <c r="BQ93" i="5"/>
  <c r="BQ137" i="5"/>
  <c r="BY191" i="5" l="1"/>
  <c r="BY190" i="5" s="1"/>
  <c r="BQ109" i="5"/>
  <c r="BQ110" i="5" s="1"/>
  <c r="BR167" i="5"/>
  <c r="BR166" i="5"/>
  <c r="BZ90" i="5" l="1"/>
  <c r="BZ94" i="5" s="1"/>
  <c r="BQ111" i="5"/>
  <c r="BQ112" i="5" s="1"/>
  <c r="BR189" i="5"/>
  <c r="BR188" i="5" s="1"/>
  <c r="BR121" i="5" a="1"/>
  <c r="BR121" i="5" s="1"/>
  <c r="BS163" i="5"/>
  <c r="BR165" i="5"/>
  <c r="BR92" i="5" s="1"/>
  <c r="BR64" i="5"/>
  <c r="BR93" i="5"/>
  <c r="BR137" i="5"/>
  <c r="BZ191" i="5" l="1"/>
  <c r="CA90" i="5" s="1"/>
  <c r="CA94" i="5" s="1"/>
  <c r="BS166" i="5"/>
  <c r="BS167" i="5"/>
  <c r="BR109" i="5"/>
  <c r="BZ190" i="5" l="1"/>
  <c r="CA191" i="5"/>
  <c r="CB90" i="5" s="1"/>
  <c r="CB94" i="5" s="1"/>
  <c r="BS165" i="5"/>
  <c r="BS92" i="5" s="1"/>
  <c r="BS137" i="5"/>
  <c r="BS64" i="5"/>
  <c r="BS93" i="5"/>
  <c r="BR110" i="5"/>
  <c r="BR111" i="5"/>
  <c r="BR112" i="5" s="1"/>
  <c r="BS189" i="5"/>
  <c r="BS188" i="5" s="1"/>
  <c r="BS121" i="5" a="1"/>
  <c r="BS121" i="5" s="1"/>
  <c r="BT163" i="5"/>
  <c r="CB191" i="5" l="1"/>
  <c r="CC90" i="5" s="1"/>
  <c r="CC94" i="5" s="1"/>
  <c r="CA190" i="5"/>
  <c r="BS109" i="5"/>
  <c r="BS111" i="5" s="1"/>
  <c r="BS112" i="5" s="1"/>
  <c r="BT166" i="5"/>
  <c r="BT167" i="5"/>
  <c r="CC191" i="5" l="1"/>
  <c r="CC190" i="5" s="1"/>
  <c r="CB190" i="5"/>
  <c r="BS110" i="5"/>
  <c r="BT189" i="5"/>
  <c r="BT188" i="5" s="1"/>
  <c r="BT121" i="5" a="1"/>
  <c r="BT121" i="5" s="1"/>
  <c r="BU163" i="5"/>
  <c r="BT165" i="5"/>
  <c r="BT92" i="5" s="1"/>
  <c r="BT64" i="5"/>
  <c r="BT93" i="5"/>
  <c r="BT137" i="5"/>
  <c r="CD90" i="5" l="1"/>
  <c r="CD94" i="5" s="1"/>
  <c r="CD191" i="5"/>
  <c r="CE90" i="5" s="1"/>
  <c r="CE94" i="5" s="1"/>
  <c r="BT109" i="5"/>
  <c r="BT110" i="5" s="1"/>
  <c r="BU167" i="5"/>
  <c r="BU166" i="5"/>
  <c r="CE191" i="5" l="1"/>
  <c r="CF90" i="5" s="1"/>
  <c r="CF94" i="5" s="1"/>
  <c r="CD190" i="5"/>
  <c r="BT111" i="5"/>
  <c r="BT112" i="5" s="1"/>
  <c r="BU64" i="5"/>
  <c r="BU93" i="5"/>
  <c r="BU137" i="5"/>
  <c r="BU165" i="5"/>
  <c r="BU92" i="5" s="1"/>
  <c r="BU121" i="5" a="1"/>
  <c r="BU121" i="5" s="1"/>
  <c r="BU189" i="5"/>
  <c r="BU188" i="5" s="1"/>
  <c r="BV163" i="5"/>
  <c r="CE190" i="5" l="1"/>
  <c r="CF191" i="5"/>
  <c r="CF190" i="5" s="1"/>
  <c r="BU109" i="5"/>
  <c r="BU110" i="5" s="1"/>
  <c r="BV167" i="5"/>
  <c r="BV166" i="5"/>
  <c r="CG90" i="5" l="1"/>
  <c r="BU111" i="5"/>
  <c r="BU112" i="5" s="1"/>
  <c r="BV189" i="5"/>
  <c r="BV188" i="5" s="1"/>
  <c r="BV121" i="5" a="1"/>
  <c r="BV121" i="5" s="1"/>
  <c r="BW163" i="5"/>
  <c r="BV64" i="5"/>
  <c r="BV93" i="5"/>
  <c r="BV165" i="5"/>
  <c r="BV92" i="5" s="1"/>
  <c r="BV137" i="5"/>
  <c r="BV109" i="5" l="1"/>
  <c r="BV111" i="5" s="1"/>
  <c r="BV112" i="5" s="1"/>
  <c r="CG94" i="5"/>
  <c r="CG191" i="5"/>
  <c r="BW166" i="5"/>
  <c r="BW167" i="5"/>
  <c r="BV110" i="5" l="1"/>
  <c r="CG190" i="5"/>
  <c r="CH90" i="5"/>
  <c r="CH94" i="5" s="1"/>
  <c r="BW64" i="5"/>
  <c r="BW93" i="5"/>
  <c r="BW137" i="5"/>
  <c r="BW165" i="5"/>
  <c r="BW92" i="5" s="1"/>
  <c r="BW121" i="5" a="1"/>
  <c r="BW121" i="5" s="1"/>
  <c r="BW189" i="5"/>
  <c r="BW188" i="5" s="1"/>
  <c r="BX163" i="5"/>
  <c r="CH191" i="5" l="1"/>
  <c r="CH190" i="5" s="1"/>
  <c r="BX167" i="5"/>
  <c r="BX166" i="5"/>
  <c r="BW109" i="5"/>
  <c r="CI90" i="5" l="1"/>
  <c r="CI94" i="5" s="1"/>
  <c r="BX189" i="5"/>
  <c r="BX188" i="5" s="1"/>
  <c r="BX121" i="5" a="1"/>
  <c r="BX121" i="5" s="1"/>
  <c r="BY163" i="5"/>
  <c r="BW111" i="5"/>
  <c r="BW112" i="5" s="1"/>
  <c r="BW110" i="5"/>
  <c r="BX165" i="5"/>
  <c r="BX92" i="5" s="1"/>
  <c r="BX64" i="5"/>
  <c r="BX93" i="5"/>
  <c r="BX137" i="5"/>
  <c r="CI191" i="5" l="1"/>
  <c r="CI190" i="5" s="1"/>
  <c r="BX109" i="5"/>
  <c r="BX111" i="5" s="1"/>
  <c r="BX112" i="5" s="1"/>
  <c r="BY167" i="5"/>
  <c r="BY166" i="5"/>
  <c r="CJ90" i="5" l="1"/>
  <c r="CJ94" i="5" s="1"/>
  <c r="BX110" i="5"/>
  <c r="BY189" i="5"/>
  <c r="BY188" i="5" s="1"/>
  <c r="BZ163" i="5"/>
  <c r="BY121" i="5" a="1"/>
  <c r="BY121" i="5" s="1"/>
  <c r="BY165" i="5"/>
  <c r="BY92" i="5" s="1"/>
  <c r="BY64" i="5"/>
  <c r="BY93" i="5"/>
  <c r="BY137" i="5"/>
  <c r="CJ191" i="5" l="1"/>
  <c r="CJ190" i="5" s="1"/>
  <c r="BZ167" i="5"/>
  <c r="BZ166" i="5"/>
  <c r="BY109" i="5"/>
  <c r="CK90" i="5" l="1"/>
  <c r="CK191" i="5" s="1"/>
  <c r="BZ137" i="5"/>
  <c r="BZ64" i="5"/>
  <c r="BZ165" i="5"/>
  <c r="BZ92" i="5" s="1"/>
  <c r="BZ93" i="5"/>
  <c r="BY111" i="5"/>
  <c r="BY112" i="5" s="1"/>
  <c r="BY110" i="5"/>
  <c r="BZ189" i="5"/>
  <c r="BZ188" i="5" s="1"/>
  <c r="BZ121" i="5" a="1"/>
  <c r="BZ121" i="5" s="1"/>
  <c r="CA163" i="5"/>
  <c r="CK94" i="5" l="1"/>
  <c r="CL90" i="5"/>
  <c r="CL94" i="5" s="1"/>
  <c r="CK190" i="5"/>
  <c r="CA167" i="5"/>
  <c r="CA166" i="5"/>
  <c r="BZ109" i="5"/>
  <c r="CL191" i="5" l="1"/>
  <c r="CA165" i="5"/>
  <c r="CA92" i="5" s="1"/>
  <c r="CA137" i="5"/>
  <c r="CA64" i="5"/>
  <c r="CA93" i="5"/>
  <c r="CA189" i="5"/>
  <c r="CA188" i="5" s="1"/>
  <c r="CA121" i="5" a="1"/>
  <c r="CA121" i="5" s="1"/>
  <c r="CB163" i="5"/>
  <c r="BZ111" i="5"/>
  <c r="BZ112" i="5" s="1"/>
  <c r="BZ110" i="5"/>
  <c r="CM90" i="5" l="1"/>
  <c r="CL190" i="5"/>
  <c r="CA109" i="5"/>
  <c r="CA111" i="5" s="1"/>
  <c r="CA112" i="5" s="1"/>
  <c r="CB167" i="5"/>
  <c r="CB166" i="5"/>
  <c r="CM191" i="5" l="1"/>
  <c r="CM94" i="5"/>
  <c r="CA110" i="5"/>
  <c r="CB165" i="5"/>
  <c r="CB92" i="5" s="1"/>
  <c r="CB137" i="5"/>
  <c r="CB64" i="5"/>
  <c r="CB93" i="5"/>
  <c r="CB189" i="5"/>
  <c r="CB188" i="5" s="1"/>
  <c r="CB121" i="5" a="1"/>
  <c r="CB121" i="5" s="1"/>
  <c r="CC163" i="5"/>
  <c r="CM190" i="5" l="1"/>
  <c r="CN90" i="5"/>
  <c r="CC167" i="5"/>
  <c r="CC166" i="5"/>
  <c r="CB109" i="5"/>
  <c r="CN94" i="5" l="1"/>
  <c r="CN191" i="5"/>
  <c r="CN190" i="5" s="1"/>
  <c r="CC189" i="5"/>
  <c r="CC188" i="5" s="1"/>
  <c r="CC121" i="5" a="1"/>
  <c r="CC121" i="5" s="1"/>
  <c r="CD163" i="5"/>
  <c r="CC64" i="5"/>
  <c r="CC93" i="5"/>
  <c r="CC137" i="5"/>
  <c r="CC165" i="5"/>
  <c r="CC92" i="5" s="1"/>
  <c r="CB111" i="5"/>
  <c r="CB112" i="5" s="1"/>
  <c r="CB110" i="5"/>
  <c r="CD166" i="5" l="1"/>
  <c r="CD167" i="5"/>
  <c r="CC109" i="5"/>
  <c r="CD189" i="5" l="1"/>
  <c r="CD188" i="5" s="1"/>
  <c r="CD121" i="5" a="1"/>
  <c r="CD121" i="5" s="1"/>
  <c r="CE163" i="5"/>
  <c r="CC111" i="5"/>
  <c r="CC112" i="5" s="1"/>
  <c r="CC110" i="5"/>
  <c r="CD64" i="5"/>
  <c r="CD165" i="5"/>
  <c r="CD92" i="5" s="1"/>
  <c r="CD137" i="5"/>
  <c r="CD93" i="5"/>
  <c r="CD109" i="5" l="1"/>
  <c r="CD111" i="5" s="1"/>
  <c r="CD112" i="5" s="1"/>
  <c r="CE167" i="5"/>
  <c r="CE166" i="5"/>
  <c r="CD110" i="5" l="1"/>
  <c r="CE189" i="5"/>
  <c r="CE188" i="5" s="1"/>
  <c r="CE121" i="5" a="1"/>
  <c r="CE121" i="5" s="1"/>
  <c r="CF163" i="5"/>
  <c r="CE93" i="5"/>
  <c r="CE64" i="5"/>
  <c r="CE165" i="5"/>
  <c r="CE92" i="5" s="1"/>
  <c r="CE137" i="5"/>
  <c r="CF167" i="5" l="1"/>
  <c r="CF166" i="5"/>
  <c r="CE109" i="5"/>
  <c r="CE110" i="5" l="1"/>
  <c r="CE111" i="5"/>
  <c r="CE112" i="5" s="1"/>
  <c r="CF189" i="5"/>
  <c r="CF188" i="5" s="1"/>
  <c r="CF121" i="5" a="1"/>
  <c r="CF121" i="5" s="1"/>
  <c r="CG163" i="5"/>
  <c r="CF93" i="5"/>
  <c r="CF165" i="5"/>
  <c r="CF92" i="5" s="1"/>
  <c r="CF137" i="5"/>
  <c r="CF64" i="5"/>
  <c r="CF109" i="5" l="1"/>
  <c r="CF111" i="5" s="1"/>
  <c r="CF112" i="5" s="1"/>
  <c r="CG167" i="5"/>
  <c r="CG166" i="5"/>
  <c r="CF110" i="5" l="1"/>
  <c r="CG189" i="5"/>
  <c r="CG188" i="5" s="1"/>
  <c r="CG121" i="5" a="1"/>
  <c r="CG121" i="5" s="1"/>
  <c r="CH163" i="5"/>
  <c r="CG165" i="5"/>
  <c r="CG92" i="5" s="1"/>
  <c r="CG93" i="5"/>
  <c r="CG64" i="5"/>
  <c r="CG137" i="5"/>
  <c r="CG109" i="5" l="1"/>
  <c r="CG110" i="5" s="1"/>
  <c r="CH167" i="5"/>
  <c r="CH166" i="5"/>
  <c r="CG111" i="5" l="1"/>
  <c r="CG112" i="5" s="1"/>
  <c r="CH189" i="5"/>
  <c r="CH188" i="5" s="1"/>
  <c r="CH121" i="5" a="1"/>
  <c r="CH121" i="5" s="1"/>
  <c r="CI163" i="5"/>
  <c r="CH64" i="5"/>
  <c r="CH93" i="5"/>
  <c r="CH165" i="5"/>
  <c r="CH92" i="5" s="1"/>
  <c r="CH137" i="5"/>
  <c r="CH109" i="5" l="1"/>
  <c r="CH110" i="5" s="1"/>
  <c r="CI166" i="5"/>
  <c r="CI167" i="5"/>
  <c r="CH111" i="5" l="1"/>
  <c r="CH112" i="5" s="1"/>
  <c r="CI189" i="5"/>
  <c r="CI188" i="5" s="1"/>
  <c r="CI121" i="5" a="1"/>
  <c r="CI121" i="5" s="1"/>
  <c r="CJ163" i="5"/>
  <c r="CI165" i="5"/>
  <c r="CI92" i="5" s="1"/>
  <c r="CI137" i="5"/>
  <c r="CI64" i="5"/>
  <c r="CI93" i="5"/>
  <c r="CI109" i="5" l="1"/>
  <c r="CI111" i="5" s="1"/>
  <c r="CI112" i="5" s="1"/>
  <c r="CJ167" i="5"/>
  <c r="CJ166" i="5"/>
  <c r="CI110" i="5" l="1"/>
  <c r="CJ93" i="5"/>
  <c r="CJ64" i="5"/>
  <c r="CJ137" i="5"/>
  <c r="CJ165" i="5"/>
  <c r="CJ92" i="5" s="1"/>
  <c r="CJ189" i="5"/>
  <c r="CJ188" i="5" s="1"/>
  <c r="CJ121" i="5" a="1"/>
  <c r="CJ121" i="5" s="1"/>
  <c r="CK163" i="5"/>
  <c r="CJ109" i="5" l="1"/>
  <c r="CJ110" i="5" s="1"/>
  <c r="CK166" i="5"/>
  <c r="CK167" i="5"/>
  <c r="CJ111" i="5" l="1"/>
  <c r="CJ112" i="5" s="1"/>
  <c r="CK121" i="5" a="1"/>
  <c r="CK121" i="5" s="1"/>
  <c r="CK189" i="5"/>
  <c r="CK188" i="5" s="1"/>
  <c r="CL163" i="5"/>
  <c r="CK165" i="5"/>
  <c r="CK92" i="5" s="1"/>
  <c r="CK93" i="5"/>
  <c r="CK137" i="5"/>
  <c r="CK64" i="5"/>
  <c r="CK109" i="5" l="1"/>
  <c r="CK111" i="5" s="1"/>
  <c r="CK112" i="5" s="1"/>
  <c r="CL166" i="5"/>
  <c r="CL167" i="5"/>
  <c r="CK110" i="5" l="1"/>
  <c r="CL189" i="5"/>
  <c r="CL188" i="5" s="1"/>
  <c r="CL121" i="5" a="1"/>
  <c r="CL121" i="5" s="1"/>
  <c r="CM163" i="5"/>
  <c r="CL64" i="5"/>
  <c r="CL93" i="5"/>
  <c r="CL137" i="5"/>
  <c r="CL165" i="5"/>
  <c r="CL92" i="5" s="1"/>
  <c r="CL109" i="5" l="1"/>
  <c r="CL110" i="5" s="1"/>
  <c r="CM166" i="5"/>
  <c r="CM167" i="5"/>
  <c r="CL111" i="5" l="1"/>
  <c r="CL112" i="5" s="1"/>
  <c r="CM165" i="5"/>
  <c r="CM92" i="5" s="1"/>
  <c r="CM64" i="5"/>
  <c r="CM93" i="5"/>
  <c r="CM137" i="5"/>
  <c r="CM189" i="5"/>
  <c r="CM188" i="5" s="1"/>
  <c r="CN163" i="5"/>
  <c r="CM121" i="5" a="1"/>
  <c r="CM121" i="5" s="1"/>
  <c r="CM109" i="5" l="1"/>
  <c r="CM111" i="5" s="1"/>
  <c r="CM112" i="5" s="1"/>
  <c r="CN166" i="5"/>
  <c r="CN167" i="5"/>
  <c r="CM110" i="5" l="1"/>
  <c r="CN165" i="5"/>
  <c r="CN92" i="5" s="1"/>
  <c r="CN64" i="5"/>
  <c r="CN93" i="5"/>
  <c r="CN137" i="5"/>
  <c r="CN189" i="5"/>
  <c r="CN188" i="5" s="1"/>
  <c r="CN121" i="5" a="1"/>
  <c r="CN121" i="5" s="1"/>
  <c r="CN109" i="5" l="1"/>
  <c r="CN110" i="5" s="1"/>
  <c r="CO110" i="5" s="1"/>
  <c r="CN111" i="5" l="1"/>
  <c r="CN112" i="5" s="1"/>
  <c r="CO112" i="5" s="1"/>
  <c r="C112" i="5" s="1"/>
  <c r="C110" i="5"/>
  <c r="C110" i="33"/>
  <c r="C115" i="33"/>
  <c r="C115" i="5"/>
  <c r="C112" i="33" l="1"/>
  <c r="C116" i="33"/>
  <c r="C116" i="5"/>
  <c r="K25" i="13" l="1"/>
  <c r="K32" i="13" s="1"/>
  <c r="I22" i="17" s="1"/>
  <c r="H25" i="13"/>
  <c r="H32" i="13" s="1"/>
  <c r="F22" i="17" s="1"/>
  <c r="F58" i="17" s="1"/>
  <c r="F94" i="17" s="1"/>
  <c r="F95" i="17" s="1"/>
  <c r="M25" i="13"/>
  <c r="M32" i="13" s="1"/>
  <c r="K22" i="17" s="1"/>
  <c r="K58" i="17" s="1"/>
  <c r="K94" i="17" s="1"/>
  <c r="K95" i="17" s="1"/>
  <c r="F25" i="13"/>
  <c r="F32" i="13" s="1"/>
  <c r="D22" i="17" s="1"/>
  <c r="D58" i="17" s="1"/>
  <c r="D94" i="17" s="1"/>
  <c r="D95" i="17" s="1"/>
  <c r="C58" i="11" s="1"/>
  <c r="J25" i="13"/>
  <c r="J32" i="13" s="1"/>
  <c r="H22" i="17" s="1"/>
  <c r="H23" i="17" s="1"/>
  <c r="G25" i="13"/>
  <c r="G32" i="13" s="1"/>
  <c r="E22" i="17" s="1"/>
  <c r="I25" i="13"/>
  <c r="I32" i="13" s="1"/>
  <c r="G22" i="17" s="1"/>
  <c r="L25" i="13"/>
  <c r="L32" i="13" s="1"/>
  <c r="J22" i="17" s="1"/>
  <c r="J58" i="17" s="1"/>
  <c r="N25" i="13"/>
  <c r="N32" i="13" s="1"/>
  <c r="L22" i="17" s="1"/>
  <c r="O25" i="13"/>
  <c r="O32" i="13" s="1"/>
  <c r="M22" i="17" s="1"/>
  <c r="P25" i="13"/>
  <c r="P32" i="13" s="1"/>
  <c r="N22" i="17" s="1"/>
  <c r="E25" i="13"/>
  <c r="E32" i="13" s="1"/>
  <c r="C22" i="17" s="1"/>
  <c r="D32" i="13"/>
  <c r="D20" i="10" l="1"/>
  <c r="L20" i="10"/>
  <c r="H20" i="10"/>
  <c r="I20" i="10"/>
  <c r="E20" i="10"/>
  <c r="M20" i="10"/>
  <c r="F20" i="10"/>
  <c r="B20" i="10"/>
  <c r="G20" i="10"/>
  <c r="J20" i="10"/>
  <c r="C20" i="10"/>
  <c r="K20" i="10"/>
  <c r="J23" i="17"/>
  <c r="I23" i="22" s="1"/>
  <c r="I25" i="22" s="1"/>
  <c r="I14" i="11" s="1"/>
  <c r="I37" i="11" s="1"/>
  <c r="I60" i="11" s="1"/>
  <c r="F59" i="17"/>
  <c r="F75" i="17" s="1"/>
  <c r="D111" i="17"/>
  <c r="F23" i="17"/>
  <c r="E12" i="11" s="1"/>
  <c r="E58" i="11"/>
  <c r="F111" i="17"/>
  <c r="J94" i="17"/>
  <c r="J95" i="17" s="1"/>
  <c r="J59" i="17"/>
  <c r="N58" i="17"/>
  <c r="N23" i="17"/>
  <c r="G58" i="17"/>
  <c r="G23" i="17"/>
  <c r="G12" i="11"/>
  <c r="H39" i="17"/>
  <c r="G23" i="22"/>
  <c r="G25" i="22" s="1"/>
  <c r="G14" i="11" s="1"/>
  <c r="G37" i="11" s="1"/>
  <c r="G60" i="11" s="1"/>
  <c r="C23" i="17"/>
  <c r="O22" i="17"/>
  <c r="C58" i="17"/>
  <c r="M58" i="17"/>
  <c r="M23" i="17"/>
  <c r="H58" i="17"/>
  <c r="E58" i="17"/>
  <c r="E23" i="17"/>
  <c r="K23" i="17"/>
  <c r="J58" i="11"/>
  <c r="K111" i="17"/>
  <c r="L58" i="17"/>
  <c r="L23" i="17"/>
  <c r="D23" i="17"/>
  <c r="K59" i="17"/>
  <c r="I23" i="17"/>
  <c r="I58" i="17"/>
  <c r="D59" i="17"/>
  <c r="I12" i="11" l="1"/>
  <c r="J39" i="17"/>
  <c r="E23" i="22"/>
  <c r="E25" i="22" s="1"/>
  <c r="E14" i="11" s="1"/>
  <c r="E37" i="11" s="1"/>
  <c r="E38" i="11" s="1"/>
  <c r="E21" i="12" s="1"/>
  <c r="F39" i="17"/>
  <c r="E35" i="11"/>
  <c r="N20" i="10"/>
  <c r="H43" i="5"/>
  <c r="M43" i="5"/>
  <c r="K43" i="5"/>
  <c r="R43" i="5"/>
  <c r="J43" i="5"/>
  <c r="Z43" i="5"/>
  <c r="Y43" i="5"/>
  <c r="Q43" i="5"/>
  <c r="S43" i="5"/>
  <c r="W43" i="5"/>
  <c r="I43" i="5"/>
  <c r="O43" i="5"/>
  <c r="T43" i="5"/>
  <c r="AC43" i="5"/>
  <c r="G43" i="5"/>
  <c r="V43" i="5"/>
  <c r="P43" i="5"/>
  <c r="U43" i="5"/>
  <c r="AB43" i="5"/>
  <c r="AF43" i="5"/>
  <c r="E43" i="5"/>
  <c r="L43" i="5"/>
  <c r="N43" i="5"/>
  <c r="X43" i="5"/>
  <c r="F43" i="5"/>
  <c r="AA43" i="5"/>
  <c r="AG43" i="5"/>
  <c r="AD43" i="5"/>
  <c r="AJ43" i="5"/>
  <c r="AE43" i="5"/>
  <c r="AN43" i="5"/>
  <c r="AH43" i="5"/>
  <c r="AK43" i="5"/>
  <c r="AO43" i="5"/>
  <c r="AI43" i="5"/>
  <c r="AL43" i="5"/>
  <c r="AP43" i="5"/>
  <c r="AM43" i="5"/>
  <c r="AS43" i="5"/>
  <c r="AR43" i="5"/>
  <c r="AT43" i="5"/>
  <c r="AZ43" i="5"/>
  <c r="AQ43" i="5"/>
  <c r="AW43" i="5"/>
  <c r="AV43" i="5"/>
  <c r="BD43" i="5"/>
  <c r="AU43" i="5"/>
  <c r="AX43" i="5"/>
  <c r="BB43" i="5"/>
  <c r="BE43" i="5"/>
  <c r="BA43" i="5"/>
  <c r="AY43" i="5"/>
  <c r="BH43" i="5"/>
  <c r="BJ43" i="5"/>
  <c r="BL43" i="5"/>
  <c r="BC43" i="5"/>
  <c r="BF43" i="5"/>
  <c r="BG43" i="5"/>
  <c r="BP43" i="5"/>
  <c r="BI43" i="5"/>
  <c r="BK43" i="5"/>
  <c r="BM43" i="5"/>
  <c r="BN43" i="5"/>
  <c r="BX43" i="5"/>
  <c r="BT43" i="5"/>
  <c r="BR43" i="5"/>
  <c r="BQ43" i="5"/>
  <c r="BO43" i="5"/>
  <c r="BV43" i="5"/>
  <c r="BY43" i="5"/>
  <c r="BS43" i="5"/>
  <c r="BU43" i="5"/>
  <c r="CB43" i="5"/>
  <c r="CF43" i="5"/>
  <c r="CC43" i="5"/>
  <c r="BW43" i="5"/>
  <c r="BZ43" i="5"/>
  <c r="CD43" i="5"/>
  <c r="CG43" i="5"/>
  <c r="CL43" i="5"/>
  <c r="CJ43" i="5"/>
  <c r="CA43" i="5"/>
  <c r="CO43" i="5"/>
  <c r="CE43" i="5"/>
  <c r="CK43" i="5"/>
  <c r="CN43" i="5"/>
  <c r="CN124" i="5" s="1"/>
  <c r="C124" i="5" s="1"/>
  <c r="CH43" i="5"/>
  <c r="CI43" i="5"/>
  <c r="CM43" i="5"/>
  <c r="H23" i="22"/>
  <c r="H25" i="22" s="1"/>
  <c r="H14" i="11" s="1"/>
  <c r="H12" i="11"/>
  <c r="I39" i="17"/>
  <c r="F23" i="22"/>
  <c r="F25" i="22" s="1"/>
  <c r="F14" i="11" s="1"/>
  <c r="F37" i="11" s="1"/>
  <c r="F60" i="11" s="1"/>
  <c r="G39" i="17"/>
  <c r="F12" i="11"/>
  <c r="AA24" i="4" s="1"/>
  <c r="L39" i="17"/>
  <c r="K23" i="22"/>
  <c r="K25" i="22" s="1"/>
  <c r="K14" i="11" s="1"/>
  <c r="K12" i="11"/>
  <c r="L12" i="11"/>
  <c r="M39" i="17"/>
  <c r="L23" i="22"/>
  <c r="L25" i="22" s="1"/>
  <c r="L14" i="11" s="1"/>
  <c r="L37" i="11" s="1"/>
  <c r="L60" i="11" s="1"/>
  <c r="I59" i="17"/>
  <c r="I94" i="17"/>
  <c r="I95" i="17" s="1"/>
  <c r="L59" i="17"/>
  <c r="L94" i="17"/>
  <c r="L95" i="17" s="1"/>
  <c r="M59" i="17"/>
  <c r="M94" i="17"/>
  <c r="M95" i="17" s="1"/>
  <c r="G94" i="17"/>
  <c r="G95" i="17" s="1"/>
  <c r="G59" i="17"/>
  <c r="M23" i="22"/>
  <c r="M25" i="22" s="1"/>
  <c r="M14" i="11" s="1"/>
  <c r="M37" i="11" s="1"/>
  <c r="M60" i="11" s="1"/>
  <c r="M12" i="11"/>
  <c r="N39" i="17"/>
  <c r="K39" i="17"/>
  <c r="J23" i="22"/>
  <c r="J25" i="22" s="1"/>
  <c r="J14" i="11" s="1"/>
  <c r="J37" i="11" s="1"/>
  <c r="J60" i="11" s="1"/>
  <c r="J61" i="11" s="1"/>
  <c r="J12" i="11"/>
  <c r="I35" i="11"/>
  <c r="I38" i="11" s="1"/>
  <c r="I21" i="12" s="1"/>
  <c r="J75" i="17"/>
  <c r="I58" i="11"/>
  <c r="I61" i="11" s="1"/>
  <c r="J111" i="17"/>
  <c r="N59" i="17"/>
  <c r="N94" i="17"/>
  <c r="N95" i="17" s="1"/>
  <c r="E15" i="11"/>
  <c r="E23" i="11" s="1"/>
  <c r="E17" i="10" s="1"/>
  <c r="D75" i="17"/>
  <c r="C35" i="11"/>
  <c r="K75" i="17"/>
  <c r="J35" i="11"/>
  <c r="E94" i="17"/>
  <c r="E95" i="17" s="1"/>
  <c r="E59" i="17"/>
  <c r="O58" i="17"/>
  <c r="C59" i="17"/>
  <c r="C94" i="17"/>
  <c r="I15" i="11"/>
  <c r="I23" i="11" s="1"/>
  <c r="I17" i="10" s="1"/>
  <c r="B23" i="22"/>
  <c r="B12" i="11"/>
  <c r="O23" i="17"/>
  <c r="C39" i="17"/>
  <c r="D12" i="11"/>
  <c r="E39" i="17"/>
  <c r="D23" i="22"/>
  <c r="D25" i="22" s="1"/>
  <c r="D14" i="11" s="1"/>
  <c r="D37" i="11" s="1"/>
  <c r="D60" i="11" s="1"/>
  <c r="C12" i="11"/>
  <c r="C23" i="22"/>
  <c r="C25" i="22" s="1"/>
  <c r="C14" i="11" s="1"/>
  <c r="C37" i="11" s="1"/>
  <c r="C60" i="11" s="1"/>
  <c r="C61" i="11" s="1"/>
  <c r="D39" i="17"/>
  <c r="H94" i="17"/>
  <c r="H95" i="17" s="1"/>
  <c r="H59" i="17"/>
  <c r="G15" i="11"/>
  <c r="G23" i="11" s="1"/>
  <c r="G17" i="10" s="1"/>
  <c r="J38" i="11" l="1"/>
  <c r="J21" i="12" s="1"/>
  <c r="AH24" i="4"/>
  <c r="AA24" i="5"/>
  <c r="AC24" i="4"/>
  <c r="Y24" i="4"/>
  <c r="Y24" i="5" s="1"/>
  <c r="K37" i="11"/>
  <c r="Y23" i="4"/>
  <c r="Z24" i="4"/>
  <c r="Z24" i="5" s="1"/>
  <c r="W23" i="4"/>
  <c r="E60" i="11"/>
  <c r="AA23" i="4"/>
  <c r="AB24" i="4"/>
  <c r="X24" i="4"/>
  <c r="X24" i="5" s="1"/>
  <c r="H37" i="11"/>
  <c r="X23" i="4"/>
  <c r="W24" i="4"/>
  <c r="J69" i="11"/>
  <c r="J35" i="12"/>
  <c r="J37" i="12" s="1"/>
  <c r="I69" i="11"/>
  <c r="I35" i="12"/>
  <c r="I37" i="12" s="1"/>
  <c r="C69" i="11"/>
  <c r="C35" i="12"/>
  <c r="C37" i="12" s="1"/>
  <c r="BP77" i="5"/>
  <c r="BO124" i="5"/>
  <c r="AC77" i="5"/>
  <c r="AB124" i="5"/>
  <c r="S78" i="5"/>
  <c r="CI77" i="5"/>
  <c r="CH124" i="5"/>
  <c r="CB77" i="5"/>
  <c r="CA124" i="5"/>
  <c r="CE77" i="5"/>
  <c r="CD124" i="5"/>
  <c r="CC77" i="5"/>
  <c r="CB124" i="5"/>
  <c r="BW77" i="5"/>
  <c r="BV124" i="5"/>
  <c r="BR77" i="5"/>
  <c r="BQ124" i="5"/>
  <c r="BK77" i="5"/>
  <c r="BJ124" i="5"/>
  <c r="BC77" i="5"/>
  <c r="BB124" i="5"/>
  <c r="AV77" i="5"/>
  <c r="AU124" i="5"/>
  <c r="BA77" i="5"/>
  <c r="AZ124" i="5"/>
  <c r="AJ77" i="5"/>
  <c r="AI124" i="5"/>
  <c r="AH77" i="5"/>
  <c r="AG124" i="5"/>
  <c r="N78" i="5"/>
  <c r="V77" i="5"/>
  <c r="U124" i="5"/>
  <c r="AD77" i="5"/>
  <c r="AC124" i="5"/>
  <c r="Q78" i="5"/>
  <c r="BH77" i="5"/>
  <c r="BG124" i="5"/>
  <c r="BF77" i="5"/>
  <c r="BE124" i="5"/>
  <c r="CK77" i="5"/>
  <c r="CJ124" i="5"/>
  <c r="BS77" i="5"/>
  <c r="BR124" i="5"/>
  <c r="BL77" i="5"/>
  <c r="BK124" i="5"/>
  <c r="AN77" i="5"/>
  <c r="AM124" i="5"/>
  <c r="AP77" i="5"/>
  <c r="AO124" i="5"/>
  <c r="AF77" i="5"/>
  <c r="AE124" i="5"/>
  <c r="U78" i="5"/>
  <c r="Q77" i="5"/>
  <c r="P124" i="5"/>
  <c r="X77" i="5"/>
  <c r="W124" i="5"/>
  <c r="L77" i="5"/>
  <c r="K124" i="5"/>
  <c r="BZ77" i="5"/>
  <c r="BY124" i="5"/>
  <c r="BM77" i="5"/>
  <c r="BL124" i="5"/>
  <c r="AE77" i="5"/>
  <c r="AD124" i="5"/>
  <c r="L78" i="5"/>
  <c r="CL77" i="5"/>
  <c r="CK124" i="5"/>
  <c r="CA77" i="5"/>
  <c r="BZ124" i="5"/>
  <c r="BU77" i="5"/>
  <c r="BT124" i="5"/>
  <c r="BE77" i="5"/>
  <c r="BD124" i="5"/>
  <c r="AU77" i="5"/>
  <c r="AT124" i="5"/>
  <c r="AQ77" i="5"/>
  <c r="AP124" i="5"/>
  <c r="AL77" i="5"/>
  <c r="AK124" i="5"/>
  <c r="AB77" i="5"/>
  <c r="AA124" i="5"/>
  <c r="O78" i="5"/>
  <c r="K78" i="5"/>
  <c r="U77" i="5"/>
  <c r="T124" i="5"/>
  <c r="Z77" i="5"/>
  <c r="D132" i="5"/>
  <c r="D132" i="33" s="1"/>
  <c r="Y124" i="5"/>
  <c r="N77" i="5"/>
  <c r="M124" i="5"/>
  <c r="BN77" i="5"/>
  <c r="BM124" i="5"/>
  <c r="O77" i="5"/>
  <c r="N124" i="5"/>
  <c r="J77" i="5"/>
  <c r="I124" i="5"/>
  <c r="CM77" i="5"/>
  <c r="CL124" i="5"/>
  <c r="CH77" i="5"/>
  <c r="CG124" i="5"/>
  <c r="BX77" i="5"/>
  <c r="BW124" i="5"/>
  <c r="BY77" i="5"/>
  <c r="BX124" i="5"/>
  <c r="BJ77" i="5"/>
  <c r="BI124" i="5"/>
  <c r="BI77" i="5"/>
  <c r="BH124" i="5"/>
  <c r="AW77" i="5"/>
  <c r="AV124" i="5"/>
  <c r="M77" i="5"/>
  <c r="L124" i="5"/>
  <c r="J78" i="5"/>
  <c r="P77" i="5"/>
  <c r="O124" i="5"/>
  <c r="T77" i="5"/>
  <c r="S124" i="5"/>
  <c r="AA77" i="5"/>
  <c r="Z124" i="5"/>
  <c r="I77" i="5"/>
  <c r="H124" i="5"/>
  <c r="BG77" i="5"/>
  <c r="BF124" i="5"/>
  <c r="CJ77" i="5"/>
  <c r="CI124" i="5"/>
  <c r="CG77" i="5"/>
  <c r="CF124" i="5"/>
  <c r="CF77" i="5"/>
  <c r="CE124" i="5"/>
  <c r="CD77" i="5"/>
  <c r="CC124" i="5"/>
  <c r="BV77" i="5"/>
  <c r="BU124" i="5"/>
  <c r="BO77" i="5"/>
  <c r="BN124" i="5"/>
  <c r="BQ77" i="5"/>
  <c r="BP124" i="5"/>
  <c r="AY77" i="5"/>
  <c r="AX124" i="5"/>
  <c r="AX77" i="5"/>
  <c r="AW124" i="5"/>
  <c r="AS77" i="5"/>
  <c r="AR124" i="5"/>
  <c r="AI77" i="5"/>
  <c r="AH124" i="5"/>
  <c r="R78" i="5"/>
  <c r="F77" i="5"/>
  <c r="E77" i="5"/>
  <c r="E124" i="5"/>
  <c r="F43" i="33"/>
  <c r="E43" i="33"/>
  <c r="C43" i="33" s="1"/>
  <c r="K43" i="33"/>
  <c r="Z43" i="33"/>
  <c r="O43" i="33"/>
  <c r="S43" i="33"/>
  <c r="I43" i="33"/>
  <c r="H43" i="33"/>
  <c r="M43" i="33"/>
  <c r="G43" i="33"/>
  <c r="U43" i="33"/>
  <c r="N43" i="33"/>
  <c r="J43" i="33"/>
  <c r="P43" i="33"/>
  <c r="W43" i="33"/>
  <c r="L43" i="33"/>
  <c r="R43" i="33"/>
  <c r="V43" i="33"/>
  <c r="T43" i="33"/>
  <c r="X43" i="33"/>
  <c r="Q43" i="33"/>
  <c r="Y43" i="33"/>
  <c r="T78" i="5"/>
  <c r="R77" i="5"/>
  <c r="Q124" i="5"/>
  <c r="H78" i="5"/>
  <c r="V78" i="5"/>
  <c r="W77" i="5"/>
  <c r="V124" i="5"/>
  <c r="E78" i="5"/>
  <c r="F78" i="5"/>
  <c r="G78" i="5"/>
  <c r="K77" i="5"/>
  <c r="J124" i="5"/>
  <c r="M78" i="5"/>
  <c r="C43" i="5"/>
  <c r="C42" i="5" s="1"/>
  <c r="CN77" i="5"/>
  <c r="CM124" i="5"/>
  <c r="AZ77" i="5"/>
  <c r="AY124" i="5"/>
  <c r="AO77" i="5"/>
  <c r="AN124" i="5"/>
  <c r="G77" i="5"/>
  <c r="F124" i="5"/>
  <c r="I78" i="5"/>
  <c r="BT77" i="5"/>
  <c r="BS124" i="5"/>
  <c r="BD77" i="5"/>
  <c r="BC124" i="5"/>
  <c r="BB77" i="5"/>
  <c r="BA124" i="5"/>
  <c r="AR77" i="5"/>
  <c r="AQ124" i="5"/>
  <c r="AT77" i="5"/>
  <c r="AS124" i="5"/>
  <c r="AM77" i="5"/>
  <c r="AL124" i="5"/>
  <c r="AK77" i="5"/>
  <c r="AJ124" i="5"/>
  <c r="Y77" i="5"/>
  <c r="X124" i="5"/>
  <c r="AG77" i="5"/>
  <c r="AF124" i="5"/>
  <c r="H77" i="5"/>
  <c r="G124" i="5"/>
  <c r="P78" i="5"/>
  <c r="S77" i="5"/>
  <c r="R124" i="5"/>
  <c r="M35" i="11"/>
  <c r="M38" i="11" s="1"/>
  <c r="M21" i="12" s="1"/>
  <c r="N75" i="17"/>
  <c r="N12" i="11"/>
  <c r="D58" i="11"/>
  <c r="D61" i="11" s="1"/>
  <c r="E111" i="17"/>
  <c r="M15" i="11"/>
  <c r="M23" i="11" s="1"/>
  <c r="M17" i="10" s="1"/>
  <c r="H58" i="11"/>
  <c r="I111" i="17"/>
  <c r="F15" i="11"/>
  <c r="F23" i="11" s="1"/>
  <c r="F17" i="10" s="1"/>
  <c r="J23" i="12"/>
  <c r="J46" i="11"/>
  <c r="H35" i="11"/>
  <c r="H38" i="11" s="1"/>
  <c r="H21" i="12" s="1"/>
  <c r="I75" i="17"/>
  <c r="K58" i="11"/>
  <c r="L111" i="17"/>
  <c r="F35" i="11"/>
  <c r="F38" i="11" s="1"/>
  <c r="F21" i="12" s="1"/>
  <c r="G75" i="17"/>
  <c r="E75" i="17"/>
  <c r="D35" i="11"/>
  <c r="D38" i="11" s="1"/>
  <c r="D21" i="12" s="1"/>
  <c r="C15" i="11"/>
  <c r="C23" i="11" s="1"/>
  <c r="C17" i="10" s="1"/>
  <c r="N23" i="22"/>
  <c r="B25" i="22"/>
  <c r="I5" i="12"/>
  <c r="I7" i="12" s="1"/>
  <c r="I23" i="12"/>
  <c r="I46" i="11"/>
  <c r="G111" i="17"/>
  <c r="F58" i="11"/>
  <c r="K35" i="11"/>
  <c r="K38" i="11" s="1"/>
  <c r="K21" i="12" s="1"/>
  <c r="L75" i="17"/>
  <c r="G5" i="12"/>
  <c r="G7" i="12" s="1"/>
  <c r="E23" i="12"/>
  <c r="E46" i="11"/>
  <c r="O59" i="17"/>
  <c r="C75" i="17"/>
  <c r="B35" i="11"/>
  <c r="E5" i="12"/>
  <c r="E7" i="12" s="1"/>
  <c r="J15" i="11"/>
  <c r="J23" i="11" s="1"/>
  <c r="J17" i="10" s="1"/>
  <c r="M111" i="17"/>
  <c r="L58" i="11"/>
  <c r="L61" i="11" s="1"/>
  <c r="L15" i="11"/>
  <c r="L23" i="11" s="1"/>
  <c r="L17" i="10" s="1"/>
  <c r="H15" i="11"/>
  <c r="H23" i="11" s="1"/>
  <c r="H17" i="10" s="1"/>
  <c r="C38" i="11"/>
  <c r="C21" i="12" s="1"/>
  <c r="D15" i="11"/>
  <c r="D23" i="11" s="1"/>
  <c r="D17" i="10" s="1"/>
  <c r="C95" i="17"/>
  <c r="O94" i="17"/>
  <c r="G35" i="11"/>
  <c r="G38" i="11" s="1"/>
  <c r="G21" i="12" s="1"/>
  <c r="H75" i="17"/>
  <c r="H111" i="17"/>
  <c r="G58" i="11"/>
  <c r="G61" i="11" s="1"/>
  <c r="O39" i="17"/>
  <c r="M58" i="11"/>
  <c r="M61" i="11" s="1"/>
  <c r="N111" i="17"/>
  <c r="L35" i="11"/>
  <c r="L38" i="11" s="1"/>
  <c r="L21" i="12" s="1"/>
  <c r="M75" i="17"/>
  <c r="K15" i="11"/>
  <c r="K23" i="11" s="1"/>
  <c r="K17" i="10" s="1"/>
  <c r="AF24" i="4" l="1"/>
  <c r="W24" i="5"/>
  <c r="X36" i="4"/>
  <c r="X35" i="4"/>
  <c r="X23" i="5"/>
  <c r="X27" i="4"/>
  <c r="X151" i="4"/>
  <c r="H60" i="11"/>
  <c r="AF23" i="4" s="1"/>
  <c r="AB23" i="4"/>
  <c r="X37" i="5"/>
  <c r="X36" i="5"/>
  <c r="AI24" i="4"/>
  <c r="AB24" i="5"/>
  <c r="AA36" i="4"/>
  <c r="AA35" i="4"/>
  <c r="AH23" i="4"/>
  <c r="AA23" i="5"/>
  <c r="AA151" i="4"/>
  <c r="AA27" i="4"/>
  <c r="AE23" i="4"/>
  <c r="E61" i="11"/>
  <c r="W27" i="4"/>
  <c r="W36" i="4"/>
  <c r="W23" i="5"/>
  <c r="W151" i="4"/>
  <c r="W35" i="4"/>
  <c r="AG24" i="4"/>
  <c r="Z37" i="5"/>
  <c r="Z36" i="5"/>
  <c r="Y23" i="5"/>
  <c r="Y36" i="4"/>
  <c r="Y35" i="4"/>
  <c r="Y27" i="4"/>
  <c r="Y151" i="4"/>
  <c r="K60" i="11"/>
  <c r="AG23" i="4" s="1"/>
  <c r="AC23" i="4"/>
  <c r="F61" i="11"/>
  <c r="F69" i="11" s="1"/>
  <c r="AE24" i="4"/>
  <c r="Y37" i="5"/>
  <c r="Y36" i="5"/>
  <c r="AJ24" i="4"/>
  <c r="AC24" i="5"/>
  <c r="AA36" i="5"/>
  <c r="AA37" i="5"/>
  <c r="AO24" i="4"/>
  <c r="AH24" i="5"/>
  <c r="M69" i="11"/>
  <c r="M35" i="12"/>
  <c r="M37" i="12" s="1"/>
  <c r="G69" i="11"/>
  <c r="G35" i="12"/>
  <c r="G37" i="12" s="1"/>
  <c r="D69" i="11"/>
  <c r="D35" i="12"/>
  <c r="D37" i="12" s="1"/>
  <c r="L69" i="11"/>
  <c r="L35" i="12"/>
  <c r="L37" i="12" s="1"/>
  <c r="E180" i="4"/>
  <c r="F180" i="4" s="1"/>
  <c r="C125" i="33"/>
  <c r="C125" i="5"/>
  <c r="C78" i="5"/>
  <c r="M78" i="33"/>
  <c r="U78" i="33"/>
  <c r="N78" i="33"/>
  <c r="F78" i="33"/>
  <c r="X78" i="33"/>
  <c r="G78" i="33"/>
  <c r="J78" i="33"/>
  <c r="K78" i="33"/>
  <c r="T78" i="33"/>
  <c r="V78" i="33"/>
  <c r="O78" i="33"/>
  <c r="Z78" i="33"/>
  <c r="L78" i="33"/>
  <c r="R78" i="33"/>
  <c r="E78" i="33"/>
  <c r="C78" i="33" s="1"/>
  <c r="I78" i="33"/>
  <c r="W78" i="33"/>
  <c r="P78" i="33"/>
  <c r="Y78" i="33"/>
  <c r="H78" i="33"/>
  <c r="S78" i="33"/>
  <c r="Q78" i="33"/>
  <c r="E186" i="5"/>
  <c r="C77" i="5"/>
  <c r="N77" i="33"/>
  <c r="R77" i="33"/>
  <c r="U77" i="33"/>
  <c r="F77" i="33"/>
  <c r="O77" i="33"/>
  <c r="M77" i="33"/>
  <c r="J77" i="33"/>
  <c r="H77" i="33"/>
  <c r="W77" i="33"/>
  <c r="V77" i="33"/>
  <c r="P77" i="33"/>
  <c r="G77" i="33"/>
  <c r="K77" i="33"/>
  <c r="L77" i="33"/>
  <c r="Z77" i="33"/>
  <c r="S77" i="33"/>
  <c r="X77" i="33"/>
  <c r="Q77" i="33"/>
  <c r="T77" i="33"/>
  <c r="Y77" i="33"/>
  <c r="I77" i="33"/>
  <c r="E77" i="33"/>
  <c r="C77" i="33" s="1"/>
  <c r="O95" i="17"/>
  <c r="B58" i="11"/>
  <c r="AD24" i="4" s="1"/>
  <c r="C111" i="17"/>
  <c r="O111" i="17" s="1"/>
  <c r="H23" i="12"/>
  <c r="H46" i="11"/>
  <c r="C23" i="12"/>
  <c r="C46" i="11"/>
  <c r="J5" i="12"/>
  <c r="J7" i="12" s="1"/>
  <c r="E32" i="10"/>
  <c r="E7" i="10"/>
  <c r="E18" i="10"/>
  <c r="E16" i="10"/>
  <c r="E29" i="10"/>
  <c r="E13" i="10"/>
  <c r="E35" i="10"/>
  <c r="E22" i="10"/>
  <c r="F46" i="11"/>
  <c r="F23" i="12"/>
  <c r="F5" i="12"/>
  <c r="F7" i="12" s="1"/>
  <c r="I35" i="10"/>
  <c r="I16" i="10"/>
  <c r="I32" i="10"/>
  <c r="I9" i="10"/>
  <c r="I29" i="10"/>
  <c r="I7" i="10"/>
  <c r="I13" i="10"/>
  <c r="I18" i="10"/>
  <c r="I22" i="10"/>
  <c r="H5" i="12"/>
  <c r="H7" i="12" s="1"/>
  <c r="M5" i="12"/>
  <c r="M7" i="12" s="1"/>
  <c r="G7" i="10"/>
  <c r="G9" i="10"/>
  <c r="G29" i="10"/>
  <c r="G18" i="10"/>
  <c r="G35" i="10"/>
  <c r="G22" i="10"/>
  <c r="G16" i="10"/>
  <c r="G32" i="10"/>
  <c r="G13" i="10"/>
  <c r="K5" i="12"/>
  <c r="K7" i="12" s="1"/>
  <c r="B14" i="11"/>
  <c r="N25" i="22"/>
  <c r="G23" i="12"/>
  <c r="G46" i="11"/>
  <c r="L5" i="12"/>
  <c r="L7" i="12" s="1"/>
  <c r="N35" i="11"/>
  <c r="K23" i="12"/>
  <c r="K46" i="11"/>
  <c r="D23" i="12"/>
  <c r="D46" i="11"/>
  <c r="D5" i="12"/>
  <c r="D7" i="12" s="1"/>
  <c r="L23" i="12"/>
  <c r="L46" i="11"/>
  <c r="O75" i="17"/>
  <c r="C5" i="12"/>
  <c r="C7" i="12" s="1"/>
  <c r="M23" i="12"/>
  <c r="M46" i="11"/>
  <c r="K61" i="11" l="1"/>
  <c r="K69" i="11" s="1"/>
  <c r="AN24" i="4"/>
  <c r="AG24" i="5"/>
  <c r="AB37" i="5"/>
  <c r="AB36" i="5"/>
  <c r="AC37" i="5"/>
  <c r="AC36" i="5"/>
  <c r="AP24" i="4"/>
  <c r="AI24" i="5"/>
  <c r="F35" i="12"/>
  <c r="F37" i="12" s="1"/>
  <c r="AQ24" i="4"/>
  <c r="AJ24" i="5"/>
  <c r="AB23" i="5"/>
  <c r="AB36" i="4"/>
  <c r="AB35" i="4"/>
  <c r="AI23" i="4"/>
  <c r="AB27" i="4"/>
  <c r="AB74" i="4" s="1"/>
  <c r="AB151" i="4"/>
  <c r="AL24" i="4"/>
  <c r="AE24" i="5"/>
  <c r="AF36" i="4"/>
  <c r="AF35" i="4"/>
  <c r="AM23" i="4"/>
  <c r="AF23" i="5"/>
  <c r="AF151" i="4"/>
  <c r="AF27" i="4"/>
  <c r="K35" i="12"/>
  <c r="K37" i="12" s="1"/>
  <c r="AC35" i="4"/>
  <c r="AC36" i="4"/>
  <c r="AJ23" i="4"/>
  <c r="AC23" i="5"/>
  <c r="AC151" i="4"/>
  <c r="AC27" i="4"/>
  <c r="W42" i="4"/>
  <c r="W38" i="4"/>
  <c r="W43" i="4"/>
  <c r="W39" i="4"/>
  <c r="W44" i="4"/>
  <c r="W40" i="4"/>
  <c r="W29" i="4"/>
  <c r="W74" i="4"/>
  <c r="V73" i="4"/>
  <c r="X74" i="4"/>
  <c r="X44" i="4"/>
  <c r="X40" i="4"/>
  <c r="X38" i="4"/>
  <c r="X39" i="4"/>
  <c r="X43" i="4"/>
  <c r="X42" i="4"/>
  <c r="X29" i="4"/>
  <c r="W73" i="4"/>
  <c r="Y74" i="4"/>
  <c r="AG23" i="5"/>
  <c r="AG36" i="4"/>
  <c r="AG35" i="4"/>
  <c r="AN23" i="4"/>
  <c r="AG27" i="4"/>
  <c r="AG151" i="4"/>
  <c r="E69" i="11"/>
  <c r="E35" i="12"/>
  <c r="E37" i="12" s="1"/>
  <c r="AE36" i="4"/>
  <c r="AE23" i="5"/>
  <c r="AE35" i="4"/>
  <c r="AL23" i="4"/>
  <c r="AE151" i="4"/>
  <c r="AE27" i="4"/>
  <c r="Y39" i="4"/>
  <c r="Y43" i="4"/>
  <c r="Y44" i="4"/>
  <c r="Y40" i="4"/>
  <c r="Y42" i="4"/>
  <c r="Y38" i="4"/>
  <c r="X73" i="4"/>
  <c r="Y29" i="4"/>
  <c r="AA43" i="4"/>
  <c r="AA38" i="4"/>
  <c r="AA39" i="4"/>
  <c r="AA40" i="4"/>
  <c r="AA29" i="4"/>
  <c r="AA44" i="4"/>
  <c r="AA42" i="4"/>
  <c r="W36" i="5"/>
  <c r="W37" i="5"/>
  <c r="AK24" i="4"/>
  <c r="AD24" i="5"/>
  <c r="AH36" i="5"/>
  <c r="AH37" i="5"/>
  <c r="AO23" i="4"/>
  <c r="AH36" i="4"/>
  <c r="AH23" i="5"/>
  <c r="AH35" i="4"/>
  <c r="AH27" i="4"/>
  <c r="AH151" i="4"/>
  <c r="AM24" i="4"/>
  <c r="AF24" i="5"/>
  <c r="AV24" i="4"/>
  <c r="AO24" i="5"/>
  <c r="H61" i="11"/>
  <c r="L182" i="33"/>
  <c r="E182" i="33"/>
  <c r="G182" i="33"/>
  <c r="O182" i="33"/>
  <c r="Z182" i="33"/>
  <c r="F182" i="33"/>
  <c r="V182" i="33"/>
  <c r="J182" i="33"/>
  <c r="T182" i="33"/>
  <c r="S182" i="33"/>
  <c r="P182" i="33"/>
  <c r="I182" i="33"/>
  <c r="X182" i="33"/>
  <c r="M182" i="33"/>
  <c r="R182" i="33"/>
  <c r="U182" i="33"/>
  <c r="H182" i="33"/>
  <c r="Q182" i="33"/>
  <c r="N182" i="33"/>
  <c r="W182" i="33"/>
  <c r="Y182" i="33"/>
  <c r="E185" i="5"/>
  <c r="C129" i="5"/>
  <c r="C128" i="5"/>
  <c r="G180" i="4"/>
  <c r="C129" i="33"/>
  <c r="C128" i="33"/>
  <c r="F186" i="5"/>
  <c r="E179" i="4"/>
  <c r="I33" i="10"/>
  <c r="I11" i="12" s="1"/>
  <c r="I27" i="12" s="1"/>
  <c r="I42" i="12" s="1"/>
  <c r="E33" i="10"/>
  <c r="E11" i="12" s="1"/>
  <c r="E27" i="12" s="1"/>
  <c r="E42" i="12" s="1"/>
  <c r="E8" i="10"/>
  <c r="E5" i="10" s="1"/>
  <c r="M18" i="10"/>
  <c r="M16" i="10"/>
  <c r="M13" i="10"/>
  <c r="M7" i="10"/>
  <c r="M9" i="10"/>
  <c r="M29" i="10"/>
  <c r="M32" i="10"/>
  <c r="M22" i="10"/>
  <c r="M35" i="10"/>
  <c r="I8" i="10"/>
  <c r="I5" i="10" s="1"/>
  <c r="F35" i="10"/>
  <c r="W56" i="4" s="1"/>
  <c r="F18" i="10"/>
  <c r="F22" i="10"/>
  <c r="F9" i="10"/>
  <c r="F7" i="10"/>
  <c r="F16" i="10"/>
  <c r="F13" i="10"/>
  <c r="F32" i="10"/>
  <c r="W55" i="4" s="1"/>
  <c r="F29" i="10"/>
  <c r="W52" i="4" s="1"/>
  <c r="N58" i="11"/>
  <c r="K7" i="10"/>
  <c r="K22" i="10"/>
  <c r="K16" i="10"/>
  <c r="K32" i="10"/>
  <c r="K29" i="10"/>
  <c r="K18" i="10"/>
  <c r="K13" i="10"/>
  <c r="K35" i="10"/>
  <c r="J7" i="10"/>
  <c r="J13" i="10"/>
  <c r="J35" i="10"/>
  <c r="J16" i="10"/>
  <c r="J22" i="10"/>
  <c r="J32" i="10"/>
  <c r="J9" i="10"/>
  <c r="J29" i="10"/>
  <c r="J18" i="10"/>
  <c r="B37" i="11"/>
  <c r="Z23" i="4" s="1"/>
  <c r="N14" i="11"/>
  <c r="B15" i="11"/>
  <c r="B23" i="11" s="1"/>
  <c r="B17" i="10" s="1"/>
  <c r="D29" i="10"/>
  <c r="D7" i="10"/>
  <c r="D35" i="10"/>
  <c r="D16" i="10"/>
  <c r="D32" i="10"/>
  <c r="D18" i="10"/>
  <c r="D22" i="10"/>
  <c r="D13" i="10"/>
  <c r="L7" i="10"/>
  <c r="L35" i="10"/>
  <c r="L16" i="10"/>
  <c r="L22" i="10"/>
  <c r="L32" i="10"/>
  <c r="L18" i="10"/>
  <c r="L29" i="10"/>
  <c r="L13" i="10"/>
  <c r="H7" i="10"/>
  <c r="H35" i="10"/>
  <c r="H29" i="10"/>
  <c r="H22" i="10"/>
  <c r="H32" i="10"/>
  <c r="H18" i="10"/>
  <c r="H16" i="10"/>
  <c r="H9" i="10"/>
  <c r="H13" i="10"/>
  <c r="G33" i="10"/>
  <c r="G11" i="12" s="1"/>
  <c r="G27" i="12" s="1"/>
  <c r="G42" i="12" s="1"/>
  <c r="C7" i="10"/>
  <c r="C35" i="10"/>
  <c r="C22" i="10"/>
  <c r="C29" i="10"/>
  <c r="C32" i="10"/>
  <c r="C9" i="10"/>
  <c r="C16" i="10"/>
  <c r="C18" i="10"/>
  <c r="C13" i="10"/>
  <c r="G8" i="10"/>
  <c r="G5" i="10" s="1"/>
  <c r="AD36" i="5" l="1"/>
  <c r="AD37" i="5"/>
  <c r="AS24" i="4"/>
  <c r="AL24" i="5"/>
  <c r="AR24" i="4"/>
  <c r="AK24" i="5"/>
  <c r="AB40" i="4"/>
  <c r="AC74" i="4"/>
  <c r="AB38" i="4"/>
  <c r="AB29" i="4"/>
  <c r="AB42" i="4"/>
  <c r="AB76" i="4" s="1"/>
  <c r="AB43" i="4"/>
  <c r="AB39" i="4"/>
  <c r="AB44" i="4"/>
  <c r="AA73" i="4"/>
  <c r="Z36" i="4"/>
  <c r="Z35" i="4"/>
  <c r="Z23" i="5"/>
  <c r="Z27" i="4"/>
  <c r="Z151" i="4"/>
  <c r="H69" i="11"/>
  <c r="H35" i="12"/>
  <c r="H37" i="12" s="1"/>
  <c r="AF29" i="4"/>
  <c r="AF43" i="4"/>
  <c r="AF39" i="4"/>
  <c r="AF42" i="4"/>
  <c r="AF44" i="4"/>
  <c r="AF40" i="4"/>
  <c r="AF38" i="4"/>
  <c r="AG74" i="4"/>
  <c r="AE73" i="4"/>
  <c r="AP23" i="4"/>
  <c r="AI35" i="4"/>
  <c r="AI36" i="4"/>
  <c r="AI23" i="5"/>
  <c r="AI151" i="4"/>
  <c r="AI27" i="4"/>
  <c r="AI74" i="4" s="1"/>
  <c r="AO37" i="5"/>
  <c r="AO36" i="5"/>
  <c r="Y30" i="4"/>
  <c r="W78" i="5"/>
  <c r="X78" i="5"/>
  <c r="AJ37" i="5"/>
  <c r="AJ36" i="5"/>
  <c r="BC24" i="4"/>
  <c r="AV24" i="5"/>
  <c r="AC39" i="4"/>
  <c r="AC43" i="4"/>
  <c r="AC44" i="4"/>
  <c r="AC42" i="4"/>
  <c r="AC40" i="4"/>
  <c r="AC38" i="4"/>
  <c r="AB73" i="4"/>
  <c r="AC29" i="4"/>
  <c r="AX24" i="4"/>
  <c r="AQ24" i="5"/>
  <c r="AF37" i="5"/>
  <c r="AF36" i="5"/>
  <c r="AF73" i="4"/>
  <c r="AG39" i="4"/>
  <c r="AG38" i="4"/>
  <c r="AG43" i="4"/>
  <c r="AG42" i="4"/>
  <c r="AG44" i="4"/>
  <c r="AG40" i="4"/>
  <c r="AG29" i="4"/>
  <c r="AH74" i="4"/>
  <c r="AT23" i="4"/>
  <c r="AM35" i="4"/>
  <c r="AM36" i="4"/>
  <c r="AM23" i="5"/>
  <c r="AM151" i="4"/>
  <c r="AM27" i="4"/>
  <c r="AT24" i="4"/>
  <c r="AM24" i="5"/>
  <c r="AN23" i="5"/>
  <c r="AU23" i="4"/>
  <c r="AN35" i="4"/>
  <c r="AN36" i="4"/>
  <c r="AN151" i="4"/>
  <c r="AN27" i="4"/>
  <c r="AI37" i="5"/>
  <c r="AI36" i="5"/>
  <c r="AQ23" i="4"/>
  <c r="AJ36" i="4"/>
  <c r="AJ35" i="4"/>
  <c r="AJ23" i="5"/>
  <c r="AJ27" i="4"/>
  <c r="AJ151" i="4"/>
  <c r="AW24" i="4"/>
  <c r="AP24" i="5"/>
  <c r="AH40" i="4"/>
  <c r="AH42" i="4"/>
  <c r="AG73" i="4"/>
  <c r="AH43" i="4"/>
  <c r="AH44" i="4"/>
  <c r="AH39" i="4"/>
  <c r="AH29" i="4"/>
  <c r="AH38" i="4"/>
  <c r="AB78" i="5"/>
  <c r="AV23" i="4"/>
  <c r="AO36" i="4"/>
  <c r="AO35" i="4"/>
  <c r="AO23" i="5"/>
  <c r="AO151" i="4"/>
  <c r="AO27" i="4"/>
  <c r="AA30" i="4"/>
  <c r="AE40" i="4"/>
  <c r="AE38" i="4"/>
  <c r="AF74" i="4"/>
  <c r="AE43" i="4"/>
  <c r="AE39" i="4"/>
  <c r="AE42" i="4"/>
  <c r="AF78" i="5" s="1"/>
  <c r="AE29" i="4"/>
  <c r="AE44" i="4"/>
  <c r="X30" i="4"/>
  <c r="Y76" i="4"/>
  <c r="AG37" i="5"/>
  <c r="AG36" i="5"/>
  <c r="Y78" i="5"/>
  <c r="W30" i="4"/>
  <c r="W76" i="4"/>
  <c r="X76" i="4"/>
  <c r="AU24" i="4"/>
  <c r="AN24" i="5"/>
  <c r="AS23" i="4"/>
  <c r="AL35" i="4"/>
  <c r="AL36" i="4"/>
  <c r="AL23" i="5"/>
  <c r="AL151" i="4"/>
  <c r="AL27" i="4"/>
  <c r="AE37" i="5"/>
  <c r="AE36" i="5"/>
  <c r="X56" i="4"/>
  <c r="AB56" i="4" s="1"/>
  <c r="AF56" i="4" s="1"/>
  <c r="AJ56" i="4" s="1"/>
  <c r="AN56" i="4" s="1"/>
  <c r="AR56" i="4" s="1"/>
  <c r="AV56" i="4" s="1"/>
  <c r="AZ56" i="4" s="1"/>
  <c r="BD56" i="4" s="1"/>
  <c r="BH56" i="4" s="1"/>
  <c r="BL56" i="4" s="1"/>
  <c r="BP56" i="4" s="1"/>
  <c r="BT56" i="4" s="1"/>
  <c r="BX56" i="4" s="1"/>
  <c r="CB56" i="4" s="1"/>
  <c r="CF56" i="4" s="1"/>
  <c r="CJ56" i="4" s="1"/>
  <c r="CN56" i="4" s="1"/>
  <c r="X52" i="4"/>
  <c r="AB52" i="4" s="1"/>
  <c r="AF52" i="4" s="1"/>
  <c r="AJ52" i="4" s="1"/>
  <c r="AN52" i="4" s="1"/>
  <c r="AR52" i="4" s="1"/>
  <c r="AV52" i="4" s="1"/>
  <c r="AZ52" i="4" s="1"/>
  <c r="BD52" i="4" s="1"/>
  <c r="BH52" i="4" s="1"/>
  <c r="BL52" i="4" s="1"/>
  <c r="BP52" i="4" s="1"/>
  <c r="BT52" i="4" s="1"/>
  <c r="BX52" i="4" s="1"/>
  <c r="CB52" i="4" s="1"/>
  <c r="CF52" i="4" s="1"/>
  <c r="CJ52" i="4" s="1"/>
  <c r="CN52" i="4" s="1"/>
  <c r="Y55" i="4"/>
  <c r="AC55" i="4" s="1"/>
  <c r="AG55" i="4" s="1"/>
  <c r="AK55" i="4" s="1"/>
  <c r="AO55" i="4" s="1"/>
  <c r="AS55" i="4" s="1"/>
  <c r="AW55" i="4" s="1"/>
  <c r="BA55" i="4" s="1"/>
  <c r="BE55" i="4" s="1"/>
  <c r="BI55" i="4" s="1"/>
  <c r="BM55" i="4" s="1"/>
  <c r="BQ55" i="4" s="1"/>
  <c r="BU55" i="4" s="1"/>
  <c r="BY55" i="4" s="1"/>
  <c r="CC55" i="4" s="1"/>
  <c r="CG55" i="4" s="1"/>
  <c r="CK55" i="4" s="1"/>
  <c r="CO55" i="4" s="1"/>
  <c r="AA56" i="4"/>
  <c r="AE56" i="4" s="1"/>
  <c r="AI56" i="4" s="1"/>
  <c r="AM56" i="4" s="1"/>
  <c r="AQ56" i="4" s="1"/>
  <c r="AU56" i="4" s="1"/>
  <c r="AY56" i="4" s="1"/>
  <c r="BC56" i="4" s="1"/>
  <c r="BG56" i="4" s="1"/>
  <c r="BK56" i="4" s="1"/>
  <c r="BO56" i="4" s="1"/>
  <c r="BS56" i="4" s="1"/>
  <c r="BW56" i="4" s="1"/>
  <c r="CA56" i="4" s="1"/>
  <c r="CE56" i="4" s="1"/>
  <c r="CI56" i="4" s="1"/>
  <c r="CM56" i="4" s="1"/>
  <c r="AA52" i="4"/>
  <c r="AE52" i="4" s="1"/>
  <c r="AI52" i="4" s="1"/>
  <c r="AM52" i="4" s="1"/>
  <c r="AQ52" i="4" s="1"/>
  <c r="AU52" i="4" s="1"/>
  <c r="AY52" i="4" s="1"/>
  <c r="BC52" i="4" s="1"/>
  <c r="BG52" i="4" s="1"/>
  <c r="BK52" i="4" s="1"/>
  <c r="BO52" i="4" s="1"/>
  <c r="BS52" i="4" s="1"/>
  <c r="BW52" i="4" s="1"/>
  <c r="CA52" i="4" s="1"/>
  <c r="CE52" i="4" s="1"/>
  <c r="CI52" i="4" s="1"/>
  <c r="CM52" i="4" s="1"/>
  <c r="AA55" i="4"/>
  <c r="AE55" i="4" s="1"/>
  <c r="AI55" i="4" s="1"/>
  <c r="AM55" i="4" s="1"/>
  <c r="AQ55" i="4" s="1"/>
  <c r="AU55" i="4" s="1"/>
  <c r="AY55" i="4" s="1"/>
  <c r="BC55" i="4" s="1"/>
  <c r="BG55" i="4" s="1"/>
  <c r="BK55" i="4" s="1"/>
  <c r="BO55" i="4" s="1"/>
  <c r="BS55" i="4" s="1"/>
  <c r="BW55" i="4" s="1"/>
  <c r="CA55" i="4" s="1"/>
  <c r="CE55" i="4" s="1"/>
  <c r="CI55" i="4" s="1"/>
  <c r="CM55" i="4" s="1"/>
  <c r="Y52" i="4"/>
  <c r="AC52" i="4" s="1"/>
  <c r="AG52" i="4" s="1"/>
  <c r="AK52" i="4" s="1"/>
  <c r="AO52" i="4" s="1"/>
  <c r="AS52" i="4" s="1"/>
  <c r="AW52" i="4" s="1"/>
  <c r="BA52" i="4" s="1"/>
  <c r="BE52" i="4" s="1"/>
  <c r="BI52" i="4" s="1"/>
  <c r="BM52" i="4" s="1"/>
  <c r="BQ52" i="4" s="1"/>
  <c r="BU52" i="4" s="1"/>
  <c r="BY52" i="4" s="1"/>
  <c r="CC52" i="4" s="1"/>
  <c r="CG52" i="4" s="1"/>
  <c r="CK52" i="4" s="1"/>
  <c r="CO52" i="4" s="1"/>
  <c r="X55" i="4"/>
  <c r="AB55" i="4" s="1"/>
  <c r="AF55" i="4" s="1"/>
  <c r="AJ55" i="4" s="1"/>
  <c r="AN55" i="4" s="1"/>
  <c r="AR55" i="4" s="1"/>
  <c r="AV55" i="4" s="1"/>
  <c r="AZ55" i="4" s="1"/>
  <c r="BD55" i="4" s="1"/>
  <c r="BH55" i="4" s="1"/>
  <c r="BL55" i="4" s="1"/>
  <c r="BP55" i="4" s="1"/>
  <c r="BT55" i="4" s="1"/>
  <c r="BX55" i="4" s="1"/>
  <c r="CB55" i="4" s="1"/>
  <c r="CF55" i="4" s="1"/>
  <c r="CJ55" i="4" s="1"/>
  <c r="CN55" i="4" s="1"/>
  <c r="Y56" i="4"/>
  <c r="AC56" i="4" s="1"/>
  <c r="AG56" i="4" s="1"/>
  <c r="AK56" i="4" s="1"/>
  <c r="AO56" i="4" s="1"/>
  <c r="AS56" i="4" s="1"/>
  <c r="AW56" i="4" s="1"/>
  <c r="BA56" i="4" s="1"/>
  <c r="BE56" i="4" s="1"/>
  <c r="BI56" i="4" s="1"/>
  <c r="BM56" i="4" s="1"/>
  <c r="BQ56" i="4" s="1"/>
  <c r="BU56" i="4" s="1"/>
  <c r="BY56" i="4" s="1"/>
  <c r="CC56" i="4" s="1"/>
  <c r="CG56" i="4" s="1"/>
  <c r="CK56" i="4" s="1"/>
  <c r="CO56" i="4" s="1"/>
  <c r="F185" i="5"/>
  <c r="G186" i="5"/>
  <c r="W181" i="33"/>
  <c r="Y181" i="33"/>
  <c r="M181" i="33"/>
  <c r="I181" i="33"/>
  <c r="V181" i="33"/>
  <c r="E117" i="5"/>
  <c r="L181" i="33"/>
  <c r="E181" i="33"/>
  <c r="K181" i="33"/>
  <c r="X181" i="33"/>
  <c r="P181" i="33"/>
  <c r="T181" i="33"/>
  <c r="U181" i="33"/>
  <c r="Z181" i="33"/>
  <c r="Q181" i="33"/>
  <c r="F181" i="33"/>
  <c r="H181" i="33"/>
  <c r="J181" i="33"/>
  <c r="O181" i="33"/>
  <c r="N181" i="33"/>
  <c r="S181" i="33"/>
  <c r="R181" i="33"/>
  <c r="G181" i="33"/>
  <c r="E118" i="5"/>
  <c r="E193" i="5"/>
  <c r="H180" i="4"/>
  <c r="H33" i="10"/>
  <c r="H11" i="12" s="1"/>
  <c r="H27" i="12" s="1"/>
  <c r="H42" i="12" s="1"/>
  <c r="J33" i="10"/>
  <c r="J11" i="12" s="1"/>
  <c r="J27" i="12" s="1"/>
  <c r="J42" i="12" s="1"/>
  <c r="G8" i="12"/>
  <c r="G24" i="12" s="1"/>
  <c r="G38" i="12" s="1"/>
  <c r="G38" i="10"/>
  <c r="F33" i="10"/>
  <c r="F11" i="12" s="1"/>
  <c r="F27" i="12" s="1"/>
  <c r="F42" i="12" s="1"/>
  <c r="M33" i="10"/>
  <c r="M11" i="12" s="1"/>
  <c r="M27" i="12" s="1"/>
  <c r="M42" i="12" s="1"/>
  <c r="D8" i="10"/>
  <c r="D5" i="10" s="1"/>
  <c r="K33" i="10"/>
  <c r="K11" i="12" s="1"/>
  <c r="K27" i="12" s="1"/>
  <c r="K42" i="12" s="1"/>
  <c r="K8" i="10"/>
  <c r="K5" i="10" s="1"/>
  <c r="B5" i="12"/>
  <c r="N15" i="11"/>
  <c r="F8" i="10"/>
  <c r="F5" i="10" s="1"/>
  <c r="I38" i="10"/>
  <c r="I8" i="12"/>
  <c r="I24" i="12" s="1"/>
  <c r="I38" i="12" s="1"/>
  <c r="C8" i="10"/>
  <c r="C5" i="10" s="1"/>
  <c r="H8" i="10"/>
  <c r="H5" i="10" s="1"/>
  <c r="D33" i="10"/>
  <c r="D11" i="12" s="1"/>
  <c r="D27" i="12" s="1"/>
  <c r="D42" i="12" s="1"/>
  <c r="E38" i="10"/>
  <c r="E8" i="12"/>
  <c r="E24" i="12" s="1"/>
  <c r="E38" i="12" s="1"/>
  <c r="L8" i="10"/>
  <c r="L5" i="10" s="1"/>
  <c r="J8" i="10"/>
  <c r="J5" i="10" s="1"/>
  <c r="L33" i="10"/>
  <c r="L11" i="12" s="1"/>
  <c r="L27" i="12" s="1"/>
  <c r="L42" i="12" s="1"/>
  <c r="C33" i="10"/>
  <c r="C11" i="12" s="1"/>
  <c r="C27" i="12" s="1"/>
  <c r="C42" i="12" s="1"/>
  <c r="N37" i="11"/>
  <c r="B60" i="11"/>
  <c r="AD23" i="4" s="1"/>
  <c r="B38" i="11"/>
  <c r="B21" i="12" s="1"/>
  <c r="M8" i="10"/>
  <c r="M5" i="10" s="1"/>
  <c r="Y77" i="4" l="1"/>
  <c r="AL43" i="4"/>
  <c r="AL42" i="4"/>
  <c r="AL38" i="4"/>
  <c r="AL44" i="4"/>
  <c r="AL39" i="4"/>
  <c r="AL40" i="4"/>
  <c r="AL29" i="4"/>
  <c r="AM74" i="4"/>
  <c r="BC23" i="4"/>
  <c r="AV36" i="4"/>
  <c r="AV35" i="4"/>
  <c r="AV23" i="5"/>
  <c r="AV151" i="4"/>
  <c r="AV27" i="4"/>
  <c r="AH78" i="5"/>
  <c r="O14" i="11"/>
  <c r="N23" i="11"/>
  <c r="AE30" i="4"/>
  <c r="AF76" i="4"/>
  <c r="AP36" i="5"/>
  <c r="AP37" i="5"/>
  <c r="AU23" i="5"/>
  <c r="AU35" i="4"/>
  <c r="BB23" i="4"/>
  <c r="AU36" i="4"/>
  <c r="AU27" i="4"/>
  <c r="AU151" i="4"/>
  <c r="AG78" i="5"/>
  <c r="X77" i="4"/>
  <c r="W77" i="4"/>
  <c r="BD24" i="4"/>
  <c r="AW24" i="5"/>
  <c r="AK36" i="5"/>
  <c r="AK37" i="5"/>
  <c r="AM37" i="5"/>
  <c r="AM36" i="5"/>
  <c r="AC78" i="5"/>
  <c r="AY24" i="4"/>
  <c r="AR24" i="5"/>
  <c r="AZ23" i="4"/>
  <c r="AS36" i="4"/>
  <c r="AS23" i="5"/>
  <c r="AS35" i="4"/>
  <c r="AS27" i="4"/>
  <c r="AS151" i="4"/>
  <c r="AJ43" i="4"/>
  <c r="AJ29" i="4"/>
  <c r="AJ44" i="4"/>
  <c r="AJ39" i="4"/>
  <c r="AJ40" i="4"/>
  <c r="AJ38" i="4"/>
  <c r="AJ42" i="4"/>
  <c r="AI73" i="4"/>
  <c r="BA24" i="4"/>
  <c r="AT24" i="5"/>
  <c r="AV36" i="5"/>
  <c r="AV37" i="5"/>
  <c r="AF30" i="4"/>
  <c r="AG76" i="4"/>
  <c r="AB30" i="4"/>
  <c r="AC76" i="4"/>
  <c r="AL36" i="5"/>
  <c r="AL37" i="5"/>
  <c r="AM44" i="4"/>
  <c r="AM39" i="4"/>
  <c r="AM40" i="4"/>
  <c r="AM38" i="4"/>
  <c r="AM43" i="4"/>
  <c r="AM42" i="4"/>
  <c r="AM29" i="4"/>
  <c r="AN74" i="4"/>
  <c r="AL73" i="4"/>
  <c r="BJ24" i="4"/>
  <c r="BC24" i="5"/>
  <c r="AZ24" i="4"/>
  <c r="AS24" i="5"/>
  <c r="AJ74" i="4"/>
  <c r="AI43" i="4"/>
  <c r="AI40" i="4"/>
  <c r="AI38" i="4"/>
  <c r="AH73" i="4"/>
  <c r="AI44" i="4"/>
  <c r="AI42" i="4"/>
  <c r="AI39" i="4"/>
  <c r="AI29" i="4"/>
  <c r="AN37" i="5"/>
  <c r="AN36" i="5"/>
  <c r="BB24" i="4"/>
  <c r="AU24" i="5"/>
  <c r="AQ35" i="4"/>
  <c r="AX23" i="4"/>
  <c r="AQ36" i="4"/>
  <c r="AQ23" i="5"/>
  <c r="AQ151" i="4"/>
  <c r="AQ27" i="4"/>
  <c r="AQ37" i="5"/>
  <c r="AQ36" i="5"/>
  <c r="BE24" i="4"/>
  <c r="AX24" i="5"/>
  <c r="AO40" i="4"/>
  <c r="AN73" i="4"/>
  <c r="AO39" i="4"/>
  <c r="AO29" i="4"/>
  <c r="AO44" i="4"/>
  <c r="AO43" i="4"/>
  <c r="AO42" i="4"/>
  <c r="AO38" i="4"/>
  <c r="AH30" i="4"/>
  <c r="AI76" i="4"/>
  <c r="AT23" i="5"/>
  <c r="BA23" i="4"/>
  <c r="AT36" i="4"/>
  <c r="AT35" i="4"/>
  <c r="AT27" i="4"/>
  <c r="AT151" i="4"/>
  <c r="AC30" i="4"/>
  <c r="AP35" i="4"/>
  <c r="AP36" i="4"/>
  <c r="AW23" i="4"/>
  <c r="AP23" i="5"/>
  <c r="AP27" i="4"/>
  <c r="AP74" i="4" s="1"/>
  <c r="AP151" i="4"/>
  <c r="Y73" i="4"/>
  <c r="Z39" i="4"/>
  <c r="Z43" i="4"/>
  <c r="Z44" i="4"/>
  <c r="Z38" i="4"/>
  <c r="Z40" i="4"/>
  <c r="Z42" i="4"/>
  <c r="Z29" i="4"/>
  <c r="AA74" i="4"/>
  <c r="Z73" i="4"/>
  <c r="Z74" i="4"/>
  <c r="AG30" i="4"/>
  <c r="AH76" i="4"/>
  <c r="AN40" i="4"/>
  <c r="AN43" i="4"/>
  <c r="AN44" i="4"/>
  <c r="AN42" i="4"/>
  <c r="AO78" i="5" s="1"/>
  <c r="AN38" i="4"/>
  <c r="AN29" i="4"/>
  <c r="AN39" i="4"/>
  <c r="AO74" i="4"/>
  <c r="AM73" i="4"/>
  <c r="AK23" i="4"/>
  <c r="AD23" i="5"/>
  <c r="AD35" i="4"/>
  <c r="AD36" i="4"/>
  <c r="AD151" i="4"/>
  <c r="AD27" i="4"/>
  <c r="E43" i="12"/>
  <c r="E40" i="12"/>
  <c r="G43" i="12"/>
  <c r="G40" i="12"/>
  <c r="I40" i="12"/>
  <c r="I43" i="12"/>
  <c r="E28" i="12"/>
  <c r="E25" i="12"/>
  <c r="I28" i="12"/>
  <c r="I25" i="12"/>
  <c r="G25" i="12"/>
  <c r="G28" i="12"/>
  <c r="I180" i="4"/>
  <c r="G185" i="5"/>
  <c r="H186" i="5"/>
  <c r="E119" i="5"/>
  <c r="E196" i="5"/>
  <c r="E195" i="5"/>
  <c r="F117" i="5"/>
  <c r="F193" i="5"/>
  <c r="F119" i="5" s="1"/>
  <c r="F118" i="5"/>
  <c r="L38" i="10"/>
  <c r="L8" i="12"/>
  <c r="L24" i="12" s="1"/>
  <c r="L38" i="12" s="1"/>
  <c r="F8" i="12"/>
  <c r="F24" i="12" s="1"/>
  <c r="F38" i="12" s="1"/>
  <c r="F38" i="10"/>
  <c r="M8" i="12"/>
  <c r="M24" i="12" s="1"/>
  <c r="M38" i="12" s="1"/>
  <c r="M38" i="10"/>
  <c r="H38" i="10"/>
  <c r="H8" i="12"/>
  <c r="H24" i="12" s="1"/>
  <c r="H38" i="12" s="1"/>
  <c r="D38" i="10"/>
  <c r="D8" i="12"/>
  <c r="D24" i="12" s="1"/>
  <c r="D38" i="12" s="1"/>
  <c r="E9" i="12"/>
  <c r="E12" i="12" s="1"/>
  <c r="E13" i="12" s="1"/>
  <c r="K8" i="12"/>
  <c r="K24" i="12" s="1"/>
  <c r="K38" i="12" s="1"/>
  <c r="K38" i="10"/>
  <c r="O13" i="11"/>
  <c r="O15" i="11"/>
  <c r="O12" i="11"/>
  <c r="N60" i="11"/>
  <c r="B61" i="11"/>
  <c r="B35" i="12" s="1"/>
  <c r="J8" i="12"/>
  <c r="J24" i="12" s="1"/>
  <c r="J38" i="12" s="1"/>
  <c r="J38" i="10"/>
  <c r="C38" i="10"/>
  <c r="C8" i="12"/>
  <c r="C24" i="12" s="1"/>
  <c r="C38" i="12" s="1"/>
  <c r="I9" i="12"/>
  <c r="I12" i="12" s="1"/>
  <c r="I13" i="12" s="1"/>
  <c r="B7" i="12"/>
  <c r="N5" i="12"/>
  <c r="B9" i="10"/>
  <c r="N9" i="10" s="1"/>
  <c r="B22" i="10"/>
  <c r="N22" i="10" s="1"/>
  <c r="B35" i="10"/>
  <c r="B7" i="10"/>
  <c r="B32" i="10"/>
  <c r="B13" i="10"/>
  <c r="N13" i="10" s="1"/>
  <c r="B18" i="10"/>
  <c r="N18" i="10" s="1"/>
  <c r="B29" i="10"/>
  <c r="B16" i="10"/>
  <c r="B46" i="11"/>
  <c r="N46" i="11" s="1"/>
  <c r="N38" i="11"/>
  <c r="G9" i="12"/>
  <c r="G12" i="12" s="1"/>
  <c r="G13" i="12" s="1"/>
  <c r="AC77" i="4" l="1"/>
  <c r="AJ78" i="5"/>
  <c r="AB77" i="4"/>
  <c r="AQ38" i="4"/>
  <c r="AQ44" i="4"/>
  <c r="AQ39" i="4"/>
  <c r="AQ42" i="4"/>
  <c r="AQ29" i="4"/>
  <c r="AP73" i="4"/>
  <c r="AQ43" i="4"/>
  <c r="AQ40" i="4"/>
  <c r="BI23" i="4"/>
  <c r="BB36" i="4"/>
  <c r="BB23" i="5"/>
  <c r="BB35" i="4"/>
  <c r="BB151" i="4"/>
  <c r="BB27" i="4"/>
  <c r="AH77" i="4"/>
  <c r="AW37" i="5"/>
  <c r="AW36" i="5"/>
  <c r="BK24" i="4"/>
  <c r="BD24" i="5"/>
  <c r="AC73" i="4"/>
  <c r="AD43" i="4"/>
  <c r="AD42" i="4"/>
  <c r="AD39" i="4"/>
  <c r="AD44" i="4"/>
  <c r="AD40" i="4"/>
  <c r="AD29" i="4"/>
  <c r="AD38" i="4"/>
  <c r="AE74" i="4"/>
  <c r="AD74" i="4"/>
  <c r="AD73" i="4"/>
  <c r="AN30" i="4"/>
  <c r="AO76" i="4"/>
  <c r="AT29" i="4"/>
  <c r="AT40" i="4"/>
  <c r="AT42" i="4"/>
  <c r="AT43" i="4"/>
  <c r="AS73" i="4"/>
  <c r="AT39" i="4"/>
  <c r="AT38" i="4"/>
  <c r="AT44" i="4"/>
  <c r="AU74" i="4"/>
  <c r="AJ30" i="4"/>
  <c r="BC36" i="4"/>
  <c r="BC35" i="4"/>
  <c r="BJ23" i="4"/>
  <c r="BC23" i="5"/>
  <c r="BC151" i="4"/>
  <c r="BC27" i="4"/>
  <c r="AX37" i="5"/>
  <c r="AX36" i="5"/>
  <c r="AX23" i="5"/>
  <c r="AX36" i="4"/>
  <c r="AX35" i="4"/>
  <c r="BE23" i="4"/>
  <c r="AX151" i="4"/>
  <c r="AX27" i="4"/>
  <c r="AS36" i="5"/>
  <c r="AS37" i="5"/>
  <c r="AP38" i="4"/>
  <c r="AP43" i="4"/>
  <c r="AP29" i="4"/>
  <c r="AP44" i="4"/>
  <c r="AP40" i="4"/>
  <c r="AP42" i="4"/>
  <c r="AQ78" i="5" s="1"/>
  <c r="AP39" i="4"/>
  <c r="AO73" i="4"/>
  <c r="AQ74" i="4"/>
  <c r="BL24" i="4"/>
  <c r="BE24" i="5"/>
  <c r="BG24" i="4"/>
  <c r="AZ24" i="5"/>
  <c r="AL30" i="4"/>
  <c r="AM76" i="4"/>
  <c r="BH23" i="4"/>
  <c r="BA35" i="4"/>
  <c r="BA36" i="4"/>
  <c r="BA23" i="5"/>
  <c r="BA151" i="4"/>
  <c r="BA27" i="4"/>
  <c r="AU36" i="5"/>
  <c r="AU37" i="5"/>
  <c r="AW36" i="4"/>
  <c r="BD23" i="4"/>
  <c r="AW35" i="4"/>
  <c r="AW23" i="5"/>
  <c r="AW151" i="4"/>
  <c r="AW27" i="4"/>
  <c r="AW74" i="4" s="1"/>
  <c r="BI24" i="4"/>
  <c r="BB24" i="5"/>
  <c r="BC37" i="5"/>
  <c r="BC36" i="5"/>
  <c r="AG77" i="4"/>
  <c r="AS29" i="4"/>
  <c r="AS44" i="4"/>
  <c r="AS39" i="4"/>
  <c r="AS42" i="4"/>
  <c r="AS43" i="4"/>
  <c r="AS40" i="4"/>
  <c r="AS38" i="4"/>
  <c r="AT74" i="4"/>
  <c r="AF77" i="4"/>
  <c r="AR23" i="4"/>
  <c r="AK36" i="4"/>
  <c r="AK23" i="5"/>
  <c r="AK35" i="4"/>
  <c r="AK27" i="4"/>
  <c r="AK151" i="4"/>
  <c r="BQ24" i="4"/>
  <c r="BJ24" i="5"/>
  <c r="AM78" i="5"/>
  <c r="AI30" i="4"/>
  <c r="AJ76" i="4"/>
  <c r="AM30" i="4"/>
  <c r="AN77" i="4" s="1"/>
  <c r="AN76" i="4"/>
  <c r="AT37" i="5"/>
  <c r="AT36" i="5"/>
  <c r="BG23" i="4"/>
  <c r="AZ36" i="4"/>
  <c r="AZ35" i="4"/>
  <c r="AZ23" i="5"/>
  <c r="AZ151" i="4"/>
  <c r="AZ27" i="4"/>
  <c r="Z30" i="4"/>
  <c r="AA76" i="4"/>
  <c r="Z76" i="4"/>
  <c r="AP78" i="5"/>
  <c r="AN78" i="5"/>
  <c r="BH24" i="4"/>
  <c r="BA24" i="5"/>
  <c r="AR37" i="5"/>
  <c r="AR36" i="5"/>
  <c r="AA78" i="5"/>
  <c r="Z78" i="5"/>
  <c r="BF24" i="4"/>
  <c r="AY24" i="5"/>
  <c r="AI78" i="5"/>
  <c r="AV74" i="4"/>
  <c r="AU40" i="4"/>
  <c r="AU44" i="4"/>
  <c r="AU43" i="4"/>
  <c r="AU42" i="4"/>
  <c r="AV78" i="5" s="1"/>
  <c r="AU38" i="4"/>
  <c r="AT73" i="4"/>
  <c r="AU39" i="4"/>
  <c r="AU29" i="4"/>
  <c r="AV43" i="4"/>
  <c r="AV42" i="4"/>
  <c r="AV38" i="4"/>
  <c r="AV40" i="4"/>
  <c r="AV44" i="4"/>
  <c r="AV39" i="4"/>
  <c r="AV29" i="4"/>
  <c r="AU73" i="4"/>
  <c r="AO30" i="4"/>
  <c r="AP76" i="4"/>
  <c r="N32" i="10"/>
  <c r="Z55" i="4"/>
  <c r="N35" i="10"/>
  <c r="Z56" i="4"/>
  <c r="N29" i="10"/>
  <c r="Z52" i="4"/>
  <c r="N35" i="12"/>
  <c r="B37" i="12"/>
  <c r="N37" i="12" s="1"/>
  <c r="F43" i="12"/>
  <c r="F40" i="12"/>
  <c r="K40" i="12"/>
  <c r="K43" i="12"/>
  <c r="D43" i="12"/>
  <c r="D40" i="12"/>
  <c r="L43" i="12"/>
  <c r="L40" i="12"/>
  <c r="J43" i="12"/>
  <c r="J40" i="12"/>
  <c r="H43" i="12"/>
  <c r="H40" i="12"/>
  <c r="C40" i="12"/>
  <c r="C43" i="12"/>
  <c r="M40" i="12"/>
  <c r="M43" i="12"/>
  <c r="D28" i="12"/>
  <c r="D25" i="12"/>
  <c r="L25" i="12"/>
  <c r="L28" i="12"/>
  <c r="H25" i="12"/>
  <c r="H28" i="12"/>
  <c r="M25" i="12"/>
  <c r="M28" i="12"/>
  <c r="C28" i="12"/>
  <c r="C25" i="12"/>
  <c r="K28" i="12"/>
  <c r="K25" i="12"/>
  <c r="J28" i="12"/>
  <c r="J25" i="12"/>
  <c r="F28" i="12"/>
  <c r="F25" i="12"/>
  <c r="H185" i="5"/>
  <c r="I186" i="5"/>
  <c r="G117" i="5"/>
  <c r="G193" i="5"/>
  <c r="G118" i="5"/>
  <c r="J180" i="4"/>
  <c r="F196" i="5"/>
  <c r="F195" i="5"/>
  <c r="K9" i="12"/>
  <c r="K12" i="12" s="1"/>
  <c r="K13" i="12" s="1"/>
  <c r="C9" i="12"/>
  <c r="C12" i="12" s="1"/>
  <c r="C13" i="12" s="1"/>
  <c r="M9" i="12"/>
  <c r="M12" i="12" s="1"/>
  <c r="M13" i="12" s="1"/>
  <c r="B8" i="10"/>
  <c r="N8" i="10" s="1"/>
  <c r="N7" i="10"/>
  <c r="B69" i="11"/>
  <c r="N69" i="11" s="1"/>
  <c r="N61" i="11"/>
  <c r="B33" i="10"/>
  <c r="N7" i="12"/>
  <c r="D9" i="12"/>
  <c r="D12" i="12" s="1"/>
  <c r="D13" i="12" s="1"/>
  <c r="F9" i="12"/>
  <c r="F12" i="12" s="1"/>
  <c r="F13" i="12" s="1"/>
  <c r="N16" i="10"/>
  <c r="N17" i="10"/>
  <c r="J9" i="12"/>
  <c r="J12" i="12" s="1"/>
  <c r="J13" i="12" s="1"/>
  <c r="O38" i="11"/>
  <c r="O36" i="11"/>
  <c r="O35" i="11"/>
  <c r="L9" i="12"/>
  <c r="L12" i="12" s="1"/>
  <c r="L13" i="12" s="1"/>
  <c r="B23" i="12"/>
  <c r="N21" i="12"/>
  <c r="H9" i="12"/>
  <c r="H12" i="12" s="1"/>
  <c r="H13" i="12" s="1"/>
  <c r="BY41" i="5"/>
  <c r="CE41" i="5"/>
  <c r="CA41" i="5"/>
  <c r="BT41" i="5"/>
  <c r="CI41" i="5"/>
  <c r="BW41" i="5"/>
  <c r="BI41" i="5"/>
  <c r="BE41" i="5"/>
  <c r="BQ41" i="5"/>
  <c r="BO41" i="5"/>
  <c r="AW41" i="5"/>
  <c r="AX41" i="5"/>
  <c r="AK41" i="5"/>
  <c r="BR41" i="5"/>
  <c r="Z41" i="5"/>
  <c r="AQ41" i="5"/>
  <c r="AU41" i="5"/>
  <c r="BN41" i="5"/>
  <c r="AS41" i="5"/>
  <c r="CH41" i="5"/>
  <c r="CD41" i="5"/>
  <c r="AT41" i="5"/>
  <c r="Y41" i="5"/>
  <c r="CC41" i="5"/>
  <c r="BU41" i="5"/>
  <c r="BL41" i="5"/>
  <c r="AL41" i="5"/>
  <c r="CO41" i="5"/>
  <c r="CM41" i="5"/>
  <c r="CF41" i="5"/>
  <c r="BV41" i="5"/>
  <c r="BG41" i="5"/>
  <c r="V41" i="5"/>
  <c r="AM41" i="5"/>
  <c r="AH41" i="5"/>
  <c r="X41" i="5"/>
  <c r="AF41" i="5"/>
  <c r="AC41" i="5"/>
  <c r="AO41" i="5"/>
  <c r="E41" i="5"/>
  <c r="CJ41" i="5"/>
  <c r="BX41" i="5"/>
  <c r="BS41" i="5"/>
  <c r="BK41" i="5"/>
  <c r="BD41" i="5"/>
  <c r="T41" i="5"/>
  <c r="P41" i="5"/>
  <c r="U41" i="5"/>
  <c r="Q41" i="5"/>
  <c r="AV41" i="5"/>
  <c r="CN41" i="5"/>
  <c r="CL41" i="5"/>
  <c r="BZ41" i="5"/>
  <c r="AA41" i="5"/>
  <c r="S41" i="5"/>
  <c r="CK41" i="5"/>
  <c r="CB41" i="5"/>
  <c r="BM41" i="5"/>
  <c r="BA41" i="5"/>
  <c r="L41" i="5"/>
  <c r="AN41" i="5"/>
  <c r="AG41" i="5"/>
  <c r="F41" i="5"/>
  <c r="M41" i="5"/>
  <c r="AD41" i="5"/>
  <c r="N41" i="5"/>
  <c r="CG41" i="5"/>
  <c r="AB41" i="5"/>
  <c r="BC41" i="5"/>
  <c r="AP41" i="5"/>
  <c r="AE41" i="5"/>
  <c r="AI41" i="5"/>
  <c r="AJ41" i="5"/>
  <c r="BB41" i="5"/>
  <c r="BF41" i="5"/>
  <c r="G41" i="5"/>
  <c r="AY41" i="5"/>
  <c r="J41" i="5"/>
  <c r="H41" i="5"/>
  <c r="BJ41" i="5"/>
  <c r="BP41" i="5"/>
  <c r="AZ41" i="5"/>
  <c r="K41" i="5"/>
  <c r="BH41" i="5"/>
  <c r="I41" i="5"/>
  <c r="O41" i="5"/>
  <c r="R41" i="5"/>
  <c r="W41" i="5"/>
  <c r="AR41" i="5"/>
  <c r="O37" i="11"/>
  <c r="AT78" i="5" l="1"/>
  <c r="AJ77" i="4"/>
  <c r="AI77" i="4"/>
  <c r="BO24" i="4"/>
  <c r="BH24" i="5"/>
  <c r="AX39" i="4"/>
  <c r="AX44" i="4"/>
  <c r="AX29" i="4"/>
  <c r="AX43" i="4"/>
  <c r="AX40" i="4"/>
  <c r="AX42" i="4"/>
  <c r="AX38" i="4"/>
  <c r="AW73" i="4"/>
  <c r="AU30" i="4"/>
  <c r="AV76" i="4"/>
  <c r="BI35" i="4"/>
  <c r="BP23" i="4"/>
  <c r="BI36" i="4"/>
  <c r="BI23" i="5"/>
  <c r="BI151" i="4"/>
  <c r="BI27" i="4"/>
  <c r="BN23" i="4"/>
  <c r="BG36" i="4"/>
  <c r="BG35" i="4"/>
  <c r="BG23" i="5"/>
  <c r="BG27" i="4"/>
  <c r="BG151" i="4"/>
  <c r="BL23" i="4"/>
  <c r="BE36" i="4"/>
  <c r="BE35" i="4"/>
  <c r="BE23" i="5"/>
  <c r="BE151" i="4"/>
  <c r="BE27" i="4"/>
  <c r="BJ23" i="5"/>
  <c r="BQ23" i="4"/>
  <c r="BJ36" i="4"/>
  <c r="BJ35" i="4"/>
  <c r="BJ151" i="4"/>
  <c r="BJ27" i="4"/>
  <c r="BD37" i="5"/>
  <c r="BD36" i="5"/>
  <c r="BD23" i="5"/>
  <c r="BK23" i="4"/>
  <c r="BD36" i="4"/>
  <c r="BD35" i="4"/>
  <c r="BD151" i="4"/>
  <c r="BD27" i="4"/>
  <c r="BO23" i="4"/>
  <c r="BH35" i="4"/>
  <c r="BH36" i="4"/>
  <c r="BH23" i="5"/>
  <c r="BH151" i="4"/>
  <c r="BH27" i="4"/>
  <c r="BR24" i="4"/>
  <c r="BK24" i="5"/>
  <c r="AO77" i="4"/>
  <c r="AU78" i="5"/>
  <c r="AY37" i="5"/>
  <c r="AY36" i="5"/>
  <c r="BM24" i="4"/>
  <c r="BF24" i="5"/>
  <c r="AS30" i="4"/>
  <c r="AT76" i="4"/>
  <c r="AP30" i="4"/>
  <c r="AQ77" i="4" s="1"/>
  <c r="AQ76" i="4"/>
  <c r="AT30" i="4"/>
  <c r="AU76" i="4"/>
  <c r="AQ30" i="4"/>
  <c r="AK42" i="4"/>
  <c r="AK39" i="4"/>
  <c r="AK43" i="4"/>
  <c r="AK29" i="4"/>
  <c r="AK40" i="4"/>
  <c r="AJ73" i="4"/>
  <c r="AK38" i="4"/>
  <c r="AK44" i="4"/>
  <c r="AL74" i="4"/>
  <c r="AK73" i="4"/>
  <c r="AK74" i="4"/>
  <c r="AV30" i="4"/>
  <c r="AA77" i="4"/>
  <c r="Z77" i="4"/>
  <c r="BA37" i="5"/>
  <c r="BA36" i="5"/>
  <c r="BJ37" i="5"/>
  <c r="BJ36" i="5"/>
  <c r="AM77" i="4"/>
  <c r="AD30" i="4"/>
  <c r="AE76" i="4"/>
  <c r="AD76" i="4"/>
  <c r="BX24" i="4"/>
  <c r="BQ24" i="5"/>
  <c r="AR36" i="4"/>
  <c r="AY23" i="4"/>
  <c r="AR35" i="4"/>
  <c r="AR23" i="5"/>
  <c r="AR27" i="4"/>
  <c r="AR151" i="4"/>
  <c r="BB36" i="5"/>
  <c r="BB37" i="5"/>
  <c r="AZ36" i="5"/>
  <c r="AZ37" i="5"/>
  <c r="BB44" i="4"/>
  <c r="BB40" i="4"/>
  <c r="BB43" i="4"/>
  <c r="BB29" i="4"/>
  <c r="BB42" i="4"/>
  <c r="BB38" i="4"/>
  <c r="BA73" i="4"/>
  <c r="BB39" i="4"/>
  <c r="BC74" i="4"/>
  <c r="AZ42" i="4"/>
  <c r="BA78" i="5" s="1"/>
  <c r="AZ43" i="4"/>
  <c r="AZ38" i="4"/>
  <c r="AZ44" i="4"/>
  <c r="AZ29" i="4"/>
  <c r="AZ40" i="4"/>
  <c r="AZ39" i="4"/>
  <c r="BA74" i="4"/>
  <c r="BP24" i="4"/>
  <c r="BI24" i="5"/>
  <c r="BN24" i="4"/>
  <c r="BG24" i="5"/>
  <c r="BA44" i="4"/>
  <c r="BA39" i="4"/>
  <c r="BA43" i="4"/>
  <c r="BA42" i="4"/>
  <c r="BB78" i="5" s="1"/>
  <c r="BA38" i="4"/>
  <c r="BB74" i="4"/>
  <c r="BA40" i="4"/>
  <c r="BA29" i="4"/>
  <c r="AZ73" i="4"/>
  <c r="BE36" i="5"/>
  <c r="BE37" i="5"/>
  <c r="AE78" i="5"/>
  <c r="AD78" i="5"/>
  <c r="AW42" i="4"/>
  <c r="AX78" i="5" s="1"/>
  <c r="AW43" i="4"/>
  <c r="AW39" i="4"/>
  <c r="AW40" i="4"/>
  <c r="AV73" i="4"/>
  <c r="AW38" i="4"/>
  <c r="AW29" i="4"/>
  <c r="AW44" i="4"/>
  <c r="AX74" i="4"/>
  <c r="BS24" i="4"/>
  <c r="BL24" i="5"/>
  <c r="BD74" i="4"/>
  <c r="BB73" i="4"/>
  <c r="BC29" i="4"/>
  <c r="BC43" i="4"/>
  <c r="BC42" i="4"/>
  <c r="BC38" i="4"/>
  <c r="BC44" i="4"/>
  <c r="BC39" i="4"/>
  <c r="BC40" i="4"/>
  <c r="AD52" i="4"/>
  <c r="AH52" i="4" s="1"/>
  <c r="AL52" i="4" s="1"/>
  <c r="AP52" i="4" s="1"/>
  <c r="AT52" i="4" s="1"/>
  <c r="AX52" i="4" s="1"/>
  <c r="BB52" i="4" s="1"/>
  <c r="BF52" i="4" s="1"/>
  <c r="BJ52" i="4" s="1"/>
  <c r="BN52" i="4" s="1"/>
  <c r="BR52" i="4" s="1"/>
  <c r="BV52" i="4" s="1"/>
  <c r="BZ52" i="4" s="1"/>
  <c r="CD52" i="4" s="1"/>
  <c r="CH52" i="4" s="1"/>
  <c r="CL52" i="4" s="1"/>
  <c r="Z47" i="32"/>
  <c r="X47" i="32"/>
  <c r="L47" i="32"/>
  <c r="K47" i="32"/>
  <c r="G47" i="32"/>
  <c r="R47" i="32"/>
  <c r="M47" i="32"/>
  <c r="V47" i="32"/>
  <c r="U47" i="32"/>
  <c r="AD56" i="4"/>
  <c r="AH56" i="4" s="1"/>
  <c r="AL56" i="4" s="1"/>
  <c r="AP56" i="4" s="1"/>
  <c r="AT56" i="4" s="1"/>
  <c r="AX56" i="4" s="1"/>
  <c r="BB56" i="4" s="1"/>
  <c r="BF56" i="4" s="1"/>
  <c r="BJ56" i="4" s="1"/>
  <c r="BN56" i="4" s="1"/>
  <c r="BR56" i="4" s="1"/>
  <c r="BV56" i="4" s="1"/>
  <c r="BZ56" i="4" s="1"/>
  <c r="CD56" i="4" s="1"/>
  <c r="CH56" i="4" s="1"/>
  <c r="CL56" i="4" s="1"/>
  <c r="C56" i="4" s="1"/>
  <c r="V51" i="32"/>
  <c r="U51" i="32"/>
  <c r="K51" i="32"/>
  <c r="P51" i="32"/>
  <c r="J51" i="32"/>
  <c r="R51" i="32"/>
  <c r="F51" i="32"/>
  <c r="W51" i="32"/>
  <c r="L51" i="32"/>
  <c r="G51" i="32"/>
  <c r="M51" i="32"/>
  <c r="E51" i="32"/>
  <c r="N51" i="32"/>
  <c r="H51" i="32"/>
  <c r="I51" i="32"/>
  <c r="X51" i="32"/>
  <c r="Z51" i="32"/>
  <c r="Q51" i="32"/>
  <c r="S51" i="32"/>
  <c r="Y51" i="32"/>
  <c r="AD55" i="4"/>
  <c r="AH55" i="4" s="1"/>
  <c r="AL55" i="4" s="1"/>
  <c r="AP55" i="4" s="1"/>
  <c r="AT55" i="4" s="1"/>
  <c r="AX55" i="4" s="1"/>
  <c r="BB55" i="4" s="1"/>
  <c r="BF55" i="4" s="1"/>
  <c r="BJ55" i="4" s="1"/>
  <c r="BN55" i="4" s="1"/>
  <c r="BR55" i="4" s="1"/>
  <c r="BV55" i="4" s="1"/>
  <c r="BZ55" i="4" s="1"/>
  <c r="CD55" i="4" s="1"/>
  <c r="CH55" i="4" s="1"/>
  <c r="CL55" i="4" s="1"/>
  <c r="G195" i="5"/>
  <c r="G196" i="5"/>
  <c r="I185" i="5"/>
  <c r="J186" i="5"/>
  <c r="H117" i="5"/>
  <c r="H193" i="5"/>
  <c r="H118" i="5"/>
  <c r="K180" i="4"/>
  <c r="G119" i="5"/>
  <c r="B5" i="10"/>
  <c r="N23" i="12"/>
  <c r="CE39" i="5"/>
  <c r="BV39" i="5"/>
  <c r="AU39" i="5"/>
  <c r="AS39" i="5"/>
  <c r="CM39" i="5"/>
  <c r="CK39" i="5"/>
  <c r="CC39" i="5"/>
  <c r="BY39" i="5"/>
  <c r="BP39" i="5"/>
  <c r="BI39" i="5"/>
  <c r="BF39" i="5"/>
  <c r="BB39" i="5"/>
  <c r="AT39" i="5"/>
  <c r="CN39" i="5"/>
  <c r="BS39" i="5"/>
  <c r="BD39" i="5"/>
  <c r="AZ39" i="5"/>
  <c r="AN39" i="5"/>
  <c r="CL39" i="5"/>
  <c r="CD39" i="5"/>
  <c r="BZ39" i="5"/>
  <c r="BQ39" i="5"/>
  <c r="BL39" i="5"/>
  <c r="BJ39" i="5"/>
  <c r="BC39" i="5"/>
  <c r="AY39" i="5"/>
  <c r="CH39" i="5"/>
  <c r="F39" i="5"/>
  <c r="BU39" i="5"/>
  <c r="BK39" i="5"/>
  <c r="AX39" i="5"/>
  <c r="CO39" i="5"/>
  <c r="CJ39" i="5"/>
  <c r="CB39" i="5"/>
  <c r="BX39" i="5"/>
  <c r="BH39" i="5"/>
  <c r="BE39" i="5"/>
  <c r="BA39" i="5"/>
  <c r="CI39" i="5"/>
  <c r="CF39" i="5"/>
  <c r="CA39" i="5"/>
  <c r="BW39" i="5"/>
  <c r="BR39" i="5"/>
  <c r="BM39" i="5"/>
  <c r="BG39" i="5"/>
  <c r="AV39" i="5"/>
  <c r="AP39" i="5"/>
  <c r="E39" i="5"/>
  <c r="AM39" i="5"/>
  <c r="Z39" i="5"/>
  <c r="S39" i="5"/>
  <c r="AQ39" i="5"/>
  <c r="AI39" i="5"/>
  <c r="AC39" i="5"/>
  <c r="P39" i="5"/>
  <c r="G39" i="5"/>
  <c r="CG39" i="5"/>
  <c r="AL39" i="5"/>
  <c r="BO39" i="5"/>
  <c r="AR39" i="5"/>
  <c r="AG39" i="5"/>
  <c r="AJ39" i="5"/>
  <c r="V39" i="5"/>
  <c r="AD39" i="5"/>
  <c r="AO39" i="5"/>
  <c r="AH39" i="5"/>
  <c r="AE39" i="5"/>
  <c r="BT39" i="5"/>
  <c r="AW39" i="5"/>
  <c r="AK39" i="5"/>
  <c r="W39" i="5"/>
  <c r="U39" i="5"/>
  <c r="T39" i="5"/>
  <c r="K39" i="5"/>
  <c r="AA39" i="5"/>
  <c r="L39" i="5"/>
  <c r="J39" i="5"/>
  <c r="AB39" i="5"/>
  <c r="M39" i="5"/>
  <c r="X39" i="5"/>
  <c r="I39" i="5"/>
  <c r="O39" i="5"/>
  <c r="AF39" i="5"/>
  <c r="Q39" i="5"/>
  <c r="Y39" i="5"/>
  <c r="H39" i="5"/>
  <c r="N39" i="5"/>
  <c r="BN39" i="5"/>
  <c r="R39" i="5"/>
  <c r="B11" i="12"/>
  <c r="B27" i="12" s="1"/>
  <c r="B42" i="12" s="1"/>
  <c r="N42" i="12" s="1"/>
  <c r="N33" i="10"/>
  <c r="CN40" i="5"/>
  <c r="BM40" i="5"/>
  <c r="BS40" i="5"/>
  <c r="CD40" i="5"/>
  <c r="BV40" i="5"/>
  <c r="J40" i="5"/>
  <c r="L40" i="5"/>
  <c r="CO40" i="5"/>
  <c r="CI40" i="5"/>
  <c r="BE40" i="5"/>
  <c r="BR40" i="5"/>
  <c r="AA40" i="5"/>
  <c r="AM40" i="5"/>
  <c r="AE40" i="5"/>
  <c r="V40" i="5"/>
  <c r="AZ40" i="5"/>
  <c r="S40" i="5"/>
  <c r="AD40" i="5"/>
  <c r="E40" i="5"/>
  <c r="CF40" i="5"/>
  <c r="BX40" i="5"/>
  <c r="CE40" i="5"/>
  <c r="CL40" i="5"/>
  <c r="BA40" i="5"/>
  <c r="AS40" i="5"/>
  <c r="AH40" i="5"/>
  <c r="BF40" i="5"/>
  <c r="CC40" i="5"/>
  <c r="BW40" i="5"/>
  <c r="BP40" i="5"/>
  <c r="BN40" i="5"/>
  <c r="F40" i="5"/>
  <c r="U40" i="5"/>
  <c r="AP40" i="5"/>
  <c r="T40" i="5"/>
  <c r="AF40" i="5"/>
  <c r="AG40" i="5"/>
  <c r="CM40" i="5"/>
  <c r="BU40" i="5"/>
  <c r="BZ40" i="5"/>
  <c r="BD40" i="5"/>
  <c r="AL40" i="5"/>
  <c r="I40" i="5"/>
  <c r="AX40" i="5"/>
  <c r="Z40" i="5"/>
  <c r="AN40" i="5"/>
  <c r="AV40" i="5"/>
  <c r="BY40" i="5"/>
  <c r="CA40" i="5"/>
  <c r="CH40" i="5"/>
  <c r="BK40" i="5"/>
  <c r="N40" i="5"/>
  <c r="AC40" i="5"/>
  <c r="AJ40" i="5"/>
  <c r="O40" i="5"/>
  <c r="W40" i="5"/>
  <c r="CB40" i="5"/>
  <c r="BI40" i="5"/>
  <c r="G40" i="5"/>
  <c r="R40" i="5"/>
  <c r="Y40" i="5"/>
  <c r="AY40" i="5"/>
  <c r="AQ40" i="5"/>
  <c r="AK40" i="5"/>
  <c r="CG40" i="5"/>
  <c r="BT40" i="5"/>
  <c r="BH40" i="5"/>
  <c r="AT40" i="5"/>
  <c r="K40" i="5"/>
  <c r="H40" i="5"/>
  <c r="BL40" i="5"/>
  <c r="AW40" i="5"/>
  <c r="AO40" i="5"/>
  <c r="AU40" i="5"/>
  <c r="AB40" i="5"/>
  <c r="P40" i="5"/>
  <c r="BO40" i="5"/>
  <c r="BG40" i="5"/>
  <c r="X40" i="5"/>
  <c r="BC40" i="5"/>
  <c r="BJ40" i="5"/>
  <c r="AI40" i="5"/>
  <c r="Q40" i="5"/>
  <c r="CK40" i="5"/>
  <c r="BB40" i="5"/>
  <c r="M40" i="5"/>
  <c r="CJ40" i="5"/>
  <c r="BQ40" i="5"/>
  <c r="AR40" i="5"/>
  <c r="F41" i="33"/>
  <c r="P41" i="33"/>
  <c r="S41" i="33"/>
  <c r="T41" i="33"/>
  <c r="Y41" i="33"/>
  <c r="V41" i="33"/>
  <c r="L41" i="33"/>
  <c r="R41" i="33"/>
  <c r="N41" i="33"/>
  <c r="U41" i="33"/>
  <c r="X41" i="33"/>
  <c r="M41" i="33"/>
  <c r="G41" i="33"/>
  <c r="O41" i="33"/>
  <c r="K41" i="33"/>
  <c r="Z41" i="33"/>
  <c r="Q41" i="33"/>
  <c r="E41" i="33"/>
  <c r="C41" i="33" s="1"/>
  <c r="W41" i="33"/>
  <c r="J41" i="33"/>
  <c r="H41" i="33"/>
  <c r="I41" i="33"/>
  <c r="C41" i="5"/>
  <c r="AU77" i="4" l="1"/>
  <c r="O51" i="32"/>
  <c r="W47" i="32"/>
  <c r="N47" i="32"/>
  <c r="BC78" i="5"/>
  <c r="AY35" i="4"/>
  <c r="AY23" i="5"/>
  <c r="BF23" i="4"/>
  <c r="AY36" i="4"/>
  <c r="AY151" i="4"/>
  <c r="AY27" i="4"/>
  <c r="BQ37" i="5"/>
  <c r="BQ36" i="5"/>
  <c r="AT77" i="4"/>
  <c r="BG43" i="4"/>
  <c r="BG42" i="4"/>
  <c r="BG38" i="4"/>
  <c r="BG40" i="4"/>
  <c r="BG39" i="4"/>
  <c r="BG44" i="4"/>
  <c r="BG29" i="4"/>
  <c r="BH74" i="4"/>
  <c r="T51" i="32"/>
  <c r="E47" i="32"/>
  <c r="C52" i="4"/>
  <c r="BC30" i="4"/>
  <c r="BB30" i="4"/>
  <c r="BC76" i="4"/>
  <c r="CE24" i="4"/>
  <c r="BX24" i="5"/>
  <c r="S47" i="32"/>
  <c r="Q47" i="32"/>
  <c r="AL78" i="5"/>
  <c r="AK78" i="5"/>
  <c r="BF36" i="5"/>
  <c r="BF37" i="5"/>
  <c r="BO36" i="4"/>
  <c r="BO35" i="4"/>
  <c r="BV23" i="4"/>
  <c r="BO23" i="5"/>
  <c r="BO27" i="4"/>
  <c r="BO151" i="4"/>
  <c r="BJ40" i="4"/>
  <c r="BJ38" i="4"/>
  <c r="BJ44" i="4"/>
  <c r="BI73" i="4"/>
  <c r="BJ39" i="4"/>
  <c r="BJ43" i="4"/>
  <c r="BJ29" i="4"/>
  <c r="BJ42" i="4"/>
  <c r="P47" i="32"/>
  <c r="BT24" i="4"/>
  <c r="BM24" i="5"/>
  <c r="BD43" i="4"/>
  <c r="BD42" i="4"/>
  <c r="BD78" i="5" s="1"/>
  <c r="BD44" i="4"/>
  <c r="BC72" i="4" s="1"/>
  <c r="BD40" i="4"/>
  <c r="BD39" i="4"/>
  <c r="BD29" i="4"/>
  <c r="BD38" i="4"/>
  <c r="BC73" i="4"/>
  <c r="BE74" i="4"/>
  <c r="AV77" i="4"/>
  <c r="O47" i="32"/>
  <c r="T47" i="32"/>
  <c r="BL37" i="5"/>
  <c r="BL36" i="5"/>
  <c r="AZ30" i="4"/>
  <c r="BA76" i="4"/>
  <c r="BN35" i="4"/>
  <c r="BU23" i="4"/>
  <c r="BN36" i="4"/>
  <c r="BN23" i="5"/>
  <c r="BN151" i="4"/>
  <c r="BN27" i="4"/>
  <c r="AW78" i="5"/>
  <c r="BZ24" i="4"/>
  <c r="BS24" i="5"/>
  <c r="AP77" i="4"/>
  <c r="BH37" i="5"/>
  <c r="BH36" i="5"/>
  <c r="F47" i="32"/>
  <c r="H47" i="32"/>
  <c r="BX23" i="4"/>
  <c r="BQ36" i="4"/>
  <c r="BQ35" i="4"/>
  <c r="BQ23" i="5"/>
  <c r="BQ151" i="4"/>
  <c r="BQ27" i="4"/>
  <c r="BV24" i="4"/>
  <c r="BO24" i="5"/>
  <c r="AE77" i="4"/>
  <c r="AD77" i="4"/>
  <c r="BK36" i="4"/>
  <c r="BR23" i="4"/>
  <c r="BK35" i="4"/>
  <c r="BK23" i="5"/>
  <c r="BK151" i="4"/>
  <c r="BK27" i="4"/>
  <c r="BK74" i="4" s="1"/>
  <c r="AW30" i="4"/>
  <c r="AX76" i="4"/>
  <c r="BE38" i="4"/>
  <c r="BE44" i="4"/>
  <c r="BE39" i="4"/>
  <c r="BD72" i="4" s="1"/>
  <c r="BE42" i="4"/>
  <c r="BE29" i="4"/>
  <c r="BD73" i="4"/>
  <c r="BE43" i="4"/>
  <c r="BE40" i="4"/>
  <c r="BH73" i="4"/>
  <c r="BI40" i="4"/>
  <c r="BI39" i="4"/>
  <c r="BI75" i="4" s="1"/>
  <c r="BI43" i="4"/>
  <c r="BI42" i="4"/>
  <c r="BJ78" i="5" s="1"/>
  <c r="BI44" i="4"/>
  <c r="BJ74" i="4"/>
  <c r="BI38" i="4"/>
  <c r="BI29" i="4"/>
  <c r="J47" i="32"/>
  <c r="BG36" i="5"/>
  <c r="BF76" i="5" s="1"/>
  <c r="BG37" i="5"/>
  <c r="BK37" i="5"/>
  <c r="BK36" i="5"/>
  <c r="BY24" i="4"/>
  <c r="BR24" i="5"/>
  <c r="BP36" i="4"/>
  <c r="BW23" i="4"/>
  <c r="BP35" i="4"/>
  <c r="BP23" i="5"/>
  <c r="BP151" i="4"/>
  <c r="BP27" i="4"/>
  <c r="I47" i="32"/>
  <c r="BI37" i="5"/>
  <c r="BI36" i="5"/>
  <c r="AR38" i="4"/>
  <c r="AS74" i="4"/>
  <c r="AR39" i="4"/>
  <c r="AR29" i="4"/>
  <c r="AR43" i="4"/>
  <c r="AR42" i="4"/>
  <c r="AR44" i="4"/>
  <c r="AR40" i="4"/>
  <c r="AQ73" i="4"/>
  <c r="AR73" i="4"/>
  <c r="AR74" i="4"/>
  <c r="AW76" i="4"/>
  <c r="BH43" i="4"/>
  <c r="BH42" i="4"/>
  <c r="BH38" i="4"/>
  <c r="BH40" i="4"/>
  <c r="BH29" i="4"/>
  <c r="BH44" i="4"/>
  <c r="BH39" i="4"/>
  <c r="BI74" i="4"/>
  <c r="BG73" i="4"/>
  <c r="BS23" i="4"/>
  <c r="BL36" i="4"/>
  <c r="BL35" i="4"/>
  <c r="BL23" i="5"/>
  <c r="BL27" i="4"/>
  <c r="BL151" i="4"/>
  <c r="BW24" i="4"/>
  <c r="BP24" i="5"/>
  <c r="AW77" i="4"/>
  <c r="BA30" i="4"/>
  <c r="BB76" i="4"/>
  <c r="BU24" i="4"/>
  <c r="BN24" i="5"/>
  <c r="Y47" i="32"/>
  <c r="AK30" i="4"/>
  <c r="AL76" i="4"/>
  <c r="AK76" i="4"/>
  <c r="AX30" i="4"/>
  <c r="G50" i="32"/>
  <c r="T50" i="32"/>
  <c r="Q50" i="32"/>
  <c r="L50" i="32"/>
  <c r="X50" i="32"/>
  <c r="F50" i="32"/>
  <c r="R50" i="32"/>
  <c r="Z50" i="32"/>
  <c r="N50" i="32"/>
  <c r="J50" i="32"/>
  <c r="P50" i="32"/>
  <c r="E50" i="32"/>
  <c r="U50" i="32"/>
  <c r="I50" i="32"/>
  <c r="Y50" i="32"/>
  <c r="M50" i="32"/>
  <c r="H50" i="32"/>
  <c r="S50" i="32"/>
  <c r="V50" i="32"/>
  <c r="C55" i="4"/>
  <c r="K50" i="32"/>
  <c r="W50" i="32"/>
  <c r="O50" i="32"/>
  <c r="C51" i="32"/>
  <c r="AH72" i="4"/>
  <c r="AI59" i="4"/>
  <c r="AI60" i="4" s="1"/>
  <c r="AM72" i="4"/>
  <c r="AN59" i="4"/>
  <c r="AN60" i="4" s="1"/>
  <c r="AJ72" i="4"/>
  <c r="AK59" i="4"/>
  <c r="AK60" i="4" s="1"/>
  <c r="AR72" i="4"/>
  <c r="AS59" i="4"/>
  <c r="AS60" i="4" s="1"/>
  <c r="AW72" i="4"/>
  <c r="AX59" i="4"/>
  <c r="AX60" i="4" s="1"/>
  <c r="AB72" i="4"/>
  <c r="AC59" i="4"/>
  <c r="AC60" i="4" s="1"/>
  <c r="AI72" i="4"/>
  <c r="AJ59" i="4"/>
  <c r="AJ60" i="4" s="1"/>
  <c r="BA72" i="4"/>
  <c r="BB59" i="4"/>
  <c r="BB60" i="4" s="1"/>
  <c r="V72" i="4"/>
  <c r="W59" i="4"/>
  <c r="AD72" i="4"/>
  <c r="AE59" i="4"/>
  <c r="AE60" i="4" s="1"/>
  <c r="BB72" i="4"/>
  <c r="BC59" i="4"/>
  <c r="BC60" i="4" s="1"/>
  <c r="AO72" i="4"/>
  <c r="AP59" i="4"/>
  <c r="AP60" i="4" s="1"/>
  <c r="AK72" i="4"/>
  <c r="AL59" i="4"/>
  <c r="AL60" i="4" s="1"/>
  <c r="AC72" i="4"/>
  <c r="AD59" i="4"/>
  <c r="AD60" i="4" s="1"/>
  <c r="Y72" i="4"/>
  <c r="Z59" i="4"/>
  <c r="Z60" i="4" s="1"/>
  <c r="AF72" i="4"/>
  <c r="AG59" i="4"/>
  <c r="AG60" i="4" s="1"/>
  <c r="AA72" i="4"/>
  <c r="AB59" i="4"/>
  <c r="AB60" i="4" s="1"/>
  <c r="AU72" i="4"/>
  <c r="AV59" i="4"/>
  <c r="AV60" i="4" s="1"/>
  <c r="AL72" i="4"/>
  <c r="AM59" i="4"/>
  <c r="AM60" i="4" s="1"/>
  <c r="Z72" i="4"/>
  <c r="AA59" i="4"/>
  <c r="AA60" i="4" s="1"/>
  <c r="AG72" i="4"/>
  <c r="AH59" i="4"/>
  <c r="AH60" i="4" s="1"/>
  <c r="AV72" i="4"/>
  <c r="AW59" i="4"/>
  <c r="AW60" i="4" s="1"/>
  <c r="AZ59" i="4"/>
  <c r="AZ60" i="4" s="1"/>
  <c r="AT72" i="4"/>
  <c r="AU59" i="4"/>
  <c r="AU60" i="4" s="1"/>
  <c r="AE72" i="4"/>
  <c r="AF59" i="4"/>
  <c r="AF60" i="4" s="1"/>
  <c r="AQ72" i="4"/>
  <c r="AS72" i="4"/>
  <c r="AT59" i="4"/>
  <c r="AT60" i="4" s="1"/>
  <c r="X72" i="4"/>
  <c r="Y59" i="4"/>
  <c r="Y60" i="4" s="1"/>
  <c r="AN72" i="4"/>
  <c r="AO59" i="4"/>
  <c r="AO60" i="4" s="1"/>
  <c r="AZ72" i="4"/>
  <c r="BA59" i="4"/>
  <c r="BA60" i="4" s="1"/>
  <c r="AP72" i="4"/>
  <c r="AQ59" i="4"/>
  <c r="AQ60" i="4" s="1"/>
  <c r="W72" i="4"/>
  <c r="X59" i="4"/>
  <c r="X60" i="4" s="1"/>
  <c r="N11" i="12"/>
  <c r="N27" i="12"/>
  <c r="H195" i="5"/>
  <c r="H196" i="5"/>
  <c r="J185" i="5"/>
  <c r="K186" i="5"/>
  <c r="I117" i="5"/>
  <c r="I193" i="5"/>
  <c r="I118" i="5"/>
  <c r="L180" i="4"/>
  <c r="H119" i="5"/>
  <c r="AE76" i="5"/>
  <c r="L76" i="5"/>
  <c r="L178" i="5" s="1"/>
  <c r="V75" i="4"/>
  <c r="V150" i="4" s="1"/>
  <c r="V79" i="4" s="1"/>
  <c r="BA75" i="4"/>
  <c r="BA150" i="4" s="1"/>
  <c r="BA79" i="4" s="1"/>
  <c r="M75" i="4"/>
  <c r="K75" i="4"/>
  <c r="O76" i="5"/>
  <c r="O178" i="5" s="1"/>
  <c r="I75" i="4"/>
  <c r="Q76" i="5"/>
  <c r="Q178" i="5" s="1"/>
  <c r="G76" i="5"/>
  <c r="G178" i="5" s="1"/>
  <c r="AE75" i="4"/>
  <c r="AE150" i="4" s="1"/>
  <c r="AE79" i="4" s="1"/>
  <c r="AI75" i="4"/>
  <c r="AI150" i="4" s="1"/>
  <c r="AI79" i="4" s="1"/>
  <c r="AC76" i="5"/>
  <c r="AK76" i="5"/>
  <c r="AO75" i="4"/>
  <c r="AO150" i="4" s="1"/>
  <c r="AO79" i="4" s="1"/>
  <c r="AL75" i="4"/>
  <c r="I150" i="4"/>
  <c r="I79" i="4" s="1"/>
  <c r="I172" i="4"/>
  <c r="M76" i="5"/>
  <c r="M178" i="5" s="1"/>
  <c r="AR75" i="4"/>
  <c r="AA76" i="5"/>
  <c r="Z76" i="5"/>
  <c r="AQ75" i="4"/>
  <c r="AV76" i="5"/>
  <c r="AN76" i="5"/>
  <c r="AI76" i="5"/>
  <c r="AB76" i="5"/>
  <c r="J75" i="4"/>
  <c r="AD75" i="4"/>
  <c r="AU76" i="5"/>
  <c r="AX76" i="5"/>
  <c r="AR76" i="5"/>
  <c r="K76" i="5"/>
  <c r="K178" i="5" s="1"/>
  <c r="F75" i="4"/>
  <c r="X76" i="5"/>
  <c r="N76" i="5"/>
  <c r="N178" i="5" s="1"/>
  <c r="AV75" i="4"/>
  <c r="E75" i="4"/>
  <c r="AA75" i="4"/>
  <c r="X75" i="4"/>
  <c r="U76" i="5"/>
  <c r="H75" i="4"/>
  <c r="AW75" i="4"/>
  <c r="AG75" i="4"/>
  <c r="AP76" i="5"/>
  <c r="P75" i="4"/>
  <c r="AZ76" i="5"/>
  <c r="BJ76" i="5"/>
  <c r="BI76" i="5"/>
  <c r="AM76" i="5"/>
  <c r="AB75" i="4"/>
  <c r="AF76" i="5"/>
  <c r="L75" i="4"/>
  <c r="AT76" i="5"/>
  <c r="AJ75" i="4"/>
  <c r="G75" i="4"/>
  <c r="H76" i="5"/>
  <c r="H178" i="5" s="1"/>
  <c r="AK75" i="4"/>
  <c r="J76" i="5"/>
  <c r="J178" i="5" s="1"/>
  <c r="AU75" i="4"/>
  <c r="AD76" i="5"/>
  <c r="AP75" i="4"/>
  <c r="AQ76" i="5"/>
  <c r="Y75" i="4"/>
  <c r="AL76" i="5"/>
  <c r="BD76" i="5"/>
  <c r="BK76" i="5"/>
  <c r="S40" i="33"/>
  <c r="I40" i="33"/>
  <c r="E40" i="33"/>
  <c r="C40" i="33" s="1"/>
  <c r="X40" i="33"/>
  <c r="U40" i="33"/>
  <c r="T40" i="33"/>
  <c r="M40" i="33"/>
  <c r="G40" i="33"/>
  <c r="R40" i="33"/>
  <c r="P40" i="33"/>
  <c r="H40" i="33"/>
  <c r="N40" i="33"/>
  <c r="Y40" i="33"/>
  <c r="O40" i="33"/>
  <c r="J40" i="33"/>
  <c r="Q40" i="33"/>
  <c r="L40" i="33"/>
  <c r="V40" i="33"/>
  <c r="K40" i="33"/>
  <c r="W40" i="33"/>
  <c r="Z40" i="33"/>
  <c r="F40" i="33"/>
  <c r="C40" i="5"/>
  <c r="BB76" i="5"/>
  <c r="W76" i="5"/>
  <c r="T75" i="4"/>
  <c r="S76" i="5"/>
  <c r="N75" i="4"/>
  <c r="U75" i="4"/>
  <c r="AH75" i="4"/>
  <c r="BB75" i="4"/>
  <c r="R75" i="4"/>
  <c r="M39" i="33"/>
  <c r="G39" i="33"/>
  <c r="V39" i="33"/>
  <c r="H39" i="33"/>
  <c r="Q39" i="33"/>
  <c r="L39" i="33"/>
  <c r="I39" i="33"/>
  <c r="F39" i="33"/>
  <c r="U39" i="33"/>
  <c r="O39" i="33"/>
  <c r="N39" i="33"/>
  <c r="Z39" i="33"/>
  <c r="R39" i="33"/>
  <c r="Y39" i="33"/>
  <c r="E39" i="33"/>
  <c r="C39" i="33" s="1"/>
  <c r="K39" i="33"/>
  <c r="J39" i="33"/>
  <c r="S39" i="33"/>
  <c r="X39" i="33"/>
  <c r="P39" i="33"/>
  <c r="W39" i="33"/>
  <c r="C39" i="5"/>
  <c r="T39" i="33"/>
  <c r="AY76" i="5"/>
  <c r="AS76" i="5"/>
  <c r="S75" i="4"/>
  <c r="AN75" i="4"/>
  <c r="P76" i="5"/>
  <c r="P178" i="5" s="1"/>
  <c r="W75" i="4"/>
  <c r="O75" i="4"/>
  <c r="T76" i="5"/>
  <c r="AJ76" i="5"/>
  <c r="AG76" i="5"/>
  <c r="Z75" i="4"/>
  <c r="AS75" i="4"/>
  <c r="R76" i="5"/>
  <c r="R178" i="5" s="1"/>
  <c r="AO76" i="5"/>
  <c r="BC76" i="5"/>
  <c r="BA76" i="5"/>
  <c r="AF75" i="4"/>
  <c r="AC75" i="4"/>
  <c r="AM75" i="4"/>
  <c r="I76" i="5"/>
  <c r="I178" i="5" s="1"/>
  <c r="V76" i="5"/>
  <c r="AZ75" i="4"/>
  <c r="Q75" i="4"/>
  <c r="AT75" i="4"/>
  <c r="F76" i="5"/>
  <c r="F178" i="5" s="1"/>
  <c r="AH76" i="5"/>
  <c r="Y76" i="5"/>
  <c r="BC75" i="4"/>
  <c r="AW76" i="5"/>
  <c r="E76" i="5"/>
  <c r="BE76" i="5"/>
  <c r="N5" i="10"/>
  <c r="B38" i="10"/>
  <c r="N38" i="10" s="1"/>
  <c r="B8" i="12"/>
  <c r="B24" i="12" s="1"/>
  <c r="B38" i="12" s="1"/>
  <c r="BD75" i="4" l="1"/>
  <c r="BH75" i="4"/>
  <c r="BB77" i="4"/>
  <c r="BI72" i="4"/>
  <c r="BG76" i="5"/>
  <c r="BG75" i="4"/>
  <c r="BG150" i="4" s="1"/>
  <c r="BG79" i="4" s="1"/>
  <c r="C47" i="32"/>
  <c r="BH72" i="4"/>
  <c r="BG72" i="4"/>
  <c r="BC77" i="4"/>
  <c r="BH76" i="5"/>
  <c r="BI78" i="5"/>
  <c r="BI30" i="4"/>
  <c r="BJ76" i="4"/>
  <c r="BO40" i="4"/>
  <c r="BO43" i="4"/>
  <c r="BO38" i="4"/>
  <c r="BP74" i="4"/>
  <c r="BN73" i="4"/>
  <c r="BO29" i="4"/>
  <c r="BO44" i="4"/>
  <c r="BO39" i="4"/>
  <c r="BO42" i="4"/>
  <c r="BS37" i="5"/>
  <c r="BS36" i="5"/>
  <c r="BX36" i="5"/>
  <c r="BX37" i="5"/>
  <c r="BH78" i="5"/>
  <c r="AL77" i="4"/>
  <c r="AK77" i="4"/>
  <c r="BY23" i="4"/>
  <c r="BR35" i="4"/>
  <c r="BR36" i="4"/>
  <c r="BR23" i="5"/>
  <c r="BR27" i="4"/>
  <c r="BR151" i="4"/>
  <c r="BQ40" i="4"/>
  <c r="BQ44" i="4"/>
  <c r="BQ39" i="4"/>
  <c r="BQ43" i="4"/>
  <c r="BQ42" i="4"/>
  <c r="BQ29" i="4"/>
  <c r="BQ38" i="4"/>
  <c r="BR74" i="4"/>
  <c r="BP73" i="4"/>
  <c r="CG24" i="4"/>
  <c r="BZ24" i="5"/>
  <c r="CC23" i="4"/>
  <c r="BV36" i="4"/>
  <c r="BV35" i="4"/>
  <c r="BV23" i="5"/>
  <c r="BV151" i="4"/>
  <c r="BV27" i="4"/>
  <c r="CL24" i="4"/>
  <c r="CL24" i="5" s="1"/>
  <c r="CE24" i="5"/>
  <c r="BP37" i="5"/>
  <c r="BP36" i="5"/>
  <c r="CD24" i="4"/>
  <c r="BW24" i="5"/>
  <c r="BN39" i="4"/>
  <c r="BN40" i="4"/>
  <c r="BN29" i="4"/>
  <c r="BN43" i="4"/>
  <c r="BN42" i="4"/>
  <c r="BN38" i="4"/>
  <c r="BN44" i="4"/>
  <c r="BO74" i="4"/>
  <c r="BD30" i="4"/>
  <c r="BE76" i="4"/>
  <c r="BL29" i="4"/>
  <c r="BL44" i="4"/>
  <c r="BL39" i="4"/>
  <c r="BL43" i="4"/>
  <c r="BL40" i="4"/>
  <c r="BL38" i="4"/>
  <c r="BL42" i="4"/>
  <c r="BK73" i="4"/>
  <c r="BP43" i="4"/>
  <c r="BP42" i="4"/>
  <c r="BQ78" i="5" s="1"/>
  <c r="BP38" i="4"/>
  <c r="BP44" i="4"/>
  <c r="BP29" i="4"/>
  <c r="BP39" i="4"/>
  <c r="BP40" i="4"/>
  <c r="BO73" i="4"/>
  <c r="BQ74" i="4"/>
  <c r="BD76" i="4"/>
  <c r="BX35" i="4"/>
  <c r="BX23" i="5"/>
  <c r="CE23" i="4"/>
  <c r="BX36" i="4"/>
  <c r="BX151" i="4"/>
  <c r="BX27" i="4"/>
  <c r="BD77" i="4"/>
  <c r="BJ30" i="4"/>
  <c r="CB23" i="4"/>
  <c r="BU36" i="4"/>
  <c r="BU35" i="4"/>
  <c r="BU23" i="5"/>
  <c r="BU27" i="4"/>
  <c r="BU151" i="4"/>
  <c r="BE78" i="5"/>
  <c r="BZ23" i="4"/>
  <c r="BS36" i="4"/>
  <c r="BS35" i="4"/>
  <c r="BS23" i="5"/>
  <c r="BS27" i="4"/>
  <c r="BS151" i="4"/>
  <c r="CD23" i="4"/>
  <c r="BW36" i="4"/>
  <c r="BW35" i="4"/>
  <c r="BW23" i="5"/>
  <c r="BW151" i="4"/>
  <c r="BW27" i="4"/>
  <c r="BN36" i="5"/>
  <c r="BN37" i="5"/>
  <c r="AX77" i="4"/>
  <c r="BA77" i="4"/>
  <c r="CB24" i="4"/>
  <c r="BU24" i="5"/>
  <c r="AS78" i="5"/>
  <c r="AR78" i="5"/>
  <c r="BG30" i="4"/>
  <c r="BH76" i="4"/>
  <c r="AY44" i="4"/>
  <c r="AY39" i="4"/>
  <c r="AY43" i="4"/>
  <c r="AY40" i="4"/>
  <c r="AX73" i="4"/>
  <c r="AY38" i="4"/>
  <c r="AZ74" i="4"/>
  <c r="AY29" i="4"/>
  <c r="AY42" i="4"/>
  <c r="AY74" i="4"/>
  <c r="AY73" i="4"/>
  <c r="BR37" i="5"/>
  <c r="BR36" i="5"/>
  <c r="BQ76" i="5" s="1"/>
  <c r="BE30" i="4"/>
  <c r="AR30" i="4"/>
  <c r="AS76" i="4"/>
  <c r="AR76" i="4"/>
  <c r="CF24" i="4"/>
  <c r="BY24" i="5"/>
  <c r="BK44" i="4"/>
  <c r="BK43" i="4"/>
  <c r="BL74" i="4"/>
  <c r="BK38" i="4"/>
  <c r="BK40" i="4"/>
  <c r="BK39" i="4"/>
  <c r="BK29" i="4"/>
  <c r="BK42" i="4"/>
  <c r="BJ73" i="4"/>
  <c r="BO36" i="5"/>
  <c r="BO37" i="5"/>
  <c r="BM37" i="5"/>
  <c r="BM36" i="5"/>
  <c r="BL76" i="5" s="1"/>
  <c r="BH30" i="4"/>
  <c r="BI76" i="4"/>
  <c r="CC24" i="4"/>
  <c r="BV24" i="5"/>
  <c r="CA24" i="4"/>
  <c r="BT24" i="5"/>
  <c r="BF35" i="4"/>
  <c r="BF36" i="4"/>
  <c r="BM23" i="4"/>
  <c r="BF23" i="5"/>
  <c r="BF151" i="4"/>
  <c r="BF27" i="4"/>
  <c r="C50" i="32"/>
  <c r="X133" i="4"/>
  <c r="X61" i="4"/>
  <c r="X71" i="4"/>
  <c r="AO61" i="4"/>
  <c r="AO71" i="4"/>
  <c r="AO133" i="4"/>
  <c r="AZ133" i="4"/>
  <c r="AZ71" i="4"/>
  <c r="AZ61" i="4"/>
  <c r="AH61" i="4"/>
  <c r="AH133" i="4"/>
  <c r="AH71" i="4"/>
  <c r="AV61" i="4"/>
  <c r="AV71" i="4"/>
  <c r="AV133" i="4"/>
  <c r="AG133" i="4"/>
  <c r="AG61" i="4"/>
  <c r="AG71" i="4"/>
  <c r="AD133" i="4"/>
  <c r="AD71" i="4"/>
  <c r="AD61" i="4"/>
  <c r="AL61" i="4"/>
  <c r="AL133" i="4"/>
  <c r="AL71" i="4"/>
  <c r="AE61" i="4"/>
  <c r="AE71" i="4"/>
  <c r="AE133" i="4"/>
  <c r="BB71" i="4"/>
  <c r="BB61" i="4"/>
  <c r="BB133" i="4"/>
  <c r="AS61" i="4"/>
  <c r="AS133" i="4"/>
  <c r="AS71" i="4"/>
  <c r="AN71" i="4"/>
  <c r="AN133" i="4"/>
  <c r="AN61" i="4"/>
  <c r="AQ61" i="4"/>
  <c r="AQ133" i="4"/>
  <c r="AQ71" i="4"/>
  <c r="BA71" i="4"/>
  <c r="BA61" i="4"/>
  <c r="BA133" i="4"/>
  <c r="Y71" i="4"/>
  <c r="Y133" i="4"/>
  <c r="Y61" i="4"/>
  <c r="AT71" i="4"/>
  <c r="AT61" i="4"/>
  <c r="AT133" i="4"/>
  <c r="AF133" i="4"/>
  <c r="AF61" i="4"/>
  <c r="AF71" i="4"/>
  <c r="AU133" i="4"/>
  <c r="AU61" i="4"/>
  <c r="AU71" i="4"/>
  <c r="AW71" i="4"/>
  <c r="AW61" i="4"/>
  <c r="AW133" i="4"/>
  <c r="AA71" i="4"/>
  <c r="AA61" i="4"/>
  <c r="AA133" i="4"/>
  <c r="AM133" i="4"/>
  <c r="AM71" i="4"/>
  <c r="AM61" i="4"/>
  <c r="AB133" i="4"/>
  <c r="AB71" i="4"/>
  <c r="AB61" i="4"/>
  <c r="Z61" i="4"/>
  <c r="Z133" i="4"/>
  <c r="Z71" i="4"/>
  <c r="AP71" i="4"/>
  <c r="AP133" i="4"/>
  <c r="AP61" i="4"/>
  <c r="BC71" i="4"/>
  <c r="BC61" i="4"/>
  <c r="BC133" i="4"/>
  <c r="W60" i="4"/>
  <c r="AJ71" i="4"/>
  <c r="AJ61" i="4"/>
  <c r="AJ133" i="4"/>
  <c r="AC61" i="4"/>
  <c r="AC133" i="4"/>
  <c r="AC71" i="4"/>
  <c r="AX71" i="4"/>
  <c r="AX61" i="4"/>
  <c r="AX133" i="4"/>
  <c r="AK133" i="4"/>
  <c r="AK71" i="4"/>
  <c r="AK61" i="4"/>
  <c r="AI61" i="4"/>
  <c r="AI133" i="4"/>
  <c r="AI71" i="4"/>
  <c r="V173" i="4"/>
  <c r="W173" i="4" s="1"/>
  <c r="X173" i="4" s="1"/>
  <c r="Y173" i="4" s="1"/>
  <c r="Z173" i="4" s="1"/>
  <c r="AA173" i="4" s="1"/>
  <c r="AB173" i="4" s="1"/>
  <c r="AC173" i="4" s="1"/>
  <c r="AD173" i="4" s="1"/>
  <c r="AE173" i="4" s="1"/>
  <c r="AF173" i="4" s="1"/>
  <c r="AG173" i="4" s="1"/>
  <c r="AH173" i="4" s="1"/>
  <c r="AI173" i="4" s="1"/>
  <c r="AJ173" i="4" s="1"/>
  <c r="AK173" i="4" s="1"/>
  <c r="AL173" i="4" s="1"/>
  <c r="AM173" i="4" s="1"/>
  <c r="AN173" i="4" s="1"/>
  <c r="AO173" i="4" s="1"/>
  <c r="AP173" i="4" s="1"/>
  <c r="AQ173" i="4" s="1"/>
  <c r="AR173" i="4" s="1"/>
  <c r="AS173" i="4" s="1"/>
  <c r="AT173" i="4" s="1"/>
  <c r="AU173" i="4" s="1"/>
  <c r="AV173" i="4" s="1"/>
  <c r="AW173" i="4" s="1"/>
  <c r="E120" i="4"/>
  <c r="K172" i="4"/>
  <c r="M150" i="4"/>
  <c r="M79" i="4" s="1"/>
  <c r="B43" i="12"/>
  <c r="N43" i="12" s="1"/>
  <c r="N44" i="12" s="1"/>
  <c r="B40" i="12"/>
  <c r="N40" i="12" s="1"/>
  <c r="N41" i="12" s="1"/>
  <c r="N38" i="12"/>
  <c r="N24" i="12"/>
  <c r="B25" i="12"/>
  <c r="N25" i="12" s="1"/>
  <c r="N26" i="12" s="1"/>
  <c r="B28" i="12"/>
  <c r="I195" i="5"/>
  <c r="I196" i="5"/>
  <c r="K185" i="5"/>
  <c r="L186" i="5"/>
  <c r="J117" i="5"/>
  <c r="J118" i="5"/>
  <c r="J193" i="5"/>
  <c r="J119" i="5" s="1"/>
  <c r="M180" i="4"/>
  <c r="I119" i="5"/>
  <c r="K150" i="4"/>
  <c r="K79" i="4" s="1"/>
  <c r="M172" i="4"/>
  <c r="Y150" i="4"/>
  <c r="Y79" i="4" s="1"/>
  <c r="P172" i="4"/>
  <c r="P150" i="4"/>
  <c r="P79" i="4" s="1"/>
  <c r="E172" i="4"/>
  <c r="E150" i="4"/>
  <c r="N172" i="4"/>
  <c r="N150" i="4"/>
  <c r="N79" i="4" s="1"/>
  <c r="G150" i="4"/>
  <c r="G79" i="4" s="1"/>
  <c r="G172" i="4"/>
  <c r="AV150" i="4"/>
  <c r="AV79" i="4" s="1"/>
  <c r="BC150" i="4"/>
  <c r="BC79" i="4" s="1"/>
  <c r="AR150" i="4"/>
  <c r="AR79" i="4" s="1"/>
  <c r="O150" i="4"/>
  <c r="O79" i="4" s="1"/>
  <c r="O172" i="4"/>
  <c r="S178" i="5"/>
  <c r="T178" i="5" s="1"/>
  <c r="U178" i="5" s="1"/>
  <c r="V178" i="5" s="1"/>
  <c r="W178" i="5" s="1"/>
  <c r="X178" i="5" s="1"/>
  <c r="Y178" i="5" s="1"/>
  <c r="Z178" i="5" s="1"/>
  <c r="AA178" i="5" s="1"/>
  <c r="AB178" i="5" s="1"/>
  <c r="AC178" i="5" s="1"/>
  <c r="AD178" i="5" s="1"/>
  <c r="AE178" i="5" s="1"/>
  <c r="AF178" i="5" s="1"/>
  <c r="AG178" i="5" s="1"/>
  <c r="AH178" i="5" s="1"/>
  <c r="AI178" i="5" s="1"/>
  <c r="AJ178" i="5" s="1"/>
  <c r="AK178" i="5" s="1"/>
  <c r="AL178" i="5" s="1"/>
  <c r="AM178" i="5" s="1"/>
  <c r="AN178" i="5" s="1"/>
  <c r="AO178" i="5" s="1"/>
  <c r="AP178" i="5" s="1"/>
  <c r="AQ178" i="5" s="1"/>
  <c r="AR178" i="5" s="1"/>
  <c r="AS178" i="5" s="1"/>
  <c r="AT178" i="5" s="1"/>
  <c r="AU178" i="5" s="1"/>
  <c r="AV178" i="5" s="1"/>
  <c r="AW178" i="5" s="1"/>
  <c r="AX178" i="5" s="1"/>
  <c r="AY178" i="5" s="1"/>
  <c r="AZ178" i="5" s="1"/>
  <c r="BA178" i="5" s="1"/>
  <c r="BB178" i="5" s="1"/>
  <c r="BC178" i="5" s="1"/>
  <c r="BD178" i="5" s="1"/>
  <c r="BE178" i="5" s="1"/>
  <c r="BF178" i="5" s="1"/>
  <c r="BG178" i="5" s="1"/>
  <c r="BH178" i="5" s="1"/>
  <c r="BI178" i="5" s="1"/>
  <c r="BJ178" i="5" s="1"/>
  <c r="BK178" i="5" s="1"/>
  <c r="AJ150" i="4"/>
  <c r="AJ79" i="4" s="1"/>
  <c r="AG150" i="4"/>
  <c r="AG79" i="4" s="1"/>
  <c r="U150" i="4"/>
  <c r="U79" i="4" s="1"/>
  <c r="AM150" i="4"/>
  <c r="AM79" i="4" s="1"/>
  <c r="AS150" i="4"/>
  <c r="AS79" i="4" s="1"/>
  <c r="W150" i="4"/>
  <c r="W79" i="4" s="1"/>
  <c r="T150" i="4"/>
  <c r="T79" i="4" s="1"/>
  <c r="AP150" i="4"/>
  <c r="AP79" i="4" s="1"/>
  <c r="AW150" i="4"/>
  <c r="AW79" i="4" s="1"/>
  <c r="AL150" i="4"/>
  <c r="AL79" i="4" s="1"/>
  <c r="N8" i="12"/>
  <c r="B9" i="12"/>
  <c r="E76" i="33"/>
  <c r="C76" i="33" s="1"/>
  <c r="E178" i="5"/>
  <c r="R76" i="33"/>
  <c r="Z76" i="33"/>
  <c r="F76" i="33"/>
  <c r="M76" i="33"/>
  <c r="O76" i="33"/>
  <c r="Q76" i="33"/>
  <c r="U76" i="33"/>
  <c r="P76" i="33"/>
  <c r="S76" i="33"/>
  <c r="N76" i="33"/>
  <c r="T76" i="33"/>
  <c r="G76" i="33"/>
  <c r="I76" i="33"/>
  <c r="L76" i="33"/>
  <c r="X76" i="33"/>
  <c r="K76" i="33"/>
  <c r="J76" i="33"/>
  <c r="V76" i="33"/>
  <c r="C76" i="5"/>
  <c r="W76" i="33"/>
  <c r="H76" i="33"/>
  <c r="Y76" i="33"/>
  <c r="AC150" i="4"/>
  <c r="AC79" i="4" s="1"/>
  <c r="R150" i="4"/>
  <c r="R79" i="4" s="1"/>
  <c r="R172" i="4"/>
  <c r="S172" i="4" s="1"/>
  <c r="T172" i="4" s="1"/>
  <c r="U172" i="4" s="1"/>
  <c r="V172" i="4" s="1"/>
  <c r="W172" i="4" s="1"/>
  <c r="X172" i="4" s="1"/>
  <c r="Y172" i="4" s="1"/>
  <c r="Z172" i="4" s="1"/>
  <c r="AA172" i="4" s="1"/>
  <c r="AB172" i="4" s="1"/>
  <c r="AC172" i="4" s="1"/>
  <c r="AD172" i="4" s="1"/>
  <c r="AE172" i="4" s="1"/>
  <c r="AF172" i="4" s="1"/>
  <c r="AG172" i="4" s="1"/>
  <c r="AH172" i="4" s="1"/>
  <c r="AI172" i="4" s="1"/>
  <c r="AJ172" i="4" s="1"/>
  <c r="AK172" i="4" s="1"/>
  <c r="AL172" i="4" s="1"/>
  <c r="AM172" i="4" s="1"/>
  <c r="AN172" i="4" s="1"/>
  <c r="AO172" i="4" s="1"/>
  <c r="AP172" i="4" s="1"/>
  <c r="AQ172" i="4" s="1"/>
  <c r="AR172" i="4" s="1"/>
  <c r="AS172" i="4" s="1"/>
  <c r="AT172" i="4" s="1"/>
  <c r="AU172" i="4" s="1"/>
  <c r="AV172" i="4" s="1"/>
  <c r="AW172" i="4" s="1"/>
  <c r="H172" i="4"/>
  <c r="H150" i="4"/>
  <c r="H79" i="4" s="1"/>
  <c r="F150" i="4"/>
  <c r="F79" i="4" s="1"/>
  <c r="F172" i="4"/>
  <c r="AU150" i="4"/>
  <c r="AU79" i="4" s="1"/>
  <c r="L150" i="4"/>
  <c r="L79" i="4" s="1"/>
  <c r="L172" i="4"/>
  <c r="AB150" i="4"/>
  <c r="AB79" i="4" s="1"/>
  <c r="AQ150" i="4"/>
  <c r="AQ79" i="4" s="1"/>
  <c r="AN150" i="4"/>
  <c r="AN79" i="4" s="1"/>
  <c r="BB150" i="4"/>
  <c r="BB79" i="4" s="1"/>
  <c r="Q172" i="4"/>
  <c r="Q150" i="4"/>
  <c r="Q79" i="4" s="1"/>
  <c r="AF150" i="4"/>
  <c r="AF79" i="4" s="1"/>
  <c r="Z150" i="4"/>
  <c r="Z79" i="4" s="1"/>
  <c r="S150" i="4"/>
  <c r="S79" i="4" s="1"/>
  <c r="BH150" i="4"/>
  <c r="BH79" i="4" s="1"/>
  <c r="X150" i="4"/>
  <c r="X79" i="4" s="1"/>
  <c r="AD150" i="4"/>
  <c r="AD79" i="4" s="1"/>
  <c r="AT150" i="4"/>
  <c r="AT79" i="4" s="1"/>
  <c r="BD150" i="4"/>
  <c r="BD79" i="4" s="1"/>
  <c r="AZ150" i="4"/>
  <c r="AZ79" i="4" s="1"/>
  <c r="AH150" i="4"/>
  <c r="AH79" i="4" s="1"/>
  <c r="AK150" i="4"/>
  <c r="AK79" i="4" s="1"/>
  <c r="BI150" i="4"/>
  <c r="BI79" i="4" s="1"/>
  <c r="AA150" i="4"/>
  <c r="AA79" i="4" s="1"/>
  <c r="J172" i="4"/>
  <c r="J150" i="4"/>
  <c r="J79" i="4" s="1"/>
  <c r="BL78" i="5" l="1"/>
  <c r="BO78" i="5"/>
  <c r="BN76" i="5"/>
  <c r="BL178" i="5"/>
  <c r="BT36" i="5"/>
  <c r="BS76" i="5" s="1"/>
  <c r="BT37" i="5"/>
  <c r="BJ59" i="4"/>
  <c r="BJ60" i="4" s="1"/>
  <c r="BX39" i="4"/>
  <c r="BX40" i="4"/>
  <c r="BX38" i="4"/>
  <c r="BX43" i="4"/>
  <c r="BX29" i="4"/>
  <c r="BX42" i="4"/>
  <c r="BX44" i="4"/>
  <c r="BW73" i="4"/>
  <c r="BN30" i="4"/>
  <c r="BN59" i="4" s="1"/>
  <c r="BN60" i="4" s="1"/>
  <c r="BO76" i="4"/>
  <c r="CK24" i="4"/>
  <c r="CK24" i="5" s="1"/>
  <c r="CD24" i="5"/>
  <c r="AS77" i="4"/>
  <c r="AR77" i="4"/>
  <c r="AR59" i="4"/>
  <c r="CC35" i="4"/>
  <c r="CC36" i="4"/>
  <c r="CJ23" i="4"/>
  <c r="CC23" i="5"/>
  <c r="CC27" i="4"/>
  <c r="CC151" i="4"/>
  <c r="BU44" i="4"/>
  <c r="BU40" i="4"/>
  <c r="BU29" i="4"/>
  <c r="BU39" i="4"/>
  <c r="BU38" i="4"/>
  <c r="BU43" i="4"/>
  <c r="BU42" i="4"/>
  <c r="BV74" i="4"/>
  <c r="CE36" i="4"/>
  <c r="CL23" i="4"/>
  <c r="CE35" i="4"/>
  <c r="CE23" i="5"/>
  <c r="CE151" i="4"/>
  <c r="CE27" i="4"/>
  <c r="BL30" i="4"/>
  <c r="BL59" i="4" s="1"/>
  <c r="BL60" i="4" s="1"/>
  <c r="BJ77" i="4"/>
  <c r="BI59" i="4"/>
  <c r="BI60" i="4" s="1"/>
  <c r="BU36" i="5"/>
  <c r="BT76" i="5" s="1"/>
  <c r="BU37" i="5"/>
  <c r="BQ73" i="4"/>
  <c r="BR39" i="4"/>
  <c r="BR29" i="4"/>
  <c r="BR44" i="4"/>
  <c r="BR42" i="4"/>
  <c r="BR43" i="4"/>
  <c r="BR40" i="4"/>
  <c r="BR38" i="4"/>
  <c r="BS74" i="4"/>
  <c r="BP78" i="5"/>
  <c r="BV37" i="5"/>
  <c r="BV36" i="5"/>
  <c r="BK30" i="4"/>
  <c r="BL76" i="4"/>
  <c r="CI24" i="4"/>
  <c r="CI24" i="5" s="1"/>
  <c r="CB24" i="5"/>
  <c r="BP30" i="4"/>
  <c r="BP59" i="4" s="1"/>
  <c r="BP60" i="4" s="1"/>
  <c r="BQ76" i="4"/>
  <c r="CJ24" i="4"/>
  <c r="CJ24" i="5" s="1"/>
  <c r="CC24" i="5"/>
  <c r="CK23" i="4"/>
  <c r="CD35" i="4"/>
  <c r="CD36" i="4"/>
  <c r="CD23" i="5"/>
  <c r="CD27" i="4"/>
  <c r="CD151" i="4"/>
  <c r="BZ36" i="5"/>
  <c r="BZ37" i="5"/>
  <c r="BF29" i="4"/>
  <c r="BF42" i="4"/>
  <c r="BF44" i="4"/>
  <c r="BF40" i="4"/>
  <c r="BF75" i="4" s="1"/>
  <c r="BF38" i="4"/>
  <c r="BF39" i="4"/>
  <c r="BF43" i="4"/>
  <c r="BE73" i="4"/>
  <c r="BG74" i="4"/>
  <c r="BF74" i="4"/>
  <c r="BF73" i="4"/>
  <c r="CI23" i="4"/>
  <c r="CB36" i="4"/>
  <c r="CB35" i="4"/>
  <c r="CB23" i="5"/>
  <c r="CB151" i="4"/>
  <c r="CB27" i="4"/>
  <c r="BO72" i="4"/>
  <c r="BO75" i="4"/>
  <c r="BO150" i="4" s="1"/>
  <c r="BO79" i="4" s="1"/>
  <c r="BE77" i="4"/>
  <c r="BD59" i="4"/>
  <c r="BD60" i="4" s="1"/>
  <c r="BO76" i="5"/>
  <c r="BP76" i="5"/>
  <c r="CN24" i="4"/>
  <c r="CG24" i="5"/>
  <c r="BO30" i="4"/>
  <c r="BP76" i="4"/>
  <c r="BO59" i="4"/>
  <c r="BO60" i="4" s="1"/>
  <c r="BI77" i="4"/>
  <c r="BH59" i="4"/>
  <c r="BH60" i="4" s="1"/>
  <c r="BJ75" i="4"/>
  <c r="BJ150" i="4" s="1"/>
  <c r="BJ79" i="4" s="1"/>
  <c r="BJ72" i="4"/>
  <c r="BH77" i="4"/>
  <c r="BG59" i="4"/>
  <c r="BG60" i="4" s="1"/>
  <c r="BY36" i="4"/>
  <c r="CF23" i="4"/>
  <c r="BY35" i="4"/>
  <c r="BY23" i="5"/>
  <c r="BY151" i="4"/>
  <c r="BY27" i="4"/>
  <c r="CE36" i="5"/>
  <c r="CE37" i="5"/>
  <c r="BR76" i="5"/>
  <c r="BM35" i="4"/>
  <c r="BM36" i="4"/>
  <c r="BT23" i="4"/>
  <c r="BM23" i="5"/>
  <c r="BM151" i="4"/>
  <c r="BM27" i="4"/>
  <c r="BS43" i="4"/>
  <c r="BS40" i="4"/>
  <c r="BS38" i="4"/>
  <c r="BS44" i="4"/>
  <c r="BS39" i="4"/>
  <c r="BS42" i="4"/>
  <c r="BR73" i="4"/>
  <c r="BS29" i="4"/>
  <c r="CL36" i="5"/>
  <c r="CL37" i="5"/>
  <c r="BN72" i="4"/>
  <c r="BN75" i="4"/>
  <c r="BN150" i="4" s="1"/>
  <c r="BN79" i="4" s="1"/>
  <c r="BE59" i="4"/>
  <c r="BE60" i="4" s="1"/>
  <c r="BM76" i="5"/>
  <c r="BM178" i="5" s="1"/>
  <c r="BN178" i="5" s="1"/>
  <c r="AX75" i="4"/>
  <c r="AX172" i="4" s="1"/>
  <c r="AY75" i="4"/>
  <c r="AY150" i="4" s="1"/>
  <c r="AY79" i="4" s="1"/>
  <c r="AX72" i="4"/>
  <c r="AX173" i="4" s="1"/>
  <c r="AY72" i="4"/>
  <c r="BW39" i="4"/>
  <c r="BW43" i="4"/>
  <c r="BW42" i="4"/>
  <c r="BX78" i="5" s="1"/>
  <c r="BW38" i="4"/>
  <c r="BW29" i="4"/>
  <c r="BV73" i="4"/>
  <c r="BX74" i="4"/>
  <c r="BW40" i="4"/>
  <c r="BW44" i="4"/>
  <c r="BK78" i="5"/>
  <c r="BP75" i="4"/>
  <c r="BP150" i="4" s="1"/>
  <c r="BP79" i="4" s="1"/>
  <c r="BP72" i="4"/>
  <c r="BY36" i="5"/>
  <c r="BX76" i="5" s="1"/>
  <c r="BY37" i="5"/>
  <c r="BV42" i="4"/>
  <c r="BV38" i="4"/>
  <c r="BV44" i="4"/>
  <c r="BV29" i="4"/>
  <c r="BV39" i="4"/>
  <c r="BU73" i="4"/>
  <c r="BV40" i="4"/>
  <c r="BV43" i="4"/>
  <c r="BW74" i="4"/>
  <c r="BQ30" i="4"/>
  <c r="BQ59" i="4" s="1"/>
  <c r="BQ60" i="4" s="1"/>
  <c r="CM24" i="4"/>
  <c r="CM24" i="5" s="1"/>
  <c r="CF24" i="5"/>
  <c r="AZ78" i="5"/>
  <c r="AY78" i="5"/>
  <c r="BZ36" i="4"/>
  <c r="BZ35" i="4"/>
  <c r="CG23" i="4"/>
  <c r="BZ23" i="5"/>
  <c r="BZ151" i="4"/>
  <c r="BZ27" i="4"/>
  <c r="BK72" i="4"/>
  <c r="BK75" i="4"/>
  <c r="BK150" i="4" s="1"/>
  <c r="BK79" i="4" s="1"/>
  <c r="CH24" i="4"/>
  <c r="CA24" i="5"/>
  <c r="AY30" i="4"/>
  <c r="AZ76" i="4"/>
  <c r="AY76" i="4"/>
  <c r="AY59" i="4"/>
  <c r="AY60" i="4" s="1"/>
  <c r="BK76" i="4"/>
  <c r="BW37" i="5"/>
  <c r="BW36" i="5"/>
  <c r="BV76" i="5" s="1"/>
  <c r="W61" i="4"/>
  <c r="W71" i="4"/>
  <c r="W133" i="4"/>
  <c r="N28" i="12"/>
  <c r="N29" i="12" s="1"/>
  <c r="L185" i="5"/>
  <c r="M186" i="5"/>
  <c r="K117" i="5"/>
  <c r="K193" i="5"/>
  <c r="K119" i="5" s="1"/>
  <c r="K118" i="5"/>
  <c r="N180" i="4"/>
  <c r="J195" i="5"/>
  <c r="J196" i="5"/>
  <c r="I174" i="33"/>
  <c r="H174" i="33"/>
  <c r="O174" i="33"/>
  <c r="U174" i="33"/>
  <c r="L174" i="33"/>
  <c r="J174" i="33"/>
  <c r="Q174" i="33"/>
  <c r="Z174" i="33"/>
  <c r="R174" i="33"/>
  <c r="N174" i="33"/>
  <c r="Y174" i="33"/>
  <c r="W174" i="33"/>
  <c r="P174" i="33"/>
  <c r="G174" i="33"/>
  <c r="M174" i="33"/>
  <c r="F174" i="33"/>
  <c r="X174" i="33"/>
  <c r="T174" i="33"/>
  <c r="V174" i="33"/>
  <c r="S174" i="33"/>
  <c r="K174" i="33"/>
  <c r="E174" i="33"/>
  <c r="E79" i="4"/>
  <c r="E152" i="4"/>
  <c r="E80" i="4"/>
  <c r="E122" i="4" s="1"/>
  <c r="B12" i="12"/>
  <c r="N9" i="12"/>
  <c r="N10" i="12" s="1"/>
  <c r="BQ75" i="4" l="1"/>
  <c r="BQ150" i="4" s="1"/>
  <c r="BQ79" i="4" s="1"/>
  <c r="BP77" i="4"/>
  <c r="BL77" i="4"/>
  <c r="BF72" i="4"/>
  <c r="BR72" i="4"/>
  <c r="BE75" i="4"/>
  <c r="BE150" i="4" s="1"/>
  <c r="BE79" i="4" s="1"/>
  <c r="BE72" i="4"/>
  <c r="BR75" i="4"/>
  <c r="BR150" i="4" s="1"/>
  <c r="BR79" i="4" s="1"/>
  <c r="BO178" i="5"/>
  <c r="BP178" i="5" s="1"/>
  <c r="BQ178" i="5" s="1"/>
  <c r="BR178" i="5" s="1"/>
  <c r="BS178" i="5" s="1"/>
  <c r="BT178" i="5" s="1"/>
  <c r="BF150" i="4"/>
  <c r="BF79" i="4" s="1"/>
  <c r="BU72" i="4"/>
  <c r="BQ72" i="4"/>
  <c r="BW78" i="5"/>
  <c r="BV72" i="4"/>
  <c r="BS78" i="5"/>
  <c r="AY173" i="4"/>
  <c r="AZ173" i="4" s="1"/>
  <c r="BA173" i="4" s="1"/>
  <c r="BB173" i="4" s="1"/>
  <c r="BC173" i="4" s="1"/>
  <c r="BD173" i="4" s="1"/>
  <c r="BE173" i="4" s="1"/>
  <c r="BF173" i="4" s="1"/>
  <c r="BG173" i="4" s="1"/>
  <c r="BH173" i="4" s="1"/>
  <c r="BI173" i="4" s="1"/>
  <c r="BJ173" i="4" s="1"/>
  <c r="BK173" i="4" s="1"/>
  <c r="AY172" i="4"/>
  <c r="AZ172" i="4" s="1"/>
  <c r="BA172" i="4" s="1"/>
  <c r="BB172" i="4" s="1"/>
  <c r="BC172" i="4" s="1"/>
  <c r="BD172" i="4" s="1"/>
  <c r="BL71" i="4"/>
  <c r="BL61" i="4"/>
  <c r="BL133" i="4"/>
  <c r="BQ133" i="4"/>
  <c r="BQ61" i="4"/>
  <c r="BQ71" i="4"/>
  <c r="BO61" i="4"/>
  <c r="BO71" i="4"/>
  <c r="BO133" i="4"/>
  <c r="CB73" i="4"/>
  <c r="CC44" i="4"/>
  <c r="CC39" i="4"/>
  <c r="CC38" i="4"/>
  <c r="CC40" i="4"/>
  <c r="CC43" i="4"/>
  <c r="CC29" i="4"/>
  <c r="CC42" i="4"/>
  <c r="CD74" i="4"/>
  <c r="BN133" i="4"/>
  <c r="BN71" i="4"/>
  <c r="BN61" i="4"/>
  <c r="CF37" i="5"/>
  <c r="CF36" i="5"/>
  <c r="CE76" i="5" s="1"/>
  <c r="BH133" i="4"/>
  <c r="BH71" i="4"/>
  <c r="BH61" i="4"/>
  <c r="CD40" i="4"/>
  <c r="CC73" i="4"/>
  <c r="CD29" i="4"/>
  <c r="CD43" i="4"/>
  <c r="CD42" i="4"/>
  <c r="CD38" i="4"/>
  <c r="CD44" i="4"/>
  <c r="CD39" i="4"/>
  <c r="CE74" i="4"/>
  <c r="BP133" i="4"/>
  <c r="BP71" i="4"/>
  <c r="BP61" i="4"/>
  <c r="BR30" i="4"/>
  <c r="BS76" i="4"/>
  <c r="BI71" i="4"/>
  <c r="BI133" i="4"/>
  <c r="BI61" i="4"/>
  <c r="BV78" i="5"/>
  <c r="BR78" i="5"/>
  <c r="CM37" i="5"/>
  <c r="CM36" i="5"/>
  <c r="CL76" i="5" s="1"/>
  <c r="CJ36" i="4"/>
  <c r="CJ35" i="4"/>
  <c r="CJ23" i="5"/>
  <c r="CJ151" i="4"/>
  <c r="CJ27" i="4"/>
  <c r="BO77" i="4"/>
  <c r="BE71" i="4"/>
  <c r="BE133" i="4"/>
  <c r="BE61" i="4"/>
  <c r="AY71" i="4"/>
  <c r="AY61" i="4"/>
  <c r="AY133" i="4"/>
  <c r="BY42" i="4"/>
  <c r="BY43" i="4"/>
  <c r="BY40" i="4"/>
  <c r="BY38" i="4"/>
  <c r="BX75" i="4" s="1"/>
  <c r="BX150" i="4" s="1"/>
  <c r="BX79" i="4" s="1"/>
  <c r="BY39" i="4"/>
  <c r="BX73" i="4"/>
  <c r="BY44" i="4"/>
  <c r="BY29" i="4"/>
  <c r="BZ74" i="4"/>
  <c r="CI36" i="4"/>
  <c r="CI35" i="4"/>
  <c r="CI23" i="5"/>
  <c r="CI151" i="4"/>
  <c r="CI27" i="4"/>
  <c r="BQ77" i="4"/>
  <c r="BK59" i="4"/>
  <c r="BK60" i="4" s="1"/>
  <c r="BW75" i="4"/>
  <c r="BW150" i="4" s="1"/>
  <c r="BW79" i="4" s="1"/>
  <c r="CO24" i="4"/>
  <c r="CO24" i="5" s="1"/>
  <c r="CH24" i="5"/>
  <c r="CK37" i="5"/>
  <c r="C37" i="5" s="1"/>
  <c r="CK36" i="5"/>
  <c r="CK76" i="5" s="1"/>
  <c r="BR76" i="4"/>
  <c r="CG37" i="5"/>
  <c r="CG36" i="5"/>
  <c r="CK36" i="4"/>
  <c r="CK35" i="4"/>
  <c r="CK23" i="5"/>
  <c r="CK27" i="4"/>
  <c r="CK151" i="4"/>
  <c r="BW72" i="4"/>
  <c r="BU30" i="4"/>
  <c r="BU59" i="4" s="1"/>
  <c r="BU60" i="4" s="1"/>
  <c r="BV76" i="4"/>
  <c r="AR60" i="4"/>
  <c r="BY74" i="4"/>
  <c r="BM29" i="4"/>
  <c r="BM42" i="4"/>
  <c r="BL73" i="4"/>
  <c r="BM44" i="4"/>
  <c r="BN74" i="4"/>
  <c r="BM40" i="4"/>
  <c r="BM39" i="4"/>
  <c r="BM38" i="4"/>
  <c r="BM43" i="4"/>
  <c r="BM73" i="4"/>
  <c r="BM74" i="4"/>
  <c r="CN24" i="5"/>
  <c r="C24" i="4"/>
  <c r="BZ29" i="4"/>
  <c r="BZ44" i="4"/>
  <c r="BZ39" i="4"/>
  <c r="BZ43" i="4"/>
  <c r="BY73" i="4"/>
  <c r="BZ40" i="4"/>
  <c r="BZ38" i="4"/>
  <c r="BZ42" i="4"/>
  <c r="BW30" i="4"/>
  <c r="BX76" i="4"/>
  <c r="CF35" i="4"/>
  <c r="CM23" i="4"/>
  <c r="CF36" i="4"/>
  <c r="CF23" i="5"/>
  <c r="CF151" i="4"/>
  <c r="CF27" i="4"/>
  <c r="BU76" i="5"/>
  <c r="BU178" i="5" s="1"/>
  <c r="BV178" i="5" s="1"/>
  <c r="BY78" i="5"/>
  <c r="AZ77" i="4"/>
  <c r="AY77" i="4"/>
  <c r="BG78" i="5"/>
  <c r="BF78" i="5"/>
  <c r="BV75" i="4"/>
  <c r="BV150" i="4" s="1"/>
  <c r="BV79" i="4" s="1"/>
  <c r="BX30" i="4"/>
  <c r="BX59" i="4" s="1"/>
  <c r="BX60" i="4" s="1"/>
  <c r="BT35" i="4"/>
  <c r="BT36" i="4"/>
  <c r="CA23" i="4"/>
  <c r="BT23" i="5"/>
  <c r="BT27" i="4"/>
  <c r="BT151" i="4"/>
  <c r="BF30" i="4"/>
  <c r="BG76" i="4"/>
  <c r="BF59" i="4"/>
  <c r="BF60" i="4" s="1"/>
  <c r="BF76" i="4"/>
  <c r="CB37" i="5"/>
  <c r="CB36" i="5"/>
  <c r="CE43" i="4"/>
  <c r="CE42" i="4"/>
  <c r="CD73" i="4"/>
  <c r="CE38" i="4"/>
  <c r="CE44" i="4"/>
  <c r="CE39" i="4"/>
  <c r="CE40" i="4"/>
  <c r="CE29" i="4"/>
  <c r="CN23" i="4"/>
  <c r="CG36" i="4"/>
  <c r="CG35" i="4"/>
  <c r="CG23" i="5"/>
  <c r="CG151" i="4"/>
  <c r="CG27" i="4"/>
  <c r="BS30" i="4"/>
  <c r="BS59" i="4"/>
  <c r="BS60" i="4" s="1"/>
  <c r="BD133" i="4"/>
  <c r="BD61" i="4"/>
  <c r="BD71" i="4"/>
  <c r="CI36" i="5"/>
  <c r="CI37" i="5"/>
  <c r="CC37" i="5"/>
  <c r="CC36" i="5"/>
  <c r="BV30" i="4"/>
  <c r="BW77" i="4" s="1"/>
  <c r="BW76" i="4"/>
  <c r="AX150" i="4"/>
  <c r="BY76" i="5"/>
  <c r="CJ37" i="5"/>
  <c r="CJ36" i="5"/>
  <c r="CD75" i="4"/>
  <c r="CD150" i="4" s="1"/>
  <c r="CD79" i="4" s="1"/>
  <c r="BU75" i="4"/>
  <c r="BU150" i="4" s="1"/>
  <c r="BU79" i="4" s="1"/>
  <c r="BG71" i="4"/>
  <c r="BG133" i="4"/>
  <c r="BG61" i="4"/>
  <c r="BW76" i="5"/>
  <c r="CL36" i="4"/>
  <c r="CL35" i="4"/>
  <c r="CL23" i="5"/>
  <c r="CL27" i="4"/>
  <c r="CL151" i="4"/>
  <c r="BJ133" i="4"/>
  <c r="BJ61" i="4"/>
  <c r="BJ71" i="4"/>
  <c r="CA36" i="5"/>
  <c r="BZ76" i="5" s="1"/>
  <c r="CA37" i="5"/>
  <c r="CB43" i="4"/>
  <c r="CB40" i="4"/>
  <c r="CB39" i="4"/>
  <c r="CB44" i="4"/>
  <c r="CB29" i="4"/>
  <c r="CB42" i="4"/>
  <c r="CC78" i="5" s="1"/>
  <c r="CB38" i="4"/>
  <c r="CC74" i="4"/>
  <c r="CD36" i="5"/>
  <c r="CD37" i="5"/>
  <c r="BK77" i="4"/>
  <c r="E81" i="4"/>
  <c r="K196" i="5"/>
  <c r="K195" i="5"/>
  <c r="M185" i="5"/>
  <c r="N186" i="5"/>
  <c r="L117" i="5"/>
  <c r="L118" i="5"/>
  <c r="L193" i="5"/>
  <c r="O180" i="4"/>
  <c r="C123" i="4" a="1"/>
  <c r="E174" i="4"/>
  <c r="F149" i="4"/>
  <c r="N12" i="12"/>
  <c r="B13" i="12"/>
  <c r="N13" i="12" s="1"/>
  <c r="BW178" i="5" l="1"/>
  <c r="BX178" i="5" s="1"/>
  <c r="BY178" i="5" s="1"/>
  <c r="BZ178" i="5" s="1"/>
  <c r="BX77" i="4"/>
  <c r="BL75" i="4"/>
  <c r="BL150" i="4" s="1"/>
  <c r="BL79" i="4" s="1"/>
  <c r="CF76" i="5"/>
  <c r="BY75" i="4"/>
  <c r="BY150" i="4" s="1"/>
  <c r="BY79" i="4" s="1"/>
  <c r="BX72" i="4"/>
  <c r="BE172" i="4"/>
  <c r="BF172" i="4" s="1"/>
  <c r="BG172" i="4" s="1"/>
  <c r="BH172" i="4" s="1"/>
  <c r="BI172" i="4" s="1"/>
  <c r="BJ172" i="4" s="1"/>
  <c r="BK172" i="4" s="1"/>
  <c r="CI76" i="5"/>
  <c r="CB75" i="4"/>
  <c r="CB150" i="4" s="1"/>
  <c r="CB79" i="4" s="1"/>
  <c r="CB76" i="5"/>
  <c r="CC76" i="5"/>
  <c r="BY72" i="4"/>
  <c r="BL72" i="4"/>
  <c r="BS77" i="4"/>
  <c r="CD72" i="4"/>
  <c r="BU71" i="4"/>
  <c r="BU61" i="4"/>
  <c r="BU133" i="4"/>
  <c r="BY30" i="4"/>
  <c r="BZ76" i="4"/>
  <c r="BZ30" i="4"/>
  <c r="BZ59" i="4" s="1"/>
  <c r="BZ60" i="4" s="1"/>
  <c r="BM30" i="4"/>
  <c r="BM59" i="4" s="1"/>
  <c r="BN76" i="4"/>
  <c r="BM76" i="4"/>
  <c r="CN36" i="4"/>
  <c r="CN35" i="4"/>
  <c r="CN23" i="5"/>
  <c r="CN151" i="4"/>
  <c r="CN27" i="4"/>
  <c r="BG77" i="4"/>
  <c r="BF77" i="4"/>
  <c r="BR77" i="4"/>
  <c r="CK40" i="4"/>
  <c r="CK29" i="4"/>
  <c r="CK44" i="4"/>
  <c r="CK43" i="4"/>
  <c r="CK42" i="4"/>
  <c r="CK38" i="4"/>
  <c r="CJ73" i="4"/>
  <c r="CK39" i="4"/>
  <c r="CL74" i="4"/>
  <c r="CC72" i="4"/>
  <c r="CB30" i="4"/>
  <c r="CB59" i="4" s="1"/>
  <c r="CB60" i="4" s="1"/>
  <c r="CC76" i="4"/>
  <c r="CD76" i="5"/>
  <c r="CC75" i="4"/>
  <c r="CC150" i="4" s="1"/>
  <c r="CC79" i="4" s="1"/>
  <c r="BF61" i="4"/>
  <c r="BF133" i="4"/>
  <c r="BF71" i="4"/>
  <c r="CF44" i="4"/>
  <c r="CF39" i="4"/>
  <c r="CF42" i="4"/>
  <c r="CF43" i="4"/>
  <c r="CE72" i="4" s="1"/>
  <c r="CF40" i="4"/>
  <c r="CF29" i="4"/>
  <c r="CF38" i="4"/>
  <c r="CE73" i="4"/>
  <c r="CG74" i="4"/>
  <c r="BN78" i="5"/>
  <c r="BM78" i="5"/>
  <c r="CE30" i="4"/>
  <c r="CE59" i="4" s="1"/>
  <c r="CE60" i="4" s="1"/>
  <c r="BT40" i="4"/>
  <c r="BT29" i="4"/>
  <c r="BT42" i="4"/>
  <c r="BT43" i="4"/>
  <c r="BT38" i="4"/>
  <c r="BT44" i="4"/>
  <c r="BT39" i="4"/>
  <c r="BT75" i="4" s="1"/>
  <c r="BT150" i="4" s="1"/>
  <c r="BT79" i="4" s="1"/>
  <c r="BU74" i="4"/>
  <c r="BS73" i="4"/>
  <c r="BT74" i="4"/>
  <c r="BT73" i="4"/>
  <c r="CM35" i="4"/>
  <c r="CM36" i="4"/>
  <c r="CM23" i="5"/>
  <c r="CM151" i="4"/>
  <c r="CM27" i="4"/>
  <c r="CN36" i="5"/>
  <c r="CM76" i="5" s="1"/>
  <c r="CN37" i="5"/>
  <c r="T24" i="33"/>
  <c r="I24" i="33"/>
  <c r="Q24" i="33"/>
  <c r="E24" i="33"/>
  <c r="N24" i="33"/>
  <c r="X24" i="33"/>
  <c r="W24" i="33"/>
  <c r="U24" i="33"/>
  <c r="L24" i="33"/>
  <c r="Y24" i="33"/>
  <c r="V24" i="33"/>
  <c r="M24" i="33"/>
  <c r="S24" i="33"/>
  <c r="K24" i="33"/>
  <c r="P24" i="33"/>
  <c r="J24" i="33"/>
  <c r="F24" i="33"/>
  <c r="C24" i="5"/>
  <c r="O24" i="33"/>
  <c r="Z24" i="33"/>
  <c r="R24" i="33"/>
  <c r="G24" i="33"/>
  <c r="H24" i="33"/>
  <c r="AX79" i="4"/>
  <c r="CE75" i="4"/>
  <c r="CE150" i="4" s="1"/>
  <c r="CE79" i="4" s="1"/>
  <c r="CH23" i="4"/>
  <c r="C23" i="4" s="1"/>
  <c r="CA36" i="4"/>
  <c r="CA35" i="4"/>
  <c r="CA23" i="5"/>
  <c r="CA151" i="4"/>
  <c r="CA27" i="4"/>
  <c r="BW59" i="4"/>
  <c r="BW60" i="4" s="1"/>
  <c r="BV59" i="4"/>
  <c r="BV60" i="4" s="1"/>
  <c r="BZ78" i="5"/>
  <c r="BL172" i="4"/>
  <c r="BS75" i="4"/>
  <c r="BS150" i="4" s="1"/>
  <c r="BS79" i="4" s="1"/>
  <c r="BS72" i="4"/>
  <c r="BT72" i="4"/>
  <c r="BX61" i="4"/>
  <c r="BX133" i="4"/>
  <c r="BX71" i="4"/>
  <c r="CE78" i="5"/>
  <c r="BS133" i="4"/>
  <c r="BS71" i="4"/>
  <c r="BS61" i="4"/>
  <c r="CF78" i="5"/>
  <c r="BY76" i="4"/>
  <c r="BM72" i="4"/>
  <c r="BM75" i="4"/>
  <c r="CJ76" i="5"/>
  <c r="CJ74" i="4"/>
  <c r="CI40" i="4"/>
  <c r="CI43" i="4"/>
  <c r="CI42" i="4"/>
  <c r="CI38" i="4"/>
  <c r="CI44" i="4"/>
  <c r="CI39" i="4"/>
  <c r="CI29" i="4"/>
  <c r="CF74" i="4"/>
  <c r="BY77" i="4"/>
  <c r="CD30" i="4"/>
  <c r="CE77" i="4" s="1"/>
  <c r="CE76" i="4"/>
  <c r="CD59" i="4"/>
  <c r="CD60" i="4" s="1"/>
  <c r="CD78" i="5"/>
  <c r="AR71" i="4"/>
  <c r="AR133" i="4"/>
  <c r="AR61" i="4"/>
  <c r="CH37" i="5"/>
  <c r="CH36" i="5"/>
  <c r="CG76" i="5" s="1"/>
  <c r="CC30" i="4"/>
  <c r="CD76" i="4"/>
  <c r="CC59" i="4"/>
  <c r="CC60" i="4" s="1"/>
  <c r="CG43" i="4"/>
  <c r="CG40" i="4"/>
  <c r="CG38" i="4"/>
  <c r="CG44" i="4"/>
  <c r="CG39" i="4"/>
  <c r="CG42" i="4"/>
  <c r="CG29" i="4"/>
  <c r="CF73" i="4"/>
  <c r="CA76" i="5"/>
  <c r="CA178" i="5" s="1"/>
  <c r="CB178" i="5" s="1"/>
  <c r="CC178" i="5" s="1"/>
  <c r="CD178" i="5" s="1"/>
  <c r="CE178" i="5" s="1"/>
  <c r="CF178" i="5" s="1"/>
  <c r="CO37" i="5"/>
  <c r="CO36" i="5"/>
  <c r="CN76" i="5" s="1"/>
  <c r="BK71" i="4"/>
  <c r="BK61" i="4"/>
  <c r="BK133" i="4"/>
  <c r="BL173" i="4"/>
  <c r="CB72" i="4"/>
  <c r="BR59" i="4"/>
  <c r="BR60" i="4" s="1"/>
  <c r="CL43" i="4"/>
  <c r="CL42" i="4"/>
  <c r="CL29" i="4"/>
  <c r="CL38" i="4"/>
  <c r="CL44" i="4"/>
  <c r="CL39" i="4"/>
  <c r="CL40" i="4"/>
  <c r="CK73" i="4"/>
  <c r="CM74" i="4"/>
  <c r="BV77" i="4"/>
  <c r="CJ44" i="4"/>
  <c r="CJ39" i="4"/>
  <c r="CJ29" i="4"/>
  <c r="CJ40" i="4"/>
  <c r="CJ43" i="4"/>
  <c r="CJ42" i="4"/>
  <c r="CK78" i="5" s="1"/>
  <c r="CJ38" i="4"/>
  <c r="CK74" i="4"/>
  <c r="CI73" i="4"/>
  <c r="E98" i="4"/>
  <c r="E163" i="4"/>
  <c r="N185" i="5"/>
  <c r="O186" i="5"/>
  <c r="M117" i="5"/>
  <c r="M118" i="5"/>
  <c r="M193" i="5"/>
  <c r="P180" i="4"/>
  <c r="L195" i="5"/>
  <c r="L196" i="5"/>
  <c r="L119" i="5"/>
  <c r="N14" i="12"/>
  <c r="F80" i="4"/>
  <c r="F152" i="4"/>
  <c r="BZ77" i="4" l="1"/>
  <c r="CK75" i="4"/>
  <c r="CK150" i="4" s="1"/>
  <c r="CK79" i="4" s="1"/>
  <c r="CF75" i="4"/>
  <c r="CF150" i="4" s="1"/>
  <c r="CF79" i="4" s="1"/>
  <c r="CJ72" i="4"/>
  <c r="CG178" i="5"/>
  <c r="CD77" i="4"/>
  <c r="CB61" i="4"/>
  <c r="CB133" i="4"/>
  <c r="CB71" i="4"/>
  <c r="C24" i="33"/>
  <c r="CF30" i="4"/>
  <c r="CG76" i="4"/>
  <c r="CF59" i="4"/>
  <c r="CF60" i="4" s="1"/>
  <c r="CC77" i="4"/>
  <c r="CJ78" i="5"/>
  <c r="CI75" i="4"/>
  <c r="CI150" i="4" s="1"/>
  <c r="CI79" i="4" s="1"/>
  <c r="BV133" i="4"/>
  <c r="BV61" i="4"/>
  <c r="BV71" i="4"/>
  <c r="CI72" i="4"/>
  <c r="CD133" i="4"/>
  <c r="CD71" i="4"/>
  <c r="CD61" i="4"/>
  <c r="BU78" i="5"/>
  <c r="BT78" i="5"/>
  <c r="CG78" i="5"/>
  <c r="BM60" i="4"/>
  <c r="CJ30" i="4"/>
  <c r="CJ59" i="4" s="1"/>
  <c r="CJ60" i="4" s="1"/>
  <c r="CK76" i="4"/>
  <c r="CL30" i="4"/>
  <c r="CL59" i="4" s="1"/>
  <c r="CL60" i="4" s="1"/>
  <c r="BT30" i="4"/>
  <c r="BU76" i="4"/>
  <c r="BT76" i="4"/>
  <c r="CN43" i="4"/>
  <c r="CN40" i="4"/>
  <c r="CN42" i="4"/>
  <c r="CN38" i="4"/>
  <c r="CM75" i="4" s="1"/>
  <c r="CM150" i="4" s="1"/>
  <c r="CM79" i="4" s="1"/>
  <c r="CN29" i="4"/>
  <c r="CN39" i="4"/>
  <c r="CN44" i="4"/>
  <c r="CM73" i="4"/>
  <c r="CI30" i="4"/>
  <c r="CJ76" i="4"/>
  <c r="CI59" i="4"/>
  <c r="CI60" i="4" s="1"/>
  <c r="BW71" i="4"/>
  <c r="BW133" i="4"/>
  <c r="BW61" i="4"/>
  <c r="BN77" i="4"/>
  <c r="BM77" i="4"/>
  <c r="CA42" i="4"/>
  <c r="CA44" i="4"/>
  <c r="CA39" i="4"/>
  <c r="CB74" i="4"/>
  <c r="CA40" i="4"/>
  <c r="BZ75" i="4" s="1"/>
  <c r="BZ150" i="4" s="1"/>
  <c r="BZ79" i="4" s="1"/>
  <c r="BZ73" i="4"/>
  <c r="CA38" i="4"/>
  <c r="CA43" i="4"/>
  <c r="CA29" i="4"/>
  <c r="CA73" i="4"/>
  <c r="CA74" i="4"/>
  <c r="CN74" i="4"/>
  <c r="CM29" i="4"/>
  <c r="CM76" i="4" s="1"/>
  <c r="CL73" i="4"/>
  <c r="CM42" i="4"/>
  <c r="CN78" i="5" s="1"/>
  <c r="CM43" i="4"/>
  <c r="CM40" i="4"/>
  <c r="CM38" i="4"/>
  <c r="CL75" i="4" s="1"/>
  <c r="CL150" i="4" s="1"/>
  <c r="CL79" i="4" s="1"/>
  <c r="CM39" i="4"/>
  <c r="CM44" i="4"/>
  <c r="CE61" i="4"/>
  <c r="CE133" i="4"/>
  <c r="CE71" i="4"/>
  <c r="CF76" i="4"/>
  <c r="BZ71" i="4"/>
  <c r="BZ61" i="4"/>
  <c r="BZ133" i="4"/>
  <c r="BM172" i="4"/>
  <c r="BN172" i="4" s="1"/>
  <c r="BO172" i="4" s="1"/>
  <c r="BP172" i="4" s="1"/>
  <c r="BQ172" i="4" s="1"/>
  <c r="BR172" i="4" s="1"/>
  <c r="BS172" i="4" s="1"/>
  <c r="BT172" i="4" s="1"/>
  <c r="BU172" i="4" s="1"/>
  <c r="BV172" i="4" s="1"/>
  <c r="BW172" i="4" s="1"/>
  <c r="BX172" i="4" s="1"/>
  <c r="BY172" i="4" s="1"/>
  <c r="CF77" i="4"/>
  <c r="CL78" i="5"/>
  <c r="I32" i="32"/>
  <c r="H32" i="32"/>
  <c r="Y32" i="32"/>
  <c r="CC61" i="4"/>
  <c r="CC133" i="4"/>
  <c r="CC71" i="4"/>
  <c r="CG30" i="4"/>
  <c r="CG59" i="4" s="1"/>
  <c r="CG60" i="4" s="1"/>
  <c r="CF72" i="4"/>
  <c r="CJ75" i="4"/>
  <c r="CJ150" i="4" s="1"/>
  <c r="CJ79" i="4" s="1"/>
  <c r="CH76" i="5"/>
  <c r="CH178" i="5" s="1"/>
  <c r="CI178" i="5" s="1"/>
  <c r="CJ178" i="5" s="1"/>
  <c r="CK178" i="5" s="1"/>
  <c r="CL178" i="5" s="1"/>
  <c r="CM178" i="5" s="1"/>
  <c r="CN178" i="5" s="1"/>
  <c r="CA75" i="4"/>
  <c r="BR61" i="4"/>
  <c r="BR133" i="4"/>
  <c r="BR71" i="4"/>
  <c r="BM150" i="4"/>
  <c r="CK72" i="4"/>
  <c r="CH35" i="4"/>
  <c r="T31" i="32" s="1"/>
  <c r="CO23" i="4"/>
  <c r="CH36" i="4"/>
  <c r="K32" i="32" s="1"/>
  <c r="CH23" i="5"/>
  <c r="S23" i="33" s="1"/>
  <c r="CH27" i="4"/>
  <c r="P23" i="32" s="1"/>
  <c r="CH151" i="4"/>
  <c r="W147" i="32" s="1"/>
  <c r="CK30" i="4"/>
  <c r="CK59" i="4" s="1"/>
  <c r="CK60" i="4" s="1"/>
  <c r="CL76" i="4"/>
  <c r="BM173" i="4"/>
  <c r="BN173" i="4" s="1"/>
  <c r="BO173" i="4" s="1"/>
  <c r="BP173" i="4" s="1"/>
  <c r="BQ173" i="4" s="1"/>
  <c r="BR173" i="4" s="1"/>
  <c r="BS173" i="4" s="1"/>
  <c r="BT173" i="4" s="1"/>
  <c r="BU173" i="4" s="1"/>
  <c r="BV173" i="4" s="1"/>
  <c r="BW173" i="4" s="1"/>
  <c r="BX173" i="4" s="1"/>
  <c r="BY173" i="4" s="1"/>
  <c r="BY59" i="4"/>
  <c r="BY60" i="4" s="1"/>
  <c r="E164" i="4"/>
  <c r="E90" i="4"/>
  <c r="E100" i="4"/>
  <c r="E101" i="4" s="1"/>
  <c r="E99" i="4"/>
  <c r="O185" i="5"/>
  <c r="P186" i="5"/>
  <c r="N193" i="5"/>
  <c r="N119" i="5" s="1"/>
  <c r="N117" i="5"/>
  <c r="N118" i="5"/>
  <c r="Q180" i="4"/>
  <c r="M119" i="5"/>
  <c r="M196" i="5"/>
  <c r="M195" i="5"/>
  <c r="F174" i="4"/>
  <c r="G149" i="4"/>
  <c r="CL72" i="4" l="1"/>
  <c r="N32" i="32"/>
  <c r="R23" i="33"/>
  <c r="L32" i="32"/>
  <c r="W23" i="33"/>
  <c r="CM72" i="4"/>
  <c r="G32" i="32"/>
  <c r="H147" i="32"/>
  <c r="K23" i="32"/>
  <c r="F147" i="32"/>
  <c r="O23" i="32"/>
  <c r="E32" i="32"/>
  <c r="I31" i="32"/>
  <c r="X32" i="32"/>
  <c r="R32" i="32"/>
  <c r="CA150" i="4"/>
  <c r="CA79" i="4" s="1"/>
  <c r="CJ77" i="4"/>
  <c r="CL77" i="4"/>
  <c r="BZ72" i="4"/>
  <c r="BZ173" i="4" s="1"/>
  <c r="P31" i="32"/>
  <c r="CG133" i="4"/>
  <c r="CG71" i="4"/>
  <c r="CG61" i="4"/>
  <c r="O31" i="32"/>
  <c r="S31" i="32"/>
  <c r="G23" i="33"/>
  <c r="T23" i="33"/>
  <c r="CA30" i="4"/>
  <c r="CA59" i="4" s="1"/>
  <c r="CA60" i="4" s="1"/>
  <c r="CB76" i="4"/>
  <c r="CA76" i="4"/>
  <c r="Z147" i="32"/>
  <c r="N147" i="32"/>
  <c r="G23" i="32"/>
  <c r="Z23" i="32"/>
  <c r="BU77" i="4"/>
  <c r="BT77" i="4"/>
  <c r="CK133" i="4"/>
  <c r="CK71" i="4"/>
  <c r="CK61" i="4"/>
  <c r="N31" i="32"/>
  <c r="N23" i="33"/>
  <c r="F23" i="33"/>
  <c r="R147" i="32"/>
  <c r="J147" i="32"/>
  <c r="N23" i="32"/>
  <c r="J23" i="32"/>
  <c r="T32" i="32"/>
  <c r="G31" i="32"/>
  <c r="M31" i="32"/>
  <c r="E23" i="33"/>
  <c r="CA72" i="4"/>
  <c r="P147" i="32"/>
  <c r="S147" i="32"/>
  <c r="Q23" i="32"/>
  <c r="W23" i="32"/>
  <c r="CM78" i="5"/>
  <c r="M32" i="32"/>
  <c r="F32" i="32"/>
  <c r="H31" i="32"/>
  <c r="C35" i="4"/>
  <c r="O23" i="33"/>
  <c r="U147" i="32"/>
  <c r="Y147" i="32"/>
  <c r="S23" i="32"/>
  <c r="L23" i="32"/>
  <c r="CL71" i="4"/>
  <c r="CL61" i="4"/>
  <c r="CL133" i="4"/>
  <c r="V32" i="32"/>
  <c r="Z31" i="32"/>
  <c r="F31" i="32"/>
  <c r="Q23" i="33"/>
  <c r="V147" i="32"/>
  <c r="U32" i="32"/>
  <c r="W32" i="32"/>
  <c r="L31" i="32"/>
  <c r="Q31" i="32"/>
  <c r="K23" i="33"/>
  <c r="G147" i="32"/>
  <c r="G39" i="32"/>
  <c r="CH29" i="4"/>
  <c r="CG73" i="4"/>
  <c r="CH42" i="4"/>
  <c r="CH43" i="4"/>
  <c r="CH40" i="4"/>
  <c r="CH38" i="4"/>
  <c r="Q34" i="32" s="1"/>
  <c r="CH44" i="4"/>
  <c r="V39" i="32" s="1"/>
  <c r="CH39" i="4"/>
  <c r="L35" i="32" s="1"/>
  <c r="CI74" i="4"/>
  <c r="CH74" i="4"/>
  <c r="CH73" i="4"/>
  <c r="Z32" i="32"/>
  <c r="S32" i="32"/>
  <c r="BZ172" i="4"/>
  <c r="Y31" i="32"/>
  <c r="X23" i="33"/>
  <c r="Z35" i="32"/>
  <c r="P35" i="32"/>
  <c r="U35" i="32"/>
  <c r="X35" i="32"/>
  <c r="L147" i="32"/>
  <c r="F23" i="32"/>
  <c r="CJ133" i="4"/>
  <c r="CJ61" i="4"/>
  <c r="CJ71" i="4"/>
  <c r="BY133" i="4"/>
  <c r="BY61" i="4"/>
  <c r="BY71" i="4"/>
  <c r="Q32" i="32"/>
  <c r="E31" i="32"/>
  <c r="C151" i="4"/>
  <c r="U23" i="33"/>
  <c r="Q147" i="32"/>
  <c r="CI133" i="4"/>
  <c r="CI61" i="4"/>
  <c r="CI71" i="4"/>
  <c r="M23" i="32"/>
  <c r="CN30" i="4"/>
  <c r="CN59" i="4" s="1"/>
  <c r="CN60" i="4" s="1"/>
  <c r="X25" i="32"/>
  <c r="Z25" i="32"/>
  <c r="V25" i="32"/>
  <c r="U25" i="32"/>
  <c r="L25" i="32"/>
  <c r="F25" i="32"/>
  <c r="O25" i="32"/>
  <c r="N25" i="32"/>
  <c r="C29" i="4"/>
  <c r="K25" i="32"/>
  <c r="Q25" i="32"/>
  <c r="J25" i="32"/>
  <c r="S25" i="32"/>
  <c r="Y25" i="32"/>
  <c r="G25" i="32"/>
  <c r="P25" i="32"/>
  <c r="I25" i="32"/>
  <c r="H25" i="32"/>
  <c r="E25" i="32"/>
  <c r="M25" i="32"/>
  <c r="T25" i="32"/>
  <c r="R25" i="32"/>
  <c r="W25" i="32"/>
  <c r="P32" i="32"/>
  <c r="K31" i="32"/>
  <c r="M23" i="33"/>
  <c r="CB78" i="5"/>
  <c r="CA78" i="5"/>
  <c r="X147" i="32"/>
  <c r="V23" i="32"/>
  <c r="CK77" i="4"/>
  <c r="C23" i="5"/>
  <c r="CO36" i="4"/>
  <c r="CO35" i="4"/>
  <c r="CO23" i="5"/>
  <c r="CO27" i="4"/>
  <c r="BM79" i="4"/>
  <c r="O32" i="32"/>
  <c r="V31" i="32"/>
  <c r="H23" i="33"/>
  <c r="T147" i="32"/>
  <c r="X23" i="32"/>
  <c r="V37" i="32"/>
  <c r="H37" i="32"/>
  <c r="M37" i="32"/>
  <c r="K37" i="32"/>
  <c r="Z37" i="32"/>
  <c r="S37" i="32"/>
  <c r="T37" i="32"/>
  <c r="O37" i="32"/>
  <c r="F37" i="32"/>
  <c r="L37" i="32"/>
  <c r="Q37" i="32"/>
  <c r="R37" i="32"/>
  <c r="E37" i="32"/>
  <c r="J37" i="32"/>
  <c r="X37" i="32"/>
  <c r="W37" i="32"/>
  <c r="P37" i="32"/>
  <c r="U37" i="32"/>
  <c r="I37" i="32"/>
  <c r="Y37" i="32"/>
  <c r="C42" i="4"/>
  <c r="N37" i="32"/>
  <c r="G37" i="32"/>
  <c r="Z23" i="33"/>
  <c r="I147" i="32"/>
  <c r="T23" i="32"/>
  <c r="C40" i="4"/>
  <c r="CF71" i="4"/>
  <c r="CF61" i="4"/>
  <c r="CF133" i="4"/>
  <c r="J31" i="32"/>
  <c r="Y23" i="33"/>
  <c r="K147" i="32"/>
  <c r="E23" i="32"/>
  <c r="X38" i="32"/>
  <c r="P38" i="32"/>
  <c r="M38" i="32"/>
  <c r="U38" i="32"/>
  <c r="C43" i="4"/>
  <c r="I38" i="32"/>
  <c r="O38" i="32"/>
  <c r="Q38" i="32"/>
  <c r="F38" i="32"/>
  <c r="T38" i="32"/>
  <c r="E38" i="32"/>
  <c r="H38" i="32"/>
  <c r="K38" i="32"/>
  <c r="V38" i="32"/>
  <c r="G38" i="32"/>
  <c r="Y38" i="32"/>
  <c r="W38" i="32"/>
  <c r="S38" i="32"/>
  <c r="J38" i="32"/>
  <c r="R38" i="32"/>
  <c r="L38" i="32"/>
  <c r="N38" i="32"/>
  <c r="Z38" i="32"/>
  <c r="J32" i="32"/>
  <c r="R31" i="32"/>
  <c r="J23" i="33"/>
  <c r="I23" i="33"/>
  <c r="CM30" i="4"/>
  <c r="CN77" i="4" s="1"/>
  <c r="CN76" i="4"/>
  <c r="CM59" i="4"/>
  <c r="CM60" i="4" s="1"/>
  <c r="E147" i="32"/>
  <c r="R23" i="32"/>
  <c r="I23" i="32"/>
  <c r="BM71" i="4"/>
  <c r="BM61" i="4"/>
  <c r="BM133" i="4"/>
  <c r="CG77" i="4"/>
  <c r="C36" i="4"/>
  <c r="W31" i="32"/>
  <c r="X31" i="32"/>
  <c r="P23" i="33"/>
  <c r="L23" i="33"/>
  <c r="F70" i="32"/>
  <c r="R70" i="32"/>
  <c r="I70" i="32"/>
  <c r="Q70" i="32"/>
  <c r="N70" i="32"/>
  <c r="X70" i="32"/>
  <c r="T70" i="32"/>
  <c r="V70" i="32"/>
  <c r="W70" i="32"/>
  <c r="L70" i="32"/>
  <c r="O70" i="32"/>
  <c r="C74" i="4"/>
  <c r="K70" i="32"/>
  <c r="J70" i="32"/>
  <c r="Y70" i="32"/>
  <c r="Z70" i="32"/>
  <c r="M70" i="32"/>
  <c r="U70" i="32"/>
  <c r="S70" i="32"/>
  <c r="H70" i="32"/>
  <c r="E70" i="32"/>
  <c r="P70" i="32"/>
  <c r="G70" i="32"/>
  <c r="M147" i="32"/>
  <c r="H23" i="32"/>
  <c r="C27" i="4"/>
  <c r="BT59" i="4"/>
  <c r="U31" i="32"/>
  <c r="V23" i="33"/>
  <c r="O147" i="32"/>
  <c r="Y23" i="32"/>
  <c r="U23" i="32"/>
  <c r="C39" i="4"/>
  <c r="E107" i="4"/>
  <c r="E88" i="4"/>
  <c r="E119" i="4" a="1"/>
  <c r="E119" i="4" s="1"/>
  <c r="F161" i="4"/>
  <c r="F165" i="4" s="1"/>
  <c r="F140" i="4" s="1"/>
  <c r="F181" i="4" s="1"/>
  <c r="E183" i="4"/>
  <c r="E182" i="4" s="1"/>
  <c r="C111" i="4" a="1"/>
  <c r="C104" i="4" a="1"/>
  <c r="C102" i="4" a="1"/>
  <c r="N195" i="5"/>
  <c r="N196" i="5"/>
  <c r="R180" i="4"/>
  <c r="P185" i="5"/>
  <c r="Q186" i="5"/>
  <c r="O193" i="5"/>
  <c r="O117" i="5"/>
  <c r="O118" i="5"/>
  <c r="G80" i="4"/>
  <c r="G152" i="4"/>
  <c r="E35" i="32" l="1"/>
  <c r="O35" i="32"/>
  <c r="M35" i="32"/>
  <c r="F91" i="4"/>
  <c r="R35" i="32"/>
  <c r="H35" i="32"/>
  <c r="Q35" i="32"/>
  <c r="CA173" i="4"/>
  <c r="L39" i="32"/>
  <c r="C32" i="32"/>
  <c r="C37" i="32"/>
  <c r="V35" i="32"/>
  <c r="I35" i="32"/>
  <c r="J35" i="32"/>
  <c r="G35" i="32"/>
  <c r="S35" i="32"/>
  <c r="CN133" i="4"/>
  <c r="CN61" i="4"/>
  <c r="CN71" i="4"/>
  <c r="R39" i="32"/>
  <c r="Z34" i="32"/>
  <c r="N34" i="32"/>
  <c r="BT60" i="4"/>
  <c r="CH75" i="4"/>
  <c r="CH150" i="4" s="1"/>
  <c r="CH79" i="4" s="1"/>
  <c r="Y35" i="32"/>
  <c r="W35" i="32"/>
  <c r="H39" i="32"/>
  <c r="C44" i="4"/>
  <c r="CH72" i="4"/>
  <c r="F35" i="32"/>
  <c r="CI78" i="5"/>
  <c r="CH78" i="5"/>
  <c r="N39" i="32"/>
  <c r="S34" i="32"/>
  <c r="CG72" i="4"/>
  <c r="C25" i="32"/>
  <c r="F39" i="32"/>
  <c r="R34" i="32"/>
  <c r="CA71" i="4"/>
  <c r="CA133" i="4"/>
  <c r="CA61" i="4"/>
  <c r="CG75" i="4"/>
  <c r="CH30" i="4"/>
  <c r="CH59" i="4" s="1"/>
  <c r="CI76" i="4"/>
  <c r="CH76" i="4"/>
  <c r="M72" i="32" s="1"/>
  <c r="W39" i="32"/>
  <c r="T34" i="32"/>
  <c r="CA172" i="4"/>
  <c r="CB172" i="4" s="1"/>
  <c r="CC172" i="4" s="1"/>
  <c r="CD172" i="4" s="1"/>
  <c r="CE172" i="4" s="1"/>
  <c r="CF172" i="4" s="1"/>
  <c r="K39" i="32"/>
  <c r="L34" i="32"/>
  <c r="G34" i="32"/>
  <c r="CB77" i="4"/>
  <c r="CA77" i="4"/>
  <c r="C31" i="32"/>
  <c r="C38" i="4"/>
  <c r="C147" i="32"/>
  <c r="P39" i="32"/>
  <c r="H34" i="32"/>
  <c r="X34" i="32"/>
  <c r="C70" i="32"/>
  <c r="CM133" i="4"/>
  <c r="CM71" i="4"/>
  <c r="CM61" i="4"/>
  <c r="C38" i="32"/>
  <c r="C41" i="4"/>
  <c r="N26" i="32"/>
  <c r="S26" i="32"/>
  <c r="P26" i="32"/>
  <c r="Y26" i="32"/>
  <c r="Z26" i="32"/>
  <c r="L26" i="32"/>
  <c r="I26" i="32"/>
  <c r="V26" i="32"/>
  <c r="Q26" i="32"/>
  <c r="U26" i="32"/>
  <c r="W26" i="32"/>
  <c r="F26" i="32"/>
  <c r="E26" i="32"/>
  <c r="G26" i="32"/>
  <c r="R26" i="32"/>
  <c r="T26" i="32"/>
  <c r="K26" i="32"/>
  <c r="J26" i="32"/>
  <c r="C30" i="4"/>
  <c r="H26" i="32"/>
  <c r="X26" i="32"/>
  <c r="M26" i="32"/>
  <c r="O26" i="32"/>
  <c r="I39" i="32"/>
  <c r="O34" i="32"/>
  <c r="K34" i="32"/>
  <c r="V72" i="32"/>
  <c r="Y72" i="32"/>
  <c r="J39" i="32"/>
  <c r="U34" i="32"/>
  <c r="M34" i="32"/>
  <c r="K35" i="32"/>
  <c r="CM77" i="4"/>
  <c r="Q39" i="32"/>
  <c r="W34" i="32"/>
  <c r="P34" i="32"/>
  <c r="C23" i="32"/>
  <c r="X39" i="32"/>
  <c r="U39" i="32"/>
  <c r="I34" i="32"/>
  <c r="F34" i="32"/>
  <c r="CO38" i="4"/>
  <c r="CO43" i="4"/>
  <c r="CN73" i="4"/>
  <c r="CO42" i="4"/>
  <c r="CO29" i="4"/>
  <c r="CO44" i="4"/>
  <c r="CO39" i="4"/>
  <c r="CN72" i="4" s="1"/>
  <c r="Q68" i="32" s="1"/>
  <c r="CO40" i="4"/>
  <c r="Y39" i="32"/>
  <c r="Z39" i="32"/>
  <c r="E34" i="32"/>
  <c r="Y34" i="32"/>
  <c r="E39" i="32"/>
  <c r="S39" i="32"/>
  <c r="J34" i="32"/>
  <c r="C23" i="33"/>
  <c r="T35" i="32"/>
  <c r="N35" i="32"/>
  <c r="M39" i="32"/>
  <c r="T39" i="32"/>
  <c r="V34" i="32"/>
  <c r="CB173" i="4"/>
  <c r="O39" i="32"/>
  <c r="F63" i="4"/>
  <c r="F64" i="4" s="1"/>
  <c r="F176" i="4"/>
  <c r="F135" i="4"/>
  <c r="F136" i="4" s="1"/>
  <c r="F144" i="4" s="1"/>
  <c r="E185" i="4"/>
  <c r="E92" i="4"/>
  <c r="E94" i="4" s="1"/>
  <c r="E95" i="4" s="1"/>
  <c r="F93" i="4" s="1"/>
  <c r="E108" i="4"/>
  <c r="E109" i="4"/>
  <c r="E110" i="4" s="1"/>
  <c r="F179" i="4"/>
  <c r="F175" i="4"/>
  <c r="F145" i="4"/>
  <c r="P117" i="5"/>
  <c r="P193" i="5"/>
  <c r="P119" i="5" s="1"/>
  <c r="P118" i="5"/>
  <c r="S180" i="4"/>
  <c r="Q185" i="5"/>
  <c r="R186" i="5"/>
  <c r="O119" i="5"/>
  <c r="O196" i="5"/>
  <c r="O195" i="5"/>
  <c r="G174" i="4"/>
  <c r="H149" i="4"/>
  <c r="C28" i="4" l="1"/>
  <c r="V68" i="32"/>
  <c r="C35" i="32"/>
  <c r="CN75" i="4"/>
  <c r="CN150" i="4" s="1"/>
  <c r="CN79" i="4" s="1"/>
  <c r="CG172" i="4"/>
  <c r="CH172" i="4" s="1"/>
  <c r="CI172" i="4" s="1"/>
  <c r="CJ172" i="4" s="1"/>
  <c r="CK172" i="4" s="1"/>
  <c r="CL172" i="4" s="1"/>
  <c r="CM172" i="4" s="1"/>
  <c r="CH60" i="4"/>
  <c r="V56" i="32" s="1"/>
  <c r="V57" i="32" s="1"/>
  <c r="M55" i="32"/>
  <c r="O55" i="32"/>
  <c r="G55" i="32"/>
  <c r="Z55" i="32"/>
  <c r="V55" i="32"/>
  <c r="E55" i="32"/>
  <c r="F55" i="32"/>
  <c r="W55" i="32"/>
  <c r="R55" i="32"/>
  <c r="S55" i="32"/>
  <c r="Y55" i="32"/>
  <c r="Q55" i="32"/>
  <c r="J55" i="32"/>
  <c r="C59" i="4"/>
  <c r="L55" i="32"/>
  <c r="U55" i="32"/>
  <c r="P55" i="32"/>
  <c r="H55" i="32"/>
  <c r="X55" i="32"/>
  <c r="T55" i="32"/>
  <c r="K55" i="32"/>
  <c r="I55" i="32"/>
  <c r="N55" i="32"/>
  <c r="L72" i="32"/>
  <c r="P72" i="32"/>
  <c r="T72" i="32"/>
  <c r="G72" i="32"/>
  <c r="C26" i="32"/>
  <c r="I72" i="32"/>
  <c r="Q72" i="32"/>
  <c r="CI77" i="4"/>
  <c r="W73" i="32" s="1"/>
  <c r="CH77" i="4"/>
  <c r="O73" i="32" s="1"/>
  <c r="G73" i="32"/>
  <c r="S73" i="32"/>
  <c r="X72" i="32"/>
  <c r="N72" i="32"/>
  <c r="CG150" i="4"/>
  <c r="N71" i="32"/>
  <c r="Z71" i="32"/>
  <c r="F71" i="32"/>
  <c r="Q71" i="32"/>
  <c r="J71" i="32"/>
  <c r="G71" i="32"/>
  <c r="O71" i="32"/>
  <c r="T71" i="32"/>
  <c r="E71" i="32"/>
  <c r="I71" i="32"/>
  <c r="V71" i="32"/>
  <c r="L71" i="32"/>
  <c r="Y71" i="32"/>
  <c r="U71" i="32"/>
  <c r="S71" i="32"/>
  <c r="X71" i="32"/>
  <c r="K71" i="32"/>
  <c r="W71" i="32"/>
  <c r="R71" i="32"/>
  <c r="M71" i="32"/>
  <c r="C75" i="4"/>
  <c r="P71" i="32"/>
  <c r="H71" i="32"/>
  <c r="U73" i="32"/>
  <c r="O72" i="32"/>
  <c r="Z73" i="32"/>
  <c r="E73" i="32"/>
  <c r="C77" i="4"/>
  <c r="K72" i="32"/>
  <c r="BT71" i="4"/>
  <c r="BT61" i="4"/>
  <c r="BT133" i="4"/>
  <c r="C34" i="32"/>
  <c r="N73" i="32"/>
  <c r="V73" i="32"/>
  <c r="C76" i="4"/>
  <c r="J68" i="32"/>
  <c r="R68" i="32"/>
  <c r="P73" i="32"/>
  <c r="K73" i="32"/>
  <c r="J72" i="32"/>
  <c r="C39" i="32"/>
  <c r="J73" i="32"/>
  <c r="I73" i="32"/>
  <c r="R72" i="32"/>
  <c r="X73" i="32"/>
  <c r="E72" i="32"/>
  <c r="R73" i="32"/>
  <c r="H72" i="32"/>
  <c r="CN172" i="4"/>
  <c r="O168" i="32" s="1"/>
  <c r="L73" i="32"/>
  <c r="F72" i="32"/>
  <c r="M168" i="32"/>
  <c r="F68" i="32"/>
  <c r="T73" i="32"/>
  <c r="W72" i="32"/>
  <c r="CC173" i="4"/>
  <c r="H73" i="32"/>
  <c r="S72" i="32"/>
  <c r="U72" i="32"/>
  <c r="T68" i="32"/>
  <c r="I68" i="32"/>
  <c r="G68" i="32"/>
  <c r="E68" i="32"/>
  <c r="L68" i="32"/>
  <c r="X68" i="32"/>
  <c r="W68" i="32"/>
  <c r="P68" i="32"/>
  <c r="S68" i="32"/>
  <c r="N68" i="32"/>
  <c r="O68" i="32"/>
  <c r="K68" i="32"/>
  <c r="Z68" i="32"/>
  <c r="U68" i="32"/>
  <c r="M68" i="32"/>
  <c r="H68" i="32"/>
  <c r="Y68" i="32"/>
  <c r="CO30" i="4"/>
  <c r="CO59" i="4" s="1"/>
  <c r="CO60" i="4" s="1"/>
  <c r="L69" i="32"/>
  <c r="Z69" i="32"/>
  <c r="H69" i="32"/>
  <c r="O69" i="32"/>
  <c r="Q69" i="32"/>
  <c r="N69" i="32"/>
  <c r="R69" i="32"/>
  <c r="C73" i="4"/>
  <c r="S69" i="32"/>
  <c r="M69" i="32"/>
  <c r="X69" i="32"/>
  <c r="G69" i="32"/>
  <c r="U69" i="32"/>
  <c r="J69" i="32"/>
  <c r="W69" i="32"/>
  <c r="V69" i="32"/>
  <c r="F69" i="32"/>
  <c r="K69" i="32"/>
  <c r="I69" i="32"/>
  <c r="Y69" i="32"/>
  <c r="P69" i="32"/>
  <c r="T69" i="32"/>
  <c r="E69" i="32"/>
  <c r="Z72" i="32"/>
  <c r="C72" i="4"/>
  <c r="E171" i="4"/>
  <c r="F88" i="4"/>
  <c r="E184" i="4"/>
  <c r="F146" i="4"/>
  <c r="E170" i="4"/>
  <c r="E115" i="4" s="1"/>
  <c r="F137" i="4"/>
  <c r="T180" i="4"/>
  <c r="R185" i="5"/>
  <c r="S186" i="5"/>
  <c r="P195" i="5"/>
  <c r="P196" i="5"/>
  <c r="Q117" i="5"/>
  <c r="Q193" i="5"/>
  <c r="Q118" i="5"/>
  <c r="H80" i="4"/>
  <c r="H152" i="4"/>
  <c r="I56" i="32" l="1"/>
  <c r="I57" i="32" s="1"/>
  <c r="S56" i="32"/>
  <c r="S57" i="32" s="1"/>
  <c r="H56" i="32"/>
  <c r="H57" i="32" s="1"/>
  <c r="T56" i="32"/>
  <c r="T57" i="32" s="1"/>
  <c r="P56" i="32"/>
  <c r="P57" i="32" s="1"/>
  <c r="J56" i="32"/>
  <c r="J57" i="32" s="1"/>
  <c r="U56" i="32"/>
  <c r="U57" i="32" s="1"/>
  <c r="W56" i="32"/>
  <c r="W57" i="32" s="1"/>
  <c r="E56" i="32"/>
  <c r="E57" i="32" s="1"/>
  <c r="G56" i="32"/>
  <c r="G57" i="32" s="1"/>
  <c r="M56" i="32"/>
  <c r="M57" i="32" s="1"/>
  <c r="L56" i="32"/>
  <c r="L57" i="32" s="1"/>
  <c r="Z56" i="32"/>
  <c r="Z57" i="32" s="1"/>
  <c r="Y56" i="32"/>
  <c r="Y57" i="32" s="1"/>
  <c r="R56" i="32"/>
  <c r="R57" i="32" s="1"/>
  <c r="K56" i="32"/>
  <c r="K57" i="32" s="1"/>
  <c r="N56" i="32"/>
  <c r="N57" i="32" s="1"/>
  <c r="C60" i="4"/>
  <c r="C61" i="4" s="1"/>
  <c r="F56" i="32"/>
  <c r="F57" i="32" s="1"/>
  <c r="Q56" i="32"/>
  <c r="Q57" i="32" s="1"/>
  <c r="X56" i="32"/>
  <c r="X57" i="32" s="1"/>
  <c r="O56" i="32"/>
  <c r="O57" i="32" s="1"/>
  <c r="P168" i="32"/>
  <c r="V168" i="32"/>
  <c r="F73" i="32"/>
  <c r="Q73" i="32"/>
  <c r="CO61" i="4"/>
  <c r="CO64" i="4"/>
  <c r="CO66" i="4" s="1"/>
  <c r="M73" i="32"/>
  <c r="C68" i="32"/>
  <c r="C71" i="32"/>
  <c r="Y73" i="32"/>
  <c r="C55" i="32"/>
  <c r="Y168" i="32"/>
  <c r="G168" i="32"/>
  <c r="F168" i="32"/>
  <c r="T168" i="32"/>
  <c r="K168" i="32"/>
  <c r="J168" i="32"/>
  <c r="R168" i="32"/>
  <c r="S168" i="32"/>
  <c r="W168" i="32"/>
  <c r="E168" i="32"/>
  <c r="N168" i="32"/>
  <c r="U168" i="32"/>
  <c r="I168" i="32"/>
  <c r="X168" i="32"/>
  <c r="H168" i="32"/>
  <c r="Z168" i="32"/>
  <c r="CD173" i="4"/>
  <c r="L168" i="32"/>
  <c r="CG79" i="4"/>
  <c r="J146" i="32"/>
  <c r="S146" i="32"/>
  <c r="P146" i="32"/>
  <c r="R146" i="32"/>
  <c r="V146" i="32"/>
  <c r="N146" i="32"/>
  <c r="C150" i="4"/>
  <c r="Q146" i="32"/>
  <c r="T146" i="32"/>
  <c r="M146" i="32"/>
  <c r="X146" i="32"/>
  <c r="E146" i="32"/>
  <c r="K146" i="32"/>
  <c r="F146" i="32"/>
  <c r="W146" i="32"/>
  <c r="L146" i="32"/>
  <c r="H146" i="32"/>
  <c r="Z146" i="32"/>
  <c r="Y146" i="32"/>
  <c r="G146" i="32"/>
  <c r="I146" i="32"/>
  <c r="U146" i="32"/>
  <c r="O146" i="32"/>
  <c r="C69" i="32"/>
  <c r="C72" i="32"/>
  <c r="Q168" i="32"/>
  <c r="CH61" i="4"/>
  <c r="CH71" i="4"/>
  <c r="C71" i="4" s="1"/>
  <c r="CH133" i="4"/>
  <c r="N129" i="32" s="1"/>
  <c r="E116" i="4"/>
  <c r="E187" i="4"/>
  <c r="E117" i="4" s="1"/>
  <c r="E177" i="4"/>
  <c r="F138" i="4"/>
  <c r="G143" i="4"/>
  <c r="Q119" i="5"/>
  <c r="Q196" i="5"/>
  <c r="Q195" i="5"/>
  <c r="S185" i="5"/>
  <c r="T186" i="5"/>
  <c r="U180" i="4"/>
  <c r="R117" i="5"/>
  <c r="R118" i="5"/>
  <c r="R193" i="5"/>
  <c r="I149" i="4"/>
  <c r="H174" i="4"/>
  <c r="C56" i="32" l="1"/>
  <c r="U67" i="32"/>
  <c r="K129" i="32"/>
  <c r="C133" i="4"/>
  <c r="C73" i="32"/>
  <c r="I67" i="32"/>
  <c r="X129" i="32"/>
  <c r="V129" i="32"/>
  <c r="R75" i="32"/>
  <c r="N75" i="32"/>
  <c r="W75" i="32"/>
  <c r="T75" i="32"/>
  <c r="H75" i="32"/>
  <c r="Q75" i="32"/>
  <c r="C79" i="4"/>
  <c r="I75" i="32"/>
  <c r="U75" i="32"/>
  <c r="G75" i="32"/>
  <c r="P75" i="32"/>
  <c r="M75" i="32"/>
  <c r="V75" i="32"/>
  <c r="E75" i="32"/>
  <c r="J75" i="32"/>
  <c r="X75" i="32"/>
  <c r="S75" i="32"/>
  <c r="F75" i="32"/>
  <c r="Y75" i="32"/>
  <c r="L75" i="32"/>
  <c r="Z75" i="32"/>
  <c r="O75" i="32"/>
  <c r="K75" i="32"/>
  <c r="P67" i="32"/>
  <c r="F129" i="32"/>
  <c r="P129" i="32"/>
  <c r="R67" i="32"/>
  <c r="Z129" i="32"/>
  <c r="W129" i="32"/>
  <c r="J67" i="32"/>
  <c r="G129" i="32"/>
  <c r="R129" i="32"/>
  <c r="N67" i="32"/>
  <c r="J129" i="32"/>
  <c r="I129" i="32"/>
  <c r="C146" i="32"/>
  <c r="CE173" i="4"/>
  <c r="W67" i="32"/>
  <c r="O129" i="32"/>
  <c r="X67" i="32"/>
  <c r="E67" i="32"/>
  <c r="L129" i="32"/>
  <c r="L67" i="32"/>
  <c r="G67" i="32"/>
  <c r="Y129" i="32"/>
  <c r="Z67" i="32"/>
  <c r="T67" i="32"/>
  <c r="Q129" i="32"/>
  <c r="V67" i="32"/>
  <c r="S67" i="32"/>
  <c r="U129" i="32"/>
  <c r="Q67" i="32"/>
  <c r="M67" i="32"/>
  <c r="E129" i="32"/>
  <c r="F67" i="32"/>
  <c r="Y67" i="32"/>
  <c r="H129" i="32"/>
  <c r="O67" i="32"/>
  <c r="H67" i="32"/>
  <c r="T129" i="32"/>
  <c r="K67" i="32"/>
  <c r="S129" i="32"/>
  <c r="M129" i="32"/>
  <c r="F139" i="4"/>
  <c r="E190" i="4"/>
  <c r="E189" i="4"/>
  <c r="T185" i="5"/>
  <c r="U186" i="5"/>
  <c r="S117" i="5"/>
  <c r="S193" i="5"/>
  <c r="S119" i="5" s="1"/>
  <c r="S118" i="5"/>
  <c r="R119" i="5"/>
  <c r="R196" i="5"/>
  <c r="R195" i="5"/>
  <c r="V180" i="4"/>
  <c r="I80" i="4"/>
  <c r="I152" i="4"/>
  <c r="C67" i="32" l="1"/>
  <c r="C129" i="32"/>
  <c r="CF173" i="4"/>
  <c r="CG173" i="4" s="1"/>
  <c r="CH173" i="4" s="1"/>
  <c r="CI173" i="4" s="1"/>
  <c r="CJ173" i="4" s="1"/>
  <c r="CK173" i="4" s="1"/>
  <c r="CL173" i="4" s="1"/>
  <c r="CM173" i="4" s="1"/>
  <c r="CN173" i="4" s="1"/>
  <c r="Y169" i="32"/>
  <c r="Q169" i="32"/>
  <c r="C75" i="32"/>
  <c r="F65" i="4"/>
  <c r="S195" i="5"/>
  <c r="S196" i="5"/>
  <c r="U185" i="5"/>
  <c r="V186" i="5"/>
  <c r="W180" i="4"/>
  <c r="T117" i="5"/>
  <c r="T118" i="5"/>
  <c r="T193" i="5"/>
  <c r="T119" i="5" s="1"/>
  <c r="J149" i="4"/>
  <c r="I174" i="4"/>
  <c r="I169" i="32" l="1" a="1"/>
  <c r="I169" i="32" s="1"/>
  <c r="L169" i="32"/>
  <c r="N169" i="32"/>
  <c r="P169" i="32"/>
  <c r="K169" i="32"/>
  <c r="H169" i="32"/>
  <c r="E169" i="32"/>
  <c r="W169" i="32"/>
  <c r="R169" i="32"/>
  <c r="U169" i="32"/>
  <c r="S169" i="32"/>
  <c r="M169" i="32"/>
  <c r="Z169" i="32"/>
  <c r="F169" i="32"/>
  <c r="G169" i="32"/>
  <c r="X169" i="32"/>
  <c r="V169" i="32"/>
  <c r="O169" i="32"/>
  <c r="T169" i="32"/>
  <c r="J169" i="32"/>
  <c r="F78" i="4"/>
  <c r="F122" i="4" s="1"/>
  <c r="F66" i="4"/>
  <c r="F185" i="4" s="1"/>
  <c r="V185" i="5"/>
  <c r="W186" i="5"/>
  <c r="T196" i="5"/>
  <c r="T195" i="5"/>
  <c r="U117" i="5"/>
  <c r="U118" i="5"/>
  <c r="U193" i="5"/>
  <c r="U119" i="5" s="1"/>
  <c r="X180" i="4"/>
  <c r="J80" i="4"/>
  <c r="J152" i="4"/>
  <c r="F81" i="4" l="1"/>
  <c r="F120" i="4"/>
  <c r="U195" i="5"/>
  <c r="U196" i="5"/>
  <c r="W185" i="5"/>
  <c r="X186" i="5"/>
  <c r="Y180" i="4"/>
  <c r="V117" i="5"/>
  <c r="V193" i="5"/>
  <c r="V119" i="5" s="1"/>
  <c r="V118" i="5"/>
  <c r="K149" i="4"/>
  <c r="J174" i="4"/>
  <c r="F98" i="4" l="1"/>
  <c r="F163" i="4"/>
  <c r="F184" i="4"/>
  <c r="G88" i="4"/>
  <c r="Z180" i="4"/>
  <c r="V196" i="5"/>
  <c r="V195" i="5"/>
  <c r="X185" i="5"/>
  <c r="Y186" i="5"/>
  <c r="W118" i="5"/>
  <c r="W117" i="5"/>
  <c r="W193" i="5"/>
  <c r="W119" i="5" s="1"/>
  <c r="K80" i="4"/>
  <c r="K152" i="4"/>
  <c r="F90" i="4" l="1"/>
  <c r="F164" i="4"/>
  <c r="F119" i="4" s="1" a="1"/>
  <c r="F119" i="4" s="1"/>
  <c r="F100" i="4"/>
  <c r="F99" i="4"/>
  <c r="X193" i="5"/>
  <c r="X119" i="5" s="1"/>
  <c r="X117" i="5"/>
  <c r="X118" i="5"/>
  <c r="AA180" i="4"/>
  <c r="W195" i="5"/>
  <c r="W196" i="5"/>
  <c r="Y185" i="5"/>
  <c r="Z186" i="5"/>
  <c r="K174" i="4"/>
  <c r="L149" i="4"/>
  <c r="F92" i="4" l="1"/>
  <c r="F94" i="4" s="1"/>
  <c r="F95" i="4" s="1"/>
  <c r="G93" i="4" s="1"/>
  <c r="F107" i="4"/>
  <c r="F101" i="4"/>
  <c r="F183" i="4"/>
  <c r="G161" i="4"/>
  <c r="Z185" i="5"/>
  <c r="AA186" i="5"/>
  <c r="Y117" i="5"/>
  <c r="Y118" i="5"/>
  <c r="Y193" i="5"/>
  <c r="Y119" i="5" s="1"/>
  <c r="AB180" i="4"/>
  <c r="X196" i="5"/>
  <c r="X195" i="5"/>
  <c r="L80" i="4"/>
  <c r="L152" i="4"/>
  <c r="F171" i="4" l="1"/>
  <c r="F170" i="4"/>
  <c r="F115" i="4" s="1"/>
  <c r="F109" i="4"/>
  <c r="F108" i="4"/>
  <c r="G165" i="4"/>
  <c r="F182" i="4"/>
  <c r="AA185" i="5"/>
  <c r="AB186" i="5"/>
  <c r="Z117" i="5"/>
  <c r="Z193" i="5"/>
  <c r="Z118" i="5"/>
  <c r="AC180" i="4"/>
  <c r="Y195" i="5"/>
  <c r="Y196" i="5"/>
  <c r="L174" i="4"/>
  <c r="M149" i="4"/>
  <c r="G140" i="4" l="1"/>
  <c r="G176" i="4"/>
  <c r="G175" i="4" s="1"/>
  <c r="F110" i="4"/>
  <c r="F116" i="4"/>
  <c r="F187" i="4"/>
  <c r="G135" i="4"/>
  <c r="G91" i="4"/>
  <c r="G181" i="4"/>
  <c r="G63" i="4"/>
  <c r="F177" i="4"/>
  <c r="AD180" i="4"/>
  <c r="Z196" i="5"/>
  <c r="Z195" i="5"/>
  <c r="AB185" i="5"/>
  <c r="AC186" i="5"/>
  <c r="Z119" i="5"/>
  <c r="AA117" i="5"/>
  <c r="AA193" i="5"/>
  <c r="AA118" i="5"/>
  <c r="M80" i="4"/>
  <c r="M152" i="4"/>
  <c r="G179" i="4" l="1"/>
  <c r="F117" i="4"/>
  <c r="F190" i="4"/>
  <c r="G64" i="4"/>
  <c r="G136" i="4"/>
  <c r="F189" i="4"/>
  <c r="AE180" i="4"/>
  <c r="AC185" i="5"/>
  <c r="AD186" i="5"/>
  <c r="AA119" i="5"/>
  <c r="AA195" i="5"/>
  <c r="AA196" i="5"/>
  <c r="AB117" i="5"/>
  <c r="AB193" i="5"/>
  <c r="AB118" i="5"/>
  <c r="N149" i="4"/>
  <c r="M174" i="4"/>
  <c r="G144" i="4" l="1"/>
  <c r="G145" i="4"/>
  <c r="AD185" i="5"/>
  <c r="AE186" i="5"/>
  <c r="AC117" i="5"/>
  <c r="AC193" i="5"/>
  <c r="AC118" i="5"/>
  <c r="AB196" i="5"/>
  <c r="AB195" i="5"/>
  <c r="AB119" i="5"/>
  <c r="AF180" i="4"/>
  <c r="N80" i="4"/>
  <c r="N152" i="4"/>
  <c r="G137" i="4" l="1"/>
  <c r="G146" i="4"/>
  <c r="AC119" i="5"/>
  <c r="AC195" i="5"/>
  <c r="AC196" i="5"/>
  <c r="AG180" i="4"/>
  <c r="AE185" i="5"/>
  <c r="AF186" i="5"/>
  <c r="AD117" i="5"/>
  <c r="AD118" i="5"/>
  <c r="AD193" i="5"/>
  <c r="N174" i="4"/>
  <c r="O149" i="4"/>
  <c r="G138" i="4" l="1"/>
  <c r="H143" i="4"/>
  <c r="AD195" i="5"/>
  <c r="AD196" i="5"/>
  <c r="AE117" i="5"/>
  <c r="AE118" i="5"/>
  <c r="AE193" i="5"/>
  <c r="AF185" i="5"/>
  <c r="AG186" i="5"/>
  <c r="AH180" i="4"/>
  <c r="AD119" i="5"/>
  <c r="O80" i="4"/>
  <c r="O152" i="4"/>
  <c r="G139" i="4" l="1"/>
  <c r="AI180" i="4"/>
  <c r="AE119" i="5"/>
  <c r="AE196" i="5"/>
  <c r="AE195" i="5"/>
  <c r="AG185" i="5"/>
  <c r="AH186" i="5"/>
  <c r="AF117" i="5"/>
  <c r="AF118" i="5"/>
  <c r="AF193" i="5"/>
  <c r="P149" i="4"/>
  <c r="O174" i="4"/>
  <c r="G65" i="4" l="1"/>
  <c r="AH185" i="5"/>
  <c r="AI186" i="5"/>
  <c r="AJ180" i="4"/>
  <c r="AF119" i="5"/>
  <c r="AF195" i="5"/>
  <c r="AF196" i="5"/>
  <c r="AG117" i="5"/>
  <c r="AG118" i="5"/>
  <c r="AG193" i="5"/>
  <c r="P80" i="4"/>
  <c r="P152" i="4"/>
  <c r="G78" i="4" l="1"/>
  <c r="G122" i="4" s="1"/>
  <c r="G66" i="4"/>
  <c r="G185" i="4" s="1"/>
  <c r="AK180" i="4"/>
  <c r="AG119" i="5"/>
  <c r="AG195" i="5"/>
  <c r="AG196" i="5"/>
  <c r="AI185" i="5"/>
  <c r="AJ186" i="5"/>
  <c r="AH117" i="5"/>
  <c r="AH118" i="5"/>
  <c r="AH193" i="5"/>
  <c r="Q149" i="4"/>
  <c r="P174" i="4"/>
  <c r="G81" i="4" l="1"/>
  <c r="G120" i="4"/>
  <c r="AI117" i="5"/>
  <c r="AI118" i="5"/>
  <c r="AI193" i="5"/>
  <c r="AI119" i="5" s="1"/>
  <c r="AJ185" i="5"/>
  <c r="AK186" i="5"/>
  <c r="AH195" i="5"/>
  <c r="AH196" i="5"/>
  <c r="AL180" i="4"/>
  <c r="AH119" i="5"/>
  <c r="Q80" i="4"/>
  <c r="Q152" i="4"/>
  <c r="H88" i="4" l="1"/>
  <c r="G184" i="4"/>
  <c r="G163" i="4"/>
  <c r="G98" i="4"/>
  <c r="AJ117" i="5"/>
  <c r="AJ118" i="5"/>
  <c r="AJ193" i="5"/>
  <c r="AI196" i="5"/>
  <c r="AI195" i="5"/>
  <c r="AK185" i="5"/>
  <c r="AL186" i="5"/>
  <c r="AM180" i="4"/>
  <c r="R149" i="4"/>
  <c r="Q174" i="4"/>
  <c r="G90" i="4" l="1"/>
  <c r="G164" i="4"/>
  <c r="G119" i="4" s="1" a="1"/>
  <c r="G119" i="4" s="1"/>
  <c r="G100" i="4"/>
  <c r="G99" i="4"/>
  <c r="AL185" i="5"/>
  <c r="AM186" i="5"/>
  <c r="AJ119" i="5"/>
  <c r="AJ195" i="5"/>
  <c r="AJ196" i="5"/>
  <c r="AK117" i="5"/>
  <c r="AK193" i="5"/>
  <c r="AK118" i="5"/>
  <c r="AN180" i="4"/>
  <c r="R80" i="4"/>
  <c r="R152" i="4"/>
  <c r="G92" i="4" l="1"/>
  <c r="G94" i="4" s="1"/>
  <c r="G95" i="4" s="1"/>
  <c r="H93" i="4" s="1"/>
  <c r="G107" i="4"/>
  <c r="G101" i="4"/>
  <c r="G183" i="4"/>
  <c r="H161" i="4"/>
  <c r="AO180" i="4"/>
  <c r="AK119" i="5"/>
  <c r="AK195" i="5"/>
  <c r="AK196" i="5"/>
  <c r="AM185" i="5"/>
  <c r="AN186" i="5"/>
  <c r="AL117" i="5"/>
  <c r="AL193" i="5"/>
  <c r="AL118" i="5"/>
  <c r="R174" i="4"/>
  <c r="S149" i="4"/>
  <c r="G171" i="4" l="1"/>
  <c r="G170" i="4" s="1"/>
  <c r="G115" i="4" s="1"/>
  <c r="G182" i="4"/>
  <c r="G109" i="4"/>
  <c r="G108" i="4"/>
  <c r="H165" i="4"/>
  <c r="AL196" i="5"/>
  <c r="AL195" i="5"/>
  <c r="AN185" i="5"/>
  <c r="AO186" i="5"/>
  <c r="AM117" i="5"/>
  <c r="AM193" i="5"/>
  <c r="AM118" i="5"/>
  <c r="AL119" i="5"/>
  <c r="AP180" i="4"/>
  <c r="S80" i="4"/>
  <c r="S152" i="4"/>
  <c r="H140" i="4" l="1"/>
  <c r="H176" i="4"/>
  <c r="G110" i="4"/>
  <c r="G177" i="4"/>
  <c r="G187" i="4"/>
  <c r="G116" i="4"/>
  <c r="H181" i="4"/>
  <c r="H135" i="4"/>
  <c r="H63" i="4"/>
  <c r="H91" i="4"/>
  <c r="AM195" i="5"/>
  <c r="AM196" i="5"/>
  <c r="AO185" i="5"/>
  <c r="AP186" i="5"/>
  <c r="AQ180" i="4"/>
  <c r="AN117" i="5"/>
  <c r="AN193" i="5"/>
  <c r="AN118" i="5"/>
  <c r="AM119" i="5"/>
  <c r="S174" i="4"/>
  <c r="T149" i="4"/>
  <c r="H175" i="4" l="1"/>
  <c r="H179" i="4"/>
  <c r="G117" i="4"/>
  <c r="H64" i="4"/>
  <c r="H136" i="4"/>
  <c r="G190" i="4"/>
  <c r="G189" i="4"/>
  <c r="AP185" i="5"/>
  <c r="AQ186" i="5"/>
  <c r="AO117" i="5"/>
  <c r="AO118" i="5"/>
  <c r="AO193" i="5"/>
  <c r="AR180" i="4"/>
  <c r="AN119" i="5"/>
  <c r="AN195" i="5"/>
  <c r="AN196" i="5"/>
  <c r="T80" i="4"/>
  <c r="T152" i="4"/>
  <c r="H144" i="4" l="1"/>
  <c r="H145" i="4"/>
  <c r="AQ185" i="5"/>
  <c r="AR186" i="5"/>
  <c r="AP117" i="5"/>
  <c r="AP193" i="5"/>
  <c r="AP119" i="5" s="1"/>
  <c r="AP118" i="5"/>
  <c r="AS180" i="4"/>
  <c r="AO119" i="5"/>
  <c r="AO195" i="5"/>
  <c r="AO196" i="5"/>
  <c r="U149" i="4"/>
  <c r="T174" i="4"/>
  <c r="H146" i="4" l="1"/>
  <c r="H137" i="4"/>
  <c r="AT180" i="4"/>
  <c r="AR185" i="5"/>
  <c r="AS186" i="5"/>
  <c r="AP195" i="5"/>
  <c r="AP196" i="5"/>
  <c r="AQ117" i="5"/>
  <c r="AQ118" i="5"/>
  <c r="AQ193" i="5"/>
  <c r="AQ119" i="5" s="1"/>
  <c r="U80" i="4"/>
  <c r="U152" i="4"/>
  <c r="I143" i="4" l="1"/>
  <c r="H138" i="4"/>
  <c r="AR117" i="5"/>
  <c r="AR193" i="5"/>
  <c r="AR118" i="5"/>
  <c r="AS185" i="5"/>
  <c r="AT186" i="5"/>
  <c r="AQ195" i="5"/>
  <c r="AQ196" i="5"/>
  <c r="AU180" i="4"/>
  <c r="V149" i="4"/>
  <c r="U174" i="4"/>
  <c r="H139" i="4" l="1"/>
  <c r="AT185" i="5"/>
  <c r="AU186" i="5"/>
  <c r="AS117" i="5"/>
  <c r="AS118" i="5"/>
  <c r="AS193" i="5"/>
  <c r="AV180" i="4"/>
  <c r="AR119" i="5"/>
  <c r="AR196" i="5"/>
  <c r="AR195" i="5"/>
  <c r="V80" i="4"/>
  <c r="V152" i="4"/>
  <c r="H65" i="4" l="1"/>
  <c r="AU185" i="5"/>
  <c r="AV186" i="5"/>
  <c r="AT117" i="5"/>
  <c r="AT193" i="5"/>
  <c r="AT118" i="5"/>
  <c r="AW180" i="4"/>
  <c r="AS119" i="5"/>
  <c r="AS195" i="5"/>
  <c r="AS196" i="5"/>
  <c r="V174" i="4"/>
  <c r="W149" i="4"/>
  <c r="H78" i="4" l="1"/>
  <c r="H122" i="4" s="1"/>
  <c r="H66" i="4"/>
  <c r="H185" i="4" s="1"/>
  <c r="AV185" i="5"/>
  <c r="AW186" i="5"/>
  <c r="AX180" i="4"/>
  <c r="AT119" i="5"/>
  <c r="AT196" i="5"/>
  <c r="AT195" i="5"/>
  <c r="AU117" i="5"/>
  <c r="AU118" i="5"/>
  <c r="AU193" i="5"/>
  <c r="W80" i="4"/>
  <c r="W152" i="4"/>
  <c r="H81" i="4" l="1"/>
  <c r="H120" i="4"/>
  <c r="AW185" i="5"/>
  <c r="AX186" i="5"/>
  <c r="AV117" i="5"/>
  <c r="AV193" i="5"/>
  <c r="AV118" i="5"/>
  <c r="AU119" i="5"/>
  <c r="AU195" i="5"/>
  <c r="AU196" i="5"/>
  <c r="AY180" i="4"/>
  <c r="X149" i="4"/>
  <c r="W174" i="4"/>
  <c r="I88" i="4" l="1"/>
  <c r="H184" i="4"/>
  <c r="H98" i="4"/>
  <c r="H163" i="4"/>
  <c r="AZ180" i="4"/>
  <c r="AX185" i="5"/>
  <c r="AY186" i="5"/>
  <c r="AV119" i="5"/>
  <c r="AV195" i="5"/>
  <c r="AV196" i="5"/>
  <c r="AW117" i="5"/>
  <c r="AW193" i="5"/>
  <c r="AW118" i="5"/>
  <c r="X80" i="4"/>
  <c r="X152" i="4"/>
  <c r="H90" i="4" l="1"/>
  <c r="H164" i="4"/>
  <c r="H119" i="4" s="1" a="1"/>
  <c r="H119" i="4" s="1"/>
  <c r="H100" i="4"/>
  <c r="H99" i="4"/>
  <c r="AY185" i="5"/>
  <c r="AZ186" i="5"/>
  <c r="BA180" i="4"/>
  <c r="AW196" i="5"/>
  <c r="AW195" i="5"/>
  <c r="AX117" i="5"/>
  <c r="AX193" i="5"/>
  <c r="AX119" i="5" s="1"/>
  <c r="AX118" i="5"/>
  <c r="AW119" i="5"/>
  <c r="X174" i="4"/>
  <c r="Y149" i="4"/>
  <c r="H92" i="4" l="1"/>
  <c r="H94" i="4" s="1"/>
  <c r="H95" i="4" s="1"/>
  <c r="H171" i="4" s="1"/>
  <c r="H107" i="4"/>
  <c r="H101" i="4"/>
  <c r="H183" i="4"/>
  <c r="I161" i="4"/>
  <c r="BB180" i="4"/>
  <c r="AZ185" i="5"/>
  <c r="BA186" i="5"/>
  <c r="AX196" i="5"/>
  <c r="AX195" i="5"/>
  <c r="AY117" i="5"/>
  <c r="AY193" i="5"/>
  <c r="AY118" i="5"/>
  <c r="Y80" i="4"/>
  <c r="Y152" i="4"/>
  <c r="I93" i="4" l="1"/>
  <c r="H170" i="4"/>
  <c r="H115" i="4" s="1"/>
  <c r="I165" i="4"/>
  <c r="H109" i="4"/>
  <c r="H108" i="4"/>
  <c r="H182" i="4"/>
  <c r="AY195" i="5"/>
  <c r="AY196" i="5"/>
  <c r="AY119" i="5"/>
  <c r="BC180" i="4"/>
  <c r="BA185" i="5"/>
  <c r="BB186" i="5"/>
  <c r="AZ117" i="5"/>
  <c r="AZ193" i="5"/>
  <c r="AZ118" i="5"/>
  <c r="Z149" i="4"/>
  <c r="Y174" i="4"/>
  <c r="I140" i="4" l="1"/>
  <c r="I176" i="4"/>
  <c r="I175" i="4" s="1"/>
  <c r="H110" i="4"/>
  <c r="H177" i="4"/>
  <c r="H116" i="4"/>
  <c r="H187" i="4"/>
  <c r="I91" i="4"/>
  <c r="I63" i="4"/>
  <c r="I181" i="4"/>
  <c r="I135" i="4"/>
  <c r="BA117" i="5"/>
  <c r="BA118" i="5"/>
  <c r="BA193" i="5"/>
  <c r="AZ119" i="5"/>
  <c r="AZ196" i="5"/>
  <c r="AZ195" i="5"/>
  <c r="BD180" i="4"/>
  <c r="BB185" i="5"/>
  <c r="BC186" i="5"/>
  <c r="Z80" i="4"/>
  <c r="Z152" i="4"/>
  <c r="H117" i="4" l="1"/>
  <c r="I179" i="4"/>
  <c r="I64" i="4"/>
  <c r="I136" i="4"/>
  <c r="H190" i="4"/>
  <c r="H189" i="4"/>
  <c r="BA119" i="5"/>
  <c r="BA195" i="5"/>
  <c r="BA196" i="5"/>
  <c r="BB117" i="5"/>
  <c r="BB118" i="5"/>
  <c r="BB193" i="5"/>
  <c r="BE180" i="4"/>
  <c r="BC185" i="5"/>
  <c r="BD186" i="5"/>
  <c r="Z174" i="4"/>
  <c r="AA149" i="4"/>
  <c r="I145" i="4" l="1"/>
  <c r="I144" i="4"/>
  <c r="BF180" i="4"/>
  <c r="BB119" i="5"/>
  <c r="BB196" i="5"/>
  <c r="BB195" i="5"/>
  <c r="BD185" i="5"/>
  <c r="BE186" i="5"/>
  <c r="BC117" i="5"/>
  <c r="BC193" i="5"/>
  <c r="BC118" i="5"/>
  <c r="AA80" i="4"/>
  <c r="AA152" i="4"/>
  <c r="I146" i="4" l="1"/>
  <c r="I137" i="4"/>
  <c r="BD117" i="5"/>
  <c r="BD118" i="5"/>
  <c r="BD193" i="5"/>
  <c r="BE185" i="5"/>
  <c r="BF186" i="5"/>
  <c r="BG180" i="4"/>
  <c r="BC119" i="5"/>
  <c r="BC195" i="5"/>
  <c r="BC196" i="5"/>
  <c r="AB149" i="4"/>
  <c r="AA174" i="4"/>
  <c r="I138" i="4" l="1"/>
  <c r="J143" i="4"/>
  <c r="BH180" i="4"/>
  <c r="BF185" i="5"/>
  <c r="BG186" i="5"/>
  <c r="BE117" i="5"/>
  <c r="BE193" i="5"/>
  <c r="BE118" i="5"/>
  <c r="BD119" i="5"/>
  <c r="BD196" i="5"/>
  <c r="BD195" i="5"/>
  <c r="AB80" i="4"/>
  <c r="AB152" i="4"/>
  <c r="I139" i="4" l="1"/>
  <c r="BE119" i="5"/>
  <c r="BE196" i="5"/>
  <c r="BE195" i="5"/>
  <c r="BF117" i="5"/>
  <c r="BF118" i="5"/>
  <c r="BF193" i="5"/>
  <c r="BG185" i="5"/>
  <c r="BH186" i="5"/>
  <c r="BI180" i="4"/>
  <c r="AB174" i="4"/>
  <c r="AC149" i="4"/>
  <c r="I65" i="4" l="1"/>
  <c r="BF119" i="5"/>
  <c r="BF195" i="5"/>
  <c r="BF196" i="5"/>
  <c r="BJ180" i="4"/>
  <c r="BH185" i="5"/>
  <c r="BI186" i="5"/>
  <c r="BG117" i="5"/>
  <c r="BG118" i="5"/>
  <c r="BG193" i="5"/>
  <c r="AC80" i="4"/>
  <c r="AC152" i="4"/>
  <c r="I78" i="4" l="1"/>
  <c r="I122" i="4" s="1"/>
  <c r="I66" i="4"/>
  <c r="I185" i="4" s="1"/>
  <c r="BG119" i="5"/>
  <c r="BG195" i="5"/>
  <c r="BG196" i="5"/>
  <c r="BK180" i="4"/>
  <c r="BI185" i="5"/>
  <c r="BJ186" i="5"/>
  <c r="BH117" i="5"/>
  <c r="BH193" i="5"/>
  <c r="BH119" i="5" s="1"/>
  <c r="BH118" i="5"/>
  <c r="AD149" i="4"/>
  <c r="AC174" i="4"/>
  <c r="I120" i="4" l="1"/>
  <c r="I81" i="4"/>
  <c r="BL180" i="4"/>
  <c r="BH195" i="5"/>
  <c r="BH196" i="5"/>
  <c r="BI117" i="5"/>
  <c r="BI118" i="5"/>
  <c r="BI193" i="5"/>
  <c r="BJ185" i="5"/>
  <c r="BK186" i="5"/>
  <c r="AD80" i="4"/>
  <c r="AD152" i="4"/>
  <c r="I163" i="4" l="1"/>
  <c r="I98" i="4"/>
  <c r="J88" i="4"/>
  <c r="I184" i="4"/>
  <c r="BK185" i="5"/>
  <c r="BL186" i="5"/>
  <c r="BM180" i="4"/>
  <c r="BI119" i="5"/>
  <c r="BI195" i="5"/>
  <c r="BI196" i="5"/>
  <c r="BJ117" i="5"/>
  <c r="BJ193" i="5"/>
  <c r="BJ118" i="5"/>
  <c r="AD174" i="4"/>
  <c r="AE149" i="4"/>
  <c r="I100" i="4" l="1"/>
  <c r="I99" i="4"/>
  <c r="I90" i="4"/>
  <c r="I164" i="4"/>
  <c r="I119" i="4" s="1" a="1"/>
  <c r="I119" i="4" s="1"/>
  <c r="BJ119" i="5"/>
  <c r="BJ195" i="5"/>
  <c r="BJ196" i="5"/>
  <c r="BN180" i="4"/>
  <c r="BL185" i="5"/>
  <c r="BM186" i="5"/>
  <c r="BK117" i="5"/>
  <c r="BK193" i="5"/>
  <c r="BK118" i="5"/>
  <c r="AE80" i="4"/>
  <c r="AE152" i="4"/>
  <c r="I92" i="4" l="1"/>
  <c r="I94" i="4" s="1"/>
  <c r="I95" i="4" s="1"/>
  <c r="J93" i="4" s="1"/>
  <c r="I107" i="4"/>
  <c r="I101" i="4"/>
  <c r="J161" i="4"/>
  <c r="I183" i="4"/>
  <c r="BM185" i="5"/>
  <c r="BN186" i="5"/>
  <c r="BK119" i="5"/>
  <c r="BK196" i="5"/>
  <c r="BK195" i="5"/>
  <c r="BO180" i="4"/>
  <c r="BL117" i="5"/>
  <c r="BL193" i="5"/>
  <c r="BL118" i="5"/>
  <c r="AE174" i="4"/>
  <c r="AF149" i="4"/>
  <c r="I171" i="4" l="1"/>
  <c r="I170" i="4"/>
  <c r="I115" i="4" s="1"/>
  <c r="I109" i="4"/>
  <c r="I108" i="4"/>
  <c r="I182" i="4"/>
  <c r="J165" i="4"/>
  <c r="BL119" i="5"/>
  <c r="BL196" i="5"/>
  <c r="BL195" i="5"/>
  <c r="BP180" i="4"/>
  <c r="BN185" i="5"/>
  <c r="BO186" i="5"/>
  <c r="BM117" i="5"/>
  <c r="BM118" i="5"/>
  <c r="BM193" i="5"/>
  <c r="AF80" i="4"/>
  <c r="AF152" i="4"/>
  <c r="J140" i="4" l="1"/>
  <c r="J176" i="4"/>
  <c r="I110" i="4"/>
  <c r="I177" i="4"/>
  <c r="J91" i="4"/>
  <c r="J181" i="4"/>
  <c r="J63" i="4"/>
  <c r="J135" i="4"/>
  <c r="I187" i="4"/>
  <c r="I116" i="4"/>
  <c r="BQ180" i="4"/>
  <c r="BN117" i="5"/>
  <c r="BN118" i="5"/>
  <c r="BN193" i="5"/>
  <c r="BN119" i="5" s="1"/>
  <c r="BM119" i="5"/>
  <c r="BM196" i="5"/>
  <c r="BM195" i="5"/>
  <c r="BO185" i="5"/>
  <c r="BP186" i="5"/>
  <c r="AG149" i="4"/>
  <c r="AF174" i="4"/>
  <c r="J175" i="4" l="1"/>
  <c r="I117" i="4"/>
  <c r="J179" i="4"/>
  <c r="J136" i="4"/>
  <c r="I189" i="4"/>
  <c r="I190" i="4"/>
  <c r="J64" i="4"/>
  <c r="BO117" i="5"/>
  <c r="BO118" i="5"/>
  <c r="BO193" i="5"/>
  <c r="BR180" i="4"/>
  <c r="BP185" i="5"/>
  <c r="BQ186" i="5"/>
  <c r="BN195" i="5"/>
  <c r="BN196" i="5"/>
  <c r="AG80" i="4"/>
  <c r="AG152" i="4"/>
  <c r="J144" i="4" l="1"/>
  <c r="J145" i="4"/>
  <c r="BS180" i="4"/>
  <c r="BP117" i="5"/>
  <c r="BP118" i="5"/>
  <c r="BP193" i="5"/>
  <c r="BO119" i="5"/>
  <c r="BO195" i="5"/>
  <c r="BO196" i="5"/>
  <c r="BQ185" i="5"/>
  <c r="BR186" i="5"/>
  <c r="AH149" i="4"/>
  <c r="AG174" i="4"/>
  <c r="J137" i="4" l="1"/>
  <c r="J146" i="4"/>
  <c r="BQ117" i="5"/>
  <c r="BQ118" i="5"/>
  <c r="BQ193" i="5"/>
  <c r="BR185" i="5"/>
  <c r="BS186" i="5"/>
  <c r="BT180" i="4"/>
  <c r="BP119" i="5"/>
  <c r="BP196" i="5"/>
  <c r="BP195" i="5"/>
  <c r="AH80" i="4"/>
  <c r="AH152" i="4"/>
  <c r="K143" i="4" l="1"/>
  <c r="J138" i="4"/>
  <c r="BU180" i="4"/>
  <c r="BQ119" i="5"/>
  <c r="BQ196" i="5"/>
  <c r="BQ195" i="5"/>
  <c r="BS185" i="5"/>
  <c r="BT186" i="5"/>
  <c r="BR117" i="5"/>
  <c r="BR193" i="5"/>
  <c r="BR119" i="5" s="1"/>
  <c r="BR118" i="5"/>
  <c r="AH174" i="4"/>
  <c r="AI149" i="4"/>
  <c r="J139" i="4" l="1"/>
  <c r="BR195" i="5"/>
  <c r="BR196" i="5"/>
  <c r="BS117" i="5"/>
  <c r="BS118" i="5"/>
  <c r="BS193" i="5"/>
  <c r="BS119" i="5" s="1"/>
  <c r="BV180" i="4"/>
  <c r="BT185" i="5"/>
  <c r="BU186" i="5"/>
  <c r="AI80" i="4"/>
  <c r="AI152" i="4"/>
  <c r="J65" i="4" l="1"/>
  <c r="BS196" i="5"/>
  <c r="BS195" i="5"/>
  <c r="BT117" i="5"/>
  <c r="BT193" i="5"/>
  <c r="BT118" i="5"/>
  <c r="BW180" i="4"/>
  <c r="BU185" i="5"/>
  <c r="BV186" i="5"/>
  <c r="AI174" i="4"/>
  <c r="AJ149" i="4"/>
  <c r="J78" i="4" l="1"/>
  <c r="J122" i="4" s="1"/>
  <c r="J66" i="4"/>
  <c r="J185" i="4" s="1"/>
  <c r="BT119" i="5"/>
  <c r="BT195" i="5"/>
  <c r="BT196" i="5"/>
  <c r="BV185" i="5"/>
  <c r="BW186" i="5"/>
  <c r="BU117" i="5"/>
  <c r="BU193" i="5"/>
  <c r="BU118" i="5"/>
  <c r="BX180" i="4"/>
  <c r="AJ80" i="4"/>
  <c r="AJ152" i="4"/>
  <c r="J81" i="4" l="1"/>
  <c r="J120" i="4"/>
  <c r="BW185" i="5"/>
  <c r="BX186" i="5"/>
  <c r="BV117" i="5"/>
  <c r="BV118" i="5"/>
  <c r="BV193" i="5"/>
  <c r="BV119" i="5" s="1"/>
  <c r="BU119" i="5"/>
  <c r="BU196" i="5"/>
  <c r="BU195" i="5"/>
  <c r="BY180" i="4"/>
  <c r="AK149" i="4"/>
  <c r="AJ174" i="4"/>
  <c r="J98" i="4" l="1"/>
  <c r="J163" i="4"/>
  <c r="J184" i="4"/>
  <c r="K88" i="4"/>
  <c r="BX185" i="5"/>
  <c r="BY186" i="5"/>
  <c r="BZ180" i="4"/>
  <c r="BV195" i="5"/>
  <c r="BV196" i="5"/>
  <c r="BW117" i="5"/>
  <c r="BW193" i="5"/>
  <c r="BW118" i="5"/>
  <c r="AK80" i="4"/>
  <c r="AK152" i="4"/>
  <c r="J90" i="4" l="1"/>
  <c r="J164" i="4"/>
  <c r="J119" i="4" s="1" a="1"/>
  <c r="J119" i="4" s="1"/>
  <c r="J100" i="4"/>
  <c r="J99" i="4"/>
  <c r="BY185" i="5"/>
  <c r="BZ186" i="5"/>
  <c r="BX117" i="5"/>
  <c r="BX193" i="5"/>
  <c r="BX118" i="5"/>
  <c r="BW119" i="5"/>
  <c r="BW195" i="5"/>
  <c r="BW196" i="5"/>
  <c r="CA180" i="4"/>
  <c r="AL149" i="4"/>
  <c r="AK174" i="4"/>
  <c r="J92" i="4" l="1"/>
  <c r="J94" i="4" s="1"/>
  <c r="J95" i="4" s="1"/>
  <c r="K93" i="4" s="1"/>
  <c r="J107" i="4"/>
  <c r="J101" i="4"/>
  <c r="J183" i="4"/>
  <c r="K161" i="4"/>
  <c r="CB180" i="4"/>
  <c r="BZ185" i="5"/>
  <c r="CA186" i="5"/>
  <c r="BY117" i="5"/>
  <c r="BY118" i="5"/>
  <c r="BY193" i="5"/>
  <c r="BX119" i="5"/>
  <c r="BX195" i="5"/>
  <c r="BX196" i="5"/>
  <c r="AL152" i="4"/>
  <c r="AL80" i="4"/>
  <c r="J171" i="4" l="1"/>
  <c r="J170" i="4"/>
  <c r="J115" i="4" s="1"/>
  <c r="K165" i="4"/>
  <c r="J108" i="4"/>
  <c r="J109" i="4"/>
  <c r="J182" i="4"/>
  <c r="BY119" i="5"/>
  <c r="BY196" i="5"/>
  <c r="BY195" i="5"/>
  <c r="CA185" i="5"/>
  <c r="CB186" i="5"/>
  <c r="CC180" i="4"/>
  <c r="BZ117" i="5"/>
  <c r="BZ118" i="5"/>
  <c r="BZ193" i="5"/>
  <c r="BZ119" i="5" s="1"/>
  <c r="AL174" i="4"/>
  <c r="AM149" i="4"/>
  <c r="K140" i="4" l="1"/>
  <c r="K176" i="4"/>
  <c r="J110" i="4"/>
  <c r="J177" i="4"/>
  <c r="K181" i="4"/>
  <c r="K135" i="4"/>
  <c r="K91" i="4"/>
  <c r="K63" i="4"/>
  <c r="J187" i="4"/>
  <c r="J116" i="4"/>
  <c r="CA117" i="5"/>
  <c r="CA118" i="5"/>
  <c r="CA193" i="5"/>
  <c r="CA119" i="5" s="1"/>
  <c r="CB185" i="5"/>
  <c r="CC186" i="5"/>
  <c r="BZ195" i="5"/>
  <c r="BZ196" i="5"/>
  <c r="CD180" i="4"/>
  <c r="AM152" i="4"/>
  <c r="AM80" i="4"/>
  <c r="K175" i="4" l="1"/>
  <c r="K179" i="4"/>
  <c r="K136" i="4"/>
  <c r="J117" i="4"/>
  <c r="J189" i="4"/>
  <c r="J190" i="4"/>
  <c r="K64" i="4"/>
  <c r="CB117" i="5"/>
  <c r="CB193" i="5"/>
  <c r="CB118" i="5"/>
  <c r="CE180" i="4"/>
  <c r="CA195" i="5"/>
  <c r="CA196" i="5"/>
  <c r="CC185" i="5"/>
  <c r="CD186" i="5"/>
  <c r="AN149" i="4"/>
  <c r="AM174" i="4"/>
  <c r="K145" i="4" l="1"/>
  <c r="K137" i="4" s="1"/>
  <c r="K138" i="4" s="1"/>
  <c r="K139" i="4" s="1"/>
  <c r="K65" i="4" s="1"/>
  <c r="K144" i="4"/>
  <c r="K146" i="4" s="1"/>
  <c r="L143" i="4" s="1"/>
  <c r="CB195" i="5"/>
  <c r="CB196" i="5"/>
  <c r="CF180" i="4"/>
  <c r="CC117" i="5"/>
  <c r="CC193" i="5"/>
  <c r="CC118" i="5"/>
  <c r="CB119" i="5"/>
  <c r="CD185" i="5"/>
  <c r="CE186" i="5"/>
  <c r="AN152" i="4"/>
  <c r="AN80" i="4"/>
  <c r="K78" i="4" l="1"/>
  <c r="K122" i="4" s="1"/>
  <c r="K66" i="4"/>
  <c r="K185" i="4" s="1"/>
  <c r="CC119" i="5"/>
  <c r="CC196" i="5"/>
  <c r="CC195" i="5"/>
  <c r="CG180" i="4"/>
  <c r="CE185" i="5"/>
  <c r="CF186" i="5"/>
  <c r="CD117" i="5"/>
  <c r="CD118" i="5"/>
  <c r="CD193" i="5"/>
  <c r="AN174" i="4"/>
  <c r="AO149" i="4"/>
  <c r="K184" i="4" l="1"/>
  <c r="L88" i="4"/>
  <c r="K120" i="4"/>
  <c r="K81" i="4"/>
  <c r="CF185" i="5"/>
  <c r="CG186" i="5"/>
  <c r="CH180" i="4"/>
  <c r="CD195" i="5"/>
  <c r="CD196" i="5"/>
  <c r="CE117" i="5"/>
  <c r="CE118" i="5"/>
  <c r="CE193" i="5"/>
  <c r="CE119" i="5" s="1"/>
  <c r="CD119" i="5"/>
  <c r="AO80" i="4"/>
  <c r="AO152" i="4"/>
  <c r="K163" i="4" l="1"/>
  <c r="K98" i="4"/>
  <c r="CI180" i="4"/>
  <c r="CE196" i="5"/>
  <c r="CE195" i="5"/>
  <c r="CG185" i="5"/>
  <c r="CH186" i="5"/>
  <c r="CF117" i="5"/>
  <c r="CF118" i="5"/>
  <c r="CF193" i="5"/>
  <c r="AO174" i="4"/>
  <c r="AP149" i="4"/>
  <c r="K100" i="4" l="1"/>
  <c r="K101" i="4" s="1"/>
  <c r="K99" i="4"/>
  <c r="K90" i="4"/>
  <c r="K164" i="4"/>
  <c r="K119" i="4" s="1" a="1"/>
  <c r="K119" i="4" s="1"/>
  <c r="CF196" i="5"/>
  <c r="CF195" i="5"/>
  <c r="CG117" i="5"/>
  <c r="CG118" i="5"/>
  <c r="CG193" i="5"/>
  <c r="CG119" i="5" s="1"/>
  <c r="CJ180" i="4"/>
  <c r="CF119" i="5"/>
  <c r="CH185" i="5"/>
  <c r="CI186" i="5"/>
  <c r="AP80" i="4"/>
  <c r="AP152" i="4"/>
  <c r="K92" i="4" l="1"/>
  <c r="K94" i="4" s="1"/>
  <c r="K95" i="4" s="1"/>
  <c r="K107" i="4"/>
  <c r="K109" i="4" s="1"/>
  <c r="K110" i="4" s="1"/>
  <c r="K171" i="4"/>
  <c r="L93" i="4"/>
  <c r="K183" i="4"/>
  <c r="K182" i="4" s="1"/>
  <c r="L161" i="4"/>
  <c r="K108" i="4"/>
  <c r="CI185" i="5"/>
  <c r="CJ186" i="5"/>
  <c r="CH117" i="5"/>
  <c r="CH118" i="5"/>
  <c r="CH193" i="5"/>
  <c r="CH119" i="5" s="1"/>
  <c r="CG195" i="5"/>
  <c r="CG196" i="5"/>
  <c r="CK180" i="4"/>
  <c r="AQ149" i="4"/>
  <c r="AP174" i="4"/>
  <c r="K170" i="4" l="1"/>
  <c r="K115" i="4" s="1"/>
  <c r="L165" i="4"/>
  <c r="K116" i="4"/>
  <c r="K187" i="4"/>
  <c r="CH195" i="5"/>
  <c r="CH196" i="5"/>
  <c r="CJ185" i="5"/>
  <c r="CK186" i="5"/>
  <c r="CL180" i="4"/>
  <c r="CI117" i="5"/>
  <c r="CI193" i="5"/>
  <c r="CI118" i="5"/>
  <c r="AQ152" i="4"/>
  <c r="AQ80" i="4"/>
  <c r="L140" i="4" l="1"/>
  <c r="L176" i="4"/>
  <c r="K117" i="4"/>
  <c r="K177" i="4"/>
  <c r="K190" i="4" s="1"/>
  <c r="L135" i="4"/>
  <c r="L136" i="4" s="1"/>
  <c r="L63" i="4"/>
  <c r="L64" i="4" s="1"/>
  <c r="L181" i="4"/>
  <c r="L179" i="4" s="1"/>
  <c r="L91" i="4"/>
  <c r="CK185" i="5"/>
  <c r="CL186" i="5"/>
  <c r="CI196" i="5"/>
  <c r="CI195" i="5"/>
  <c r="CJ117" i="5"/>
  <c r="CJ193" i="5"/>
  <c r="CJ119" i="5" s="1"/>
  <c r="CJ118" i="5"/>
  <c r="CM180" i="4"/>
  <c r="CI119" i="5"/>
  <c r="AQ174" i="4"/>
  <c r="AR149" i="4"/>
  <c r="K189" i="4" l="1"/>
  <c r="L175" i="4"/>
  <c r="L144" i="4"/>
  <c r="L145" i="4"/>
  <c r="L137" i="4" s="1"/>
  <c r="L138" i="4" s="1"/>
  <c r="L139" i="4" s="1"/>
  <c r="L65" i="4" s="1"/>
  <c r="CJ196" i="5"/>
  <c r="CJ195" i="5"/>
  <c r="CN180" i="4"/>
  <c r="CL185" i="5"/>
  <c r="CM186" i="5"/>
  <c r="CK117" i="5"/>
  <c r="CK118" i="5"/>
  <c r="CK193" i="5"/>
  <c r="AR80" i="4"/>
  <c r="AR152" i="4"/>
  <c r="L78" i="4" l="1"/>
  <c r="L122" i="4" s="1"/>
  <c r="L66" i="4"/>
  <c r="L185" i="4" s="1"/>
  <c r="L146" i="4"/>
  <c r="M143" i="4" s="1"/>
  <c r="J176" i="32"/>
  <c r="H176" i="32"/>
  <c r="K176" i="32"/>
  <c r="O176" i="32"/>
  <c r="S176" i="32"/>
  <c r="V176" i="32"/>
  <c r="F176" i="32"/>
  <c r="E176" i="32"/>
  <c r="W176" i="32"/>
  <c r="L176" i="32"/>
  <c r="N176" i="32"/>
  <c r="X176" i="32"/>
  <c r="G176" i="32"/>
  <c r="Q176" i="32"/>
  <c r="M176" i="32"/>
  <c r="Y176" i="32"/>
  <c r="T176" i="32"/>
  <c r="U176" i="32"/>
  <c r="Z176" i="32"/>
  <c r="R176" i="32"/>
  <c r="I176" i="32"/>
  <c r="CM185" i="5"/>
  <c r="CN186" i="5"/>
  <c r="CK119" i="5"/>
  <c r="CK196" i="5"/>
  <c r="CK195" i="5"/>
  <c r="P176" i="32"/>
  <c r="CL117" i="5"/>
  <c r="CL118" i="5"/>
  <c r="CL193" i="5"/>
  <c r="AS149" i="4"/>
  <c r="AR174" i="4"/>
  <c r="L184" i="4" l="1"/>
  <c r="M88" i="4"/>
  <c r="L81" i="4"/>
  <c r="L120" i="4"/>
  <c r="K182" i="33"/>
  <c r="CN185" i="5"/>
  <c r="CL196" i="5"/>
  <c r="CL195" i="5"/>
  <c r="CL119" i="5"/>
  <c r="CM117" i="5"/>
  <c r="CM193" i="5"/>
  <c r="CM119" i="5" s="1"/>
  <c r="CM118" i="5"/>
  <c r="AS80" i="4"/>
  <c r="AS152" i="4"/>
  <c r="L163" i="4" l="1"/>
  <c r="L98" i="4"/>
  <c r="CN117" i="5"/>
  <c r="CN118" i="5"/>
  <c r="CN193" i="5"/>
  <c r="CM196" i="5"/>
  <c r="CM195" i="5"/>
  <c r="AS174" i="4"/>
  <c r="AT149" i="4"/>
  <c r="L100" i="4" l="1"/>
  <c r="L101" i="4" s="1"/>
  <c r="L99" i="4"/>
  <c r="L90" i="4"/>
  <c r="L164" i="4"/>
  <c r="L119" i="4" s="1" a="1"/>
  <c r="L119" i="4" s="1"/>
  <c r="CN119" i="5"/>
  <c r="CN196" i="5"/>
  <c r="CN195" i="5"/>
  <c r="AT152" i="4"/>
  <c r="AT80" i="4"/>
  <c r="L92" i="4" l="1"/>
  <c r="L94" i="4" s="1"/>
  <c r="L95" i="4" s="1"/>
  <c r="L171" i="4" s="1"/>
  <c r="L107" i="4"/>
  <c r="L109" i="4" s="1"/>
  <c r="L110" i="4" s="1"/>
  <c r="M161" i="4"/>
  <c r="L183" i="4"/>
  <c r="L182" i="4" s="1"/>
  <c r="AT174" i="4"/>
  <c r="AU149" i="4"/>
  <c r="M93" i="4" l="1"/>
  <c r="L108" i="4"/>
  <c r="L170" i="4"/>
  <c r="L115" i="4" s="1"/>
  <c r="M165" i="4"/>
  <c r="L187" i="4"/>
  <c r="L117" i="4" s="1"/>
  <c r="L116" i="4"/>
  <c r="AU80" i="4"/>
  <c r="AU152" i="4"/>
  <c r="M140" i="4" l="1"/>
  <c r="M176" i="4"/>
  <c r="M175" i="4" s="1"/>
  <c r="L177" i="4"/>
  <c r="L190" i="4" s="1"/>
  <c r="M181" i="4"/>
  <c r="M179" i="4" s="1"/>
  <c r="M91" i="4"/>
  <c r="M63" i="4"/>
  <c r="M64" i="4" s="1"/>
  <c r="M135" i="4"/>
  <c r="M136" i="4" s="1"/>
  <c r="AV149" i="4"/>
  <c r="AU174" i="4"/>
  <c r="L189" i="4" l="1"/>
  <c r="M144" i="4"/>
  <c r="M145" i="4"/>
  <c r="M137" i="4" s="1"/>
  <c r="M138" i="4" s="1"/>
  <c r="M139" i="4" s="1"/>
  <c r="M65" i="4" s="1"/>
  <c r="AV152" i="4"/>
  <c r="AV80" i="4"/>
  <c r="M78" i="4" l="1"/>
  <c r="M122" i="4" s="1"/>
  <c r="M66" i="4"/>
  <c r="M185" i="4" s="1"/>
  <c r="M146" i="4"/>
  <c r="N143" i="4" s="1"/>
  <c r="AV174" i="4"/>
  <c r="AW149" i="4"/>
  <c r="N88" i="4" l="1"/>
  <c r="M184" i="4"/>
  <c r="M81" i="4"/>
  <c r="M120" i="4"/>
  <c r="AW80" i="4"/>
  <c r="AW152" i="4"/>
  <c r="M163" i="4" l="1"/>
  <c r="M98" i="4"/>
  <c r="AW174" i="4"/>
  <c r="AX149" i="4"/>
  <c r="M100" i="4" l="1"/>
  <c r="M101" i="4" s="1"/>
  <c r="M99" i="4"/>
  <c r="M90" i="4"/>
  <c r="M164" i="4"/>
  <c r="AX80" i="4"/>
  <c r="AX152" i="4"/>
  <c r="M92" i="4" l="1"/>
  <c r="M94" i="4" s="1"/>
  <c r="M95" i="4" s="1"/>
  <c r="M107" i="4"/>
  <c r="M109" i="4" s="1"/>
  <c r="M110" i="4" s="1"/>
  <c r="M183" i="4"/>
  <c r="M182" i="4" s="1"/>
  <c r="N161" i="4"/>
  <c r="AY149" i="4"/>
  <c r="AX174" i="4"/>
  <c r="M108" i="4" l="1"/>
  <c r="M171" i="4"/>
  <c r="M170" i="4" s="1"/>
  <c r="N93" i="4"/>
  <c r="N165" i="4"/>
  <c r="M187" i="4"/>
  <c r="M117" i="4" s="1"/>
  <c r="M116" i="4"/>
  <c r="AY80" i="4"/>
  <c r="AY152" i="4"/>
  <c r="N140" i="4" l="1"/>
  <c r="N176" i="4"/>
  <c r="N175" i="4" s="1"/>
  <c r="M177" i="4"/>
  <c r="M190" i="4" s="1"/>
  <c r="M115" i="4"/>
  <c r="N181" i="4"/>
  <c r="N179" i="4" s="1"/>
  <c r="N63" i="4"/>
  <c r="N64" i="4" s="1"/>
  <c r="N135" i="4"/>
  <c r="N136" i="4" s="1"/>
  <c r="N91" i="4"/>
  <c r="AY174" i="4"/>
  <c r="AZ149" i="4"/>
  <c r="M189" i="4" l="1"/>
  <c r="N145" i="4"/>
  <c r="N137" i="4" s="1"/>
  <c r="N138" i="4" s="1"/>
  <c r="N139" i="4" s="1"/>
  <c r="N65" i="4" s="1"/>
  <c r="N78" i="4" s="1"/>
  <c r="N122" i="4" s="1"/>
  <c r="N144" i="4"/>
  <c r="N146" i="4" s="1"/>
  <c r="O143" i="4" s="1"/>
  <c r="AZ80" i="4"/>
  <c r="AZ152" i="4"/>
  <c r="N66" i="4" l="1"/>
  <c r="N185" i="4" s="1"/>
  <c r="N184" i="4" s="1"/>
  <c r="N81" i="4"/>
  <c r="N120" i="4"/>
  <c r="BA149" i="4"/>
  <c r="AZ174" i="4"/>
  <c r="O88" i="4" l="1"/>
  <c r="N163" i="4"/>
  <c r="N98" i="4"/>
  <c r="BA80" i="4"/>
  <c r="BA152" i="4"/>
  <c r="N100" i="4" l="1"/>
  <c r="N101" i="4" s="1"/>
  <c r="N99" i="4"/>
  <c r="N90" i="4"/>
  <c r="N164" i="4"/>
  <c r="BA174" i="4"/>
  <c r="BB149" i="4"/>
  <c r="N92" i="4" l="1"/>
  <c r="N94" i="4" s="1"/>
  <c r="N95" i="4" s="1"/>
  <c r="N107" i="4"/>
  <c r="N109" i="4" s="1"/>
  <c r="N110" i="4" s="1"/>
  <c r="O161" i="4"/>
  <c r="N183" i="4"/>
  <c r="N182" i="4" s="1"/>
  <c r="BB152" i="4"/>
  <c r="BB80" i="4"/>
  <c r="N108" i="4" l="1"/>
  <c r="N171" i="4"/>
  <c r="N170" i="4" s="1"/>
  <c r="O93" i="4"/>
  <c r="N116" i="4"/>
  <c r="N187" i="4"/>
  <c r="O165" i="4"/>
  <c r="BB174" i="4"/>
  <c r="BC149" i="4"/>
  <c r="O140" i="4" l="1"/>
  <c r="O176" i="4"/>
  <c r="N177" i="4"/>
  <c r="N190" i="4" s="1"/>
  <c r="N115" i="4"/>
  <c r="O91" i="4"/>
  <c r="O63" i="4"/>
  <c r="O64" i="4" s="1"/>
  <c r="O135" i="4"/>
  <c r="O136" i="4" s="1"/>
  <c r="O181" i="4"/>
  <c r="O179" i="4" s="1"/>
  <c r="N117" i="4"/>
  <c r="BC80" i="4"/>
  <c r="BC152" i="4"/>
  <c r="N189" i="4" l="1"/>
  <c r="O175" i="4"/>
  <c r="O145" i="4"/>
  <c r="O137" i="4" s="1"/>
  <c r="O138" i="4" s="1"/>
  <c r="O139" i="4" s="1"/>
  <c r="O65" i="4" s="1"/>
  <c r="O144" i="4"/>
  <c r="BD149" i="4"/>
  <c r="BC174" i="4"/>
  <c r="O78" i="4" l="1"/>
  <c r="O122" i="4" s="1"/>
  <c r="O66" i="4"/>
  <c r="O185" i="4" s="1"/>
  <c r="O146" i="4"/>
  <c r="P143" i="4" s="1"/>
  <c r="BD152" i="4"/>
  <c r="BD80" i="4"/>
  <c r="O184" i="4" l="1"/>
  <c r="P88" i="4"/>
  <c r="O120" i="4"/>
  <c r="O81" i="4"/>
  <c r="BD174" i="4"/>
  <c r="BE149" i="4"/>
  <c r="O163" i="4" l="1"/>
  <c r="O98" i="4"/>
  <c r="BE80" i="4"/>
  <c r="BE152" i="4"/>
  <c r="O100" i="4" l="1"/>
  <c r="O101" i="4" s="1"/>
  <c r="O99" i="4"/>
  <c r="O90" i="4"/>
  <c r="O164" i="4"/>
  <c r="BE174" i="4"/>
  <c r="BF149" i="4"/>
  <c r="O92" i="4" l="1"/>
  <c r="O94" i="4" s="1"/>
  <c r="O95" i="4" s="1"/>
  <c r="O107" i="4"/>
  <c r="O108" i="4" s="1"/>
  <c r="O183" i="4"/>
  <c r="O182" i="4" s="1"/>
  <c r="P161" i="4"/>
  <c r="BF80" i="4"/>
  <c r="BF152" i="4"/>
  <c r="O109" i="4" l="1"/>
  <c r="O110" i="4" s="1"/>
  <c r="O171" i="4"/>
  <c r="O170" i="4" s="1"/>
  <c r="P93" i="4"/>
  <c r="P165" i="4"/>
  <c r="O116" i="4"/>
  <c r="O187" i="4"/>
  <c r="O117" i="4" s="1"/>
  <c r="BG149" i="4"/>
  <c r="BF174" i="4"/>
  <c r="P140" i="4" l="1"/>
  <c r="P181" i="4" s="1"/>
  <c r="P179" i="4" s="1"/>
  <c r="P176" i="4"/>
  <c r="P175" i="4" s="1"/>
  <c r="O177" i="4"/>
  <c r="O189" i="4" s="1"/>
  <c r="O115" i="4"/>
  <c r="P91" i="4"/>
  <c r="P63" i="4"/>
  <c r="P64" i="4" s="1"/>
  <c r="P135" i="4"/>
  <c r="P136" i="4" s="1"/>
  <c r="BG152" i="4"/>
  <c r="BG80" i="4"/>
  <c r="O190" i="4" l="1"/>
  <c r="P144" i="4"/>
  <c r="P145" i="4"/>
  <c r="P137" i="4" s="1"/>
  <c r="P138" i="4" s="1"/>
  <c r="P139" i="4" s="1"/>
  <c r="P65" i="4" s="1"/>
  <c r="P78" i="4" s="1"/>
  <c r="P122" i="4" s="1"/>
  <c r="BG174" i="4"/>
  <c r="BH149" i="4"/>
  <c r="P146" i="4" l="1"/>
  <c r="Q143" i="4" s="1"/>
  <c r="P120" i="4"/>
  <c r="P81" i="4"/>
  <c r="P66" i="4"/>
  <c r="P185" i="4" s="1"/>
  <c r="BH80" i="4"/>
  <c r="BH152" i="4"/>
  <c r="P163" i="4" l="1"/>
  <c r="P98" i="4"/>
  <c r="Q88" i="4"/>
  <c r="P184" i="4"/>
  <c r="BI149" i="4"/>
  <c r="BH174" i="4"/>
  <c r="P100" i="4" l="1"/>
  <c r="P101" i="4" s="1"/>
  <c r="P99" i="4"/>
  <c r="P90" i="4"/>
  <c r="P164" i="4"/>
  <c r="BI80" i="4"/>
  <c r="BI152" i="4"/>
  <c r="P92" i="4" l="1"/>
  <c r="P94" i="4" s="1"/>
  <c r="P95" i="4" s="1"/>
  <c r="P107" i="4"/>
  <c r="P109" i="4" s="1"/>
  <c r="P110" i="4" s="1"/>
  <c r="Q161" i="4"/>
  <c r="P183" i="4"/>
  <c r="P182" i="4" s="1"/>
  <c r="BI174" i="4"/>
  <c r="BJ149" i="4"/>
  <c r="P108" i="4" l="1"/>
  <c r="Q93" i="4"/>
  <c r="P171" i="4"/>
  <c r="P170" i="4" s="1"/>
  <c r="P116" i="4"/>
  <c r="P187" i="4"/>
  <c r="Q165" i="4"/>
  <c r="BJ152" i="4"/>
  <c r="BJ80" i="4"/>
  <c r="P115" i="4" l="1"/>
  <c r="P177" i="4"/>
  <c r="P189" i="4" s="1"/>
  <c r="Q140" i="4"/>
  <c r="Q181" i="4" s="1"/>
  <c r="Q179" i="4" s="1"/>
  <c r="Q176" i="4"/>
  <c r="Q91" i="4"/>
  <c r="Q135" i="4"/>
  <c r="Q136" i="4" s="1"/>
  <c r="Q63" i="4"/>
  <c r="Q64" i="4" s="1"/>
  <c r="P117" i="4"/>
  <c r="BJ174" i="4"/>
  <c r="BK149" i="4"/>
  <c r="P190" i="4" l="1"/>
  <c r="Q175" i="4"/>
  <c r="Q144" i="4"/>
  <c r="Q145" i="4"/>
  <c r="Q137" i="4" s="1"/>
  <c r="Q138" i="4" s="1"/>
  <c r="Q139" i="4" s="1"/>
  <c r="Q65" i="4" s="1"/>
  <c r="BK152" i="4"/>
  <c r="BK80" i="4"/>
  <c r="Q78" i="4" l="1"/>
  <c r="Q122" i="4" s="1"/>
  <c r="Q66" i="4"/>
  <c r="Q185" i="4" s="1"/>
  <c r="Q146" i="4"/>
  <c r="R143" i="4" s="1"/>
  <c r="BL149" i="4"/>
  <c r="BK174" i="4"/>
  <c r="Q184" i="4" l="1"/>
  <c r="R88" i="4"/>
  <c r="Q120" i="4"/>
  <c r="Q81" i="4"/>
  <c r="BL152" i="4"/>
  <c r="BL80" i="4"/>
  <c r="Q163" i="4" l="1"/>
  <c r="Q98" i="4"/>
  <c r="BL174" i="4"/>
  <c r="BM149" i="4"/>
  <c r="Q90" i="4" l="1"/>
  <c r="Q164" i="4"/>
  <c r="Q100" i="4"/>
  <c r="Q101" i="4" s="1"/>
  <c r="Q99" i="4"/>
  <c r="BM80" i="4"/>
  <c r="BM152" i="4"/>
  <c r="Q92" i="4" l="1"/>
  <c r="Q94" i="4" s="1"/>
  <c r="Q95" i="4" s="1"/>
  <c r="Q107" i="4"/>
  <c r="Q109" i="4" s="1"/>
  <c r="Q110" i="4" s="1"/>
  <c r="R161" i="4"/>
  <c r="Q183" i="4"/>
  <c r="Q182" i="4" s="1"/>
  <c r="BM174" i="4"/>
  <c r="BN149" i="4"/>
  <c r="Q108" i="4" l="1"/>
  <c r="R93" i="4"/>
  <c r="Q171" i="4"/>
  <c r="Q170" i="4" s="1"/>
  <c r="R165" i="4"/>
  <c r="Q187" i="4"/>
  <c r="Q116" i="4"/>
  <c r="BN80" i="4"/>
  <c r="BN152" i="4"/>
  <c r="Q115" i="4" l="1"/>
  <c r="Q177" i="4"/>
  <c r="Q189" i="4" s="1"/>
  <c r="R140" i="4"/>
  <c r="R181" i="4" s="1"/>
  <c r="R179" i="4" s="1"/>
  <c r="R176" i="4"/>
  <c r="Q117" i="4"/>
  <c r="R63" i="4"/>
  <c r="R64" i="4" s="1"/>
  <c r="R135" i="4"/>
  <c r="R136" i="4" s="1"/>
  <c r="R91" i="4"/>
  <c r="BO149" i="4"/>
  <c r="BN174" i="4"/>
  <c r="Q190" i="4" l="1"/>
  <c r="R175" i="4"/>
  <c r="R144" i="4"/>
  <c r="R145" i="4"/>
  <c r="R137" i="4" s="1"/>
  <c r="R138" i="4" s="1"/>
  <c r="R139" i="4" s="1"/>
  <c r="R65" i="4" s="1"/>
  <c r="BO80" i="4"/>
  <c r="BO152" i="4"/>
  <c r="R146" i="4" l="1"/>
  <c r="S143" i="4" s="1"/>
  <c r="R78" i="4"/>
  <c r="R122" i="4" s="1"/>
  <c r="R66" i="4"/>
  <c r="R185" i="4" s="1"/>
  <c r="BO174" i="4"/>
  <c r="BP149" i="4"/>
  <c r="S88" i="4" l="1"/>
  <c r="R184" i="4"/>
  <c r="R120" i="4"/>
  <c r="R81" i="4"/>
  <c r="BP80" i="4"/>
  <c r="BP152" i="4"/>
  <c r="R163" i="4" l="1"/>
  <c r="R98" i="4"/>
  <c r="BQ149" i="4"/>
  <c r="BP174" i="4"/>
  <c r="R90" i="4" l="1"/>
  <c r="R164" i="4"/>
  <c r="R100" i="4"/>
  <c r="R101" i="4" s="1"/>
  <c r="R99" i="4"/>
  <c r="BQ80" i="4"/>
  <c r="BQ152" i="4"/>
  <c r="R92" i="4" l="1"/>
  <c r="R94" i="4" s="1"/>
  <c r="R95" i="4" s="1"/>
  <c r="R107" i="4"/>
  <c r="R109" i="4" s="1"/>
  <c r="R110" i="4" s="1"/>
  <c r="S161" i="4"/>
  <c r="R183" i="4"/>
  <c r="R182" i="4" s="1"/>
  <c r="BQ174" i="4"/>
  <c r="BR149" i="4"/>
  <c r="R108" i="4" l="1"/>
  <c r="S93" i="4"/>
  <c r="R171" i="4"/>
  <c r="R170" i="4" s="1"/>
  <c r="R116" i="4"/>
  <c r="R187" i="4"/>
  <c r="S165" i="4"/>
  <c r="BR152" i="4"/>
  <c r="BR80" i="4"/>
  <c r="R177" i="4" l="1"/>
  <c r="R115" i="4"/>
  <c r="S140" i="4"/>
  <c r="S181" i="4" s="1"/>
  <c r="S179" i="4" s="1"/>
  <c r="S176" i="4"/>
  <c r="S91" i="4"/>
  <c r="S63" i="4"/>
  <c r="S64" i="4" s="1"/>
  <c r="S135" i="4"/>
  <c r="S136" i="4" s="1"/>
  <c r="R117" i="4"/>
  <c r="R190" i="4"/>
  <c r="R189" i="4"/>
  <c r="BR174" i="4"/>
  <c r="BS149" i="4"/>
  <c r="S175" i="4" l="1"/>
  <c r="S145" i="4"/>
  <c r="S137" i="4" s="1"/>
  <c r="S138" i="4" s="1"/>
  <c r="S139" i="4" s="1"/>
  <c r="S65" i="4" s="1"/>
  <c r="S144" i="4"/>
  <c r="BS80" i="4"/>
  <c r="BS152" i="4"/>
  <c r="S78" i="4" l="1"/>
  <c r="S122" i="4" s="1"/>
  <c r="S66" i="4"/>
  <c r="S185" i="4" s="1"/>
  <c r="S184" i="4" s="1"/>
  <c r="S146" i="4"/>
  <c r="T143" i="4" s="1"/>
  <c r="S120" i="4"/>
  <c r="S81" i="4"/>
  <c r="BT149" i="4"/>
  <c r="BS174" i="4"/>
  <c r="T88" i="4" l="1"/>
  <c r="S98" i="4"/>
  <c r="S163" i="4"/>
  <c r="BT152" i="4"/>
  <c r="BT80" i="4"/>
  <c r="S90" i="4" l="1"/>
  <c r="S164" i="4"/>
  <c r="S100" i="4"/>
  <c r="S101" i="4" s="1"/>
  <c r="S99" i="4"/>
  <c r="BT174" i="4"/>
  <c r="BU149" i="4"/>
  <c r="S92" i="4" l="1"/>
  <c r="S94" i="4" s="1"/>
  <c r="S95" i="4" s="1"/>
  <c r="S107" i="4"/>
  <c r="S109" i="4" s="1"/>
  <c r="S110" i="4" s="1"/>
  <c r="T161" i="4"/>
  <c r="S183" i="4"/>
  <c r="S182" i="4" s="1"/>
  <c r="BU80" i="4"/>
  <c r="BU152" i="4"/>
  <c r="S108" i="4" l="1"/>
  <c r="T93" i="4"/>
  <c r="S171" i="4"/>
  <c r="S170" i="4" s="1"/>
  <c r="S187" i="4"/>
  <c r="S116" i="4"/>
  <c r="T165" i="4"/>
  <c r="BU174" i="4"/>
  <c r="BV149" i="4"/>
  <c r="S177" i="4" l="1"/>
  <c r="S189" i="4" s="1"/>
  <c r="S115" i="4"/>
  <c r="T140" i="4"/>
  <c r="T181" i="4" s="1"/>
  <c r="T179" i="4" s="1"/>
  <c r="T176" i="4"/>
  <c r="T135" i="4"/>
  <c r="T136" i="4" s="1"/>
  <c r="T91" i="4"/>
  <c r="T63" i="4"/>
  <c r="T64" i="4" s="1"/>
  <c r="S117" i="4"/>
  <c r="BV80" i="4"/>
  <c r="BV152" i="4"/>
  <c r="S190" i="4" l="1"/>
  <c r="T175" i="4"/>
  <c r="T144" i="4"/>
  <c r="T145" i="4"/>
  <c r="T137" i="4" s="1"/>
  <c r="T138" i="4" s="1"/>
  <c r="T139" i="4" s="1"/>
  <c r="T65" i="4" s="1"/>
  <c r="BW149" i="4"/>
  <c r="BV174" i="4"/>
  <c r="T146" i="4" l="1"/>
  <c r="U143" i="4" s="1"/>
  <c r="T78" i="4"/>
  <c r="T122" i="4" s="1"/>
  <c r="T66" i="4"/>
  <c r="T185" i="4" s="1"/>
  <c r="BW80" i="4"/>
  <c r="BW152" i="4"/>
  <c r="T184" i="4" l="1"/>
  <c r="U88" i="4"/>
  <c r="T81" i="4"/>
  <c r="T120" i="4"/>
  <c r="BW174" i="4"/>
  <c r="BX149" i="4"/>
  <c r="T163" i="4" l="1"/>
  <c r="T98" i="4"/>
  <c r="BX152" i="4"/>
  <c r="BX80" i="4"/>
  <c r="T100" i="4" l="1"/>
  <c r="T101" i="4" s="1"/>
  <c r="T99" i="4"/>
  <c r="T90" i="4"/>
  <c r="T164" i="4"/>
  <c r="BY149" i="4"/>
  <c r="BX174" i="4"/>
  <c r="T92" i="4" l="1"/>
  <c r="T94" i="4" s="1"/>
  <c r="T95" i="4" s="1"/>
  <c r="T107" i="4"/>
  <c r="T109" i="4" s="1"/>
  <c r="T110" i="4" s="1"/>
  <c r="T183" i="4"/>
  <c r="T182" i="4" s="1"/>
  <c r="U161" i="4"/>
  <c r="BY152" i="4"/>
  <c r="BY80" i="4"/>
  <c r="T108" i="4" l="1"/>
  <c r="T171" i="4"/>
  <c r="T170" i="4" s="1"/>
  <c r="U93" i="4"/>
  <c r="U165" i="4"/>
  <c r="T187" i="4"/>
  <c r="T117" i="4" s="1"/>
  <c r="T116" i="4"/>
  <c r="BY174" i="4"/>
  <c r="BZ149" i="4"/>
  <c r="U140" i="4" l="1"/>
  <c r="U176" i="4"/>
  <c r="U175" i="4" s="1"/>
  <c r="T177" i="4"/>
  <c r="T189" i="4" s="1"/>
  <c r="T115" i="4"/>
  <c r="U135" i="4"/>
  <c r="U136" i="4" s="1"/>
  <c r="U63" i="4"/>
  <c r="U64" i="4" s="1"/>
  <c r="U91" i="4"/>
  <c r="U181" i="4"/>
  <c r="U179" i="4" s="1"/>
  <c r="BZ152" i="4"/>
  <c r="BZ80" i="4"/>
  <c r="T190" i="4" l="1"/>
  <c r="U144" i="4"/>
  <c r="U145" i="4"/>
  <c r="U137" i="4" s="1"/>
  <c r="U138" i="4" s="1"/>
  <c r="U139" i="4" s="1"/>
  <c r="U65" i="4" s="1"/>
  <c r="U78" i="4" s="1"/>
  <c r="U122" i="4" s="1"/>
  <c r="BZ174" i="4"/>
  <c r="CA149" i="4"/>
  <c r="U146" i="4" l="1"/>
  <c r="V143" i="4" s="1"/>
  <c r="U120" i="4"/>
  <c r="U81" i="4"/>
  <c r="U66" i="4"/>
  <c r="U185" i="4" s="1"/>
  <c r="CA80" i="4"/>
  <c r="CA152" i="4"/>
  <c r="V88" i="4" l="1"/>
  <c r="U184" i="4"/>
  <c r="U163" i="4"/>
  <c r="U98" i="4"/>
  <c r="CB149" i="4"/>
  <c r="CA174" i="4"/>
  <c r="U100" i="4" l="1"/>
  <c r="U101" i="4" s="1"/>
  <c r="U99" i="4"/>
  <c r="U90" i="4"/>
  <c r="U164" i="4"/>
  <c r="CB152" i="4"/>
  <c r="CB80" i="4"/>
  <c r="U92" i="4" l="1"/>
  <c r="U94" i="4" s="1"/>
  <c r="U95" i="4" s="1"/>
  <c r="U171" i="4" s="1"/>
  <c r="U170" i="4" s="1"/>
  <c r="U107" i="4"/>
  <c r="U108" i="4" s="1"/>
  <c r="V93" i="4"/>
  <c r="V161" i="4"/>
  <c r="U183" i="4"/>
  <c r="U182" i="4" s="1"/>
  <c r="CB174" i="4"/>
  <c r="CC149" i="4"/>
  <c r="U109" i="4" l="1"/>
  <c r="U110" i="4" s="1"/>
  <c r="U177" i="4"/>
  <c r="U115" i="4"/>
  <c r="U187" i="4"/>
  <c r="U117" i="4" s="1"/>
  <c r="U116" i="4"/>
  <c r="V165" i="4"/>
  <c r="CC80" i="4"/>
  <c r="CC152" i="4"/>
  <c r="V140" i="4" l="1"/>
  <c r="V176" i="4"/>
  <c r="V175" i="4" s="1"/>
  <c r="V135" i="4"/>
  <c r="V136" i="4" s="1"/>
  <c r="V91" i="4"/>
  <c r="V181" i="4"/>
  <c r="V179" i="4" s="1"/>
  <c r="V63" i="4"/>
  <c r="V64" i="4" s="1"/>
  <c r="U189" i="4"/>
  <c r="U190" i="4"/>
  <c r="CC174" i="4"/>
  <c r="CD149" i="4"/>
  <c r="V144" i="4" l="1"/>
  <c r="V145" i="4"/>
  <c r="CD80" i="4"/>
  <c r="CD152" i="4"/>
  <c r="V137" i="4" l="1"/>
  <c r="V146" i="4"/>
  <c r="W143" i="4" s="1"/>
  <c r="CE149" i="4"/>
  <c r="CD174" i="4"/>
  <c r="V138" i="4" l="1"/>
  <c r="CE152" i="4"/>
  <c r="CE80" i="4"/>
  <c r="V139" i="4" l="1"/>
  <c r="CE174" i="4"/>
  <c r="CF149" i="4"/>
  <c r="V65" i="4" l="1"/>
  <c r="CF152" i="4"/>
  <c r="CF80" i="4"/>
  <c r="V78" i="4" l="1"/>
  <c r="V66" i="4"/>
  <c r="V185" i="4" s="1"/>
  <c r="W88" i="4" s="1"/>
  <c r="CG149" i="4"/>
  <c r="CF174" i="4"/>
  <c r="V81" i="4" l="1"/>
  <c r="V122" i="4"/>
  <c r="V120" i="4"/>
  <c r="CG152" i="4"/>
  <c r="CG80" i="4"/>
  <c r="V98" i="4" l="1"/>
  <c r="V163" i="4"/>
  <c r="V184" i="4"/>
  <c r="CG174" i="4"/>
  <c r="CH149" i="4"/>
  <c r="V90" i="4" l="1"/>
  <c r="V164" i="4"/>
  <c r="V100" i="4"/>
  <c r="V101" i="4" s="1"/>
  <c r="V99" i="4"/>
  <c r="CH152" i="4"/>
  <c r="CH80" i="4"/>
  <c r="V183" i="4" l="1"/>
  <c r="V182" i="4" s="1"/>
  <c r="W161" i="4"/>
  <c r="W165" i="4" s="1"/>
  <c r="V92" i="4"/>
  <c r="V94" i="4" s="1"/>
  <c r="V95" i="4" s="1"/>
  <c r="V107" i="4"/>
  <c r="CH174" i="4"/>
  <c r="CI149" i="4"/>
  <c r="W140" i="4" l="1"/>
  <c r="W91" i="4"/>
  <c r="W176" i="4"/>
  <c r="W135" i="4"/>
  <c r="W136" i="4" s="1"/>
  <c r="W63" i="4"/>
  <c r="W64" i="4" s="1"/>
  <c r="V116" i="4"/>
  <c r="V187" i="4"/>
  <c r="V117" i="4" s="1"/>
  <c r="V108" i="4"/>
  <c r="V109" i="4"/>
  <c r="V110" i="4" s="1"/>
  <c r="W93" i="4"/>
  <c r="V171" i="4"/>
  <c r="V170" i="4" s="1"/>
  <c r="CI80" i="4"/>
  <c r="CI152" i="4"/>
  <c r="W144" i="4" l="1"/>
  <c r="W175" i="4"/>
  <c r="V177" i="4"/>
  <c r="V115" i="4"/>
  <c r="W181" i="4"/>
  <c r="W179" i="4" s="1"/>
  <c r="CJ149" i="4"/>
  <c r="CI174" i="4"/>
  <c r="V190" i="4" l="1"/>
  <c r="V189" i="4"/>
  <c r="W145" i="4"/>
  <c r="W137" i="4" s="1"/>
  <c r="W138" i="4" s="1"/>
  <c r="W139" i="4" s="1"/>
  <c r="W65" i="4" s="1"/>
  <c r="CJ152" i="4"/>
  <c r="CJ80" i="4"/>
  <c r="W146" i="4" l="1"/>
  <c r="X143" i="4" s="1"/>
  <c r="W78" i="4"/>
  <c r="W66" i="4"/>
  <c r="W185" i="4" s="1"/>
  <c r="CJ174" i="4"/>
  <c r="CK149" i="4"/>
  <c r="X88" i="4" l="1"/>
  <c r="W184" i="4"/>
  <c r="W81" i="4"/>
  <c r="W120" i="4"/>
  <c r="W122" i="4"/>
  <c r="CK80" i="4"/>
  <c r="CK152" i="4"/>
  <c r="W98" i="4" l="1"/>
  <c r="W163" i="4"/>
  <c r="CK174" i="4"/>
  <c r="CL149" i="4"/>
  <c r="W164" i="4" l="1"/>
  <c r="W90" i="4"/>
  <c r="W121" i="4"/>
  <c r="W100" i="4"/>
  <c r="W101" i="4" s="1"/>
  <c r="W99" i="4"/>
  <c r="CL80" i="4"/>
  <c r="CL152" i="4"/>
  <c r="W107" i="4" l="1"/>
  <c r="W92" i="4"/>
  <c r="W94" i="4" s="1"/>
  <c r="W95" i="4" s="1"/>
  <c r="W183" i="4"/>
  <c r="W182" i="4" s="1"/>
  <c r="X161" i="4"/>
  <c r="CM149" i="4"/>
  <c r="CL174" i="4"/>
  <c r="W171" i="4" l="1"/>
  <c r="W170" i="4" s="1"/>
  <c r="X93" i="4"/>
  <c r="W118" i="4"/>
  <c r="W116" i="4"/>
  <c r="W187" i="4"/>
  <c r="W117" i="4" s="1"/>
  <c r="X165" i="4"/>
  <c r="W109" i="4"/>
  <c r="W110" i="4" s="1"/>
  <c r="W108" i="4"/>
  <c r="CM80" i="4"/>
  <c r="CM152" i="4"/>
  <c r="X140" i="4" l="1"/>
  <c r="X91" i="4"/>
  <c r="X176" i="4"/>
  <c r="X135" i="4"/>
  <c r="X136" i="4" s="1"/>
  <c r="X63" i="4"/>
  <c r="X64" i="4" s="1"/>
  <c r="W115" i="4"/>
  <c r="W177" i="4"/>
  <c r="CN149" i="4"/>
  <c r="CM174" i="4"/>
  <c r="X144" i="4" l="1"/>
  <c r="X145" i="4"/>
  <c r="X137" i="4" s="1"/>
  <c r="X138" i="4" s="1"/>
  <c r="X139" i="4" s="1"/>
  <c r="X65" i="4" s="1"/>
  <c r="X78" i="4" s="1"/>
  <c r="Y176" i="4"/>
  <c r="X175" i="4"/>
  <c r="W189" i="4"/>
  <c r="W190" i="4"/>
  <c r="X181" i="4"/>
  <c r="P136" i="32"/>
  <c r="C140" i="4"/>
  <c r="K136" i="32"/>
  <c r="N136" i="32"/>
  <c r="S136" i="32"/>
  <c r="H136" i="32"/>
  <c r="W136" i="32"/>
  <c r="O136" i="32"/>
  <c r="T136" i="32"/>
  <c r="R136" i="32"/>
  <c r="Z136" i="32"/>
  <c r="F136" i="32"/>
  <c r="E136" i="32"/>
  <c r="L136" i="32"/>
  <c r="G136" i="32"/>
  <c r="M136" i="32"/>
  <c r="Q136" i="32"/>
  <c r="V136" i="32"/>
  <c r="Y136" i="32"/>
  <c r="I136" i="32"/>
  <c r="J136" i="32"/>
  <c r="X136" i="32"/>
  <c r="U136" i="32"/>
  <c r="F145" i="32"/>
  <c r="K145" i="32"/>
  <c r="Z145" i="32"/>
  <c r="E145" i="32"/>
  <c r="M145" i="32"/>
  <c r="Q145" i="32"/>
  <c r="H145" i="32"/>
  <c r="R145" i="32"/>
  <c r="I145" i="32"/>
  <c r="O145" i="32"/>
  <c r="W145" i="32"/>
  <c r="G145" i="32"/>
  <c r="P145" i="32"/>
  <c r="V145" i="32"/>
  <c r="U145" i="32"/>
  <c r="X145" i="32"/>
  <c r="Y145" i="32"/>
  <c r="J145" i="32"/>
  <c r="N145" i="32"/>
  <c r="L145" i="32"/>
  <c r="S145" i="32"/>
  <c r="T145" i="32"/>
  <c r="CN152" i="4"/>
  <c r="CN80" i="4"/>
  <c r="X66" i="4" l="1"/>
  <c r="X185" i="4" s="1"/>
  <c r="C136" i="32"/>
  <c r="Z176" i="4"/>
  <c r="Y175" i="4"/>
  <c r="Y181" i="4"/>
  <c r="X179" i="4"/>
  <c r="X120" i="4"/>
  <c r="X122" i="4"/>
  <c r="X81" i="4"/>
  <c r="Y88" i="4"/>
  <c r="X184" i="4"/>
  <c r="X146" i="4"/>
  <c r="Y143" i="4" s="1"/>
  <c r="G76" i="32"/>
  <c r="E76" i="32"/>
  <c r="C80" i="4"/>
  <c r="F76" i="32"/>
  <c r="T76" i="32"/>
  <c r="M76" i="32"/>
  <c r="Y76" i="32"/>
  <c r="Q76" i="32"/>
  <c r="Z76" i="32"/>
  <c r="R76" i="32"/>
  <c r="W76" i="32"/>
  <c r="L76" i="32"/>
  <c r="I76" i="32"/>
  <c r="N76" i="32"/>
  <c r="H76" i="32"/>
  <c r="X76" i="32"/>
  <c r="O76" i="32"/>
  <c r="P76" i="32"/>
  <c r="U76" i="32"/>
  <c r="V76" i="32"/>
  <c r="K76" i="32"/>
  <c r="S76" i="32"/>
  <c r="J76" i="32"/>
  <c r="CN174" i="4"/>
  <c r="W148" i="32"/>
  <c r="V148" i="32"/>
  <c r="X148" i="32"/>
  <c r="Y148" i="32"/>
  <c r="R148" i="32"/>
  <c r="S148" i="32"/>
  <c r="L148" i="32"/>
  <c r="P148" i="32"/>
  <c r="J148" i="32"/>
  <c r="G148" i="32"/>
  <c r="E148" i="32"/>
  <c r="I148" i="32"/>
  <c r="N148" i="32"/>
  <c r="K148" i="32"/>
  <c r="F148" i="32"/>
  <c r="H148" i="32"/>
  <c r="U148" i="32"/>
  <c r="O148" i="32"/>
  <c r="Z148" i="32"/>
  <c r="T148" i="32"/>
  <c r="M148" i="32"/>
  <c r="Q148" i="32"/>
  <c r="X163" i="4" l="1"/>
  <c r="X98" i="4"/>
  <c r="Z181" i="4"/>
  <c r="Y179" i="4"/>
  <c r="AA176" i="4"/>
  <c r="Z175" i="4"/>
  <c r="C76" i="32"/>
  <c r="O170" i="32"/>
  <c r="T170" i="32"/>
  <c r="X170" i="32"/>
  <c r="Z170" i="32"/>
  <c r="V170" i="32"/>
  <c r="H170" i="32"/>
  <c r="P170" i="32"/>
  <c r="R170" i="32"/>
  <c r="M170" i="32"/>
  <c r="I170" i="32"/>
  <c r="F170" i="32"/>
  <c r="S170" i="32"/>
  <c r="Q170" i="32"/>
  <c r="N170" i="32"/>
  <c r="G170" i="32"/>
  <c r="L170" i="32"/>
  <c r="Y170" i="32"/>
  <c r="K170" i="32"/>
  <c r="U170" i="32"/>
  <c r="J170" i="32"/>
  <c r="W170" i="32"/>
  <c r="E170" i="32"/>
  <c r="AA181" i="4" l="1"/>
  <c r="Z179" i="4"/>
  <c r="AB176" i="4"/>
  <c r="AA175" i="4"/>
  <c r="X100" i="4"/>
  <c r="X101" i="4" s="1"/>
  <c r="X99" i="4"/>
  <c r="X90" i="4"/>
  <c r="X121" i="4"/>
  <c r="X164" i="4"/>
  <c r="X92" i="4" l="1"/>
  <c r="X94" i="4" s="1"/>
  <c r="X95" i="4" s="1"/>
  <c r="X107" i="4"/>
  <c r="AC176" i="4"/>
  <c r="AB175" i="4"/>
  <c r="X183" i="4"/>
  <c r="X182" i="4" s="1"/>
  <c r="Y161" i="4"/>
  <c r="AA179" i="4"/>
  <c r="AB181" i="4"/>
  <c r="X118" i="4" l="1"/>
  <c r="X187" i="4"/>
  <c r="X117" i="4" s="1"/>
  <c r="X116" i="4"/>
  <c r="AB179" i="4"/>
  <c r="AC181" i="4"/>
  <c r="AD176" i="4"/>
  <c r="AC175" i="4"/>
  <c r="X109" i="4"/>
  <c r="X110" i="4" s="1"/>
  <c r="X108" i="4"/>
  <c r="Y165" i="4"/>
  <c r="Y93" i="4"/>
  <c r="X171" i="4"/>
  <c r="X170" i="4" s="1"/>
  <c r="Y63" i="4" l="1"/>
  <c r="Y64" i="4" s="1"/>
  <c r="Y91" i="4"/>
  <c r="Y135" i="4"/>
  <c r="Y136" i="4" s="1"/>
  <c r="AE176" i="4"/>
  <c r="AD175" i="4"/>
  <c r="X177" i="4"/>
  <c r="X115" i="4"/>
  <c r="AD181" i="4"/>
  <c r="AC179" i="4"/>
  <c r="AF176" i="4" l="1"/>
  <c r="AE175" i="4"/>
  <c r="Y144" i="4"/>
  <c r="Y145" i="4" s="1"/>
  <c r="Y137" i="4" s="1"/>
  <c r="Y138" i="4" s="1"/>
  <c r="Y139" i="4" s="1" a="1"/>
  <c r="Y139" i="4" s="1"/>
  <c r="Y65" i="4" s="1"/>
  <c r="Y78" i="4" s="1"/>
  <c r="X189" i="4"/>
  <c r="X190" i="4"/>
  <c r="AD179" i="4"/>
  <c r="AE181" i="4"/>
  <c r="AF181" i="4" l="1"/>
  <c r="AE179" i="4"/>
  <c r="Y120" i="4"/>
  <c r="Y81" i="4"/>
  <c r="Y122" i="4"/>
  <c r="Y146" i="4"/>
  <c r="Z143" i="4" s="1"/>
  <c r="Y66" i="4"/>
  <c r="Y185" i="4" s="1"/>
  <c r="AG176" i="4"/>
  <c r="AF175" i="4"/>
  <c r="AH176" i="4" l="1"/>
  <c r="AG175" i="4"/>
  <c r="Y98" i="4"/>
  <c r="Y163" i="4"/>
  <c r="Y184" i="4"/>
  <c r="Z88" i="4"/>
  <c r="AG181" i="4"/>
  <c r="AF179" i="4"/>
  <c r="Y121" i="4" l="1"/>
  <c r="Y90" i="4"/>
  <c r="Y164" i="4"/>
  <c r="Y100" i="4"/>
  <c r="Y101" i="4" s="1"/>
  <c r="Y99" i="4"/>
  <c r="AG179" i="4"/>
  <c r="AH181" i="4"/>
  <c r="AI176" i="4"/>
  <c r="AH175" i="4"/>
  <c r="AI181" i="4" l="1"/>
  <c r="AH179" i="4"/>
  <c r="Y183" i="4"/>
  <c r="Y182" i="4" s="1"/>
  <c r="Z161" i="4"/>
  <c r="Y92" i="4"/>
  <c r="Y94" i="4" s="1"/>
  <c r="Y95" i="4" s="1"/>
  <c r="Y107" i="4"/>
  <c r="AJ176" i="4"/>
  <c r="AI175" i="4"/>
  <c r="AK176" i="4" l="1"/>
  <c r="AJ175" i="4"/>
  <c r="Z165" i="4"/>
  <c r="Y108" i="4"/>
  <c r="Y109" i="4"/>
  <c r="Y110" i="4" s="1"/>
  <c r="Y116" i="4"/>
  <c r="Y118" i="4"/>
  <c r="Y187" i="4"/>
  <c r="Y117" i="4" s="1"/>
  <c r="Y171" i="4"/>
  <c r="Y170" i="4" s="1"/>
  <c r="Z93" i="4"/>
  <c r="AI179" i="4"/>
  <c r="AJ181" i="4"/>
  <c r="Z135" i="4" l="1"/>
  <c r="Z136" i="4" s="1"/>
  <c r="Z91" i="4"/>
  <c r="Z63" i="4"/>
  <c r="Z64" i="4" s="1"/>
  <c r="Y177" i="4"/>
  <c r="Y115" i="4"/>
  <c r="AK181" i="4"/>
  <c r="AJ179" i="4"/>
  <c r="AL176" i="4"/>
  <c r="AK175" i="4"/>
  <c r="AM176" i="4" l="1"/>
  <c r="AL175" i="4"/>
  <c r="Y189" i="4"/>
  <c r="Y190" i="4"/>
  <c r="AK179" i="4"/>
  <c r="AL181" i="4"/>
  <c r="Z144" i="4"/>
  <c r="AL179" i="4" l="1"/>
  <c r="AM181" i="4"/>
  <c r="Z145" i="4"/>
  <c r="Z137" i="4" s="1"/>
  <c r="Z138" i="4" s="1"/>
  <c r="Z139" i="4" s="1" a="1"/>
  <c r="Z139" i="4" s="1"/>
  <c r="Z65" i="4" s="1"/>
  <c r="AN176" i="4"/>
  <c r="AM175" i="4"/>
  <c r="Z78" i="4" l="1"/>
  <c r="Z66" i="4"/>
  <c r="Z185" i="4" s="1"/>
  <c r="AM179" i="4"/>
  <c r="AN181" i="4"/>
  <c r="AO176" i="4"/>
  <c r="AN175" i="4"/>
  <c r="Z146" i="4"/>
  <c r="AA143" i="4" s="1"/>
  <c r="AN179" i="4" l="1"/>
  <c r="AO181" i="4"/>
  <c r="Z184" i="4"/>
  <c r="AA88" i="4"/>
  <c r="AP176" i="4"/>
  <c r="AO175" i="4"/>
  <c r="Z81" i="4"/>
  <c r="Z120" i="4"/>
  <c r="Z122" i="4"/>
  <c r="Z98" i="4" l="1"/>
  <c r="Z163" i="4"/>
  <c r="AQ176" i="4"/>
  <c r="AP175" i="4"/>
  <c r="AP181" i="4"/>
  <c r="AO179" i="4"/>
  <c r="AR176" i="4" l="1"/>
  <c r="AQ175" i="4"/>
  <c r="Z121" i="4"/>
  <c r="Z90" i="4"/>
  <c r="Z164" i="4"/>
  <c r="AP179" i="4"/>
  <c r="AQ181" i="4"/>
  <c r="Z100" i="4"/>
  <c r="Z101" i="4" s="1"/>
  <c r="Z99" i="4"/>
  <c r="Z92" i="4" l="1"/>
  <c r="Z94" i="4" s="1"/>
  <c r="Z95" i="4" s="1"/>
  <c r="Z107" i="4"/>
  <c r="AR181" i="4"/>
  <c r="AQ179" i="4"/>
  <c r="Z183" i="4"/>
  <c r="Z182" i="4" s="1"/>
  <c r="AA161" i="4"/>
  <c r="AS176" i="4"/>
  <c r="AR175" i="4"/>
  <c r="AT176" i="4" l="1"/>
  <c r="AS175" i="4"/>
  <c r="AA165" i="4"/>
  <c r="AS181" i="4"/>
  <c r="AR179" i="4"/>
  <c r="Z116" i="4"/>
  <c r="Z118" i="4"/>
  <c r="Z187" i="4"/>
  <c r="Z117" i="4" s="1"/>
  <c r="Z108" i="4"/>
  <c r="Z109" i="4"/>
  <c r="Z110" i="4" s="1"/>
  <c r="AA93" i="4"/>
  <c r="Z171" i="4"/>
  <c r="Z170" i="4" s="1"/>
  <c r="AA91" i="4" l="1"/>
  <c r="AA135" i="4"/>
  <c r="AA136" i="4" s="1"/>
  <c r="AA63" i="4"/>
  <c r="AA64" i="4" s="1"/>
  <c r="Z177" i="4"/>
  <c r="Z115" i="4"/>
  <c r="AS179" i="4"/>
  <c r="AT181" i="4"/>
  <c r="AU176" i="4"/>
  <c r="AT175" i="4"/>
  <c r="AT179" i="4" l="1"/>
  <c r="AU181" i="4"/>
  <c r="AA144" i="4"/>
  <c r="AA145" i="4" s="1"/>
  <c r="AA137" i="4" s="1"/>
  <c r="AA138" i="4" s="1"/>
  <c r="AA139" i="4" s="1" a="1"/>
  <c r="AA139" i="4" s="1"/>
  <c r="AA65" i="4" s="1"/>
  <c r="AA78" i="4" s="1"/>
  <c r="AV176" i="4"/>
  <c r="AU175" i="4"/>
  <c r="Z189" i="4"/>
  <c r="Z190" i="4"/>
  <c r="AA81" i="4" l="1"/>
  <c r="AA120" i="4"/>
  <c r="AA122" i="4"/>
  <c r="AA66" i="4"/>
  <c r="AA185" i="4" s="1"/>
  <c r="AW176" i="4"/>
  <c r="AV175" i="4"/>
  <c r="AU179" i="4"/>
  <c r="AV181" i="4"/>
  <c r="AA146" i="4"/>
  <c r="AB143" i="4" s="1"/>
  <c r="AA184" i="4" l="1"/>
  <c r="AW181" i="4"/>
  <c r="AV179" i="4"/>
  <c r="AX176" i="4"/>
  <c r="AW175" i="4"/>
  <c r="AA98" i="4"/>
  <c r="AA163" i="4"/>
  <c r="AA100" i="4" l="1"/>
  <c r="AA101" i="4" s="1"/>
  <c r="AA99" i="4"/>
  <c r="AW179" i="4"/>
  <c r="AX181" i="4"/>
  <c r="AY176" i="4"/>
  <c r="AX175" i="4"/>
  <c r="AA121" i="4"/>
  <c r="AA90" i="4"/>
  <c r="AA164" i="4"/>
  <c r="AA107" i="4" l="1"/>
  <c r="AA92" i="4"/>
  <c r="AA94" i="4" s="1"/>
  <c r="AA95" i="4" s="1"/>
  <c r="AY181" i="4"/>
  <c r="AX179" i="4"/>
  <c r="AB161" i="4"/>
  <c r="AA183" i="4"/>
  <c r="AA182" i="4" s="1"/>
  <c r="AZ176" i="4"/>
  <c r="AY175" i="4"/>
  <c r="BA176" i="4" l="1"/>
  <c r="AZ175" i="4"/>
  <c r="AA118" i="4"/>
  <c r="AA187" i="4"/>
  <c r="AA117" i="4" s="1"/>
  <c r="AA116" i="4"/>
  <c r="AY179" i="4"/>
  <c r="AZ181" i="4"/>
  <c r="AB165" i="4"/>
  <c r="AA171" i="4"/>
  <c r="AA170" i="4" s="1"/>
  <c r="AB93" i="4"/>
  <c r="AA108" i="4"/>
  <c r="AA109" i="4"/>
  <c r="AA110" i="4" s="1"/>
  <c r="AB63" i="4" l="1"/>
  <c r="AB64" i="4" s="1"/>
  <c r="AB91" i="4"/>
  <c r="AB135" i="4"/>
  <c r="AB136" i="4" s="1"/>
  <c r="AZ179" i="4"/>
  <c r="BA181" i="4"/>
  <c r="AA115" i="4"/>
  <c r="AA177" i="4"/>
  <c r="BB176" i="4"/>
  <c r="BA175" i="4"/>
  <c r="AA190" i="4" l="1"/>
  <c r="AA189" i="4"/>
  <c r="AB144" i="4"/>
  <c r="BA179" i="4"/>
  <c r="BB181" i="4"/>
  <c r="BC176" i="4"/>
  <c r="BB175" i="4"/>
  <c r="BD176" i="4" l="1"/>
  <c r="BC175" i="4"/>
  <c r="AB145" i="4"/>
  <c r="AB137" i="4" s="1"/>
  <c r="AB138" i="4" s="1"/>
  <c r="AB139" i="4" s="1" a="1"/>
  <c r="AB139" i="4" s="1"/>
  <c r="AB65" i="4" s="1"/>
  <c r="BC181" i="4"/>
  <c r="BB179" i="4"/>
  <c r="AB146" i="4" l="1"/>
  <c r="AC143" i="4" s="1"/>
  <c r="AB78" i="4"/>
  <c r="AB66" i="4"/>
  <c r="BD181" i="4"/>
  <c r="BC179" i="4"/>
  <c r="BE176" i="4"/>
  <c r="BD175" i="4"/>
  <c r="BE181" i="4" l="1"/>
  <c r="BD179" i="4"/>
  <c r="BF176" i="4"/>
  <c r="BE175" i="4"/>
  <c r="AB120" i="4"/>
  <c r="AB122" i="4"/>
  <c r="AB81" i="4"/>
  <c r="AB98" i="4" l="1"/>
  <c r="AB163" i="4"/>
  <c r="BG176" i="4"/>
  <c r="BF175" i="4"/>
  <c r="BE179" i="4"/>
  <c r="BF181" i="4"/>
  <c r="BG181" i="4" l="1"/>
  <c r="BF179" i="4"/>
  <c r="AB121" i="4"/>
  <c r="AB90" i="4"/>
  <c r="AB88" i="4" s="1"/>
  <c r="AB185" i="4" s="1"/>
  <c r="AB184" i="4" s="1"/>
  <c r="AB164" i="4"/>
  <c r="AB100" i="4"/>
  <c r="AB101" i="4" s="1"/>
  <c r="AB99" i="4"/>
  <c r="BH176" i="4"/>
  <c r="BG175" i="4"/>
  <c r="BI176" i="4" l="1"/>
  <c r="BH175" i="4"/>
  <c r="AB92" i="4"/>
  <c r="AB94" i="4" s="1"/>
  <c r="AB95" i="4" s="1"/>
  <c r="AB107" i="4"/>
  <c r="AB183" i="4"/>
  <c r="AB182" i="4" s="1"/>
  <c r="AC161" i="4"/>
  <c r="BG179" i="4"/>
  <c r="BH181" i="4"/>
  <c r="AB109" i="4" l="1"/>
  <c r="AB110" i="4" s="1"/>
  <c r="AB108" i="4"/>
  <c r="AC165" i="4"/>
  <c r="AB171" i="4"/>
  <c r="AB170" i="4" s="1"/>
  <c r="AC93" i="4"/>
  <c r="AB118" i="4"/>
  <c r="AB187" i="4"/>
  <c r="AB117" i="4" s="1"/>
  <c r="AB116" i="4"/>
  <c r="BI181" i="4"/>
  <c r="BH179" i="4"/>
  <c r="BJ176" i="4"/>
  <c r="BI175" i="4"/>
  <c r="BK176" i="4" l="1"/>
  <c r="BJ175" i="4"/>
  <c r="AC91" i="4"/>
  <c r="AC135" i="4"/>
  <c r="AC136" i="4" s="1"/>
  <c r="AC63" i="4"/>
  <c r="AC64" i="4" s="1"/>
  <c r="BI179" i="4"/>
  <c r="BJ181" i="4"/>
  <c r="AB177" i="4"/>
  <c r="AB115" i="4"/>
  <c r="AB190" i="4" l="1"/>
  <c r="AB189" i="4"/>
  <c r="AC144" i="4"/>
  <c r="BK181" i="4"/>
  <c r="BJ179" i="4"/>
  <c r="BL176" i="4"/>
  <c r="BK175" i="4"/>
  <c r="AC145" i="4" l="1"/>
  <c r="AC137" i="4" s="1"/>
  <c r="AC138" i="4" s="1"/>
  <c r="AC139" i="4" s="1" a="1"/>
  <c r="AC139" i="4" s="1"/>
  <c r="AC65" i="4" s="1"/>
  <c r="BL181" i="4"/>
  <c r="BK179" i="4"/>
  <c r="BM176" i="4"/>
  <c r="BL175" i="4"/>
  <c r="BM181" i="4" l="1"/>
  <c r="BL179" i="4"/>
  <c r="AC78" i="4"/>
  <c r="AC66" i="4"/>
  <c r="BN176" i="4"/>
  <c r="BM175" i="4"/>
  <c r="AC146" i="4"/>
  <c r="AD143" i="4" s="1"/>
  <c r="AC122" i="4" l="1"/>
  <c r="AC81" i="4"/>
  <c r="AC120" i="4"/>
  <c r="BO176" i="4"/>
  <c r="BN175" i="4"/>
  <c r="BN181" i="4"/>
  <c r="BM179" i="4"/>
  <c r="BP176" i="4" l="1"/>
  <c r="BO175" i="4"/>
  <c r="BN179" i="4"/>
  <c r="BO181" i="4"/>
  <c r="AC98" i="4"/>
  <c r="AC163" i="4"/>
  <c r="AC100" i="4" l="1"/>
  <c r="AC101" i="4" s="1"/>
  <c r="AC99" i="4"/>
  <c r="AC121" i="4"/>
  <c r="AC90" i="4"/>
  <c r="AC88" i="4" s="1"/>
  <c r="AC185" i="4" s="1"/>
  <c r="AC164" i="4"/>
  <c r="BP181" i="4"/>
  <c r="BO179" i="4"/>
  <c r="BQ176" i="4"/>
  <c r="BP175" i="4"/>
  <c r="AC184" i="4" l="1"/>
  <c r="BR176" i="4"/>
  <c r="BQ175" i="4"/>
  <c r="BP179" i="4"/>
  <c r="BQ181" i="4"/>
  <c r="AC92" i="4"/>
  <c r="AC94" i="4" s="1"/>
  <c r="AC95" i="4" s="1"/>
  <c r="AC107" i="4"/>
  <c r="AC183" i="4"/>
  <c r="AC182" i="4" s="1"/>
  <c r="AD161" i="4"/>
  <c r="AD165" i="4" s="1"/>
  <c r="AD135" i="4" l="1"/>
  <c r="AD136" i="4" s="1"/>
  <c r="AD63" i="4"/>
  <c r="AD64" i="4" s="1"/>
  <c r="AD91" i="4"/>
  <c r="AC118" i="4"/>
  <c r="AC187" i="4"/>
  <c r="AC117" i="4" s="1"/>
  <c r="AC116" i="4"/>
  <c r="BQ179" i="4"/>
  <c r="BR181" i="4"/>
  <c r="AC109" i="4"/>
  <c r="AC110" i="4" s="1"/>
  <c r="AC108" i="4"/>
  <c r="AD93" i="4"/>
  <c r="AC171" i="4"/>
  <c r="AC170" i="4" s="1"/>
  <c r="BS176" i="4"/>
  <c r="BR175" i="4"/>
  <c r="AC177" i="4" l="1"/>
  <c r="AC115" i="4"/>
  <c r="BS181" i="4"/>
  <c r="BR179" i="4"/>
  <c r="BT176" i="4"/>
  <c r="BS175" i="4"/>
  <c r="AD144" i="4"/>
  <c r="BT181" i="4" l="1"/>
  <c r="BS179" i="4"/>
  <c r="AD145" i="4"/>
  <c r="AD137" i="4" s="1"/>
  <c r="AD138" i="4" s="1"/>
  <c r="AD139" i="4" s="1" a="1"/>
  <c r="AD139" i="4" s="1"/>
  <c r="AD65" i="4" s="1"/>
  <c r="BU176" i="4"/>
  <c r="BT175" i="4"/>
  <c r="AC189" i="4"/>
  <c r="AC190" i="4"/>
  <c r="AD78" i="4" l="1"/>
  <c r="AD66" i="4"/>
  <c r="BU181" i="4"/>
  <c r="BT179" i="4"/>
  <c r="BV176" i="4"/>
  <c r="BU175" i="4"/>
  <c r="AD146" i="4"/>
  <c r="AE143" i="4" s="1"/>
  <c r="BU179" i="4" l="1"/>
  <c r="BV181" i="4"/>
  <c r="BW176" i="4"/>
  <c r="BV175" i="4"/>
  <c r="AD122" i="4"/>
  <c r="AD120" i="4"/>
  <c r="AD81" i="4"/>
  <c r="AD98" i="4" l="1"/>
  <c r="AD163" i="4"/>
  <c r="BX176" i="4"/>
  <c r="BW175" i="4"/>
  <c r="BW181" i="4"/>
  <c r="BV179" i="4"/>
  <c r="BY176" i="4" l="1"/>
  <c r="BX175" i="4"/>
  <c r="AD121" i="4"/>
  <c r="AD164" i="4"/>
  <c r="AD90" i="4"/>
  <c r="AD88" i="4" s="1"/>
  <c r="AD185" i="4" s="1"/>
  <c r="AD184" i="4" s="1"/>
  <c r="BX181" i="4"/>
  <c r="BW179" i="4"/>
  <c r="AD100" i="4"/>
  <c r="AD101" i="4" s="1"/>
  <c r="AD99" i="4"/>
  <c r="AE161" i="4" l="1"/>
  <c r="AE165" i="4" s="1"/>
  <c r="AD183" i="4"/>
  <c r="AD182" i="4" s="1"/>
  <c r="BX179" i="4"/>
  <c r="BY181" i="4"/>
  <c r="AD92" i="4"/>
  <c r="AD94" i="4" s="1"/>
  <c r="AD95" i="4" s="1"/>
  <c r="AD107" i="4"/>
  <c r="BZ176" i="4"/>
  <c r="BY175" i="4"/>
  <c r="BY179" i="4" l="1"/>
  <c r="BZ181" i="4"/>
  <c r="CA176" i="4"/>
  <c r="BZ175" i="4"/>
  <c r="AD108" i="4"/>
  <c r="AD109" i="4"/>
  <c r="AD110" i="4" s="1"/>
  <c r="AD118" i="4"/>
  <c r="AD187" i="4"/>
  <c r="AD117" i="4" s="1"/>
  <c r="AD116" i="4"/>
  <c r="AD171" i="4"/>
  <c r="AD170" i="4" s="1"/>
  <c r="AE93" i="4"/>
  <c r="AE135" i="4"/>
  <c r="AE136" i="4" s="1"/>
  <c r="AE144" i="4" s="1"/>
  <c r="AE63" i="4"/>
  <c r="AE64" i="4" s="1"/>
  <c r="AE91" i="4"/>
  <c r="AE145" i="4" l="1"/>
  <c r="AE137" i="4" s="1"/>
  <c r="AE138" i="4" s="1"/>
  <c r="AE139" i="4" s="1" a="1"/>
  <c r="AE139" i="4" s="1"/>
  <c r="AE65" i="4" s="1"/>
  <c r="AE78" i="4" s="1"/>
  <c r="CA181" i="4"/>
  <c r="BZ179" i="4"/>
  <c r="AD115" i="4"/>
  <c r="AD177" i="4"/>
  <c r="CB176" i="4"/>
  <c r="CA175" i="4"/>
  <c r="AE146" i="4" l="1"/>
  <c r="AF143" i="4" s="1"/>
  <c r="CC176" i="4"/>
  <c r="CB175" i="4"/>
  <c r="CB181" i="4"/>
  <c r="CA179" i="4"/>
  <c r="AD190" i="4"/>
  <c r="AD189" i="4"/>
  <c r="AE120" i="4"/>
  <c r="AE122" i="4"/>
  <c r="AE81" i="4"/>
  <c r="AE66" i="4"/>
  <c r="AE98" i="4" l="1"/>
  <c r="AE163" i="4"/>
  <c r="CC181" i="4"/>
  <c r="CB179" i="4"/>
  <c r="CD176" i="4"/>
  <c r="CC175" i="4"/>
  <c r="AE100" i="4" l="1"/>
  <c r="AE101" i="4" s="1"/>
  <c r="AE99" i="4"/>
  <c r="CE176" i="4"/>
  <c r="CD175" i="4"/>
  <c r="CD181" i="4"/>
  <c r="CC179" i="4"/>
  <c r="AE121" i="4"/>
  <c r="AE164" i="4"/>
  <c r="AE90" i="4"/>
  <c r="AF161" i="4" l="1"/>
  <c r="AF165" i="4" s="1"/>
  <c r="AE183" i="4"/>
  <c r="AE182" i="4" s="1"/>
  <c r="AE107" i="4"/>
  <c r="AE88" i="4"/>
  <c r="CD179" i="4"/>
  <c r="CE181" i="4"/>
  <c r="CF176" i="4"/>
  <c r="CE175" i="4"/>
  <c r="AE118" i="4" l="1"/>
  <c r="CG176" i="4"/>
  <c r="CF175" i="4"/>
  <c r="AE109" i="4"/>
  <c r="AE110" i="4" s="1"/>
  <c r="AE108" i="4"/>
  <c r="AF63" i="4"/>
  <c r="AF64" i="4" s="1"/>
  <c r="AF91" i="4"/>
  <c r="AF135" i="4"/>
  <c r="AF136" i="4" s="1"/>
  <c r="CF181" i="4"/>
  <c r="CE179" i="4"/>
  <c r="AE92" i="4"/>
  <c r="AE94" i="4" s="1"/>
  <c r="AE95" i="4" s="1"/>
  <c r="AE185" i="4"/>
  <c r="AE184" i="4" s="1"/>
  <c r="AE116" i="4" s="1"/>
  <c r="AF144" i="4" l="1"/>
  <c r="AF145" i="4" s="1"/>
  <c r="AF137" i="4" s="1"/>
  <c r="AF138" i="4" s="1"/>
  <c r="AF139" i="4" s="1" a="1"/>
  <c r="AF139" i="4" s="1"/>
  <c r="AF65" i="4" s="1"/>
  <c r="CH176" i="4"/>
  <c r="CG175" i="4"/>
  <c r="AE171" i="4"/>
  <c r="AE170" i="4" s="1"/>
  <c r="AF93" i="4"/>
  <c r="CG181" i="4"/>
  <c r="CF179" i="4"/>
  <c r="AE187" i="4"/>
  <c r="AE117" i="4" s="1"/>
  <c r="CH181" i="4" l="1"/>
  <c r="CG179" i="4"/>
  <c r="AF66" i="4"/>
  <c r="AF78" i="4"/>
  <c r="AF146" i="4"/>
  <c r="AG143" i="4" s="1"/>
  <c r="AE115" i="4"/>
  <c r="AE177" i="4"/>
  <c r="CI176" i="4"/>
  <c r="CH175" i="4"/>
  <c r="AF120" i="4" l="1"/>
  <c r="AF81" i="4"/>
  <c r="AF122" i="4"/>
  <c r="CJ176" i="4"/>
  <c r="CI175" i="4"/>
  <c r="CH179" i="4"/>
  <c r="CI181" i="4"/>
  <c r="AE189" i="4"/>
  <c r="AE190" i="4"/>
  <c r="CJ181" i="4" l="1"/>
  <c r="CI179" i="4"/>
  <c r="CK176" i="4"/>
  <c r="CJ175" i="4"/>
  <c r="AF98" i="4"/>
  <c r="AF163" i="4"/>
  <c r="CL176" i="4" l="1"/>
  <c r="CK175" i="4"/>
  <c r="AF121" i="4"/>
  <c r="AF90" i="4"/>
  <c r="AF164" i="4"/>
  <c r="AF100" i="4"/>
  <c r="AF101" i="4" s="1"/>
  <c r="AF99" i="4"/>
  <c r="CK181" i="4"/>
  <c r="CJ179" i="4"/>
  <c r="AF107" i="4" l="1"/>
  <c r="AF88" i="4"/>
  <c r="CL181" i="4"/>
  <c r="CK179" i="4"/>
  <c r="AF183" i="4"/>
  <c r="AF182" i="4" s="1"/>
  <c r="AF118" i="4" s="1"/>
  <c r="AG161" i="4"/>
  <c r="AG165" i="4" s="1"/>
  <c r="AG63" i="4" s="1"/>
  <c r="AG64" i="4" s="1"/>
  <c r="CM176" i="4"/>
  <c r="CL175" i="4"/>
  <c r="AG91" i="4" l="1"/>
  <c r="AG135" i="4"/>
  <c r="AG136" i="4" s="1"/>
  <c r="AG144" i="4" s="1"/>
  <c r="AG145" i="4" s="1"/>
  <c r="AG137" i="4" s="1"/>
  <c r="AG138" i="4" s="1"/>
  <c r="AG139" i="4" s="1" a="1"/>
  <c r="AG139" i="4" s="1"/>
  <c r="AG65" i="4" s="1"/>
  <c r="AG78" i="4" s="1"/>
  <c r="CN176" i="4"/>
  <c r="CM175" i="4"/>
  <c r="CM181" i="4"/>
  <c r="CL179" i="4"/>
  <c r="AF185" i="4"/>
  <c r="AF184" i="4" s="1"/>
  <c r="AF92" i="4"/>
  <c r="AF94" i="4" s="1"/>
  <c r="AF95" i="4" s="1"/>
  <c r="AF171" i="4" s="1"/>
  <c r="AF108" i="4"/>
  <c r="AF109" i="4"/>
  <c r="AF110" i="4" s="1"/>
  <c r="AG93" i="4" l="1"/>
  <c r="CN181" i="4"/>
  <c r="CM179" i="4"/>
  <c r="AF116" i="4"/>
  <c r="AF187" i="4"/>
  <c r="AF117" i="4" s="1"/>
  <c r="F172" i="32"/>
  <c r="M172" i="32"/>
  <c r="W172" i="32"/>
  <c r="J172" i="32"/>
  <c r="V172" i="32"/>
  <c r="Q172" i="32"/>
  <c r="Z172" i="32"/>
  <c r="N172" i="32"/>
  <c r="R172" i="32"/>
  <c r="E172" i="32"/>
  <c r="X172" i="32"/>
  <c r="U172" i="32"/>
  <c r="H172" i="32"/>
  <c r="G172" i="32"/>
  <c r="O172" i="32"/>
  <c r="I172" i="32"/>
  <c r="L172" i="32"/>
  <c r="P172" i="32"/>
  <c r="S172" i="32"/>
  <c r="K172" i="32"/>
  <c r="T172" i="32"/>
  <c r="Y172" i="32"/>
  <c r="CN175" i="4"/>
  <c r="AG146" i="4"/>
  <c r="AH143" i="4" s="1"/>
  <c r="AG120" i="4"/>
  <c r="AG122" i="4"/>
  <c r="AF170" i="4"/>
  <c r="AF115" i="4" s="1"/>
  <c r="AG81" i="4"/>
  <c r="AG66" i="4"/>
  <c r="F171" i="32" l="1"/>
  <c r="W171" i="32"/>
  <c r="S171" i="32"/>
  <c r="Q171" i="32"/>
  <c r="N171" i="32"/>
  <c r="J171" i="32"/>
  <c r="X171" i="32"/>
  <c r="V171" i="32"/>
  <c r="Z171" i="32"/>
  <c r="O171" i="32"/>
  <c r="G171" i="32"/>
  <c r="Y171" i="32"/>
  <c r="T171" i="32"/>
  <c r="L171" i="32"/>
  <c r="E171" i="32"/>
  <c r="K171" i="32"/>
  <c r="R171" i="32"/>
  <c r="M171" i="32"/>
  <c r="I171" i="32"/>
  <c r="H171" i="32"/>
  <c r="U171" i="32"/>
  <c r="P171" i="32"/>
  <c r="CN179" i="4"/>
  <c r="H177" i="32"/>
  <c r="M177" i="32"/>
  <c r="U177" i="32"/>
  <c r="L177" i="32"/>
  <c r="G177" i="32"/>
  <c r="K177" i="32"/>
  <c r="E177" i="32"/>
  <c r="N177" i="32"/>
  <c r="Z177" i="32"/>
  <c r="V177" i="32"/>
  <c r="R177" i="32"/>
  <c r="Q177" i="32"/>
  <c r="O177" i="32"/>
  <c r="Y177" i="32"/>
  <c r="I177" i="32"/>
  <c r="P177" i="32"/>
  <c r="J177" i="32"/>
  <c r="F177" i="32"/>
  <c r="X177" i="32"/>
  <c r="W177" i="32"/>
  <c r="T177" i="32"/>
  <c r="S177" i="32"/>
  <c r="AF177" i="4"/>
  <c r="AG98" i="4"/>
  <c r="AG163" i="4"/>
  <c r="AG121" i="4" s="1"/>
  <c r="O175" i="32" l="1"/>
  <c r="L175" i="32"/>
  <c r="Y175" i="32"/>
  <c r="V175" i="32"/>
  <c r="X175" i="32"/>
  <c r="Z175" i="32"/>
  <c r="M175" i="32"/>
  <c r="U175" i="32"/>
  <c r="R175" i="32"/>
  <c r="Q175" i="32"/>
  <c r="K175" i="32"/>
  <c r="W175" i="32"/>
  <c r="F175" i="32"/>
  <c r="H175" i="32"/>
  <c r="I175" i="32"/>
  <c r="S175" i="32"/>
  <c r="J175" i="32"/>
  <c r="P175" i="32"/>
  <c r="E175" i="32"/>
  <c r="G175" i="32"/>
  <c r="N175" i="32"/>
  <c r="T175" i="32"/>
  <c r="AF190" i="4"/>
  <c r="AF189" i="4"/>
  <c r="AG90" i="4"/>
  <c r="AG164" i="4"/>
  <c r="AG100" i="4"/>
  <c r="AG101" i="4" s="1"/>
  <c r="AG99" i="4"/>
  <c r="AG183" i="4" l="1"/>
  <c r="AG182" i="4" s="1"/>
  <c r="AG118" i="4" s="1"/>
  <c r="AH161" i="4"/>
  <c r="AG107" i="4"/>
  <c r="AG88" i="4"/>
  <c r="AG185" i="4" s="1"/>
  <c r="AH165" i="4" l="1"/>
  <c r="AG92" i="4"/>
  <c r="AG94" i="4" s="1"/>
  <c r="AG109" i="4"/>
  <c r="AG110" i="4" s="1"/>
  <c r="AG108" i="4"/>
  <c r="AG95" i="4" l="1"/>
  <c r="AG184" i="4"/>
  <c r="AG116" i="4" s="1"/>
  <c r="AH91" i="4"/>
  <c r="AH63" i="4"/>
  <c r="AH64" i="4" s="1"/>
  <c r="AH135" i="4"/>
  <c r="AH136" i="4" s="1"/>
  <c r="AH93" i="4" l="1"/>
  <c r="AG171" i="4"/>
  <c r="AH144" i="4"/>
  <c r="AG187" i="4"/>
  <c r="AG117" i="4" s="1"/>
  <c r="AG170" i="4" l="1"/>
  <c r="AG115" i="4" s="1"/>
  <c r="AH145" i="4"/>
  <c r="AH137" i="4" s="1"/>
  <c r="AH138" i="4" s="1"/>
  <c r="AH139" i="4" s="1" a="1"/>
  <c r="AH139" i="4" s="1"/>
  <c r="AH65" i="4" s="1"/>
  <c r="AG177" i="4" l="1"/>
  <c r="AH78" i="4"/>
  <c r="AH66" i="4"/>
  <c r="AH146" i="4"/>
  <c r="AI143" i="4" s="1"/>
  <c r="AH120" i="4" l="1"/>
  <c r="AH122" i="4"/>
  <c r="AG190" i="4"/>
  <c r="AG189" i="4"/>
  <c r="AH81" i="4"/>
  <c r="AH98" i="4" l="1"/>
  <c r="AH163" i="4"/>
  <c r="AH121" i="4" s="1"/>
  <c r="AH90" i="4" l="1"/>
  <c r="AH164" i="4"/>
  <c r="AH100" i="4"/>
  <c r="AH101" i="4" s="1"/>
  <c r="AH99" i="4"/>
  <c r="AI161" i="4" l="1"/>
  <c r="AH183" i="4"/>
  <c r="AH182" i="4" s="1"/>
  <c r="AH118" i="4" s="1"/>
  <c r="AH107" i="4"/>
  <c r="AH88" i="4"/>
  <c r="AH185" i="4" s="1"/>
  <c r="AH92" i="4" l="1"/>
  <c r="AH94" i="4" s="1"/>
  <c r="AH95" i="4" s="1"/>
  <c r="AH184" i="4"/>
  <c r="AI165" i="4"/>
  <c r="AH108" i="4"/>
  <c r="AH109" i="4"/>
  <c r="AH110" i="4" s="1"/>
  <c r="AH171" i="4" l="1"/>
  <c r="AI93" i="4"/>
  <c r="AH187" i="4"/>
  <c r="AH117" i="4" s="1"/>
  <c r="AH116" i="4"/>
  <c r="AI63" i="4"/>
  <c r="AI64" i="4" s="1"/>
  <c r="AI91" i="4"/>
  <c r="AI135" i="4"/>
  <c r="AI136" i="4" s="1"/>
  <c r="AH170" i="4" l="1"/>
  <c r="AH115" i="4" s="1"/>
  <c r="AI144" i="4"/>
  <c r="AI145" i="4" s="1"/>
  <c r="AI137" i="4" s="1"/>
  <c r="AI138" i="4" s="1"/>
  <c r="AI139" i="4" s="1" a="1"/>
  <c r="AI139" i="4" s="1"/>
  <c r="AI65" i="4" s="1"/>
  <c r="AH177" i="4" l="1"/>
  <c r="AI78" i="4"/>
  <c r="AI66" i="4"/>
  <c r="AI146" i="4"/>
  <c r="AJ143" i="4" s="1"/>
  <c r="AI120" i="4" l="1"/>
  <c r="AI122" i="4"/>
  <c r="AH190" i="4"/>
  <c r="AH189" i="4"/>
  <c r="AI81" i="4"/>
  <c r="AI98" i="4" l="1"/>
  <c r="AI163" i="4"/>
  <c r="AI121" i="4" s="1"/>
  <c r="AI90" i="4" l="1"/>
  <c r="AI164" i="4"/>
  <c r="AI100" i="4"/>
  <c r="AI101" i="4" s="1"/>
  <c r="AI99" i="4"/>
  <c r="AI183" i="4" l="1"/>
  <c r="AI182" i="4" s="1"/>
  <c r="AI118" i="4" s="1"/>
  <c r="AJ161" i="4"/>
  <c r="AI107" i="4"/>
  <c r="AI88" i="4"/>
  <c r="AI185" i="4" s="1"/>
  <c r="AJ165" i="4" l="1"/>
  <c r="AI92" i="4"/>
  <c r="AI94" i="4" s="1"/>
  <c r="AI95" i="4" s="1"/>
  <c r="AI108" i="4"/>
  <c r="AI109" i="4"/>
  <c r="AI110" i="4" s="1"/>
  <c r="AI171" i="4" l="1"/>
  <c r="AJ93" i="4"/>
  <c r="AI184" i="4"/>
  <c r="AI116" i="4" s="1"/>
  <c r="AJ135" i="4"/>
  <c r="AJ136" i="4" s="1"/>
  <c r="AJ91" i="4"/>
  <c r="AJ63" i="4"/>
  <c r="AJ64" i="4" s="1"/>
  <c r="AI170" i="4" l="1"/>
  <c r="AI115" i="4" s="1"/>
  <c r="AJ144" i="4"/>
  <c r="AJ145" i="4" s="1"/>
  <c r="AJ137" i="4" s="1"/>
  <c r="AJ138" i="4" s="1"/>
  <c r="AJ139" i="4" s="1" a="1"/>
  <c r="AJ139" i="4" s="1"/>
  <c r="AJ65" i="4" s="1"/>
  <c r="AI187" i="4"/>
  <c r="AI117" i="4" s="1"/>
  <c r="AI177" i="4" l="1"/>
  <c r="AI190" i="4" s="1"/>
  <c r="AJ78" i="4"/>
  <c r="AJ66" i="4"/>
  <c r="AJ146" i="4"/>
  <c r="AK143" i="4" s="1"/>
  <c r="AI189" i="4" l="1"/>
  <c r="AJ120" i="4"/>
  <c r="AJ122" i="4"/>
  <c r="AJ81" i="4"/>
  <c r="AJ98" i="4" l="1"/>
  <c r="AJ163" i="4"/>
  <c r="AJ121" i="4" s="1"/>
  <c r="AJ90" i="4" l="1"/>
  <c r="AJ164" i="4"/>
  <c r="AJ100" i="4"/>
  <c r="AJ101" i="4" s="1"/>
  <c r="AJ99" i="4"/>
  <c r="AJ183" i="4" l="1"/>
  <c r="AJ182" i="4" s="1"/>
  <c r="AJ118" i="4" s="1"/>
  <c r="AK161" i="4"/>
  <c r="AJ107" i="4"/>
  <c r="AJ88" i="4"/>
  <c r="AJ185" i="4" s="1"/>
  <c r="AK165" i="4" l="1"/>
  <c r="AJ92" i="4"/>
  <c r="AJ94" i="4" s="1"/>
  <c r="AJ95" i="4" s="1"/>
  <c r="AJ184" i="4"/>
  <c r="AJ109" i="4"/>
  <c r="AJ110" i="4" s="1"/>
  <c r="AJ108" i="4"/>
  <c r="AK93" i="4" l="1"/>
  <c r="AJ171" i="4"/>
  <c r="AJ170" i="4" s="1"/>
  <c r="AJ187" i="4"/>
  <c r="AJ117" i="4" s="1"/>
  <c r="AJ116" i="4"/>
  <c r="AK63" i="4"/>
  <c r="AK64" i="4" s="1"/>
  <c r="AK91" i="4"/>
  <c r="AK135" i="4"/>
  <c r="AK136" i="4" s="1"/>
  <c r="AJ177" i="4" l="1"/>
  <c r="AJ189" i="4" s="1"/>
  <c r="AJ115" i="4"/>
  <c r="AK144" i="4"/>
  <c r="AK145" i="4" s="1"/>
  <c r="AK137" i="4" s="1"/>
  <c r="AK138" i="4" s="1"/>
  <c r="AK139" i="4" s="1" a="1"/>
  <c r="AK139" i="4" s="1"/>
  <c r="AK65" i="4" s="1"/>
  <c r="AJ190" i="4" l="1"/>
  <c r="AK78" i="4"/>
  <c r="AK66" i="4"/>
  <c r="AK146" i="4"/>
  <c r="AL143" i="4" s="1"/>
  <c r="AK120" i="4" l="1"/>
  <c r="AK122" i="4"/>
  <c r="AK81" i="4"/>
  <c r="AK98" i="4" l="1"/>
  <c r="AK163" i="4"/>
  <c r="AK121" i="4" s="1"/>
  <c r="AK90" i="4" l="1"/>
  <c r="AK164" i="4"/>
  <c r="AK100" i="4"/>
  <c r="AK101" i="4" s="1"/>
  <c r="AK99" i="4"/>
  <c r="AL161" i="4" l="1"/>
  <c r="AK183" i="4"/>
  <c r="AK182" i="4" s="1"/>
  <c r="AK118" i="4" s="1"/>
  <c r="AK107" i="4"/>
  <c r="AK88" i="4"/>
  <c r="AK185" i="4" s="1"/>
  <c r="AL165" i="4" l="1"/>
  <c r="AK92" i="4"/>
  <c r="AK94" i="4" s="1"/>
  <c r="AK95" i="4" s="1"/>
  <c r="AK108" i="4"/>
  <c r="AK109" i="4"/>
  <c r="AK110" i="4" s="1"/>
  <c r="AK171" i="4" l="1"/>
  <c r="AK170" i="4" s="1"/>
  <c r="AL93" i="4"/>
  <c r="AK184" i="4"/>
  <c r="AK116" i="4" s="1"/>
  <c r="AL135" i="4"/>
  <c r="AL136" i="4" s="1"/>
  <c r="AL63" i="4"/>
  <c r="AL64" i="4" s="1"/>
  <c r="AL91" i="4"/>
  <c r="AK177" i="4" l="1"/>
  <c r="AK115" i="4"/>
  <c r="AL144" i="4"/>
  <c r="AK187" i="4"/>
  <c r="AK117" i="4" s="1"/>
  <c r="AL145" i="4" l="1"/>
  <c r="AL137" i="4" s="1"/>
  <c r="AL138" i="4" s="1"/>
  <c r="AL139" i="4" s="1" a="1"/>
  <c r="AL139" i="4" s="1"/>
  <c r="AL65" i="4" s="1"/>
  <c r="AK190" i="4"/>
  <c r="AK189" i="4"/>
  <c r="AL78" i="4" l="1"/>
  <c r="AL66" i="4"/>
  <c r="AL146" i="4"/>
  <c r="AM143" i="4" s="1"/>
  <c r="AL120" i="4" l="1"/>
  <c r="AL122" i="4"/>
  <c r="AL81" i="4"/>
  <c r="AL98" i="4" l="1"/>
  <c r="AL163" i="4"/>
  <c r="AL121" i="4" s="1"/>
  <c r="AL90" i="4" l="1"/>
  <c r="AL164" i="4"/>
  <c r="AL100" i="4"/>
  <c r="AL101" i="4" s="1"/>
  <c r="AL99" i="4"/>
  <c r="AM161" i="4" l="1"/>
  <c r="AL183" i="4"/>
  <c r="AL182" i="4" s="1"/>
  <c r="AL118" i="4" s="1"/>
  <c r="AL107" i="4"/>
  <c r="AL88" i="4"/>
  <c r="AL185" i="4" s="1"/>
  <c r="AL92" i="4" l="1"/>
  <c r="AL94" i="4" s="1"/>
  <c r="AL95" i="4" s="1"/>
  <c r="AL109" i="4"/>
  <c r="AL110" i="4" s="1"/>
  <c r="AL108" i="4"/>
  <c r="AM165" i="4"/>
  <c r="AL171" i="4" l="1"/>
  <c r="AL170" i="4" s="1"/>
  <c r="AM93" i="4"/>
  <c r="AL184" i="4"/>
  <c r="AL116" i="4" s="1"/>
  <c r="AM91" i="4"/>
  <c r="AM135" i="4"/>
  <c r="AM136" i="4" s="1"/>
  <c r="AM63" i="4"/>
  <c r="AM64" i="4" s="1"/>
  <c r="AL177" i="4" l="1"/>
  <c r="AL115" i="4"/>
  <c r="AM144" i="4"/>
  <c r="AL187" i="4"/>
  <c r="AL117" i="4" s="1"/>
  <c r="AM145" i="4" l="1"/>
  <c r="AM137" i="4" s="1"/>
  <c r="AM138" i="4" s="1"/>
  <c r="AM139" i="4" s="1" a="1"/>
  <c r="AM139" i="4" s="1"/>
  <c r="AM65" i="4" s="1"/>
  <c r="AL189" i="4"/>
  <c r="AL190" i="4"/>
  <c r="AM78" i="4" l="1"/>
  <c r="AM66" i="4"/>
  <c r="AM146" i="4"/>
  <c r="AN143" i="4" s="1"/>
  <c r="AM120" i="4" l="1"/>
  <c r="AM122" i="4"/>
  <c r="AM81" i="4"/>
  <c r="AM98" i="4" l="1"/>
  <c r="AM163" i="4"/>
  <c r="AM121" i="4" s="1"/>
  <c r="AM90" i="4" l="1"/>
  <c r="AM164" i="4"/>
  <c r="AM100" i="4"/>
  <c r="AM101" i="4" s="1"/>
  <c r="AM99" i="4"/>
  <c r="AN161" i="4" l="1"/>
  <c r="AM183" i="4"/>
  <c r="AM182" i="4" s="1"/>
  <c r="AM118" i="4" s="1"/>
  <c r="AM107" i="4"/>
  <c r="AM88" i="4"/>
  <c r="AM185" i="4" l="1"/>
  <c r="AM184" i="4" s="1"/>
  <c r="AM92" i="4"/>
  <c r="AN165" i="4"/>
  <c r="AM108" i="4"/>
  <c r="AM109" i="4"/>
  <c r="AM110" i="4" s="1"/>
  <c r="AM116" i="4" l="1"/>
  <c r="AM94" i="4"/>
  <c r="AM95" i="4" s="1"/>
  <c r="AN91" i="4"/>
  <c r="AN63" i="4"/>
  <c r="AN135" i="4"/>
  <c r="AM187" i="4"/>
  <c r="AM117" i="4" s="1"/>
  <c r="AN93" i="4" l="1"/>
  <c r="AM171" i="4"/>
  <c r="AM170" i="4" s="1"/>
  <c r="AN136" i="4"/>
  <c r="AN64" i="4"/>
  <c r="AM177" i="4" l="1"/>
  <c r="AM115" i="4"/>
  <c r="AN144" i="4"/>
  <c r="AN145" i="4" s="1"/>
  <c r="AN137" i="4" s="1"/>
  <c r="AN138" i="4" s="1"/>
  <c r="AN139" i="4" s="1" a="1"/>
  <c r="AN139" i="4" s="1"/>
  <c r="AN65" i="4" s="1"/>
  <c r="AN78" i="4" s="1"/>
  <c r="AN120" i="4" l="1"/>
  <c r="AN122" i="4"/>
  <c r="AN146" i="4"/>
  <c r="AO143" i="4" s="1"/>
  <c r="AM190" i="4"/>
  <c r="AM189" i="4"/>
  <c r="AN81" i="4"/>
  <c r="AN66" i="4"/>
  <c r="AN98" i="4" l="1"/>
  <c r="AN163" i="4"/>
  <c r="AN121" i="4" s="1"/>
  <c r="AN90" i="4" l="1"/>
  <c r="AN164" i="4"/>
  <c r="AN100" i="4"/>
  <c r="AN101" i="4" s="1"/>
  <c r="AN99" i="4"/>
  <c r="AO161" i="4" l="1"/>
  <c r="AN183" i="4"/>
  <c r="AN107" i="4"/>
  <c r="AN88" i="4"/>
  <c r="AN185" i="4" l="1"/>
  <c r="AN109" i="4"/>
  <c r="AN110" i="4" s="1"/>
  <c r="AN108" i="4"/>
  <c r="AN182" i="4"/>
  <c r="AN118" i="4" s="1"/>
  <c r="AO165" i="4"/>
  <c r="AN92" i="4"/>
  <c r="AN94" i="4" l="1"/>
  <c r="AN95" i="4" s="1"/>
  <c r="AN184" i="4"/>
  <c r="AO135" i="4"/>
  <c r="AO91" i="4"/>
  <c r="AO63" i="4"/>
  <c r="AN116" i="4" l="1"/>
  <c r="AN171" i="4"/>
  <c r="AN170" i="4" s="1"/>
  <c r="AO93" i="4"/>
  <c r="AO64" i="4"/>
  <c r="AN187" i="4"/>
  <c r="AO136" i="4"/>
  <c r="AN177" i="4" l="1"/>
  <c r="AN115" i="4"/>
  <c r="AN117" i="4"/>
  <c r="AO144" i="4"/>
  <c r="AN189" i="4"/>
  <c r="AN190" i="4"/>
  <c r="AO145" i="4" l="1"/>
  <c r="AO137" i="4" s="1"/>
  <c r="AO138" i="4" s="1"/>
  <c r="AO139" i="4" s="1" a="1"/>
  <c r="AO139" i="4" s="1"/>
  <c r="AO65" i="4" s="1"/>
  <c r="AO78" i="4" l="1"/>
  <c r="AO66" i="4"/>
  <c r="AO146" i="4"/>
  <c r="AP143" i="4" s="1"/>
  <c r="AO120" i="4" l="1"/>
  <c r="AO122" i="4"/>
  <c r="AO81" i="4"/>
  <c r="AO98" i="4" l="1"/>
  <c r="AO163" i="4"/>
  <c r="AO121" i="4" s="1"/>
  <c r="AO90" i="4" l="1"/>
  <c r="AO164" i="4"/>
  <c r="AO100" i="4"/>
  <c r="AO101" i="4" s="1"/>
  <c r="AO99" i="4"/>
  <c r="AO183" i="4" l="1"/>
  <c r="AP161" i="4"/>
  <c r="AO107" i="4"/>
  <c r="AO88" i="4"/>
  <c r="AO185" i="4" l="1"/>
  <c r="AO184" i="4" s="1"/>
  <c r="AO108" i="4"/>
  <c r="AO109" i="4"/>
  <c r="AO110" i="4" s="1"/>
  <c r="AO182" i="4"/>
  <c r="AO118" i="4" s="1"/>
  <c r="AO92" i="4"/>
  <c r="AP165" i="4"/>
  <c r="AO94" i="4" l="1"/>
  <c r="AO95" i="4" s="1"/>
  <c r="AO187" i="4"/>
  <c r="AO116" i="4"/>
  <c r="AP135" i="4"/>
  <c r="AP91" i="4"/>
  <c r="AP63" i="4"/>
  <c r="AO117" i="4" l="1"/>
  <c r="AP93" i="4"/>
  <c r="AO171" i="4"/>
  <c r="AO170" i="4" s="1"/>
  <c r="AP136" i="4"/>
  <c r="AP64" i="4"/>
  <c r="AO177" i="4" l="1"/>
  <c r="AO115" i="4"/>
  <c r="AO189" i="4"/>
  <c r="AO190" i="4"/>
  <c r="AP144" i="4"/>
  <c r="AP145" i="4" l="1"/>
  <c r="AP137" i="4" s="1"/>
  <c r="AP138" i="4" s="1"/>
  <c r="AP139" i="4" s="1" a="1"/>
  <c r="AP139" i="4" s="1"/>
  <c r="AP65" i="4" s="1"/>
  <c r="AP78" i="4" l="1"/>
  <c r="AP66" i="4"/>
  <c r="AP146" i="4"/>
  <c r="AQ143" i="4" s="1"/>
  <c r="AP120" i="4" l="1"/>
  <c r="AP122" i="4"/>
  <c r="AP81" i="4"/>
  <c r="AP98" i="4" l="1"/>
  <c r="AP163" i="4"/>
  <c r="AP121" i="4" s="1"/>
  <c r="AP90" i="4" l="1"/>
  <c r="AP164" i="4"/>
  <c r="AP100" i="4"/>
  <c r="AP101" i="4" s="1"/>
  <c r="AP99" i="4"/>
  <c r="AQ161" i="4" l="1"/>
  <c r="AP183" i="4"/>
  <c r="AP107" i="4"/>
  <c r="AP88" i="4"/>
  <c r="AP185" i="4" l="1"/>
  <c r="AP109" i="4"/>
  <c r="AP110" i="4" s="1"/>
  <c r="AP108" i="4"/>
  <c r="AP182" i="4"/>
  <c r="AP118" i="4" s="1"/>
  <c r="AP92" i="4"/>
  <c r="AQ165" i="4"/>
  <c r="AP94" i="4" l="1"/>
  <c r="AP95" i="4" s="1"/>
  <c r="AQ91" i="4"/>
  <c r="AQ63" i="4"/>
  <c r="AQ135" i="4"/>
  <c r="AP184" i="4"/>
  <c r="AQ93" i="4" l="1"/>
  <c r="AP171" i="4"/>
  <c r="AP170" i="4" s="1"/>
  <c r="AP187" i="4"/>
  <c r="AP116" i="4"/>
  <c r="AQ136" i="4"/>
  <c r="AQ64" i="4"/>
  <c r="AP177" i="4" l="1"/>
  <c r="AP115" i="4"/>
  <c r="AP117" i="4"/>
  <c r="AP189" i="4"/>
  <c r="AP190" i="4"/>
  <c r="AQ144" i="4"/>
  <c r="AQ145" i="4" l="1"/>
  <c r="AQ137" i="4" s="1"/>
  <c r="AQ138" i="4" s="1"/>
  <c r="AQ139" i="4" s="1" a="1"/>
  <c r="AQ139" i="4" s="1"/>
  <c r="AQ65" i="4" s="1"/>
  <c r="AQ78" i="4" s="1"/>
  <c r="AQ66" i="4" l="1"/>
  <c r="AQ146" i="4"/>
  <c r="AR143" i="4" s="1"/>
  <c r="AQ120" i="4"/>
  <c r="AQ122" i="4"/>
  <c r="AQ81" i="4"/>
  <c r="AQ98" i="4" l="1"/>
  <c r="AQ163" i="4"/>
  <c r="AQ121" i="4" s="1"/>
  <c r="AQ90" i="4" l="1"/>
  <c r="AQ164" i="4"/>
  <c r="AQ100" i="4"/>
  <c r="AQ101" i="4" s="1"/>
  <c r="AQ99" i="4"/>
  <c r="AR161" i="4" l="1"/>
  <c r="AQ183" i="4"/>
  <c r="AQ107" i="4"/>
  <c r="AQ88" i="4"/>
  <c r="AQ185" i="4" l="1"/>
  <c r="AQ184" i="4" s="1"/>
  <c r="AQ109" i="4"/>
  <c r="AQ110" i="4" s="1"/>
  <c r="AQ108" i="4"/>
  <c r="AR165" i="4"/>
  <c r="AQ92" i="4"/>
  <c r="AQ182" i="4"/>
  <c r="AQ118" i="4" s="1"/>
  <c r="AQ116" i="4" l="1"/>
  <c r="AQ94" i="4"/>
  <c r="AQ95" i="4" s="1"/>
  <c r="AR135" i="4"/>
  <c r="AR63" i="4"/>
  <c r="AR91" i="4"/>
  <c r="AQ187" i="4"/>
  <c r="AQ117" i="4" l="1"/>
  <c r="AR93" i="4"/>
  <c r="AQ171" i="4"/>
  <c r="AQ170" i="4" s="1"/>
  <c r="AR64" i="4"/>
  <c r="AR136" i="4"/>
  <c r="AQ177" i="4" l="1"/>
  <c r="AQ115" i="4"/>
  <c r="AR144" i="4"/>
  <c r="AR145" i="4" l="1"/>
  <c r="AR137" i="4" s="1"/>
  <c r="AR138" i="4" s="1"/>
  <c r="AR139" i="4" s="1" a="1"/>
  <c r="AR139" i="4" s="1"/>
  <c r="AR65" i="4" s="1"/>
  <c r="AR78" i="4" s="1"/>
  <c r="AR81" i="4" s="1"/>
  <c r="AQ190" i="4"/>
  <c r="AQ189" i="4"/>
  <c r="AR122" i="4" l="1"/>
  <c r="AR120" i="4"/>
  <c r="AR66" i="4"/>
  <c r="AR146" i="4"/>
  <c r="AS143" i="4" s="1"/>
  <c r="AR98" i="4"/>
  <c r="AR163" i="4"/>
  <c r="AR121" i="4" s="1"/>
  <c r="AR100" i="4" l="1"/>
  <c r="AR101" i="4" s="1"/>
  <c r="AR99" i="4"/>
  <c r="AR90" i="4"/>
  <c r="AR164" i="4"/>
  <c r="AS161" i="4" l="1"/>
  <c r="AR183" i="4"/>
  <c r="AR107" i="4"/>
  <c r="AR88" i="4"/>
  <c r="AR185" i="4" s="1"/>
  <c r="AR92" i="4" l="1"/>
  <c r="AR94" i="4" s="1"/>
  <c r="AR95" i="4" s="1"/>
  <c r="AR108" i="4"/>
  <c r="AR109" i="4"/>
  <c r="AR110" i="4" s="1"/>
  <c r="AR182" i="4"/>
  <c r="AR118" i="4" s="1"/>
  <c r="AS165" i="4"/>
  <c r="AS93" i="4" l="1"/>
  <c r="AR171" i="4"/>
  <c r="AR170" i="4" s="1"/>
  <c r="AS63" i="4"/>
  <c r="AS64" i="4" s="1"/>
  <c r="AS135" i="4"/>
  <c r="AS136" i="4" s="1"/>
  <c r="AS91" i="4"/>
  <c r="AR184" i="4"/>
  <c r="AR177" i="4" l="1"/>
  <c r="AR115" i="4"/>
  <c r="AR187" i="4"/>
  <c r="AR190" i="4" s="1"/>
  <c r="AR116" i="4"/>
  <c r="AS144" i="4"/>
  <c r="AS145" i="4" s="1"/>
  <c r="AS137" i="4" s="1"/>
  <c r="AS138" i="4" s="1"/>
  <c r="AS139" i="4" s="1" a="1"/>
  <c r="AS139" i="4" s="1"/>
  <c r="AS65" i="4" s="1"/>
  <c r="AR117" i="4" l="1"/>
  <c r="AR189" i="4"/>
  <c r="AS78" i="4"/>
  <c r="AS66" i="4"/>
  <c r="AS146" i="4"/>
  <c r="AT143" i="4" s="1"/>
  <c r="AS120" i="4" l="1"/>
  <c r="AS122" i="4"/>
  <c r="AS81" i="4"/>
  <c r="AS98" i="4" l="1"/>
  <c r="AS163" i="4"/>
  <c r="AS121" i="4" s="1"/>
  <c r="AS90" i="4" l="1"/>
  <c r="AS164" i="4"/>
  <c r="AS100" i="4"/>
  <c r="AS101" i="4" s="1"/>
  <c r="AS99" i="4"/>
  <c r="AS183" i="4" l="1"/>
  <c r="AS182" i="4" s="1"/>
  <c r="AS118" i="4" s="1"/>
  <c r="AT161" i="4"/>
  <c r="AS107" i="4"/>
  <c r="AS88" i="4"/>
  <c r="AS185" i="4" s="1"/>
  <c r="AT165" i="4" l="1"/>
  <c r="AS109" i="4"/>
  <c r="AS110" i="4" s="1"/>
  <c r="AS108" i="4"/>
  <c r="AS92" i="4"/>
  <c r="AS94" i="4" s="1"/>
  <c r="AS95" i="4" s="1"/>
  <c r="AS184" i="4"/>
  <c r="AS116" i="4" s="1"/>
  <c r="AT93" i="4" l="1"/>
  <c r="AS171" i="4"/>
  <c r="AS170" i="4" s="1"/>
  <c r="AS187" i="4"/>
  <c r="AS117" i="4" s="1"/>
  <c r="AT63" i="4"/>
  <c r="AT64" i="4" s="1"/>
  <c r="AT135" i="4"/>
  <c r="AT136" i="4" s="1"/>
  <c r="AT91" i="4"/>
  <c r="AS177" i="4" l="1"/>
  <c r="AS190" i="4" s="1"/>
  <c r="AS115" i="4"/>
  <c r="AT144" i="4"/>
  <c r="AS189" i="4" l="1"/>
  <c r="AT145" i="4"/>
  <c r="AT137" i="4" s="1"/>
  <c r="AT138" i="4" s="1"/>
  <c r="AT139" i="4" s="1" a="1"/>
  <c r="AT139" i="4" s="1"/>
  <c r="AT65" i="4" s="1"/>
  <c r="AT78" i="4" l="1"/>
  <c r="AT66" i="4"/>
  <c r="AT146" i="4"/>
  <c r="AU143" i="4" s="1"/>
  <c r="AT120" i="4" l="1"/>
  <c r="AT122" i="4"/>
  <c r="AT81" i="4"/>
  <c r="AT98" i="4" l="1"/>
  <c r="AT163" i="4"/>
  <c r="AT121" i="4" s="1"/>
  <c r="AT90" i="4" l="1"/>
  <c r="AT164" i="4"/>
  <c r="AT100" i="4"/>
  <c r="AT101" i="4" s="1"/>
  <c r="AT99" i="4"/>
  <c r="AU161" i="4" l="1"/>
  <c r="AT183" i="4"/>
  <c r="AT182" i="4" s="1"/>
  <c r="AT118" i="4" s="1"/>
  <c r="AT107" i="4"/>
  <c r="AT88" i="4"/>
  <c r="AT185" i="4" s="1"/>
  <c r="AT108" i="4" l="1"/>
  <c r="AT109" i="4"/>
  <c r="AT110" i="4" s="1"/>
  <c r="AT92" i="4"/>
  <c r="AT94" i="4" s="1"/>
  <c r="AT95" i="4" s="1"/>
  <c r="AU165" i="4"/>
  <c r="AT171" i="4" l="1"/>
  <c r="AT170" i="4" s="1"/>
  <c r="AU93" i="4"/>
  <c r="AT184" i="4"/>
  <c r="AT116" i="4" s="1"/>
  <c r="AU135" i="4"/>
  <c r="AU136" i="4" s="1"/>
  <c r="AU63" i="4"/>
  <c r="AU64" i="4" s="1"/>
  <c r="AU91" i="4"/>
  <c r="AT177" i="4" l="1"/>
  <c r="AT115" i="4"/>
  <c r="AU144" i="4"/>
  <c r="AU145" i="4" s="1"/>
  <c r="AU137" i="4" s="1"/>
  <c r="AU138" i="4" s="1"/>
  <c r="AU139" i="4" s="1" a="1"/>
  <c r="AU139" i="4" s="1"/>
  <c r="AU65" i="4" s="1"/>
  <c r="AT187" i="4"/>
  <c r="AT117" i="4" s="1"/>
  <c r="AU146" i="4" l="1"/>
  <c r="AV143" i="4" s="1"/>
  <c r="AU78" i="4"/>
  <c r="AU66" i="4"/>
  <c r="AT190" i="4"/>
  <c r="AT189" i="4"/>
  <c r="AU120" i="4" l="1"/>
  <c r="AU122" i="4"/>
  <c r="AU81" i="4"/>
  <c r="AU98" i="4" l="1"/>
  <c r="AU163" i="4"/>
  <c r="AU121" i="4" s="1"/>
  <c r="AU90" i="4" l="1"/>
  <c r="AU164" i="4"/>
  <c r="AU100" i="4"/>
  <c r="AU101" i="4" s="1"/>
  <c r="AU99" i="4"/>
  <c r="AU183" i="4" l="1"/>
  <c r="AU182" i="4" s="1"/>
  <c r="AU118" i="4" s="1"/>
  <c r="AV161" i="4"/>
  <c r="AU107" i="4"/>
  <c r="AU88" i="4"/>
  <c r="AU185" i="4" s="1"/>
  <c r="AU92" i="4" l="1"/>
  <c r="AU94" i="4" s="1"/>
  <c r="AU95" i="4" s="1"/>
  <c r="AU184" i="4"/>
  <c r="AU116" i="4" s="1"/>
  <c r="AU108" i="4"/>
  <c r="AU109" i="4"/>
  <c r="AU110" i="4" s="1"/>
  <c r="AV165" i="4"/>
  <c r="AU171" i="4" l="1"/>
  <c r="AU170" i="4" s="1"/>
  <c r="AV93" i="4"/>
  <c r="AU187" i="4"/>
  <c r="AU117" i="4" s="1"/>
  <c r="AV63" i="4"/>
  <c r="AV64" i="4" s="1"/>
  <c r="AV91" i="4"/>
  <c r="AV135" i="4"/>
  <c r="AV136" i="4" s="1"/>
  <c r="AU177" i="4" l="1"/>
  <c r="AU115" i="4"/>
  <c r="AU189" i="4"/>
  <c r="AU190" i="4"/>
  <c r="AV144" i="4"/>
  <c r="AV145" i="4" l="1"/>
  <c r="AV137" i="4" s="1"/>
  <c r="AV138" i="4" s="1"/>
  <c r="AV139" i="4" s="1" a="1"/>
  <c r="AV139" i="4" s="1"/>
  <c r="AV65" i="4" s="1"/>
  <c r="AV78" i="4" l="1"/>
  <c r="AV66" i="4"/>
  <c r="AV146" i="4"/>
  <c r="AW143" i="4" s="1"/>
  <c r="AV120" i="4" l="1"/>
  <c r="AV122" i="4"/>
  <c r="AV81" i="4"/>
  <c r="AV98" i="4" l="1"/>
  <c r="AV163" i="4"/>
  <c r="AV121" i="4" s="1"/>
  <c r="AV90" i="4" l="1"/>
  <c r="AV164" i="4"/>
  <c r="AV100" i="4"/>
  <c r="AV101" i="4" s="1"/>
  <c r="AV99" i="4"/>
  <c r="AV183" i="4" l="1"/>
  <c r="AV182" i="4" s="1"/>
  <c r="AV118" i="4" s="1"/>
  <c r="AW161" i="4"/>
  <c r="AV107" i="4"/>
  <c r="AV88" i="4"/>
  <c r="AV185" i="4" s="1"/>
  <c r="AV109" i="4" l="1"/>
  <c r="AV110" i="4" s="1"/>
  <c r="AV108" i="4"/>
  <c r="AW165" i="4"/>
  <c r="AV92" i="4"/>
  <c r="AV94" i="4" s="1"/>
  <c r="AV95" i="4" s="1"/>
  <c r="AV171" i="4" l="1"/>
  <c r="AV170" i="4" s="1"/>
  <c r="AW93" i="4"/>
  <c r="AW63" i="4"/>
  <c r="AW64" i="4" s="1"/>
  <c r="AW135" i="4"/>
  <c r="AW136" i="4" s="1"/>
  <c r="AW91" i="4"/>
  <c r="AV184" i="4"/>
  <c r="AV116" i="4" s="1"/>
  <c r="AV177" i="4" l="1"/>
  <c r="AV115" i="4"/>
  <c r="AV187" i="4"/>
  <c r="AV117" i="4" s="1"/>
  <c r="AW144" i="4"/>
  <c r="AW145" i="4" l="1"/>
  <c r="AW137" i="4" s="1"/>
  <c r="AW138" i="4" s="1"/>
  <c r="AW139" i="4" s="1" a="1"/>
  <c r="AW139" i="4" s="1"/>
  <c r="AW65" i="4" s="1"/>
  <c r="AV190" i="4"/>
  <c r="AV189" i="4"/>
  <c r="AW78" i="4" l="1"/>
  <c r="AW66" i="4"/>
  <c r="AW146" i="4"/>
  <c r="AX143" i="4" s="1"/>
  <c r="AW120" i="4" l="1"/>
  <c r="AW122" i="4"/>
  <c r="AW81" i="4"/>
  <c r="AW98" i="4" l="1"/>
  <c r="AW163" i="4"/>
  <c r="AW121" i="4" s="1"/>
  <c r="AW90" i="4" l="1"/>
  <c r="AW164" i="4"/>
  <c r="AW100" i="4"/>
  <c r="AW101" i="4" s="1"/>
  <c r="AW99" i="4"/>
  <c r="AX161" i="4" l="1"/>
  <c r="AW183" i="4"/>
  <c r="AW182" i="4" s="1"/>
  <c r="AW118" i="4" s="1"/>
  <c r="AW107" i="4"/>
  <c r="AW88" i="4"/>
  <c r="AW185" i="4" s="1"/>
  <c r="AW92" i="4" l="1"/>
  <c r="AW94" i="4" s="1"/>
  <c r="AW95" i="4" s="1"/>
  <c r="AW109" i="4"/>
  <c r="AW110" i="4" s="1"/>
  <c r="AW108" i="4"/>
  <c r="AX165" i="4"/>
  <c r="AW171" i="4" l="1"/>
  <c r="AW170" i="4" s="1"/>
  <c r="AX93" i="4"/>
  <c r="AW184" i="4"/>
  <c r="AW116" i="4" s="1"/>
  <c r="AX135" i="4"/>
  <c r="AX136" i="4" s="1"/>
  <c r="AX91" i="4"/>
  <c r="AX63" i="4"/>
  <c r="AX64" i="4" s="1"/>
  <c r="AW177" i="4" l="1"/>
  <c r="AW115" i="4"/>
  <c r="AX144" i="4"/>
  <c r="AX145" i="4" s="1"/>
  <c r="AX137" i="4" s="1"/>
  <c r="AX138" i="4" s="1"/>
  <c r="AX139" i="4" s="1" a="1"/>
  <c r="AX139" i="4" s="1"/>
  <c r="AX65" i="4" s="1"/>
  <c r="AW187" i="4"/>
  <c r="AW117" i="4" s="1"/>
  <c r="AX146" i="4" l="1"/>
  <c r="AY143" i="4" s="1"/>
  <c r="AX78" i="4"/>
  <c r="AX66" i="4"/>
  <c r="AW189" i="4"/>
  <c r="AW190" i="4"/>
  <c r="AX120" i="4" l="1"/>
  <c r="AX122" i="4"/>
  <c r="AX81" i="4"/>
  <c r="AX98" i="4" l="1"/>
  <c r="AX163" i="4"/>
  <c r="AX121" i="4" s="1"/>
  <c r="AX90" i="4" l="1"/>
  <c r="AX164" i="4"/>
  <c r="AX100" i="4"/>
  <c r="AX101" i="4" s="1"/>
  <c r="AX99" i="4"/>
  <c r="AX183" i="4" l="1"/>
  <c r="AX182" i="4" s="1"/>
  <c r="AX118" i="4" s="1"/>
  <c r="AY161" i="4"/>
  <c r="AX107" i="4"/>
  <c r="AX88" i="4"/>
  <c r="AX185" i="4" s="1"/>
  <c r="AX109" i="4" l="1"/>
  <c r="AX110" i="4" s="1"/>
  <c r="AX108" i="4"/>
  <c r="AY165" i="4"/>
  <c r="AX92" i="4"/>
  <c r="AX94" i="4" s="1"/>
  <c r="AX95" i="4" s="1"/>
  <c r="AX184" i="4"/>
  <c r="AX171" i="4" l="1"/>
  <c r="AX170" i="4" s="1"/>
  <c r="AY93" i="4"/>
  <c r="AX187" i="4"/>
  <c r="AX117" i="4" s="1"/>
  <c r="AX116" i="4"/>
  <c r="AY91" i="4"/>
  <c r="AY63" i="4"/>
  <c r="AY64" i="4" s="1"/>
  <c r="AY135" i="4"/>
  <c r="AY136" i="4" s="1"/>
  <c r="AX177" i="4" l="1"/>
  <c r="AX115" i="4"/>
  <c r="AX190" i="4"/>
  <c r="AX189" i="4"/>
  <c r="AY144" i="4"/>
  <c r="AY145" i="4" s="1"/>
  <c r="AY137" i="4" s="1"/>
  <c r="AY138" i="4" s="1"/>
  <c r="AY139" i="4" s="1" a="1"/>
  <c r="AY139" i="4" s="1"/>
  <c r="AY65" i="4" s="1"/>
  <c r="AY78" i="4" l="1"/>
  <c r="AY66" i="4"/>
  <c r="AY146" i="4"/>
  <c r="AZ143" i="4" s="1"/>
  <c r="AY120" i="4" l="1"/>
  <c r="AY122" i="4"/>
  <c r="AY81" i="4"/>
  <c r="AY98" i="4" l="1"/>
  <c r="AY163" i="4"/>
  <c r="AY121" i="4" s="1"/>
  <c r="AY90" i="4" l="1"/>
  <c r="AY164" i="4"/>
  <c r="AY100" i="4"/>
  <c r="AY101" i="4" s="1"/>
  <c r="AY99" i="4"/>
  <c r="AZ161" i="4" l="1"/>
  <c r="AY183" i="4"/>
  <c r="AY182" i="4" s="1"/>
  <c r="AY118" i="4" s="1"/>
  <c r="AY107" i="4"/>
  <c r="AY88" i="4"/>
  <c r="AY185" i="4" s="1"/>
  <c r="AY92" i="4" l="1"/>
  <c r="AY94" i="4" s="1"/>
  <c r="AY95" i="4" s="1"/>
  <c r="AY109" i="4"/>
  <c r="AY110" i="4" s="1"/>
  <c r="AY108" i="4"/>
  <c r="AZ165" i="4"/>
  <c r="AY171" i="4" l="1"/>
  <c r="AY170" i="4" s="1"/>
  <c r="AZ93" i="4"/>
  <c r="AZ63" i="4"/>
  <c r="AZ64" i="4" s="1"/>
  <c r="AZ91" i="4"/>
  <c r="AZ135" i="4"/>
  <c r="AZ136" i="4" s="1"/>
  <c r="AY184" i="4"/>
  <c r="AY116" i="4" s="1"/>
  <c r="AY177" i="4" l="1"/>
  <c r="AY115" i="4"/>
  <c r="AY187" i="4"/>
  <c r="AY117" i="4" s="1"/>
  <c r="AZ144" i="4"/>
  <c r="AY190" i="4" l="1"/>
  <c r="AY189" i="4"/>
  <c r="AZ145" i="4"/>
  <c r="AZ137" i="4" s="1"/>
  <c r="AZ138" i="4" s="1"/>
  <c r="AZ139" i="4" s="1" a="1"/>
  <c r="AZ139" i="4" s="1"/>
  <c r="AZ65" i="4" s="1"/>
  <c r="AZ78" i="4" l="1"/>
  <c r="AZ66" i="4"/>
  <c r="AZ146" i="4"/>
  <c r="BA143" i="4" s="1"/>
  <c r="AZ120" i="4" l="1"/>
  <c r="AZ122" i="4"/>
  <c r="AZ81" i="4"/>
  <c r="AZ98" i="4" l="1"/>
  <c r="AZ163" i="4"/>
  <c r="AZ121" i="4" s="1"/>
  <c r="AZ90" i="4" l="1"/>
  <c r="AZ164" i="4"/>
  <c r="AZ100" i="4"/>
  <c r="AZ101" i="4" s="1"/>
  <c r="AZ99" i="4"/>
  <c r="BA161" i="4" l="1"/>
  <c r="AZ183" i="4"/>
  <c r="AZ182" i="4" s="1"/>
  <c r="AZ118" i="4" s="1"/>
  <c r="AZ107" i="4"/>
  <c r="AZ88" i="4"/>
  <c r="AZ185" i="4" s="1"/>
  <c r="AZ92" i="4" l="1"/>
  <c r="AZ94" i="4" s="1"/>
  <c r="AZ95" i="4" s="1"/>
  <c r="AZ184" i="4"/>
  <c r="AZ116" i="4" s="1"/>
  <c r="AZ109" i="4"/>
  <c r="AZ110" i="4" s="1"/>
  <c r="AZ108" i="4"/>
  <c r="BA165" i="4"/>
  <c r="AZ171" i="4" l="1"/>
  <c r="AZ170" i="4" s="1"/>
  <c r="BA93" i="4"/>
  <c r="BA135" i="4"/>
  <c r="BA136" i="4" s="1"/>
  <c r="BA63" i="4"/>
  <c r="BA64" i="4" s="1"/>
  <c r="BA91" i="4"/>
  <c r="AZ187" i="4"/>
  <c r="AZ117" i="4" s="1"/>
  <c r="AZ177" i="4" l="1"/>
  <c r="AZ115" i="4"/>
  <c r="AZ190" i="4"/>
  <c r="AZ189" i="4"/>
  <c r="BA144" i="4"/>
  <c r="BA145" i="4" l="1"/>
  <c r="BA137" i="4" s="1"/>
  <c r="BA138" i="4" s="1"/>
  <c r="BA139" i="4" s="1" a="1"/>
  <c r="BA139" i="4" s="1"/>
  <c r="BA65" i="4" s="1"/>
  <c r="BA78" i="4" l="1"/>
  <c r="BA66" i="4"/>
  <c r="BA146" i="4"/>
  <c r="BB143" i="4" s="1"/>
  <c r="BA120" i="4" l="1"/>
  <c r="BA122" i="4"/>
  <c r="BA81" i="4"/>
  <c r="BA98" i="4" l="1"/>
  <c r="BA163" i="4"/>
  <c r="BA121" i="4" s="1"/>
  <c r="BA90" i="4" l="1"/>
  <c r="BA164" i="4"/>
  <c r="BA100" i="4"/>
  <c r="BA101" i="4" s="1"/>
  <c r="BA99" i="4"/>
  <c r="BA183" i="4" l="1"/>
  <c r="BA182" i="4" s="1"/>
  <c r="BA118" i="4" s="1"/>
  <c r="BB161" i="4"/>
  <c r="BA107" i="4"/>
  <c r="BA88" i="4"/>
  <c r="BA185" i="4" s="1"/>
  <c r="BA92" i="4" l="1"/>
  <c r="BA94" i="4" s="1"/>
  <c r="BA95" i="4" s="1"/>
  <c r="BA109" i="4"/>
  <c r="BA110" i="4" s="1"/>
  <c r="BA108" i="4"/>
  <c r="BB165" i="4"/>
  <c r="BB93" i="4" l="1"/>
  <c r="BA171" i="4"/>
  <c r="BA170" i="4" s="1"/>
  <c r="BB135" i="4"/>
  <c r="BB136" i="4" s="1"/>
  <c r="BB63" i="4"/>
  <c r="BB64" i="4" s="1"/>
  <c r="BB91" i="4"/>
  <c r="BA184" i="4"/>
  <c r="BA116" i="4" s="1"/>
  <c r="BA177" i="4" l="1"/>
  <c r="BA115" i="4"/>
  <c r="BA187" i="4"/>
  <c r="BA117" i="4" s="1"/>
  <c r="BB144" i="4"/>
  <c r="BB145" i="4" s="1"/>
  <c r="BB137" i="4" s="1"/>
  <c r="BB138" i="4" s="1"/>
  <c r="BB139" i="4" s="1" a="1"/>
  <c r="BB139" i="4" s="1"/>
  <c r="BB65" i="4" s="1"/>
  <c r="BB78" i="4" l="1"/>
  <c r="BB66" i="4"/>
  <c r="BA190" i="4"/>
  <c r="BA189" i="4"/>
  <c r="BB146" i="4"/>
  <c r="BC143" i="4" s="1"/>
  <c r="BB120" i="4" l="1"/>
  <c r="BB122" i="4"/>
  <c r="BB81" i="4"/>
  <c r="BB98" i="4" l="1"/>
  <c r="BB163" i="4"/>
  <c r="BB121" i="4" s="1"/>
  <c r="BB90" i="4" l="1"/>
  <c r="BB164" i="4"/>
  <c r="BB100" i="4"/>
  <c r="BB101" i="4" s="1"/>
  <c r="BB99" i="4"/>
  <c r="BB107" i="4" l="1"/>
  <c r="BB88" i="4"/>
  <c r="BB185" i="4" s="1"/>
  <c r="BB126" i="4"/>
  <c r="BB183" i="4"/>
  <c r="BB182" i="4" s="1"/>
  <c r="BB118" i="4" s="1"/>
  <c r="BC161" i="4"/>
  <c r="BB108" i="4" l="1"/>
  <c r="BB109" i="4"/>
  <c r="BB110" i="4" s="1"/>
  <c r="BB92" i="4"/>
  <c r="BB94" i="4" s="1"/>
  <c r="BB95" i="4" s="1"/>
  <c r="BB184" i="4"/>
  <c r="BC165" i="4"/>
  <c r="BB171" i="4" l="1"/>
  <c r="BB170" i="4" s="1"/>
  <c r="BC93" i="4"/>
  <c r="BB187" i="4"/>
  <c r="BB117" i="4" s="1"/>
  <c r="BB116" i="4"/>
  <c r="BC91" i="4"/>
  <c r="BC63" i="4"/>
  <c r="BC64" i="4" s="1"/>
  <c r="BC135" i="4"/>
  <c r="BC136" i="4" s="1"/>
  <c r="BB177" i="4" l="1"/>
  <c r="BB189" i="4" s="1"/>
  <c r="BB115" i="4"/>
  <c r="BC144" i="4"/>
  <c r="BC145" i="4" s="1"/>
  <c r="BC137" i="4" s="1"/>
  <c r="BC138" i="4" s="1"/>
  <c r="BC139" i="4" s="1" a="1"/>
  <c r="BC139" i="4" s="1"/>
  <c r="BC65" i="4" s="1"/>
  <c r="BB190" i="4" l="1"/>
  <c r="BC78" i="4"/>
  <c r="BC66" i="4"/>
  <c r="BC146" i="4"/>
  <c r="BD143" i="4" s="1"/>
  <c r="BC120" i="4" l="1"/>
  <c r="BC122" i="4"/>
  <c r="BC81" i="4"/>
  <c r="BC98" i="4" l="1"/>
  <c r="BC163" i="4"/>
  <c r="BC121" i="4" s="1"/>
  <c r="BC90" i="4" l="1"/>
  <c r="BC164" i="4"/>
  <c r="BC100" i="4"/>
  <c r="BC101" i="4" s="1"/>
  <c r="BC99" i="4"/>
  <c r="BD161" i="4" l="1"/>
  <c r="BC183" i="4"/>
  <c r="BC182" i="4" s="1"/>
  <c r="BC118" i="4" s="1"/>
  <c r="BC107" i="4"/>
  <c r="BC88" i="4"/>
  <c r="BC185" i="4" s="1"/>
  <c r="BC92" i="4" l="1"/>
  <c r="BC94" i="4" s="1"/>
  <c r="BC95" i="4" s="1"/>
  <c r="BC108" i="4"/>
  <c r="BC109" i="4"/>
  <c r="BC110" i="4" s="1"/>
  <c r="BD165" i="4"/>
  <c r="BC171" i="4" l="1"/>
  <c r="BC170" i="4" s="1"/>
  <c r="BD93" i="4"/>
  <c r="BD63" i="4"/>
  <c r="BD64" i="4" s="1"/>
  <c r="BD91" i="4"/>
  <c r="BD135" i="4"/>
  <c r="BD136" i="4" s="1"/>
  <c r="BC184" i="4"/>
  <c r="BC116" i="4" s="1"/>
  <c r="BC177" i="4" l="1"/>
  <c r="BC115" i="4"/>
  <c r="BC187" i="4"/>
  <c r="BC117" i="4" s="1"/>
  <c r="BD144" i="4"/>
  <c r="BC189" i="4" l="1"/>
  <c r="BC190" i="4"/>
  <c r="BD145" i="4"/>
  <c r="BD137" i="4" s="1"/>
  <c r="BD138" i="4" s="1"/>
  <c r="BD139" i="4" s="1" a="1"/>
  <c r="BD139" i="4" s="1"/>
  <c r="BD65" i="4" s="1"/>
  <c r="BD78" i="4" l="1"/>
  <c r="BD66" i="4"/>
  <c r="BD146" i="4"/>
  <c r="BE143" i="4" s="1"/>
  <c r="BD120" i="4" l="1"/>
  <c r="BD122" i="4"/>
  <c r="BD81" i="4"/>
  <c r="BD98" i="4" l="1"/>
  <c r="BD163" i="4"/>
  <c r="BD121" i="4" s="1"/>
  <c r="BD90" i="4" l="1"/>
  <c r="BD164" i="4"/>
  <c r="BD100" i="4"/>
  <c r="BD101" i="4" s="1"/>
  <c r="BD99" i="4"/>
  <c r="BD183" i="4" l="1"/>
  <c r="BD182" i="4" s="1"/>
  <c r="BD118" i="4" s="1"/>
  <c r="BE161" i="4"/>
  <c r="BD107" i="4"/>
  <c r="BD88" i="4"/>
  <c r="BD185" i="4" s="1"/>
  <c r="BE165" i="4" l="1"/>
  <c r="BD108" i="4"/>
  <c r="BD109" i="4"/>
  <c r="BD110" i="4" s="1"/>
  <c r="BD92" i="4"/>
  <c r="BD94" i="4" s="1"/>
  <c r="BD95" i="4" s="1"/>
  <c r="BD184" i="4"/>
  <c r="BD116" i="4" s="1"/>
  <c r="BD171" i="4" l="1"/>
  <c r="BD170" i="4" s="1"/>
  <c r="BE93" i="4"/>
  <c r="BD187" i="4"/>
  <c r="BD117" i="4" s="1"/>
  <c r="BE91" i="4"/>
  <c r="BE135" i="4"/>
  <c r="BE136" i="4" s="1"/>
  <c r="BE63" i="4"/>
  <c r="BE64" i="4" s="1"/>
  <c r="BD177" i="4" l="1"/>
  <c r="BD115" i="4"/>
  <c r="BE144" i="4"/>
  <c r="BE145" i="4" s="1"/>
  <c r="BE137" i="4" s="1"/>
  <c r="BE138" i="4" s="1"/>
  <c r="BE139" i="4" s="1" a="1"/>
  <c r="BE139" i="4" s="1"/>
  <c r="BE65" i="4" s="1"/>
  <c r="BD190" i="4"/>
  <c r="BD189" i="4"/>
  <c r="BE78" i="4" l="1"/>
  <c r="BE66" i="4"/>
  <c r="BE146" i="4"/>
  <c r="BF143" i="4" s="1"/>
  <c r="BE120" i="4" l="1"/>
  <c r="BE122" i="4"/>
  <c r="BE81" i="4"/>
  <c r="BE98" i="4" l="1"/>
  <c r="BE163" i="4"/>
  <c r="BE121" i="4" s="1"/>
  <c r="BE90" i="4" l="1"/>
  <c r="BE164" i="4"/>
  <c r="BE100" i="4"/>
  <c r="BE101" i="4" s="1"/>
  <c r="BE99" i="4"/>
  <c r="BF161" i="4" l="1"/>
  <c r="BE183" i="4"/>
  <c r="BE182" i="4" s="1"/>
  <c r="BE118" i="4" s="1"/>
  <c r="BE107" i="4"/>
  <c r="BE88" i="4"/>
  <c r="BE185" i="4" s="1"/>
  <c r="BE92" i="4" l="1"/>
  <c r="BE94" i="4" s="1"/>
  <c r="BE95" i="4" s="1"/>
  <c r="BE109" i="4"/>
  <c r="BE110" i="4" s="1"/>
  <c r="BE108" i="4"/>
  <c r="BF165" i="4"/>
  <c r="BF93" i="4" l="1"/>
  <c r="BE171" i="4"/>
  <c r="BE170" i="4" s="1"/>
  <c r="BF63" i="4"/>
  <c r="BF64" i="4" s="1"/>
  <c r="BF135" i="4"/>
  <c r="BF136" i="4" s="1"/>
  <c r="BF91" i="4"/>
  <c r="BE184" i="4"/>
  <c r="BE116" i="4" s="1"/>
  <c r="BE177" i="4" l="1"/>
  <c r="BE115" i="4"/>
  <c r="BF144" i="4"/>
  <c r="BF145" i="4" s="1"/>
  <c r="BF137" i="4" s="1"/>
  <c r="BF138" i="4" s="1"/>
  <c r="BF139" i="4" s="1" a="1"/>
  <c r="BF139" i="4" s="1"/>
  <c r="BF65" i="4" s="1"/>
  <c r="BE187" i="4"/>
  <c r="BE117" i="4" s="1"/>
  <c r="BF78" i="4" l="1"/>
  <c r="BF66" i="4"/>
  <c r="BE189" i="4"/>
  <c r="BE190" i="4"/>
  <c r="BF146" i="4"/>
  <c r="BG143" i="4" s="1"/>
  <c r="BF120" i="4" l="1"/>
  <c r="BF122" i="4"/>
  <c r="BF81" i="4"/>
  <c r="BF98" i="4" l="1"/>
  <c r="BF163" i="4"/>
  <c r="BF121" i="4" s="1"/>
  <c r="BF90" i="4" l="1"/>
  <c r="BF164" i="4"/>
  <c r="BF100" i="4"/>
  <c r="BF101" i="4" s="1"/>
  <c r="BF99" i="4"/>
  <c r="BF107" i="4" l="1"/>
  <c r="BF88" i="4"/>
  <c r="BF185" i="4" s="1"/>
  <c r="BF183" i="4"/>
  <c r="BF182" i="4" s="1"/>
  <c r="BF118" i="4" s="1"/>
  <c r="BG161" i="4"/>
  <c r="BG165" i="4" l="1"/>
  <c r="BF92" i="4"/>
  <c r="BF94" i="4" s="1"/>
  <c r="BF95" i="4" s="1"/>
  <c r="BF184" i="4"/>
  <c r="BF116" i="4" s="1"/>
  <c r="BF108" i="4"/>
  <c r="BF109" i="4"/>
  <c r="BF110" i="4" s="1"/>
  <c r="BF171" i="4" l="1"/>
  <c r="BF170" i="4" s="1"/>
  <c r="BG93" i="4"/>
  <c r="BF187" i="4"/>
  <c r="BF117" i="4" s="1"/>
  <c r="BG63" i="4"/>
  <c r="BG64" i="4" s="1"/>
  <c r="BG135" i="4"/>
  <c r="BG136" i="4" s="1"/>
  <c r="BG91" i="4"/>
  <c r="BF177" i="4" l="1"/>
  <c r="BF115" i="4"/>
  <c r="BG144" i="4"/>
  <c r="BG145" i="4" s="1"/>
  <c r="BG137" i="4" s="1"/>
  <c r="BG138" i="4" s="1"/>
  <c r="BG139" i="4" s="1" a="1"/>
  <c r="BG139" i="4" s="1"/>
  <c r="BG65" i="4" s="1"/>
  <c r="BF190" i="4"/>
  <c r="BF189" i="4"/>
  <c r="BG78" i="4" l="1"/>
  <c r="BG66" i="4"/>
  <c r="BG146" i="4"/>
  <c r="BH143" i="4" s="1"/>
  <c r="BG120" i="4" l="1"/>
  <c r="BG122" i="4"/>
  <c r="BG81" i="4"/>
  <c r="BG98" i="4" l="1"/>
  <c r="BG163" i="4"/>
  <c r="BG121" i="4" s="1"/>
  <c r="BG90" i="4" l="1"/>
  <c r="BG164" i="4"/>
  <c r="BG100" i="4"/>
  <c r="BG101" i="4" s="1"/>
  <c r="BG99" i="4"/>
  <c r="BH161" i="4" l="1"/>
  <c r="BG183" i="4"/>
  <c r="BG182" i="4" s="1"/>
  <c r="BG118" i="4" s="1"/>
  <c r="BG107" i="4"/>
  <c r="BG88" i="4"/>
  <c r="BG185" i="4" s="1"/>
  <c r="BH165" i="4" l="1"/>
  <c r="BG109" i="4"/>
  <c r="BG110" i="4" s="1"/>
  <c r="BG108" i="4"/>
  <c r="BG92" i="4"/>
  <c r="BG94" i="4" s="1"/>
  <c r="BG95" i="4" s="1"/>
  <c r="BG171" i="4" l="1"/>
  <c r="BG170" i="4" s="1"/>
  <c r="BH93" i="4"/>
  <c r="BG184" i="4"/>
  <c r="BG116" i="4" s="1"/>
  <c r="BH63" i="4"/>
  <c r="BH64" i="4" s="1"/>
  <c r="BH135" i="4"/>
  <c r="BH136" i="4" s="1"/>
  <c r="BH91" i="4"/>
  <c r="BG177" i="4" l="1"/>
  <c r="BG115" i="4"/>
  <c r="BH144" i="4"/>
  <c r="BH145" i="4" s="1"/>
  <c r="BH137" i="4" s="1"/>
  <c r="BH138" i="4" s="1"/>
  <c r="BH139" i="4" s="1" a="1"/>
  <c r="BH139" i="4" s="1"/>
  <c r="BH65" i="4" s="1"/>
  <c r="BH78" i="4" s="1"/>
  <c r="BG187" i="4"/>
  <c r="BG117" i="4" s="1"/>
  <c r="BH120" i="4" l="1"/>
  <c r="BH122" i="4"/>
  <c r="BH81" i="4"/>
  <c r="BH66" i="4"/>
  <c r="BG189" i="4"/>
  <c r="BG190" i="4"/>
  <c r="BH146" i="4"/>
  <c r="BI143" i="4" s="1"/>
  <c r="BH98" i="4" l="1"/>
  <c r="BH163" i="4"/>
  <c r="BH121" i="4" s="1"/>
  <c r="BH90" i="4" l="1"/>
  <c r="BH164" i="4"/>
  <c r="BH100" i="4"/>
  <c r="BH101" i="4" s="1"/>
  <c r="BH99" i="4"/>
  <c r="BH183" i="4" l="1"/>
  <c r="BH182" i="4" s="1"/>
  <c r="BH118" i="4" s="1"/>
  <c r="BI161" i="4"/>
  <c r="BH107" i="4"/>
  <c r="BH88" i="4"/>
  <c r="BH185" i="4" s="1"/>
  <c r="BH108" i="4" l="1"/>
  <c r="BH109" i="4"/>
  <c r="BH110" i="4" s="1"/>
  <c r="BI165" i="4"/>
  <c r="BH92" i="4"/>
  <c r="BH94" i="4" s="1"/>
  <c r="BH95" i="4" s="1"/>
  <c r="BI93" i="4" l="1"/>
  <c r="BH171" i="4"/>
  <c r="BH170" i="4" s="1"/>
  <c r="BI63" i="4"/>
  <c r="BI64" i="4" s="1"/>
  <c r="BI91" i="4"/>
  <c r="BI135" i="4"/>
  <c r="BI136" i="4" s="1"/>
  <c r="BH184" i="4"/>
  <c r="BH116" i="4" s="1"/>
  <c r="BH177" i="4" l="1"/>
  <c r="BH115" i="4"/>
  <c r="BH187" i="4"/>
  <c r="BH117" i="4" s="1"/>
  <c r="BI144" i="4"/>
  <c r="BI145" i="4" l="1"/>
  <c r="BI137" i="4" s="1"/>
  <c r="BI138" i="4" s="1"/>
  <c r="BI139" i="4" s="1" a="1"/>
  <c r="BI139" i="4" s="1"/>
  <c r="BI65" i="4" s="1"/>
  <c r="BI66" i="4" s="1"/>
  <c r="BH190" i="4"/>
  <c r="BH189" i="4"/>
  <c r="BI78" i="4" l="1"/>
  <c r="BI146" i="4"/>
  <c r="BJ143" i="4" s="1"/>
  <c r="BI120" i="4"/>
  <c r="BI122" i="4"/>
  <c r="BI81" i="4"/>
  <c r="BI98" i="4" l="1"/>
  <c r="BI163" i="4"/>
  <c r="BI121" i="4" s="1"/>
  <c r="BI90" i="4" l="1"/>
  <c r="BI164" i="4"/>
  <c r="BI100" i="4"/>
  <c r="BI101" i="4" s="1"/>
  <c r="BI99" i="4"/>
  <c r="BJ161" i="4" l="1"/>
  <c r="BI183" i="4"/>
  <c r="BI182" i="4" s="1"/>
  <c r="BI118" i="4" s="1"/>
  <c r="BI107" i="4"/>
  <c r="BI88" i="4"/>
  <c r="BI185" i="4" s="1"/>
  <c r="BI92" i="4" l="1"/>
  <c r="BI94" i="4" s="1"/>
  <c r="BI95" i="4" s="1"/>
  <c r="BI109" i="4"/>
  <c r="BI110" i="4" s="1"/>
  <c r="BI108" i="4"/>
  <c r="BJ165" i="4"/>
  <c r="BI171" i="4" l="1"/>
  <c r="BI170" i="4" s="1"/>
  <c r="BJ93" i="4"/>
  <c r="BI184" i="4"/>
  <c r="BI116" i="4" s="1"/>
  <c r="BJ91" i="4"/>
  <c r="BJ63" i="4"/>
  <c r="BJ64" i="4" s="1"/>
  <c r="BJ135" i="4"/>
  <c r="BJ136" i="4" s="1"/>
  <c r="BI177" i="4" l="1"/>
  <c r="BI115" i="4"/>
  <c r="BJ144" i="4"/>
  <c r="BJ145" i="4" s="1"/>
  <c r="BJ137" i="4" s="1"/>
  <c r="BJ138" i="4" s="1"/>
  <c r="BJ139" i="4" s="1" a="1"/>
  <c r="BJ139" i="4" s="1"/>
  <c r="BJ65" i="4" s="1"/>
  <c r="BI187" i="4"/>
  <c r="BI117" i="4" s="1"/>
  <c r="BJ78" i="4" l="1"/>
  <c r="BJ66" i="4"/>
  <c r="BJ146" i="4"/>
  <c r="BK143" i="4" s="1"/>
  <c r="BI189" i="4"/>
  <c r="BI190" i="4"/>
  <c r="BJ120" i="4" l="1"/>
  <c r="BJ122" i="4"/>
  <c r="BJ81" i="4"/>
  <c r="BJ98" i="4" l="1"/>
  <c r="BJ163" i="4"/>
  <c r="BJ121" i="4" s="1"/>
  <c r="BJ90" i="4" l="1"/>
  <c r="BJ164" i="4"/>
  <c r="BJ100" i="4"/>
  <c r="BJ101" i="4" s="1"/>
  <c r="BJ99" i="4"/>
  <c r="BK161" i="4" l="1"/>
  <c r="BJ183" i="4"/>
  <c r="BJ182" i="4" s="1"/>
  <c r="BJ118" i="4" s="1"/>
  <c r="BJ107" i="4"/>
  <c r="BJ88" i="4"/>
  <c r="BJ185" i="4" s="1"/>
  <c r="BJ109" i="4" l="1"/>
  <c r="BJ110" i="4" s="1"/>
  <c r="BJ108" i="4"/>
  <c r="BJ92" i="4"/>
  <c r="BJ94" i="4" s="1"/>
  <c r="BJ95" i="4" s="1"/>
  <c r="BK165" i="4"/>
  <c r="BK93" i="4" l="1"/>
  <c r="BJ171" i="4"/>
  <c r="BJ170" i="4" s="1"/>
  <c r="BJ184" i="4"/>
  <c r="BJ116" i="4" s="1"/>
  <c r="BK135" i="4"/>
  <c r="BK136" i="4" s="1"/>
  <c r="BK63" i="4"/>
  <c r="BK64" i="4" s="1"/>
  <c r="BK91" i="4"/>
  <c r="BJ177" i="4" l="1"/>
  <c r="BJ115" i="4"/>
  <c r="BK144" i="4"/>
  <c r="BK145" i="4" s="1"/>
  <c r="BK137" i="4" s="1"/>
  <c r="BK138" i="4" s="1"/>
  <c r="BK139" i="4" s="1" a="1"/>
  <c r="BK139" i="4" s="1"/>
  <c r="BK65" i="4" s="1"/>
  <c r="BJ187" i="4"/>
  <c r="BJ117" i="4" s="1"/>
  <c r="BK78" i="4" l="1"/>
  <c r="BK66" i="4"/>
  <c r="BK146" i="4"/>
  <c r="BL143" i="4" s="1"/>
  <c r="BJ190" i="4"/>
  <c r="BJ189" i="4"/>
  <c r="BK120" i="4" l="1"/>
  <c r="BK122" i="4"/>
  <c r="BK81" i="4"/>
  <c r="BK98" i="4" l="1"/>
  <c r="BK163" i="4"/>
  <c r="BK121" i="4" s="1"/>
  <c r="BK90" i="4" l="1"/>
  <c r="BK164" i="4"/>
  <c r="BK100" i="4"/>
  <c r="BK101" i="4" s="1"/>
  <c r="BK99" i="4"/>
  <c r="BK183" i="4" l="1"/>
  <c r="BK182" i="4" s="1"/>
  <c r="BK118" i="4" s="1"/>
  <c r="BL161" i="4"/>
  <c r="BK107" i="4"/>
  <c r="BK88" i="4"/>
  <c r="BK185" i="4" s="1"/>
  <c r="BK92" i="4" l="1"/>
  <c r="BK94" i="4" s="1"/>
  <c r="BK95" i="4" s="1"/>
  <c r="BL165" i="4"/>
  <c r="BK109" i="4"/>
  <c r="BK110" i="4" s="1"/>
  <c r="BK108" i="4"/>
  <c r="BL93" i="4" l="1"/>
  <c r="BK171" i="4"/>
  <c r="BK170" i="4" s="1"/>
  <c r="BL135" i="4"/>
  <c r="BL136" i="4" s="1"/>
  <c r="BL63" i="4"/>
  <c r="BL64" i="4" s="1"/>
  <c r="BL91" i="4"/>
  <c r="BK184" i="4"/>
  <c r="BK116" i="4" s="1"/>
  <c r="BK177" i="4" l="1"/>
  <c r="BK115" i="4"/>
  <c r="BK187" i="4"/>
  <c r="BK117" i="4" s="1"/>
  <c r="BL144" i="4"/>
  <c r="BL145" i="4" s="1"/>
  <c r="BL137" i="4" s="1"/>
  <c r="BL138" i="4" s="1"/>
  <c r="BL139" i="4" s="1" a="1"/>
  <c r="BL139" i="4" s="1"/>
  <c r="BL65" i="4" s="1"/>
  <c r="BL78" i="4" s="1"/>
  <c r="D130" i="4" s="1"/>
  <c r="BL120" i="4" l="1"/>
  <c r="BL122" i="4"/>
  <c r="BL81" i="4"/>
  <c r="D126" i="32"/>
  <c r="BK189" i="4"/>
  <c r="BK190" i="4"/>
  <c r="BL146" i="4"/>
  <c r="BM143" i="4" s="1"/>
  <c r="BL66" i="4"/>
  <c r="BL98" i="4" l="1"/>
  <c r="BL163" i="4"/>
  <c r="BL121" i="4" s="1"/>
  <c r="BL90" i="4" l="1"/>
  <c r="BL164" i="4"/>
  <c r="BL100" i="4"/>
  <c r="BL101" i="4" s="1"/>
  <c r="BL99" i="4"/>
  <c r="BL183" i="4" l="1"/>
  <c r="BL182" i="4" s="1"/>
  <c r="BL118" i="4" s="1"/>
  <c r="BM161" i="4"/>
  <c r="BL107" i="4"/>
  <c r="BL88" i="4"/>
  <c r="BL185" i="4" s="1"/>
  <c r="BM165" i="4" l="1"/>
  <c r="BL92" i="4"/>
  <c r="BL94" i="4" s="1"/>
  <c r="BL95" i="4" s="1"/>
  <c r="BL109" i="4"/>
  <c r="BL110" i="4" s="1"/>
  <c r="BL108" i="4"/>
  <c r="BL171" i="4" l="1"/>
  <c r="BL170" i="4" s="1"/>
  <c r="BM93" i="4"/>
  <c r="BL184" i="4"/>
  <c r="BL116" i="4" s="1"/>
  <c r="BM63" i="4"/>
  <c r="BM64" i="4" s="1"/>
  <c r="BM91" i="4"/>
  <c r="BM135" i="4"/>
  <c r="BM136" i="4" s="1"/>
  <c r="BL177" i="4" l="1"/>
  <c r="BL115" i="4"/>
  <c r="BM144" i="4"/>
  <c r="BM145" i="4" s="1"/>
  <c r="BM137" i="4" s="1"/>
  <c r="BM138" i="4" s="1"/>
  <c r="BM139" i="4" s="1" a="1"/>
  <c r="BM139" i="4" s="1"/>
  <c r="BM65" i="4" s="1"/>
  <c r="BM78" i="4" s="1"/>
  <c r="BL187" i="4"/>
  <c r="BL117" i="4" s="1"/>
  <c r="BM120" i="4" l="1"/>
  <c r="BM122" i="4"/>
  <c r="BM81" i="4"/>
  <c r="BM146" i="4"/>
  <c r="BN143" i="4" s="1"/>
  <c r="BL190" i="4"/>
  <c r="BL189" i="4"/>
  <c r="BM66" i="4"/>
  <c r="BM98" i="4" l="1"/>
  <c r="BM163" i="4"/>
  <c r="BM121" i="4" s="1"/>
  <c r="BM100" i="4" l="1"/>
  <c r="BM101" i="4" s="1"/>
  <c r="BM99" i="4"/>
  <c r="BM90" i="4"/>
  <c r="BM164" i="4"/>
  <c r="BM107" i="4" l="1"/>
  <c r="BM88" i="4"/>
  <c r="BM185" i="4" s="1"/>
  <c r="BN161" i="4"/>
  <c r="BM183" i="4"/>
  <c r="BM182" i="4" s="1"/>
  <c r="BM118" i="4" s="1"/>
  <c r="BN165" i="4" l="1"/>
  <c r="BM92" i="4"/>
  <c r="BM94" i="4" s="1"/>
  <c r="BM95" i="4" s="1"/>
  <c r="BM184" i="4"/>
  <c r="BM109" i="4"/>
  <c r="BM110" i="4" s="1"/>
  <c r="BM108" i="4"/>
  <c r="BN93" i="4" l="1"/>
  <c r="BM171" i="4"/>
  <c r="BM170" i="4" s="1"/>
  <c r="BM187" i="4"/>
  <c r="BM117" i="4" s="1"/>
  <c r="BM116" i="4"/>
  <c r="BN135" i="4"/>
  <c r="BN136" i="4" s="1"/>
  <c r="BN91" i="4"/>
  <c r="BN63" i="4"/>
  <c r="BN64" i="4" s="1"/>
  <c r="BM177" i="4" l="1"/>
  <c r="BM189" i="4" s="1"/>
  <c r="BM115" i="4"/>
  <c r="BM190" i="4"/>
  <c r="BN144" i="4"/>
  <c r="BN145" i="4" s="1"/>
  <c r="BN137" i="4" s="1"/>
  <c r="BN138" i="4" s="1"/>
  <c r="BN139" i="4" s="1" a="1"/>
  <c r="BN139" i="4" s="1"/>
  <c r="BN65" i="4" s="1"/>
  <c r="BN78" i="4" l="1"/>
  <c r="BN66" i="4"/>
  <c r="BN146" i="4"/>
  <c r="BO143" i="4" s="1"/>
  <c r="BN120" i="4" l="1"/>
  <c r="BN122" i="4"/>
  <c r="BN81" i="4"/>
  <c r="BN98" i="4" l="1"/>
  <c r="BN163" i="4"/>
  <c r="BN121" i="4" s="1"/>
  <c r="BN90" i="4" l="1"/>
  <c r="BN164" i="4"/>
  <c r="BN100" i="4"/>
  <c r="BN101" i="4" s="1"/>
  <c r="BN99" i="4"/>
  <c r="BO161" i="4" l="1"/>
  <c r="BN183" i="4"/>
  <c r="BN182" i="4" s="1"/>
  <c r="BN118" i="4" s="1"/>
  <c r="BN107" i="4"/>
  <c r="BN88" i="4"/>
  <c r="BN185" i="4" s="1"/>
  <c r="BO165" i="4" l="1"/>
  <c r="BN108" i="4"/>
  <c r="BN109" i="4"/>
  <c r="BN110" i="4" s="1"/>
  <c r="BN92" i="4"/>
  <c r="BN94" i="4" s="1"/>
  <c r="BN95" i="4" s="1"/>
  <c r="BO93" i="4" l="1"/>
  <c r="BN171" i="4"/>
  <c r="BN170" i="4" s="1"/>
  <c r="BO135" i="4"/>
  <c r="BO136" i="4" s="1"/>
  <c r="BO91" i="4"/>
  <c r="BO63" i="4"/>
  <c r="BO64" i="4" s="1"/>
  <c r="BN184" i="4"/>
  <c r="BN116" i="4" s="1"/>
  <c r="BN177" i="4" l="1"/>
  <c r="BN115" i="4"/>
  <c r="BN187" i="4"/>
  <c r="BN117" i="4" s="1"/>
  <c r="BO144" i="4"/>
  <c r="BN189" i="4" l="1"/>
  <c r="BN190" i="4"/>
  <c r="BO145" i="4"/>
  <c r="BO137" i="4" s="1"/>
  <c r="BO138" i="4" s="1"/>
  <c r="BO139" i="4" s="1" a="1"/>
  <c r="BO139" i="4" s="1"/>
  <c r="BO65" i="4" s="1"/>
  <c r="BO146" i="4" l="1"/>
  <c r="BP143" i="4" s="1"/>
  <c r="BO78" i="4"/>
  <c r="BO66" i="4"/>
  <c r="BO120" i="4" l="1"/>
  <c r="BO122" i="4"/>
  <c r="BO81" i="4"/>
  <c r="BO98" i="4" l="1"/>
  <c r="BO163" i="4"/>
  <c r="BO121" i="4" s="1"/>
  <c r="BO90" i="4" l="1"/>
  <c r="BO164" i="4"/>
  <c r="BO100" i="4"/>
  <c r="BO101" i="4" s="1"/>
  <c r="BO99" i="4"/>
  <c r="BO183" i="4" l="1"/>
  <c r="BO182" i="4" s="1"/>
  <c r="BO118" i="4" s="1"/>
  <c r="BP161" i="4"/>
  <c r="BO107" i="4"/>
  <c r="BO88" i="4"/>
  <c r="BO185" i="4" s="1"/>
  <c r="BP165" i="4" l="1"/>
  <c r="BO92" i="4"/>
  <c r="BO94" i="4" s="1"/>
  <c r="BO95" i="4" s="1"/>
  <c r="BO184" i="4"/>
  <c r="BO109" i="4"/>
  <c r="BO110" i="4" s="1"/>
  <c r="BO108" i="4"/>
  <c r="BO171" i="4" l="1"/>
  <c r="BO170" i="4" s="1"/>
  <c r="BP93" i="4"/>
  <c r="BO187" i="4"/>
  <c r="BO117" i="4" s="1"/>
  <c r="BO116" i="4"/>
  <c r="BP135" i="4"/>
  <c r="BP136" i="4" s="1"/>
  <c r="BP63" i="4"/>
  <c r="BP64" i="4" s="1"/>
  <c r="BP91" i="4"/>
  <c r="BO177" i="4" l="1"/>
  <c r="BO115" i="4"/>
  <c r="BO189" i="4"/>
  <c r="BO190" i="4"/>
  <c r="BP144" i="4"/>
  <c r="BP145" i="4" l="1"/>
  <c r="BP137" i="4" s="1"/>
  <c r="BP138" i="4" s="1"/>
  <c r="BP139" i="4" s="1" a="1"/>
  <c r="BP139" i="4" s="1"/>
  <c r="BP65" i="4" s="1"/>
  <c r="BP78" i="4" s="1"/>
  <c r="BP81" i="4" s="1"/>
  <c r="BP120" i="4" l="1"/>
  <c r="BP122" i="4"/>
  <c r="BP66" i="4"/>
  <c r="BP146" i="4"/>
  <c r="BQ143" i="4" s="1"/>
  <c r="BP98" i="4"/>
  <c r="BP163" i="4"/>
  <c r="BP121" i="4" s="1"/>
  <c r="BP90" i="4" l="1"/>
  <c r="BP164" i="4"/>
  <c r="BP100" i="4"/>
  <c r="BP101" i="4" s="1"/>
  <c r="BP99" i="4"/>
  <c r="BQ161" i="4" l="1"/>
  <c r="BP183" i="4"/>
  <c r="BP182" i="4" s="1"/>
  <c r="BP118" i="4" s="1"/>
  <c r="BP107" i="4"/>
  <c r="BP88" i="4"/>
  <c r="BP185" i="4" s="1"/>
  <c r="BP92" i="4" l="1"/>
  <c r="BP94" i="4" s="1"/>
  <c r="BP95" i="4" s="1"/>
  <c r="BP109" i="4"/>
  <c r="BP110" i="4" s="1"/>
  <c r="BP108" i="4"/>
  <c r="BQ165" i="4"/>
  <c r="BQ93" i="4" l="1"/>
  <c r="BP171" i="4"/>
  <c r="BP170" i="4" s="1"/>
  <c r="BQ135" i="4"/>
  <c r="BQ136" i="4" s="1"/>
  <c r="BQ63" i="4"/>
  <c r="BQ64" i="4" s="1"/>
  <c r="BQ91" i="4"/>
  <c r="BP184" i="4"/>
  <c r="BP116" i="4" s="1"/>
  <c r="BP177" i="4" l="1"/>
  <c r="BP115" i="4"/>
  <c r="BP187" i="4"/>
  <c r="BP117" i="4" s="1"/>
  <c r="BQ144" i="4"/>
  <c r="BQ145" i="4" s="1"/>
  <c r="BQ137" i="4" s="1"/>
  <c r="BQ138" i="4" s="1"/>
  <c r="BQ139" i="4" s="1" a="1"/>
  <c r="BQ139" i="4" s="1"/>
  <c r="BQ65" i="4" s="1"/>
  <c r="BQ78" i="4" l="1"/>
  <c r="BQ66" i="4"/>
  <c r="BP190" i="4"/>
  <c r="BP189" i="4"/>
  <c r="BQ146" i="4"/>
  <c r="BR143" i="4" s="1"/>
  <c r="BQ120" i="4" l="1"/>
  <c r="BQ122" i="4"/>
  <c r="BQ81" i="4"/>
  <c r="BQ98" i="4" l="1"/>
  <c r="BQ163" i="4"/>
  <c r="BQ121" i="4" s="1"/>
  <c r="BQ90" i="4" l="1"/>
  <c r="BQ164" i="4"/>
  <c r="BQ100" i="4"/>
  <c r="BQ101" i="4" s="1"/>
  <c r="BQ99" i="4"/>
  <c r="BQ183" i="4" l="1"/>
  <c r="BQ182" i="4" s="1"/>
  <c r="BQ118" i="4" s="1"/>
  <c r="BR161" i="4"/>
  <c r="BQ107" i="4"/>
  <c r="BQ88" i="4"/>
  <c r="BQ185" i="4" s="1"/>
  <c r="BR165" i="4" l="1"/>
  <c r="BQ92" i="4"/>
  <c r="BQ94" i="4" s="1"/>
  <c r="BQ95" i="4" s="1"/>
  <c r="BQ109" i="4"/>
  <c r="BQ110" i="4" s="1"/>
  <c r="BQ108" i="4"/>
  <c r="BR93" i="4" l="1"/>
  <c r="BQ171" i="4"/>
  <c r="BQ170" i="4" s="1"/>
  <c r="BQ184" i="4"/>
  <c r="BQ116" i="4" s="1"/>
  <c r="BR135" i="4"/>
  <c r="BR136" i="4" s="1"/>
  <c r="BR91" i="4"/>
  <c r="BR63" i="4"/>
  <c r="BR64" i="4" s="1"/>
  <c r="BQ177" i="4" l="1"/>
  <c r="BQ115" i="4"/>
  <c r="BR144" i="4"/>
  <c r="BR145" i="4" s="1"/>
  <c r="BR137" i="4" s="1"/>
  <c r="BR138" i="4" s="1"/>
  <c r="BR139" i="4" s="1" a="1"/>
  <c r="BR139" i="4" s="1"/>
  <c r="BR65" i="4" s="1"/>
  <c r="BQ187" i="4"/>
  <c r="BQ117" i="4" s="1"/>
  <c r="BR78" i="4" l="1"/>
  <c r="BR66" i="4"/>
  <c r="BQ190" i="4"/>
  <c r="BQ189" i="4"/>
  <c r="BR146" i="4"/>
  <c r="BS143" i="4" s="1"/>
  <c r="BR120" i="4" l="1"/>
  <c r="BR122" i="4"/>
  <c r="BR81" i="4"/>
  <c r="BR98" i="4" l="1"/>
  <c r="BR163" i="4"/>
  <c r="BR121" i="4" s="1"/>
  <c r="BR90" i="4" l="1"/>
  <c r="BR164" i="4"/>
  <c r="BR100" i="4"/>
  <c r="BR101" i="4" s="1"/>
  <c r="BR99" i="4"/>
  <c r="BS161" i="4" l="1"/>
  <c r="BR183" i="4"/>
  <c r="BR182" i="4" s="1"/>
  <c r="BR118" i="4" s="1"/>
  <c r="BR107" i="4"/>
  <c r="BR88" i="4"/>
  <c r="BR185" i="4" s="1"/>
  <c r="BR92" i="4" l="1"/>
  <c r="BR94" i="4" s="1"/>
  <c r="BR95" i="4" s="1"/>
  <c r="BR109" i="4"/>
  <c r="BR110" i="4" s="1"/>
  <c r="BR108" i="4"/>
  <c r="BS165" i="4"/>
  <c r="BS93" i="4" l="1"/>
  <c r="BR171" i="4"/>
  <c r="BR170" i="4" s="1"/>
  <c r="BR184" i="4"/>
  <c r="BR116" i="4" s="1"/>
  <c r="BS63" i="4"/>
  <c r="BS64" i="4" s="1"/>
  <c r="BS91" i="4"/>
  <c r="BS135" i="4"/>
  <c r="BS136" i="4" s="1"/>
  <c r="BR177" i="4" l="1"/>
  <c r="BR115" i="4"/>
  <c r="BS144" i="4"/>
  <c r="BS145" i="4" s="1"/>
  <c r="BS137" i="4" s="1"/>
  <c r="BS138" i="4" s="1"/>
  <c r="BS139" i="4" s="1" a="1"/>
  <c r="BS139" i="4" s="1"/>
  <c r="BS65" i="4" s="1"/>
  <c r="BS78" i="4" s="1"/>
  <c r="BR187" i="4"/>
  <c r="BR117" i="4" s="1"/>
  <c r="BS120" i="4" l="1"/>
  <c r="BS122" i="4"/>
  <c r="BS146" i="4"/>
  <c r="BT143" i="4" s="1"/>
  <c r="BS81" i="4"/>
  <c r="BR189" i="4"/>
  <c r="BR190" i="4"/>
  <c r="BS66" i="4"/>
  <c r="BS98" i="4" l="1"/>
  <c r="BS163" i="4"/>
  <c r="BS121" i="4" s="1"/>
  <c r="BS90" i="4" l="1"/>
  <c r="BS164" i="4"/>
  <c r="BS100" i="4"/>
  <c r="BS101" i="4" s="1"/>
  <c r="BS99" i="4"/>
  <c r="BS183" i="4" l="1"/>
  <c r="BS182" i="4" s="1"/>
  <c r="BS118" i="4" s="1"/>
  <c r="BT161" i="4"/>
  <c r="BS107" i="4"/>
  <c r="BS88" i="4"/>
  <c r="BS185" i="4" s="1"/>
  <c r="BS108" i="4" l="1"/>
  <c r="BS109" i="4"/>
  <c r="BS110" i="4" s="1"/>
  <c r="BT165" i="4"/>
  <c r="BS92" i="4"/>
  <c r="BS94" i="4" s="1"/>
  <c r="BS95" i="4" s="1"/>
  <c r="BS184" i="4"/>
  <c r="BS116" i="4" s="1"/>
  <c r="BS171" i="4" l="1"/>
  <c r="BS170" i="4" s="1"/>
  <c r="BT93" i="4"/>
  <c r="BT91" i="4"/>
  <c r="BT63" i="4"/>
  <c r="BT64" i="4" s="1"/>
  <c r="BT135" i="4"/>
  <c r="BT136" i="4" s="1"/>
  <c r="BS187" i="4"/>
  <c r="BS117" i="4" s="1"/>
  <c r="BS177" i="4" l="1"/>
  <c r="BS115" i="4"/>
  <c r="BT144" i="4"/>
  <c r="BT145" i="4" s="1"/>
  <c r="BT137" i="4" s="1"/>
  <c r="BT138" i="4" s="1"/>
  <c r="BT139" i="4" s="1" a="1"/>
  <c r="BT139" i="4" s="1"/>
  <c r="BT65" i="4" s="1"/>
  <c r="BS190" i="4"/>
  <c r="BS189" i="4"/>
  <c r="BT78" i="4" l="1"/>
  <c r="BT66" i="4"/>
  <c r="BT146" i="4"/>
  <c r="BU143" i="4" s="1"/>
  <c r="BT120" i="4" l="1"/>
  <c r="BT122" i="4"/>
  <c r="BT81" i="4"/>
  <c r="BT98" i="4" l="1"/>
  <c r="BT163" i="4"/>
  <c r="BT121" i="4" s="1"/>
  <c r="BT90" i="4" l="1"/>
  <c r="BT164" i="4"/>
  <c r="BT100" i="4"/>
  <c r="BT101" i="4" s="1"/>
  <c r="BT99" i="4"/>
  <c r="BT183" i="4" l="1"/>
  <c r="BT182" i="4" s="1"/>
  <c r="BT118" i="4" s="1"/>
  <c r="BU161" i="4"/>
  <c r="BT107" i="4"/>
  <c r="BT88" i="4"/>
  <c r="BT185" i="4" s="1"/>
  <c r="BT92" i="4" l="1"/>
  <c r="BT94" i="4" s="1"/>
  <c r="BT95" i="4" s="1"/>
  <c r="BT109" i="4"/>
  <c r="BT110" i="4" s="1"/>
  <c r="BT108" i="4"/>
  <c r="BU165" i="4"/>
  <c r="BT171" i="4" l="1"/>
  <c r="BT170" i="4" s="1"/>
  <c r="BU93" i="4"/>
  <c r="BU63" i="4"/>
  <c r="BU64" i="4" s="1"/>
  <c r="BU135" i="4"/>
  <c r="BU136" i="4" s="1"/>
  <c r="BU91" i="4"/>
  <c r="BT184" i="4"/>
  <c r="BT116" i="4" s="1"/>
  <c r="BT177" i="4" l="1"/>
  <c r="BT115" i="4"/>
  <c r="BT187" i="4"/>
  <c r="BT117" i="4" s="1"/>
  <c r="BU144" i="4"/>
  <c r="BU145" i="4" s="1"/>
  <c r="BU137" i="4" s="1"/>
  <c r="BU138" i="4" s="1"/>
  <c r="BU139" i="4" s="1" a="1"/>
  <c r="BU139" i="4" s="1"/>
  <c r="BU65" i="4" s="1"/>
  <c r="BU78" i="4" l="1"/>
  <c r="BU66" i="4"/>
  <c r="BT190" i="4"/>
  <c r="BT189" i="4"/>
  <c r="BU146" i="4"/>
  <c r="BV143" i="4" s="1"/>
  <c r="BU120" i="4" l="1"/>
  <c r="BU122" i="4"/>
  <c r="BU81" i="4"/>
  <c r="BU98" i="4" l="1"/>
  <c r="BU163" i="4"/>
  <c r="BU121" i="4" s="1"/>
  <c r="BU90" i="4" l="1"/>
  <c r="BU164" i="4"/>
  <c r="BU100" i="4"/>
  <c r="BU101" i="4" s="1"/>
  <c r="BU99" i="4"/>
  <c r="BV161" i="4" l="1"/>
  <c r="BU183" i="4"/>
  <c r="BU182" i="4" s="1"/>
  <c r="BU118" i="4" s="1"/>
  <c r="BU107" i="4"/>
  <c r="BU88" i="4"/>
  <c r="BU185" i="4" s="1"/>
  <c r="BU108" i="4" l="1"/>
  <c r="BU109" i="4"/>
  <c r="BU110" i="4" s="1"/>
  <c r="BU92" i="4"/>
  <c r="BU94" i="4" s="1"/>
  <c r="BU95" i="4" s="1"/>
  <c r="BV165" i="4"/>
  <c r="BV93" i="4" l="1"/>
  <c r="BU171" i="4"/>
  <c r="BU170" i="4" s="1"/>
  <c r="BU184" i="4"/>
  <c r="BU116" i="4" s="1"/>
  <c r="BV91" i="4"/>
  <c r="BV135" i="4"/>
  <c r="BV136" i="4" s="1"/>
  <c r="BV63" i="4"/>
  <c r="BV64" i="4" s="1"/>
  <c r="BU177" i="4" l="1"/>
  <c r="BU115" i="4"/>
  <c r="BU187" i="4"/>
  <c r="BU117" i="4" s="1"/>
  <c r="BV144" i="4"/>
  <c r="BV145" i="4" s="1"/>
  <c r="BV137" i="4" s="1"/>
  <c r="BV138" i="4" s="1"/>
  <c r="BV139" i="4" s="1" a="1"/>
  <c r="BV139" i="4" s="1"/>
  <c r="BV65" i="4" s="1"/>
  <c r="BV78" i="4" l="1"/>
  <c r="BV66" i="4"/>
  <c r="BU190" i="4"/>
  <c r="BU189" i="4"/>
  <c r="BV146" i="4"/>
  <c r="BW143" i="4" s="1"/>
  <c r="BV120" i="4" l="1"/>
  <c r="BV122" i="4"/>
  <c r="BV81" i="4"/>
  <c r="BV98" i="4" l="1"/>
  <c r="BV163" i="4"/>
  <c r="BV121" i="4" s="1"/>
  <c r="BV90" i="4" l="1"/>
  <c r="BV88" i="4" s="1"/>
  <c r="BV185" i="4" s="1"/>
  <c r="BV164" i="4"/>
  <c r="BV100" i="4"/>
  <c r="BV101" i="4" s="1"/>
  <c r="BV99" i="4"/>
  <c r="BV184" i="4" l="1"/>
  <c r="BV107" i="4"/>
  <c r="BV109" i="4" s="1"/>
  <c r="BV110" i="4" s="1"/>
  <c r="BV92" i="4"/>
  <c r="BV94" i="4" s="1"/>
  <c r="BV95" i="4" s="1"/>
  <c r="BV183" i="4"/>
  <c r="BV182" i="4" s="1"/>
  <c r="BW161" i="4"/>
  <c r="BV108" i="4" l="1"/>
  <c r="BV171" i="4"/>
  <c r="BV170" i="4" s="1"/>
  <c r="BW93" i="4"/>
  <c r="BV118" i="4"/>
  <c r="BV116" i="4"/>
  <c r="BV187" i="4"/>
  <c r="BV117" i="4" s="1"/>
  <c r="BW165" i="4"/>
  <c r="BV177" i="4" l="1"/>
  <c r="BV115" i="4"/>
  <c r="BV190" i="4"/>
  <c r="BV189" i="4"/>
  <c r="BW91" i="4"/>
  <c r="BW63" i="4"/>
  <c r="BW64" i="4" s="1"/>
  <c r="BW135" i="4"/>
  <c r="BW136" i="4" s="1"/>
  <c r="BW144" i="4" l="1"/>
  <c r="BW145" i="4" s="1"/>
  <c r="BW137" i="4" s="1"/>
  <c r="BW138" i="4" s="1"/>
  <c r="BW139" i="4" s="1" a="1"/>
  <c r="BW139" i="4" s="1"/>
  <c r="BW65" i="4" s="1"/>
  <c r="BW78" i="4" s="1"/>
  <c r="BW120" i="4" l="1"/>
  <c r="BW122" i="4"/>
  <c r="BW81" i="4"/>
  <c r="BW146" i="4"/>
  <c r="BX143" i="4" s="1"/>
  <c r="BW66" i="4"/>
  <c r="BW98" i="4" l="1"/>
  <c r="BW163" i="4"/>
  <c r="BW121" i="4" s="1"/>
  <c r="BW90" i="4" l="1"/>
  <c r="BW88" i="4" s="1"/>
  <c r="BW185" i="4" s="1"/>
  <c r="BW164" i="4"/>
  <c r="BW100" i="4"/>
  <c r="BW101" i="4" s="1"/>
  <c r="BW99" i="4"/>
  <c r="BW184" i="4" l="1"/>
  <c r="BW107" i="4"/>
  <c r="BW109" i="4" s="1"/>
  <c r="BW110" i="4" s="1"/>
  <c r="BW92" i="4"/>
  <c r="BW94" i="4" s="1"/>
  <c r="BW95" i="4" s="1"/>
  <c r="BW183" i="4"/>
  <c r="BW182" i="4" s="1"/>
  <c r="BX161" i="4"/>
  <c r="BW108" i="4" l="1"/>
  <c r="BW118" i="4"/>
  <c r="BW116" i="4"/>
  <c r="BX93" i="4"/>
  <c r="BW171" i="4"/>
  <c r="BW170" i="4" s="1"/>
  <c r="BX165" i="4"/>
  <c r="BW187" i="4"/>
  <c r="BW117" i="4" s="1"/>
  <c r="BW177" i="4" l="1"/>
  <c r="BW189" i="4" s="1"/>
  <c r="BW115" i="4"/>
  <c r="BX63" i="4"/>
  <c r="BX64" i="4" s="1"/>
  <c r="BX91" i="4"/>
  <c r="BX135" i="4"/>
  <c r="BX136" i="4" s="1"/>
  <c r="BW190" i="4" l="1"/>
  <c r="BX144" i="4"/>
  <c r="BX145" i="4" l="1"/>
  <c r="BX137" i="4" s="1"/>
  <c r="BX138" i="4" s="1"/>
  <c r="BX139" i="4" s="1" a="1"/>
  <c r="BX139" i="4" s="1"/>
  <c r="BX65" i="4" s="1"/>
  <c r="BX78" i="4" l="1"/>
  <c r="BX66" i="4"/>
  <c r="BX146" i="4"/>
  <c r="BY143" i="4" s="1"/>
  <c r="BX120" i="4" l="1"/>
  <c r="BX122" i="4"/>
  <c r="BX81" i="4"/>
  <c r="BX98" i="4" l="1"/>
  <c r="BX163" i="4"/>
  <c r="BX121" i="4" s="1"/>
  <c r="BX90" i="4" l="1"/>
  <c r="BX88" i="4" s="1"/>
  <c r="BX185" i="4" s="1"/>
  <c r="BX164" i="4"/>
  <c r="BX100" i="4"/>
  <c r="BX101" i="4" s="1"/>
  <c r="BX99" i="4"/>
  <c r="BX184" i="4" l="1"/>
  <c r="BX107" i="4"/>
  <c r="BX108" i="4" s="1"/>
  <c r="BX92" i="4"/>
  <c r="BX94" i="4" s="1"/>
  <c r="BX95" i="4" s="1"/>
  <c r="BY161" i="4"/>
  <c r="BX183" i="4"/>
  <c r="BX182" i="4" s="1"/>
  <c r="BX109" i="4" l="1"/>
  <c r="BX110" i="4" s="1"/>
  <c r="BX118" i="4"/>
  <c r="BX116" i="4"/>
  <c r="BY93" i="4"/>
  <c r="BX171" i="4"/>
  <c r="BX170" i="4" s="1"/>
  <c r="BY165" i="4"/>
  <c r="BX187" i="4"/>
  <c r="BX117" i="4" s="1"/>
  <c r="BX177" i="4" l="1"/>
  <c r="BX189" i="4" s="1"/>
  <c r="BX115" i="4"/>
  <c r="BX190" i="4"/>
  <c r="BY91" i="4"/>
  <c r="BY135" i="4"/>
  <c r="BY136" i="4" s="1"/>
  <c r="BY63" i="4"/>
  <c r="BY64" i="4" s="1"/>
  <c r="BY144" i="4" l="1"/>
  <c r="BY145" i="4" l="1"/>
  <c r="BY137" i="4" s="1"/>
  <c r="BY138" i="4" s="1"/>
  <c r="BY139" i="4" s="1" a="1"/>
  <c r="BY139" i="4" s="1"/>
  <c r="BY65" i="4" s="1"/>
  <c r="BY78" i="4" l="1"/>
  <c r="BY66" i="4"/>
  <c r="BY146" i="4"/>
  <c r="BZ143" i="4" s="1"/>
  <c r="BY120" i="4" l="1"/>
  <c r="BY122" i="4"/>
  <c r="BY81" i="4"/>
  <c r="BY98" i="4" l="1"/>
  <c r="BY163" i="4"/>
  <c r="BY121" i="4" s="1"/>
  <c r="BY90" i="4" l="1"/>
  <c r="BY88" i="4" s="1"/>
  <c r="BY185" i="4" s="1"/>
  <c r="BY184" i="4" s="1"/>
  <c r="BY164" i="4"/>
  <c r="BY100" i="4"/>
  <c r="BY101" i="4" s="1"/>
  <c r="BY99" i="4"/>
  <c r="BY107" i="4" l="1"/>
  <c r="BY92" i="4"/>
  <c r="BY94" i="4" s="1"/>
  <c r="BY95" i="4" s="1"/>
  <c r="BY109" i="4"/>
  <c r="BY110" i="4" s="1"/>
  <c r="BY108" i="4"/>
  <c r="BY183" i="4"/>
  <c r="BY182" i="4" s="1"/>
  <c r="BZ161" i="4"/>
  <c r="BZ93" i="4" l="1"/>
  <c r="BY171" i="4"/>
  <c r="BY170" i="4" s="1"/>
  <c r="BY118" i="4"/>
  <c r="BY116" i="4"/>
  <c r="BZ165" i="4"/>
  <c r="BY187" i="4"/>
  <c r="BY117" i="4" s="1"/>
  <c r="BY177" i="4" l="1"/>
  <c r="BY190" i="4" s="1"/>
  <c r="BY115" i="4"/>
  <c r="BZ63" i="4"/>
  <c r="BZ64" i="4" s="1"/>
  <c r="BZ91" i="4"/>
  <c r="BZ135" i="4"/>
  <c r="BZ136" i="4" s="1"/>
  <c r="BY189" i="4" l="1"/>
  <c r="BZ144" i="4"/>
  <c r="BZ145" i="4" s="1"/>
  <c r="BZ137" i="4" s="1"/>
  <c r="BZ138" i="4" s="1"/>
  <c r="BZ139" i="4" s="1" a="1"/>
  <c r="BZ139" i="4" s="1"/>
  <c r="BZ65" i="4" s="1"/>
  <c r="BZ78" i="4" l="1"/>
  <c r="BZ66" i="4"/>
  <c r="BZ146" i="4"/>
  <c r="CA143" i="4" s="1"/>
  <c r="BZ120" i="4" l="1"/>
  <c r="BZ122" i="4"/>
  <c r="BZ81" i="4"/>
  <c r="BZ98" i="4" l="1"/>
  <c r="BZ163" i="4"/>
  <c r="BZ121" i="4" s="1"/>
  <c r="BZ90" i="4" l="1"/>
  <c r="BZ88" i="4" s="1"/>
  <c r="BZ185" i="4" s="1"/>
  <c r="BZ164" i="4"/>
  <c r="BZ100" i="4"/>
  <c r="BZ101" i="4" s="1"/>
  <c r="BZ99" i="4"/>
  <c r="BZ184" i="4" l="1"/>
  <c r="BZ107" i="4"/>
  <c r="BZ109" i="4" s="1"/>
  <c r="BZ110" i="4" s="1"/>
  <c r="BZ92" i="4"/>
  <c r="BZ94" i="4" s="1"/>
  <c r="BZ95" i="4" s="1"/>
  <c r="BZ183" i="4"/>
  <c r="BZ182" i="4" s="1"/>
  <c r="CA161" i="4"/>
  <c r="BZ108" i="4" l="1"/>
  <c r="CA93" i="4"/>
  <c r="BZ171" i="4"/>
  <c r="BZ170" i="4" s="1"/>
  <c r="BZ118" i="4"/>
  <c r="BZ116" i="4"/>
  <c r="CA165" i="4"/>
  <c r="BZ187" i="4"/>
  <c r="BZ117" i="4" s="1"/>
  <c r="BZ177" i="4" l="1"/>
  <c r="BZ115" i="4"/>
  <c r="CA91" i="4"/>
  <c r="CA63" i="4"/>
  <c r="CA64" i="4" s="1"/>
  <c r="CA135" i="4"/>
  <c r="CA136" i="4" s="1"/>
  <c r="BZ189" i="4"/>
  <c r="BZ190" i="4"/>
  <c r="CA144" i="4" l="1"/>
  <c r="CA145" i="4" l="1"/>
  <c r="CA137" i="4" s="1"/>
  <c r="CA138" i="4" s="1"/>
  <c r="CA139" i="4" s="1" a="1"/>
  <c r="CA139" i="4" s="1"/>
  <c r="CA65" i="4" s="1"/>
  <c r="CA78" i="4" l="1"/>
  <c r="CA66" i="4"/>
  <c r="CA146" i="4"/>
  <c r="CB143" i="4" s="1"/>
  <c r="CA120" i="4" l="1"/>
  <c r="CA122" i="4"/>
  <c r="CA81" i="4"/>
  <c r="CA98" i="4" l="1"/>
  <c r="CA163" i="4"/>
  <c r="CA121" i="4" s="1"/>
  <c r="CA90" i="4" l="1"/>
  <c r="CA88" i="4" s="1"/>
  <c r="CA185" i="4" s="1"/>
  <c r="CA164" i="4"/>
  <c r="CA100" i="4"/>
  <c r="CA101" i="4" s="1"/>
  <c r="CA99" i="4"/>
  <c r="CA184" i="4" l="1"/>
  <c r="CA107" i="4"/>
  <c r="CA109" i="4" s="1"/>
  <c r="CA110" i="4" s="1"/>
  <c r="CA92" i="4"/>
  <c r="CA94" i="4" s="1"/>
  <c r="CA95" i="4" s="1"/>
  <c r="CB161" i="4"/>
  <c r="CA183" i="4"/>
  <c r="CA182" i="4" s="1"/>
  <c r="CA108" i="4" l="1"/>
  <c r="CB93" i="4"/>
  <c r="CA171" i="4"/>
  <c r="CA170" i="4" s="1"/>
  <c r="CA118" i="4"/>
  <c r="CA116" i="4"/>
  <c r="CB165" i="4"/>
  <c r="CA187" i="4"/>
  <c r="CA117" i="4" s="1"/>
  <c r="CA177" i="4" l="1"/>
  <c r="CA115" i="4"/>
  <c r="CA189" i="4"/>
  <c r="CA190" i="4"/>
  <c r="CB63" i="4"/>
  <c r="CB64" i="4" s="1"/>
  <c r="CB135" i="4"/>
  <c r="CB136" i="4" s="1"/>
  <c r="CB91" i="4"/>
  <c r="CB144" i="4" l="1"/>
  <c r="CB145" i="4" l="1"/>
  <c r="CB137" i="4" s="1"/>
  <c r="CB138" i="4" s="1"/>
  <c r="CB139" i="4" s="1" a="1"/>
  <c r="CB139" i="4" s="1"/>
  <c r="CB65" i="4" s="1"/>
  <c r="CB78" i="4" l="1"/>
  <c r="CB66" i="4"/>
  <c r="CB146" i="4"/>
  <c r="CC143" i="4" s="1"/>
  <c r="CB120" i="4" l="1"/>
  <c r="CB122" i="4"/>
  <c r="CB81" i="4"/>
  <c r="CB98" i="4" l="1"/>
  <c r="CB163" i="4"/>
  <c r="CB121" i="4" s="1"/>
  <c r="CB90" i="4" l="1"/>
  <c r="CB88" i="4" s="1"/>
  <c r="CB185" i="4" s="1"/>
  <c r="CB164" i="4"/>
  <c r="CB100" i="4"/>
  <c r="CB101" i="4" s="1"/>
  <c r="CB99" i="4"/>
  <c r="CB184" i="4" l="1"/>
  <c r="CB107" i="4"/>
  <c r="CB109" i="4" s="1"/>
  <c r="CB110" i="4" s="1"/>
  <c r="CB92" i="4"/>
  <c r="CB94" i="4" s="1"/>
  <c r="CB95" i="4" s="1"/>
  <c r="CC161" i="4"/>
  <c r="CB183" i="4"/>
  <c r="CB182" i="4" s="1"/>
  <c r="CB108" i="4" l="1"/>
  <c r="CB118" i="4"/>
  <c r="CB116" i="4"/>
  <c r="CC93" i="4"/>
  <c r="CB171" i="4"/>
  <c r="CB170" i="4" s="1"/>
  <c r="CB187" i="4"/>
  <c r="CB117" i="4" s="1"/>
  <c r="CC165" i="4"/>
  <c r="CB177" i="4" l="1"/>
  <c r="CB189" i="4" s="1"/>
  <c r="CB115" i="4"/>
  <c r="CB190" i="4"/>
  <c r="CC63" i="4"/>
  <c r="CC64" i="4" s="1"/>
  <c r="CC91" i="4"/>
  <c r="CC135" i="4"/>
  <c r="CC136" i="4" s="1"/>
  <c r="CC144" i="4" l="1"/>
  <c r="CC145" i="4" l="1"/>
  <c r="CC137" i="4" s="1"/>
  <c r="CC138" i="4" s="1"/>
  <c r="CC139" i="4" s="1" a="1"/>
  <c r="CC139" i="4" s="1"/>
  <c r="CC65" i="4" s="1"/>
  <c r="CC78" i="4" l="1"/>
  <c r="CC66" i="4"/>
  <c r="CC146" i="4"/>
  <c r="CD143" i="4" s="1"/>
  <c r="CC120" i="4" l="1"/>
  <c r="CC122" i="4"/>
  <c r="CC81" i="4"/>
  <c r="CC98" i="4" l="1"/>
  <c r="CC163" i="4"/>
  <c r="CC121" i="4" s="1"/>
  <c r="CC90" i="4" l="1"/>
  <c r="CC88" i="4" s="1"/>
  <c r="CC185" i="4" s="1"/>
  <c r="CC164" i="4"/>
  <c r="CC100" i="4"/>
  <c r="CC101" i="4" s="1"/>
  <c r="CC99" i="4"/>
  <c r="CC184" i="4" l="1"/>
  <c r="CC107" i="4"/>
  <c r="CC108" i="4" s="1"/>
  <c r="CC92" i="4"/>
  <c r="CC94" i="4" s="1"/>
  <c r="CC95" i="4" s="1"/>
  <c r="CD161" i="4"/>
  <c r="CC183" i="4"/>
  <c r="CC182" i="4" s="1"/>
  <c r="CC109" i="4" l="1"/>
  <c r="CC110" i="4" s="1"/>
  <c r="CC171" i="4"/>
  <c r="CC170" i="4" s="1"/>
  <c r="CD93" i="4"/>
  <c r="CC118" i="4"/>
  <c r="CC116" i="4"/>
  <c r="CC187" i="4"/>
  <c r="CC117" i="4" s="1"/>
  <c r="CD165" i="4"/>
  <c r="CC177" i="4" l="1"/>
  <c r="CC115" i="4"/>
  <c r="CC190" i="4"/>
  <c r="CC189" i="4"/>
  <c r="CD91" i="4"/>
  <c r="CD135" i="4"/>
  <c r="CD136" i="4" s="1"/>
  <c r="CD63" i="4"/>
  <c r="CD64" i="4" s="1"/>
  <c r="CD144" i="4" l="1"/>
  <c r="CD145" i="4" l="1"/>
  <c r="CD137" i="4" s="1"/>
  <c r="CD138" i="4" s="1"/>
  <c r="CD139" i="4" s="1" a="1"/>
  <c r="CD139" i="4" s="1"/>
  <c r="CD65" i="4" s="1"/>
  <c r="CD78" i="4" l="1"/>
  <c r="CD66" i="4"/>
  <c r="CD146" i="4"/>
  <c r="CE143" i="4" s="1"/>
  <c r="CD120" i="4" l="1"/>
  <c r="CD122" i="4"/>
  <c r="CD81" i="4"/>
  <c r="CD98" i="4" l="1"/>
  <c r="CD163" i="4"/>
  <c r="CD121" i="4" s="1"/>
  <c r="CD90" i="4" l="1"/>
  <c r="CD88" i="4" s="1"/>
  <c r="CD185" i="4" s="1"/>
  <c r="CD164" i="4"/>
  <c r="CD100" i="4"/>
  <c r="CD101" i="4" s="1"/>
  <c r="CD99" i="4"/>
  <c r="CD184" i="4" l="1"/>
  <c r="CD107" i="4"/>
  <c r="CD109" i="4" s="1"/>
  <c r="CD110" i="4" s="1"/>
  <c r="CD92" i="4"/>
  <c r="CD94" i="4" s="1"/>
  <c r="CD95" i="4" s="1"/>
  <c r="CD183" i="4"/>
  <c r="CD182" i="4" s="1"/>
  <c r="CE161" i="4"/>
  <c r="CD108" i="4" l="1"/>
  <c r="CD118" i="4"/>
  <c r="CD116" i="4"/>
  <c r="CD171" i="4"/>
  <c r="CD170" i="4" s="1"/>
  <c r="CE93" i="4"/>
  <c r="CE165" i="4"/>
  <c r="CD187" i="4"/>
  <c r="CD117" i="4" s="1"/>
  <c r="CD177" i="4" l="1"/>
  <c r="CD115" i="4"/>
  <c r="CD189" i="4"/>
  <c r="CD190" i="4"/>
  <c r="CE91" i="4"/>
  <c r="CE135" i="4"/>
  <c r="CE136" i="4" s="1"/>
  <c r="CE63" i="4"/>
  <c r="CE64" i="4" s="1"/>
  <c r="CE144" i="4" l="1"/>
  <c r="CE145" i="4" l="1"/>
  <c r="CE137" i="4" s="1"/>
  <c r="CE138" i="4" s="1"/>
  <c r="CE139" i="4" s="1" a="1"/>
  <c r="CE139" i="4" s="1"/>
  <c r="CE65" i="4" s="1"/>
  <c r="CE78" i="4" l="1"/>
  <c r="CE66" i="4"/>
  <c r="CE146" i="4"/>
  <c r="CF143" i="4" s="1"/>
  <c r="CE120" i="4" l="1"/>
  <c r="CE122" i="4"/>
  <c r="CE81" i="4"/>
  <c r="CE98" i="4" l="1"/>
  <c r="CE163" i="4"/>
  <c r="CE121" i="4" s="1"/>
  <c r="CE90" i="4" l="1"/>
  <c r="CE88" i="4" s="1"/>
  <c r="CE185" i="4" s="1"/>
  <c r="CE164" i="4"/>
  <c r="CE100" i="4"/>
  <c r="CE101" i="4" s="1"/>
  <c r="CE99" i="4"/>
  <c r="CE184" i="4" l="1"/>
  <c r="CE107" i="4"/>
  <c r="CE108" i="4" s="1"/>
  <c r="CE92" i="4"/>
  <c r="CE94" i="4" s="1"/>
  <c r="CE95" i="4" s="1"/>
  <c r="CE183" i="4"/>
  <c r="CE182" i="4" s="1"/>
  <c r="CF161" i="4"/>
  <c r="CE109" i="4" l="1"/>
  <c r="CE110" i="4" s="1"/>
  <c r="CF93" i="4"/>
  <c r="CE171" i="4"/>
  <c r="CE170" i="4" s="1"/>
  <c r="CE118" i="4"/>
  <c r="CE116" i="4"/>
  <c r="CF165" i="4"/>
  <c r="CE187" i="4"/>
  <c r="CE117" i="4" s="1"/>
  <c r="CE177" i="4" l="1"/>
  <c r="CE115" i="4"/>
  <c r="CE189" i="4"/>
  <c r="CE190" i="4"/>
  <c r="CF63" i="4"/>
  <c r="CF64" i="4" s="1"/>
  <c r="CF91" i="4"/>
  <c r="CF135" i="4"/>
  <c r="CF136" i="4" s="1"/>
  <c r="CF144" i="4" l="1"/>
  <c r="CF145" i="4" l="1"/>
  <c r="CF137" i="4" s="1"/>
  <c r="CF138" i="4" s="1"/>
  <c r="CF139" i="4" s="1" a="1"/>
  <c r="CF139" i="4" s="1"/>
  <c r="CF65" i="4" s="1"/>
  <c r="CF78" i="4" l="1"/>
  <c r="CF66" i="4"/>
  <c r="CF146" i="4"/>
  <c r="CG143" i="4" s="1"/>
  <c r="CF120" i="4" l="1"/>
  <c r="CF122" i="4"/>
  <c r="CF81" i="4"/>
  <c r="CF98" i="4" l="1"/>
  <c r="CF163" i="4"/>
  <c r="CF121" i="4" s="1"/>
  <c r="CF90" i="4" l="1"/>
  <c r="CF88" i="4" s="1"/>
  <c r="CF185" i="4" s="1"/>
  <c r="CF184" i="4" s="1"/>
  <c r="CF164" i="4"/>
  <c r="CF100" i="4"/>
  <c r="CF101" i="4" s="1"/>
  <c r="CF99" i="4"/>
  <c r="CF107" i="4" l="1"/>
  <c r="CF109" i="4" s="1"/>
  <c r="CF110" i="4" s="1"/>
  <c r="CF92" i="4"/>
  <c r="CF94" i="4" s="1"/>
  <c r="CF95" i="4" s="1"/>
  <c r="CF183" i="4"/>
  <c r="CF182" i="4" s="1"/>
  <c r="CG161" i="4"/>
  <c r="CF108" i="4" l="1"/>
  <c r="CF171" i="4"/>
  <c r="CF170" i="4" s="1"/>
  <c r="CG93" i="4"/>
  <c r="CF118" i="4"/>
  <c r="CF116" i="4"/>
  <c r="CG165" i="4"/>
  <c r="CF187" i="4"/>
  <c r="CF117" i="4" s="1"/>
  <c r="CF177" i="4" l="1"/>
  <c r="CF115" i="4"/>
  <c r="CG63" i="4"/>
  <c r="CG64" i="4" s="1"/>
  <c r="CG135" i="4"/>
  <c r="CG136" i="4" s="1"/>
  <c r="CG91" i="4"/>
  <c r="CF189" i="4"/>
  <c r="CF190" i="4"/>
  <c r="CG144" i="4" l="1"/>
  <c r="CG145" i="4" s="1"/>
  <c r="CG137" i="4" s="1"/>
  <c r="CG138" i="4" s="1"/>
  <c r="CG139" i="4" s="1" a="1"/>
  <c r="CG139" i="4" s="1"/>
  <c r="CG65" i="4" s="1"/>
  <c r="CG146" i="4" l="1"/>
  <c r="CH143" i="4" s="1"/>
  <c r="CG78" i="4"/>
  <c r="CG66" i="4"/>
  <c r="CG120" i="4" l="1"/>
  <c r="CG122" i="4"/>
  <c r="CG81" i="4"/>
  <c r="CG98" i="4" l="1"/>
  <c r="CG163" i="4"/>
  <c r="CG121" i="4" s="1"/>
  <c r="CG90" i="4" l="1"/>
  <c r="CG88" i="4" s="1"/>
  <c r="CG185" i="4" s="1"/>
  <c r="CG184" i="4" s="1"/>
  <c r="CG164" i="4"/>
  <c r="CG100" i="4"/>
  <c r="CG101" i="4" s="1"/>
  <c r="CG99" i="4"/>
  <c r="CG107" i="4" l="1"/>
  <c r="CG109" i="4" s="1"/>
  <c r="CG110" i="4" s="1"/>
  <c r="CG92" i="4"/>
  <c r="CG94" i="4" s="1"/>
  <c r="CG95" i="4" s="1"/>
  <c r="CG183" i="4"/>
  <c r="CG182" i="4" s="1"/>
  <c r="CH161" i="4"/>
  <c r="CG108" i="4"/>
  <c r="CG171" i="4" l="1"/>
  <c r="CG170" i="4" s="1"/>
  <c r="CH93" i="4"/>
  <c r="CG118" i="4"/>
  <c r="CG116" i="4"/>
  <c r="CH165" i="4"/>
  <c r="CG187" i="4"/>
  <c r="CG117" i="4" s="1"/>
  <c r="CG177" i="4" l="1"/>
  <c r="CG115" i="4"/>
  <c r="CG190" i="4"/>
  <c r="CG189" i="4"/>
  <c r="CH63" i="4"/>
  <c r="CH64" i="4" s="1"/>
  <c r="CH91" i="4"/>
  <c r="CH135" i="4"/>
  <c r="CH136" i="4" s="1"/>
  <c r="CH144" i="4" l="1"/>
  <c r="CH145" i="4" l="1"/>
  <c r="CH137" i="4" s="1"/>
  <c r="CH138" i="4" s="1"/>
  <c r="CH139" i="4" s="1" a="1"/>
  <c r="CH139" i="4" s="1"/>
  <c r="CH65" i="4" s="1"/>
  <c r="CH78" i="4" l="1"/>
  <c r="CH66" i="4"/>
  <c r="CH146" i="4"/>
  <c r="CI143" i="4" s="1"/>
  <c r="CH120" i="4" l="1"/>
  <c r="CH122" i="4"/>
  <c r="CH81" i="4"/>
  <c r="CH98" i="4" l="1"/>
  <c r="CH163" i="4"/>
  <c r="CH121" i="4" s="1"/>
  <c r="CH90" i="4" l="1"/>
  <c r="CH88" i="4" s="1"/>
  <c r="CH185" i="4" s="1"/>
  <c r="CH164" i="4"/>
  <c r="CH100" i="4"/>
  <c r="CH101" i="4" s="1"/>
  <c r="CH99" i="4"/>
  <c r="CH184" i="4" l="1"/>
  <c r="CH107" i="4"/>
  <c r="CH109" i="4" s="1"/>
  <c r="CH110" i="4" s="1"/>
  <c r="CH92" i="4"/>
  <c r="CH94" i="4" s="1"/>
  <c r="CH95" i="4" s="1"/>
  <c r="CH183" i="4"/>
  <c r="CH182" i="4" s="1"/>
  <c r="CI161" i="4"/>
  <c r="CH108" i="4" l="1"/>
  <c r="CH171" i="4"/>
  <c r="CH170" i="4" s="1"/>
  <c r="CI93" i="4"/>
  <c r="CH118" i="4"/>
  <c r="CH116" i="4"/>
  <c r="CH187" i="4"/>
  <c r="CH117" i="4" s="1"/>
  <c r="CI165" i="4"/>
  <c r="CH177" i="4" l="1"/>
  <c r="CH189" i="4" s="1"/>
  <c r="CH115" i="4"/>
  <c r="CI91" i="4"/>
  <c r="CI63" i="4"/>
  <c r="CI64" i="4" s="1"/>
  <c r="CI135" i="4"/>
  <c r="CI136" i="4" s="1"/>
  <c r="CH190" i="4" l="1"/>
  <c r="CI144" i="4"/>
  <c r="CI145" i="4" l="1"/>
  <c r="CI137" i="4" s="1"/>
  <c r="CI138" i="4" s="1"/>
  <c r="CI139" i="4" s="1" a="1"/>
  <c r="CI139" i="4" s="1"/>
  <c r="CI65" i="4" s="1"/>
  <c r="CI78" i="4" l="1"/>
  <c r="CI66" i="4"/>
  <c r="CI146" i="4"/>
  <c r="CJ143" i="4" s="1"/>
  <c r="CI120" i="4" l="1"/>
  <c r="CI122" i="4"/>
  <c r="CI81" i="4"/>
  <c r="CI98" i="4" l="1"/>
  <c r="CI163" i="4"/>
  <c r="CI121" i="4" s="1"/>
  <c r="CI90" i="4" l="1"/>
  <c r="CI88" i="4" s="1"/>
  <c r="CI185" i="4" s="1"/>
  <c r="CI184" i="4" s="1"/>
  <c r="CI164" i="4"/>
  <c r="CI100" i="4"/>
  <c r="CI101" i="4" s="1"/>
  <c r="CI99" i="4"/>
  <c r="CI107" i="4" l="1"/>
  <c r="CI108" i="4" s="1"/>
  <c r="CI92" i="4"/>
  <c r="CI94" i="4" s="1"/>
  <c r="CI95" i="4" s="1"/>
  <c r="CI183" i="4"/>
  <c r="CI182" i="4" s="1"/>
  <c r="CJ161" i="4"/>
  <c r="CI109" i="4"/>
  <c r="CI110" i="4" s="1"/>
  <c r="CJ93" i="4" l="1"/>
  <c r="CI171" i="4"/>
  <c r="CI170" i="4" s="1"/>
  <c r="CI118" i="4"/>
  <c r="CI116" i="4"/>
  <c r="CJ165" i="4"/>
  <c r="CI187" i="4"/>
  <c r="CI117" i="4" s="1"/>
  <c r="CI177" i="4" l="1"/>
  <c r="CI115" i="4"/>
  <c r="CI189" i="4"/>
  <c r="CI190" i="4"/>
  <c r="CJ91" i="4"/>
  <c r="CJ135" i="4"/>
  <c r="CJ136" i="4" s="1"/>
  <c r="CJ63" i="4"/>
  <c r="CJ64" i="4" s="1"/>
  <c r="CJ144" i="4" l="1"/>
  <c r="CJ145" i="4" l="1"/>
  <c r="CJ137" i="4" s="1"/>
  <c r="CJ138" i="4" s="1"/>
  <c r="CJ139" i="4" s="1" a="1"/>
  <c r="CJ139" i="4" s="1"/>
  <c r="CJ65" i="4" s="1"/>
  <c r="CJ78" i="4" l="1"/>
  <c r="CJ66" i="4"/>
  <c r="CJ146" i="4"/>
  <c r="CK143" i="4" s="1"/>
  <c r="CJ120" i="4" l="1"/>
  <c r="CJ122" i="4"/>
  <c r="CJ81" i="4"/>
  <c r="CJ98" i="4" l="1"/>
  <c r="CJ163" i="4"/>
  <c r="CJ121" i="4" s="1"/>
  <c r="CJ90" i="4" l="1"/>
  <c r="CJ164" i="4"/>
  <c r="CJ100" i="4"/>
  <c r="CJ101" i="4" s="1"/>
  <c r="CJ99" i="4"/>
  <c r="CJ107" i="4" l="1"/>
  <c r="CJ109" i="4" s="1"/>
  <c r="CJ110" i="4" s="1"/>
  <c r="CJ88" i="4"/>
  <c r="CK161" i="4"/>
  <c r="CJ183" i="4"/>
  <c r="CJ182" i="4" s="1"/>
  <c r="CJ118" i="4" s="1"/>
  <c r="CJ108" i="4" l="1"/>
  <c r="CJ92" i="4"/>
  <c r="CJ94" i="4" s="1"/>
  <c r="CJ95" i="4" s="1"/>
  <c r="CJ185" i="4"/>
  <c r="CK165" i="4"/>
  <c r="CJ184" i="4" l="1"/>
  <c r="CK93" i="4"/>
  <c r="CJ171" i="4"/>
  <c r="CJ170" i="4" s="1"/>
  <c r="CK63" i="4"/>
  <c r="CK64" i="4" s="1"/>
  <c r="CK91" i="4"/>
  <c r="CK135" i="4"/>
  <c r="CK136" i="4" s="1"/>
  <c r="CJ177" i="4" l="1"/>
  <c r="CJ115" i="4"/>
  <c r="CJ116" i="4"/>
  <c r="CJ187" i="4"/>
  <c r="CJ117" i="4" s="1"/>
  <c r="CK144" i="4"/>
  <c r="CK145" i="4" s="1"/>
  <c r="CK137" i="4" s="1"/>
  <c r="CK138" i="4" s="1"/>
  <c r="CK139" i="4" s="1" a="1"/>
  <c r="CK139" i="4" s="1"/>
  <c r="CK65" i="4" s="1"/>
  <c r="CJ190" i="4" l="1"/>
  <c r="CJ189" i="4"/>
  <c r="CK78" i="4"/>
  <c r="CK66" i="4"/>
  <c r="CK146" i="4"/>
  <c r="CL143" i="4" s="1"/>
  <c r="CK120" i="4" l="1"/>
  <c r="CK122" i="4"/>
  <c r="CK81" i="4"/>
  <c r="CK98" i="4" l="1"/>
  <c r="CK163" i="4"/>
  <c r="CK121" i="4" s="1"/>
  <c r="CK90" i="4" l="1"/>
  <c r="CK164" i="4"/>
  <c r="CK100" i="4"/>
  <c r="CK101" i="4" s="1"/>
  <c r="CK99" i="4"/>
  <c r="CK107" i="4" l="1"/>
  <c r="CK109" i="4" s="1"/>
  <c r="CK110" i="4" s="1"/>
  <c r="CK88" i="4"/>
  <c r="CK183" i="4"/>
  <c r="CK182" i="4" s="1"/>
  <c r="CK118" i="4" s="1"/>
  <c r="CL161" i="4"/>
  <c r="CK108" i="4"/>
  <c r="CK92" i="4" l="1"/>
  <c r="CK94" i="4" s="1"/>
  <c r="CK95" i="4" s="1"/>
  <c r="CK185" i="4"/>
  <c r="CL165" i="4"/>
  <c r="CK184" i="4" l="1"/>
  <c r="CL93" i="4"/>
  <c r="CK171" i="4"/>
  <c r="CK170" i="4" s="1"/>
  <c r="CL91" i="4"/>
  <c r="CL135" i="4"/>
  <c r="CL136" i="4" s="1"/>
  <c r="CL63" i="4"/>
  <c r="CL64" i="4" s="1"/>
  <c r="CK177" i="4" l="1"/>
  <c r="CK115" i="4"/>
  <c r="CK116" i="4"/>
  <c r="CK187" i="4"/>
  <c r="CK117" i="4" s="1"/>
  <c r="CL144" i="4"/>
  <c r="CL145" i="4" s="1"/>
  <c r="CL137" i="4" s="1"/>
  <c r="CL138" i="4" s="1"/>
  <c r="CL139" i="4" s="1" a="1"/>
  <c r="CL139" i="4" s="1"/>
  <c r="CL65" i="4" s="1"/>
  <c r="CK190" i="4" l="1"/>
  <c r="CK189" i="4"/>
  <c r="CL78" i="4"/>
  <c r="CL66" i="4"/>
  <c r="CL146" i="4"/>
  <c r="CM143" i="4" s="1"/>
  <c r="CL120" i="4" l="1"/>
  <c r="CL122" i="4"/>
  <c r="CL81" i="4"/>
  <c r="CL98" i="4" l="1"/>
  <c r="CL163" i="4"/>
  <c r="CL121" i="4" s="1"/>
  <c r="CL90" i="4" l="1"/>
  <c r="CL88" i="4" s="1"/>
  <c r="CL185" i="4" s="1"/>
  <c r="CL184" i="4" s="1"/>
  <c r="CL164" i="4"/>
  <c r="CL100" i="4"/>
  <c r="CL101" i="4" s="1"/>
  <c r="CL99" i="4"/>
  <c r="CL107" i="4" l="1"/>
  <c r="CL109" i="4" s="1"/>
  <c r="CL110" i="4" s="1"/>
  <c r="CL92" i="4"/>
  <c r="CL94" i="4" s="1"/>
  <c r="CL95" i="4" s="1"/>
  <c r="CL183" i="4"/>
  <c r="CL182" i="4" s="1"/>
  <c r="CM161" i="4"/>
  <c r="CL108" i="4" l="1"/>
  <c r="CL118" i="4"/>
  <c r="CL116" i="4"/>
  <c r="CM93" i="4"/>
  <c r="CL171" i="4"/>
  <c r="CL170" i="4" s="1"/>
  <c r="CL187" i="4"/>
  <c r="CL117" i="4" s="1"/>
  <c r="CM165" i="4"/>
  <c r="CL177" i="4" l="1"/>
  <c r="CL115" i="4"/>
  <c r="CM63" i="4"/>
  <c r="CM64" i="4" s="1"/>
  <c r="CM135" i="4"/>
  <c r="CM136" i="4" s="1"/>
  <c r="CM91" i="4"/>
  <c r="CL190" i="4"/>
  <c r="CL189" i="4"/>
  <c r="CM144" i="4" l="1"/>
  <c r="CM145" i="4" s="1"/>
  <c r="CM137" i="4" s="1"/>
  <c r="CM138" i="4" s="1"/>
  <c r="CM139" i="4" s="1" a="1"/>
  <c r="CM139" i="4" s="1"/>
  <c r="CM65" i="4" s="1"/>
  <c r="CM78" i="4" l="1"/>
  <c r="CM66" i="4"/>
  <c r="CM146" i="4"/>
  <c r="CN143" i="4" s="1"/>
  <c r="CM120" i="4" l="1"/>
  <c r="CM122" i="4"/>
  <c r="Y139" i="32"/>
  <c r="F139" i="32"/>
  <c r="S139" i="32"/>
  <c r="H139" i="32"/>
  <c r="I139" i="32"/>
  <c r="W139" i="32"/>
  <c r="P139" i="32"/>
  <c r="X139" i="32"/>
  <c r="G139" i="32"/>
  <c r="Z139" i="32"/>
  <c r="E139" i="32"/>
  <c r="O139" i="32"/>
  <c r="T139" i="32"/>
  <c r="R139" i="32"/>
  <c r="K139" i="32"/>
  <c r="J139" i="32"/>
  <c r="L139" i="32"/>
  <c r="N139" i="32"/>
  <c r="Q139" i="32"/>
  <c r="M139" i="32"/>
  <c r="V139" i="32"/>
  <c r="U139" i="32"/>
  <c r="CM81" i="4"/>
  <c r="CM98" i="4" l="1"/>
  <c r="CM163" i="4"/>
  <c r="CM121" i="4" s="1"/>
  <c r="CM90" i="4" l="1"/>
  <c r="CM164" i="4"/>
  <c r="CM100" i="4"/>
  <c r="CM101" i="4" s="1"/>
  <c r="CM99" i="4"/>
  <c r="CM107" i="4" l="1"/>
  <c r="CM109" i="4" s="1"/>
  <c r="CM110" i="4" s="1"/>
  <c r="CM88" i="4"/>
  <c r="CM108" i="4"/>
  <c r="CN161" i="4"/>
  <c r="CM183" i="4"/>
  <c r="CM182" i="4" s="1"/>
  <c r="CM118" i="4" s="1"/>
  <c r="CM92" i="4" l="1"/>
  <c r="CM94" i="4" s="1"/>
  <c r="CM95" i="4" s="1"/>
  <c r="CM185" i="4"/>
  <c r="CN165" i="4"/>
  <c r="W157" i="32"/>
  <c r="F157" i="32"/>
  <c r="S157" i="32"/>
  <c r="E157" i="32"/>
  <c r="H157" i="32"/>
  <c r="V157" i="32"/>
  <c r="Y157" i="32"/>
  <c r="T157" i="32"/>
  <c r="M157" i="32"/>
  <c r="L157" i="32"/>
  <c r="U157" i="32"/>
  <c r="I157" i="32"/>
  <c r="P157" i="32"/>
  <c r="X157" i="32"/>
  <c r="N157" i="32"/>
  <c r="K157" i="32"/>
  <c r="Q157" i="32"/>
  <c r="J157" i="32"/>
  <c r="Z157" i="32"/>
  <c r="R157" i="32"/>
  <c r="O157" i="32"/>
  <c r="G157" i="32"/>
  <c r="CM184" i="4" l="1"/>
  <c r="CN93" i="4"/>
  <c r="CM171" i="4"/>
  <c r="CM170" i="4" s="1"/>
  <c r="CN91" i="4"/>
  <c r="CN135" i="4"/>
  <c r="CN63" i="4"/>
  <c r="N161" i="32"/>
  <c r="I161" i="32"/>
  <c r="G161" i="32"/>
  <c r="H161" i="32"/>
  <c r="P161" i="32"/>
  <c r="J161" i="32"/>
  <c r="T161" i="32"/>
  <c r="E161" i="32"/>
  <c r="M161" i="32"/>
  <c r="Y161" i="32"/>
  <c r="F161" i="32"/>
  <c r="X161" i="32"/>
  <c r="Q161" i="32"/>
  <c r="K161" i="32"/>
  <c r="O161" i="32"/>
  <c r="C165" i="4"/>
  <c r="L161" i="32"/>
  <c r="U161" i="32"/>
  <c r="S161" i="32"/>
  <c r="V161" i="32"/>
  <c r="W161" i="32"/>
  <c r="Z161" i="32"/>
  <c r="R161" i="32"/>
  <c r="T89" i="32" l="1"/>
  <c r="E89" i="32"/>
  <c r="Y89" i="32"/>
  <c r="J89" i="32"/>
  <c r="V89" i="32"/>
  <c r="K89" i="32"/>
  <c r="O89" i="32"/>
  <c r="N89" i="32"/>
  <c r="P89" i="32"/>
  <c r="R89" i="32"/>
  <c r="Z89" i="32"/>
  <c r="W89" i="32"/>
  <c r="H89" i="32"/>
  <c r="Q89" i="32"/>
  <c r="M89" i="32"/>
  <c r="I89" i="32"/>
  <c r="F89" i="32"/>
  <c r="L89" i="32"/>
  <c r="S89" i="32"/>
  <c r="X89" i="32"/>
  <c r="U89" i="32"/>
  <c r="G89" i="32"/>
  <c r="CM177" i="4"/>
  <c r="CM115" i="4"/>
  <c r="CM116" i="4"/>
  <c r="CM187" i="4"/>
  <c r="CM117" i="4" s="1"/>
  <c r="C161" i="32"/>
  <c r="CN64" i="4"/>
  <c r="U59" i="32"/>
  <c r="L59" i="32"/>
  <c r="R59" i="32"/>
  <c r="M59" i="32"/>
  <c r="X59" i="32"/>
  <c r="C63" i="4"/>
  <c r="V59" i="32"/>
  <c r="Y59" i="32"/>
  <c r="P59" i="32"/>
  <c r="Z59" i="32"/>
  <c r="F59" i="32"/>
  <c r="W59" i="32"/>
  <c r="G59" i="32"/>
  <c r="S59" i="32"/>
  <c r="J59" i="32"/>
  <c r="K59" i="32"/>
  <c r="O59" i="32"/>
  <c r="T59" i="32"/>
  <c r="E59" i="32"/>
  <c r="Q59" i="32"/>
  <c r="I59" i="32"/>
  <c r="H59" i="32"/>
  <c r="N59" i="32"/>
  <c r="CN136" i="4"/>
  <c r="N131" i="32"/>
  <c r="Y131" i="32"/>
  <c r="R131" i="32"/>
  <c r="X131" i="32"/>
  <c r="S131" i="32"/>
  <c r="K131" i="32"/>
  <c r="P131" i="32"/>
  <c r="V131" i="32"/>
  <c r="T131" i="32"/>
  <c r="Z131" i="32"/>
  <c r="J131" i="32"/>
  <c r="E131" i="32"/>
  <c r="W131" i="32"/>
  <c r="M131" i="32"/>
  <c r="F131" i="32"/>
  <c r="U131" i="32"/>
  <c r="O131" i="32"/>
  <c r="G131" i="32"/>
  <c r="H131" i="32"/>
  <c r="L131" i="32"/>
  <c r="C135" i="4"/>
  <c r="I131" i="32"/>
  <c r="Q131" i="32"/>
  <c r="I87" i="32"/>
  <c r="T87" i="32"/>
  <c r="F87" i="32"/>
  <c r="J87" i="32"/>
  <c r="Z87" i="32"/>
  <c r="O87" i="32"/>
  <c r="M87" i="32"/>
  <c r="C91" i="4"/>
  <c r="S87" i="32"/>
  <c r="W87" i="32"/>
  <c r="G87" i="32"/>
  <c r="V87" i="32"/>
  <c r="N87" i="32"/>
  <c r="X87" i="32"/>
  <c r="U87" i="32"/>
  <c r="E87" i="32"/>
  <c r="Y87" i="32"/>
  <c r="H87" i="32"/>
  <c r="Q87" i="32"/>
  <c r="P87" i="32"/>
  <c r="K87" i="32"/>
  <c r="R87" i="32"/>
  <c r="L87" i="32"/>
  <c r="CM189" i="4" l="1"/>
  <c r="CM190" i="4"/>
  <c r="C131" i="32"/>
  <c r="CN144" i="4"/>
  <c r="X132" i="32"/>
  <c r="K132" i="32"/>
  <c r="U132" i="32"/>
  <c r="V132" i="32"/>
  <c r="Z132" i="32"/>
  <c r="R132" i="32"/>
  <c r="M132" i="32"/>
  <c r="O132" i="32"/>
  <c r="T132" i="32"/>
  <c r="W132" i="32"/>
  <c r="Y132" i="32"/>
  <c r="L132" i="32"/>
  <c r="E132" i="32"/>
  <c r="I132" i="32"/>
  <c r="N132" i="32"/>
  <c r="J132" i="32"/>
  <c r="S132" i="32"/>
  <c r="Q132" i="32"/>
  <c r="P132" i="32"/>
  <c r="C136" i="4"/>
  <c r="G132" i="32"/>
  <c r="H132" i="32"/>
  <c r="F132" i="32"/>
  <c r="G60" i="32"/>
  <c r="V60" i="32"/>
  <c r="E60" i="32"/>
  <c r="F60" i="32"/>
  <c r="Y60" i="32"/>
  <c r="Q60" i="32"/>
  <c r="P60" i="32"/>
  <c r="O60" i="32"/>
  <c r="M60" i="32"/>
  <c r="K60" i="32"/>
  <c r="X60" i="32"/>
  <c r="Z60" i="32"/>
  <c r="N60" i="32"/>
  <c r="T60" i="32"/>
  <c r="L60" i="32"/>
  <c r="I60" i="32"/>
  <c r="U60" i="32"/>
  <c r="S60" i="32"/>
  <c r="W60" i="32"/>
  <c r="C64" i="4"/>
  <c r="H60" i="32"/>
  <c r="R60" i="32"/>
  <c r="J60" i="32"/>
  <c r="C87" i="32"/>
  <c r="C59" i="32"/>
  <c r="C132" i="32" l="1"/>
  <c r="C60" i="32"/>
  <c r="CN145" i="4"/>
  <c r="Z140" i="32"/>
  <c r="H140" i="32"/>
  <c r="Y140" i="32"/>
  <c r="S140" i="32"/>
  <c r="K140" i="32"/>
  <c r="R140" i="32"/>
  <c r="C144" i="4"/>
  <c r="P140" i="32"/>
  <c r="J140" i="32"/>
  <c r="X140" i="32"/>
  <c r="N140" i="32"/>
  <c r="Q140" i="32"/>
  <c r="V140" i="32"/>
  <c r="U140" i="32"/>
  <c r="T140" i="32"/>
  <c r="F140" i="32"/>
  <c r="I140" i="32"/>
  <c r="O140" i="32"/>
  <c r="W140" i="32"/>
  <c r="E140" i="32"/>
  <c r="L140" i="32"/>
  <c r="M140" i="32"/>
  <c r="G140" i="32"/>
  <c r="CN146" i="4"/>
  <c r="O142" i="32" l="1"/>
  <c r="X142" i="32"/>
  <c r="M142" i="32"/>
  <c r="R142" i="32"/>
  <c r="P142" i="32"/>
  <c r="U142" i="32"/>
  <c r="H142" i="32"/>
  <c r="G142" i="32"/>
  <c r="T142" i="32"/>
  <c r="E142" i="32"/>
  <c r="Y142" i="32"/>
  <c r="J142" i="32"/>
  <c r="F142" i="32"/>
  <c r="V142" i="32"/>
  <c r="K142" i="32"/>
  <c r="W142" i="32"/>
  <c r="Q142" i="32"/>
  <c r="L142" i="32"/>
  <c r="Z142" i="32"/>
  <c r="S142" i="32"/>
  <c r="N142" i="32"/>
  <c r="I142" i="32"/>
  <c r="C140" i="32"/>
  <c r="CN137" i="4"/>
  <c r="X141" i="32"/>
  <c r="K141" i="32"/>
  <c r="H141" i="32"/>
  <c r="P141" i="32"/>
  <c r="Z141" i="32"/>
  <c r="R141" i="32"/>
  <c r="Y141" i="32"/>
  <c r="E141" i="32"/>
  <c r="I141" i="32"/>
  <c r="M141" i="32"/>
  <c r="F141" i="32"/>
  <c r="S141" i="32"/>
  <c r="V141" i="32"/>
  <c r="L141" i="32"/>
  <c r="W141" i="32"/>
  <c r="U141" i="32"/>
  <c r="G141" i="32"/>
  <c r="Q141" i="32"/>
  <c r="T141" i="32"/>
  <c r="O141" i="32"/>
  <c r="C145" i="4"/>
  <c r="N141" i="32"/>
  <c r="J141" i="32"/>
  <c r="C141" i="32" l="1"/>
  <c r="G133" i="32"/>
  <c r="T133" i="32"/>
  <c r="P133" i="32"/>
  <c r="O133" i="32"/>
  <c r="W133" i="32"/>
  <c r="L133" i="32"/>
  <c r="Y133" i="32"/>
  <c r="Z133" i="32"/>
  <c r="H133" i="32"/>
  <c r="N133" i="32"/>
  <c r="M133" i="32"/>
  <c r="I133" i="32"/>
  <c r="C137" i="4"/>
  <c r="F133" i="32"/>
  <c r="U133" i="32"/>
  <c r="K133" i="32"/>
  <c r="R133" i="32"/>
  <c r="E133" i="32"/>
  <c r="V133" i="32"/>
  <c r="J133" i="32"/>
  <c r="X133" i="32"/>
  <c r="Q133" i="32"/>
  <c r="S133" i="32"/>
  <c r="CN138" i="4"/>
  <c r="C133" i="32" l="1"/>
  <c r="CN139" i="4" a="1"/>
  <c r="CN139" i="4" s="1"/>
  <c r="L134" i="32"/>
  <c r="O134" i="32"/>
  <c r="H134" i="32"/>
  <c r="C138" i="4"/>
  <c r="S134" i="32"/>
  <c r="W134" i="32"/>
  <c r="Y134" i="32"/>
  <c r="J134" i="32"/>
  <c r="N134" i="32"/>
  <c r="Z134" i="32"/>
  <c r="X134" i="32"/>
  <c r="V134" i="32"/>
  <c r="R134" i="32"/>
  <c r="G134" i="32"/>
  <c r="F134" i="32"/>
  <c r="Q134" i="32"/>
  <c r="T134" i="32"/>
  <c r="I134" i="32"/>
  <c r="M134" i="32"/>
  <c r="U134" i="32"/>
  <c r="E134" i="32"/>
  <c r="K134" i="32"/>
  <c r="P134" i="32"/>
  <c r="C134" i="32" l="1"/>
  <c r="CN65" i="4"/>
  <c r="O135" i="32"/>
  <c r="G135" i="32"/>
  <c r="H135" i="32"/>
  <c r="M135" i="32"/>
  <c r="E135" i="32"/>
  <c r="Z135" i="32"/>
  <c r="J135" i="32"/>
  <c r="U135" i="32"/>
  <c r="V135" i="32"/>
  <c r="Q135" i="32"/>
  <c r="F135" i="32"/>
  <c r="R135" i="32"/>
  <c r="W135" i="32"/>
  <c r="X135" i="32"/>
  <c r="P135" i="32"/>
  <c r="C139" i="4"/>
  <c r="N135" i="32"/>
  <c r="T135" i="32"/>
  <c r="S135" i="32"/>
  <c r="L135" i="32"/>
  <c r="I135" i="32"/>
  <c r="K135" i="32"/>
  <c r="Y135" i="32"/>
  <c r="C135" i="32" l="1"/>
  <c r="CN78" i="4"/>
  <c r="Y61" i="32"/>
  <c r="G61" i="32"/>
  <c r="R61" i="32"/>
  <c r="H61" i="32"/>
  <c r="S61" i="32"/>
  <c r="V61" i="32"/>
  <c r="K61" i="32"/>
  <c r="X61" i="32"/>
  <c r="L61" i="32"/>
  <c r="W61" i="32"/>
  <c r="Q61" i="32"/>
  <c r="M61" i="32"/>
  <c r="N61" i="32"/>
  <c r="Z61" i="32"/>
  <c r="J61" i="32"/>
  <c r="T61" i="32"/>
  <c r="F61" i="32"/>
  <c r="E61" i="32"/>
  <c r="C65" i="4"/>
  <c r="P61" i="32"/>
  <c r="U61" i="32"/>
  <c r="I61" i="32"/>
  <c r="O61" i="32"/>
  <c r="CN66" i="4"/>
  <c r="CN120" i="4" l="1"/>
  <c r="CN122" i="4"/>
  <c r="C61" i="32"/>
  <c r="CN81" i="4"/>
  <c r="Z74" i="32"/>
  <c r="C78" i="4"/>
  <c r="T74" i="32"/>
  <c r="E74" i="32"/>
  <c r="N74" i="32"/>
  <c r="X74" i="32"/>
  <c r="Q74" i="32"/>
  <c r="G74" i="32"/>
  <c r="U74" i="32"/>
  <c r="P74" i="32"/>
  <c r="V74" i="32"/>
  <c r="H74" i="32"/>
  <c r="L74" i="32"/>
  <c r="O74" i="32"/>
  <c r="S74" i="32"/>
  <c r="Y74" i="32"/>
  <c r="W74" i="32"/>
  <c r="R74" i="32"/>
  <c r="F74" i="32"/>
  <c r="I74" i="32"/>
  <c r="K74" i="32"/>
  <c r="J74" i="32"/>
  <c r="M74" i="32"/>
  <c r="V62" i="32"/>
  <c r="W62" i="32"/>
  <c r="S62" i="32"/>
  <c r="J62" i="32"/>
  <c r="N62" i="32"/>
  <c r="L62" i="32"/>
  <c r="K62" i="32"/>
  <c r="C66" i="4"/>
  <c r="H62" i="32"/>
  <c r="E62" i="32"/>
  <c r="P62" i="32"/>
  <c r="R62" i="32"/>
  <c r="M62" i="32"/>
  <c r="Y62" i="32"/>
  <c r="X62" i="32"/>
  <c r="U62" i="32"/>
  <c r="F62" i="32"/>
  <c r="G62" i="32"/>
  <c r="O62" i="32"/>
  <c r="I62" i="32"/>
  <c r="Q62" i="32"/>
  <c r="Z62" i="32"/>
  <c r="T62" i="32"/>
  <c r="M119" i="4" l="1" a="1"/>
  <c r="M119" i="4" s="1"/>
  <c r="N119" i="4" a="1"/>
  <c r="N119" i="4" s="1"/>
  <c r="Y119" i="4" a="1"/>
  <c r="Y119" i="4" s="1"/>
  <c r="Z119" i="4" a="1"/>
  <c r="Z119" i="4" s="1"/>
  <c r="AA119" i="4" a="1"/>
  <c r="AA119" i="4" s="1"/>
  <c r="AB119" i="4" a="1"/>
  <c r="AB119" i="4" s="1"/>
  <c r="AC119" i="4" a="1"/>
  <c r="AC119" i="4" s="1"/>
  <c r="AD119" i="4" a="1"/>
  <c r="AD119" i="4" s="1"/>
  <c r="AE119" i="4" a="1"/>
  <c r="AE119" i="4" s="1"/>
  <c r="AF119" i="4" a="1"/>
  <c r="AF119" i="4" s="1"/>
  <c r="AG119" i="4" a="1"/>
  <c r="AG119" i="4" s="1"/>
  <c r="AH119" i="4" a="1"/>
  <c r="AH119" i="4" s="1"/>
  <c r="AI119" i="4" a="1"/>
  <c r="AI119" i="4" s="1"/>
  <c r="AJ119" i="4" a="1"/>
  <c r="AJ119" i="4" s="1"/>
  <c r="AK119" i="4" a="1"/>
  <c r="AK119" i="4" s="1"/>
  <c r="AL119" i="4" a="1"/>
  <c r="AL119" i="4" s="1"/>
  <c r="AM119" i="4" a="1"/>
  <c r="AM119" i="4" s="1"/>
  <c r="AN119" i="4" a="1"/>
  <c r="AN119" i="4" s="1"/>
  <c r="AO119" i="4" a="1"/>
  <c r="AO119" i="4" s="1"/>
  <c r="AP119" i="4" a="1"/>
  <c r="AP119" i="4" s="1"/>
  <c r="AQ119" i="4" a="1"/>
  <c r="AQ119" i="4" s="1"/>
  <c r="AR119" i="4" a="1"/>
  <c r="AR119" i="4" s="1"/>
  <c r="AS119" i="4" a="1"/>
  <c r="AS119" i="4" s="1"/>
  <c r="AT119" i="4" a="1"/>
  <c r="AT119" i="4" s="1"/>
  <c r="AU119" i="4" a="1"/>
  <c r="AU119" i="4" s="1"/>
  <c r="AV119" i="4" a="1"/>
  <c r="AV119" i="4" s="1"/>
  <c r="AW119" i="4" a="1"/>
  <c r="AW119" i="4" s="1"/>
  <c r="AX119" i="4" a="1"/>
  <c r="AX119" i="4" s="1"/>
  <c r="AY119" i="4" a="1"/>
  <c r="AY119" i="4" s="1"/>
  <c r="AZ119" i="4" a="1"/>
  <c r="AZ119" i="4" s="1"/>
  <c r="BA119" i="4" a="1"/>
  <c r="BA119" i="4" s="1"/>
  <c r="BB119" i="4" a="1"/>
  <c r="BB119" i="4" s="1"/>
  <c r="BC119" i="4" a="1"/>
  <c r="BC119" i="4" s="1"/>
  <c r="BD119" i="4" a="1"/>
  <c r="BD119" i="4" s="1"/>
  <c r="BE119" i="4" a="1"/>
  <c r="BE119" i="4" s="1"/>
  <c r="BF119" i="4" a="1"/>
  <c r="BF119" i="4" s="1"/>
  <c r="BG119" i="4" a="1"/>
  <c r="BG119" i="4" s="1"/>
  <c r="BH119" i="4" a="1"/>
  <c r="BH119" i="4" s="1"/>
  <c r="BI119" i="4" a="1"/>
  <c r="BI119" i="4" s="1"/>
  <c r="BJ119" i="4" a="1"/>
  <c r="BJ119" i="4" s="1"/>
  <c r="BK119" i="4" a="1"/>
  <c r="BK119" i="4" s="1"/>
  <c r="BL119" i="4" a="1"/>
  <c r="BL119" i="4" s="1"/>
  <c r="BM119" i="4" a="1"/>
  <c r="BM119" i="4" s="1"/>
  <c r="BN119" i="4" a="1"/>
  <c r="BN119" i="4" s="1"/>
  <c r="BO119" i="4" a="1"/>
  <c r="BO119" i="4" s="1"/>
  <c r="BP119" i="4" a="1"/>
  <c r="BP119" i="4" s="1"/>
  <c r="BQ119" i="4" a="1"/>
  <c r="BQ119" i="4" s="1"/>
  <c r="BR119" i="4" a="1"/>
  <c r="BR119" i="4" s="1"/>
  <c r="BS119" i="4" a="1"/>
  <c r="BS119" i="4" s="1"/>
  <c r="BT119" i="4" a="1"/>
  <c r="BT119" i="4" s="1"/>
  <c r="BW119" i="4" a="1"/>
  <c r="BW119" i="4" s="1"/>
  <c r="BV119" i="4" a="1"/>
  <c r="BV119" i="4" s="1"/>
  <c r="BX119" i="4" a="1"/>
  <c r="BX119" i="4" s="1"/>
  <c r="BU119" i="4" a="1"/>
  <c r="BU119" i="4" s="1"/>
  <c r="BY119" i="4" a="1"/>
  <c r="BY119" i="4" s="1"/>
  <c r="CA119" i="4" a="1"/>
  <c r="CA119" i="4" s="1"/>
  <c r="CB119" i="4" a="1"/>
  <c r="CB119" i="4" s="1"/>
  <c r="BZ119" i="4" a="1"/>
  <c r="BZ119" i="4" s="1"/>
  <c r="CC119" i="4" a="1"/>
  <c r="CC119" i="4" s="1"/>
  <c r="CD119" i="4" a="1"/>
  <c r="CD119" i="4" s="1"/>
  <c r="CF119" i="4" a="1"/>
  <c r="CF119" i="4" s="1"/>
  <c r="CG119" i="4" a="1"/>
  <c r="CG119" i="4" s="1"/>
  <c r="CE119" i="4" a="1"/>
  <c r="CE119" i="4" s="1"/>
  <c r="CI119" i="4" a="1"/>
  <c r="CI119" i="4" s="1"/>
  <c r="CH119" i="4" a="1"/>
  <c r="CH119" i="4" s="1"/>
  <c r="CJ119" i="4" a="1"/>
  <c r="CJ119" i="4" s="1"/>
  <c r="CK119" i="4" a="1"/>
  <c r="CK119" i="4" s="1"/>
  <c r="CL119" i="4" a="1"/>
  <c r="CL119" i="4" s="1"/>
  <c r="CM119" i="4" a="1"/>
  <c r="CM119" i="4" s="1"/>
  <c r="C74" i="32"/>
  <c r="C123" i="4"/>
  <c r="C122" i="4"/>
  <c r="C118" i="32"/>
  <c r="C119" i="32"/>
  <c r="CN98" i="4"/>
  <c r="M77" i="32"/>
  <c r="L77" i="32"/>
  <c r="W77" i="32"/>
  <c r="S77" i="32"/>
  <c r="U77" i="32"/>
  <c r="Q77" i="32"/>
  <c r="F77" i="32"/>
  <c r="O77" i="32"/>
  <c r="Y77" i="32"/>
  <c r="C81" i="4"/>
  <c r="K77" i="32"/>
  <c r="N77" i="32"/>
  <c r="X77" i="32"/>
  <c r="T77" i="32"/>
  <c r="H77" i="32"/>
  <c r="J77" i="32"/>
  <c r="Z77" i="32"/>
  <c r="E77" i="32"/>
  <c r="P77" i="32"/>
  <c r="I77" i="32"/>
  <c r="R77" i="32"/>
  <c r="V77" i="32"/>
  <c r="G77" i="32"/>
  <c r="CN163" i="4"/>
  <c r="CN121" i="4" s="1"/>
  <c r="X119" i="4" a="1"/>
  <c r="X119" i="4" s="1"/>
  <c r="O119" i="4" a="1"/>
  <c r="O119" i="4" s="1"/>
  <c r="R119" i="4" a="1"/>
  <c r="R119" i="4" s="1"/>
  <c r="S119" i="4" a="1"/>
  <c r="S119" i="4" s="1"/>
  <c r="P119" i="4" a="1"/>
  <c r="P119" i="4" s="1"/>
  <c r="V119" i="4" a="1"/>
  <c r="V119" i="4" s="1"/>
  <c r="T119" i="4" a="1"/>
  <c r="T119" i="4" s="1"/>
  <c r="Q119" i="4" a="1"/>
  <c r="Q119" i="4" s="1"/>
  <c r="C120" i="4"/>
  <c r="U119" i="4" a="1"/>
  <c r="U119" i="4" s="1"/>
  <c r="W119" i="4" a="1"/>
  <c r="W119" i="4" s="1"/>
  <c r="C62" i="32"/>
  <c r="P94" i="32" l="1"/>
  <c r="F94" i="32"/>
  <c r="W94" i="32"/>
  <c r="G94" i="32"/>
  <c r="V94" i="32"/>
  <c r="T94" i="32"/>
  <c r="R94" i="32"/>
  <c r="X94" i="32"/>
  <c r="M94" i="32"/>
  <c r="I94" i="32"/>
  <c r="J94" i="32"/>
  <c r="O94" i="32"/>
  <c r="S94" i="32"/>
  <c r="H94" i="32"/>
  <c r="N94" i="32"/>
  <c r="E94" i="32"/>
  <c r="C77" i="32"/>
  <c r="K94" i="32"/>
  <c r="CN100" i="4"/>
  <c r="CN101" i="4" s="1"/>
  <c r="CN99" i="4"/>
  <c r="C93" i="32"/>
  <c r="C97" i="39" s="1"/>
  <c r="CO98" i="39" s="1"/>
  <c r="Z94" i="32"/>
  <c r="Q94" i="32"/>
  <c r="C126" i="4"/>
  <c r="C127" i="4"/>
  <c r="C121" i="4"/>
  <c r="CN90" i="4"/>
  <c r="CN88" i="4" s="1"/>
  <c r="U159" i="32"/>
  <c r="V159" i="32"/>
  <c r="X159" i="32"/>
  <c r="G159" i="32"/>
  <c r="T159" i="32"/>
  <c r="Z159" i="32"/>
  <c r="K159" i="32"/>
  <c r="M159" i="32"/>
  <c r="F159" i="32"/>
  <c r="L159" i="32"/>
  <c r="N159" i="32"/>
  <c r="E159" i="32"/>
  <c r="H159" i="32"/>
  <c r="J159" i="32"/>
  <c r="P159" i="32"/>
  <c r="C163" i="4"/>
  <c r="Y159" i="32"/>
  <c r="Q159" i="32"/>
  <c r="S159" i="32"/>
  <c r="R159" i="32"/>
  <c r="O159" i="32"/>
  <c r="I159" i="32"/>
  <c r="W159" i="32"/>
  <c r="CN164" i="4"/>
  <c r="Y94" i="32"/>
  <c r="U94" i="32"/>
  <c r="L94" i="32"/>
  <c r="C122" i="32"/>
  <c r="C123" i="32"/>
  <c r="CO100" i="39" l="1"/>
  <c r="C98" i="39"/>
  <c r="CO99" i="39"/>
  <c r="C99" i="39" s="1"/>
  <c r="Z84" i="32"/>
  <c r="H84" i="32"/>
  <c r="O84" i="32"/>
  <c r="S84" i="32"/>
  <c r="J84" i="32"/>
  <c r="R84" i="32"/>
  <c r="Q84" i="32"/>
  <c r="K84" i="32"/>
  <c r="C88" i="4"/>
  <c r="P84" i="32"/>
  <c r="Y84" i="32"/>
  <c r="F84" i="32"/>
  <c r="W84" i="32"/>
  <c r="V84" i="32"/>
  <c r="T84" i="32"/>
  <c r="X84" i="32"/>
  <c r="E84" i="32"/>
  <c r="U84" i="32"/>
  <c r="CN92" i="4"/>
  <c r="L84" i="32"/>
  <c r="N84" i="32"/>
  <c r="G84" i="32"/>
  <c r="M84" i="32"/>
  <c r="I84" i="32"/>
  <c r="CN185" i="4"/>
  <c r="AA94" i="32"/>
  <c r="C99" i="32" s="1"/>
  <c r="C97" i="4"/>
  <c r="CO98" i="4" s="1"/>
  <c r="CO99" i="4" s="1"/>
  <c r="C99" i="4" s="1"/>
  <c r="CN183" i="4"/>
  <c r="E160" i="32"/>
  <c r="O160" i="32"/>
  <c r="G160" i="32"/>
  <c r="P160" i="32"/>
  <c r="F160" i="32"/>
  <c r="H160" i="32"/>
  <c r="X160" i="32"/>
  <c r="J160" i="32"/>
  <c r="N160" i="32"/>
  <c r="Z160" i="32"/>
  <c r="I160" i="32"/>
  <c r="W160" i="32"/>
  <c r="L160" i="32"/>
  <c r="T160" i="32"/>
  <c r="M160" i="32"/>
  <c r="R160" i="32"/>
  <c r="Y160" i="32"/>
  <c r="Q160" i="32"/>
  <c r="S160" i="32"/>
  <c r="K160" i="32"/>
  <c r="V160" i="32"/>
  <c r="U160" i="32"/>
  <c r="C159" i="32"/>
  <c r="CN107" i="4"/>
  <c r="F86" i="32"/>
  <c r="F103" i="32" s="1"/>
  <c r="P86" i="32"/>
  <c r="P103" i="32" s="1"/>
  <c r="U86" i="32"/>
  <c r="U103" i="32" s="1"/>
  <c r="I86" i="32"/>
  <c r="I103" i="32" s="1"/>
  <c r="X86" i="32"/>
  <c r="X103" i="32" s="1"/>
  <c r="H86" i="32"/>
  <c r="H103" i="32" s="1"/>
  <c r="K86" i="32"/>
  <c r="K103" i="32" s="1"/>
  <c r="Y86" i="32"/>
  <c r="Y103" i="32" s="1"/>
  <c r="M86" i="32"/>
  <c r="M103" i="32" s="1"/>
  <c r="V86" i="32"/>
  <c r="V103" i="32" s="1"/>
  <c r="S86" i="32"/>
  <c r="S103" i="32" s="1"/>
  <c r="Q86" i="32"/>
  <c r="Q103" i="32" s="1"/>
  <c r="G86" i="32"/>
  <c r="G103" i="32" s="1"/>
  <c r="E86" i="32"/>
  <c r="E103" i="32" s="1"/>
  <c r="R86" i="32"/>
  <c r="R103" i="32" s="1"/>
  <c r="C90" i="4"/>
  <c r="Z86" i="32"/>
  <c r="Z103" i="32" s="1"/>
  <c r="L86" i="32"/>
  <c r="L103" i="32" s="1"/>
  <c r="N86" i="32"/>
  <c r="N103" i="32" s="1"/>
  <c r="T86" i="32"/>
  <c r="T103" i="32" s="1"/>
  <c r="O86" i="32"/>
  <c r="O103" i="32" s="1"/>
  <c r="W86" i="32"/>
  <c r="W103" i="32" s="1"/>
  <c r="J86" i="32"/>
  <c r="J103" i="32" s="1"/>
  <c r="C105" i="4"/>
  <c r="C101" i="32"/>
  <c r="E95" i="32"/>
  <c r="F95" i="32" s="1"/>
  <c r="G95" i="32" s="1"/>
  <c r="H95" i="32" s="1"/>
  <c r="I95" i="32" s="1"/>
  <c r="J95" i="32" s="1"/>
  <c r="K95" i="32" s="1"/>
  <c r="L95" i="32" s="1"/>
  <c r="M95" i="32" s="1"/>
  <c r="N95" i="32" s="1"/>
  <c r="O95" i="32" s="1"/>
  <c r="P95" i="32" s="1"/>
  <c r="Q95" i="32" s="1"/>
  <c r="R95" i="32" s="1"/>
  <c r="S95" i="32" s="1"/>
  <c r="T95" i="32" s="1"/>
  <c r="U95" i="32" s="1"/>
  <c r="V95" i="32" s="1"/>
  <c r="W95" i="32" s="1"/>
  <c r="X95" i="32" s="1"/>
  <c r="Y95" i="32" s="1"/>
  <c r="Z95" i="32" s="1"/>
  <c r="AA95" i="32" l="1"/>
  <c r="C95" i="32" s="1"/>
  <c r="C94" i="32"/>
  <c r="C96" i="40"/>
  <c r="C100" i="40"/>
  <c r="C98" i="40"/>
  <c r="D103" i="4"/>
  <c r="C103" i="4" s="1"/>
  <c r="D103" i="39"/>
  <c r="C104" i="39"/>
  <c r="C102" i="39"/>
  <c r="C100" i="39"/>
  <c r="CO101" i="39"/>
  <c r="V88" i="32"/>
  <c r="P88" i="32"/>
  <c r="K88" i="32"/>
  <c r="W88" i="32"/>
  <c r="O88" i="32"/>
  <c r="F88" i="32"/>
  <c r="N88" i="32"/>
  <c r="Z88" i="32"/>
  <c r="S88" i="32"/>
  <c r="H88" i="32"/>
  <c r="T88" i="32"/>
  <c r="C92" i="4"/>
  <c r="U88" i="32"/>
  <c r="Y88" i="32"/>
  <c r="J88" i="32"/>
  <c r="R88" i="32"/>
  <c r="X88" i="32"/>
  <c r="L88" i="32"/>
  <c r="Q88" i="32"/>
  <c r="E88" i="32"/>
  <c r="I88" i="32"/>
  <c r="G88" i="32"/>
  <c r="M88" i="32"/>
  <c r="CN94" i="4"/>
  <c r="J181" i="32"/>
  <c r="Y181" i="32"/>
  <c r="V181" i="32"/>
  <c r="Z181" i="32"/>
  <c r="T181" i="32"/>
  <c r="M181" i="32"/>
  <c r="W181" i="32"/>
  <c r="I181" i="32"/>
  <c r="S181" i="32"/>
  <c r="H181" i="32"/>
  <c r="L181" i="32"/>
  <c r="K181" i="32"/>
  <c r="X181" i="32"/>
  <c r="U181" i="32"/>
  <c r="F181" i="32"/>
  <c r="N181" i="32"/>
  <c r="R181" i="32"/>
  <c r="O181" i="32"/>
  <c r="P181" i="32"/>
  <c r="Q181" i="32"/>
  <c r="E181" i="32"/>
  <c r="G181" i="32"/>
  <c r="CN184" i="4"/>
  <c r="C84" i="32"/>
  <c r="CN182" i="4"/>
  <c r="Z179" i="32"/>
  <c r="N179" i="32"/>
  <c r="Q179" i="32"/>
  <c r="Y179" i="32"/>
  <c r="M179" i="32"/>
  <c r="S179" i="32"/>
  <c r="R179" i="32"/>
  <c r="G179" i="32"/>
  <c r="U179" i="32"/>
  <c r="V179" i="32"/>
  <c r="W179" i="32"/>
  <c r="E179" i="32"/>
  <c r="T179" i="32"/>
  <c r="O179" i="32"/>
  <c r="L179" i="32"/>
  <c r="X179" i="32"/>
  <c r="K179" i="32"/>
  <c r="J179" i="32"/>
  <c r="P179" i="32"/>
  <c r="F179" i="32"/>
  <c r="I179" i="32"/>
  <c r="H179" i="32"/>
  <c r="C86" i="32"/>
  <c r="CO100" i="4"/>
  <c r="C98" i="4"/>
  <c r="D99" i="32"/>
  <c r="C111" i="4"/>
  <c r="C107" i="4"/>
  <c r="C107" i="32"/>
  <c r="CN109" i="4"/>
  <c r="CN108" i="4"/>
  <c r="CO108" i="4" s="1"/>
  <c r="C101" i="39" l="1"/>
  <c r="C97" i="40"/>
  <c r="C106" i="39"/>
  <c r="C102" i="40"/>
  <c r="C103" i="39"/>
  <c r="D99" i="40"/>
  <c r="Z90" i="32"/>
  <c r="R90" i="32"/>
  <c r="O90" i="32"/>
  <c r="P90" i="32"/>
  <c r="N90" i="32"/>
  <c r="E90" i="32"/>
  <c r="U90" i="32"/>
  <c r="K90" i="32"/>
  <c r="G90" i="32"/>
  <c r="M90" i="32"/>
  <c r="V90" i="32"/>
  <c r="I90" i="32"/>
  <c r="F90" i="32"/>
  <c r="J90" i="32"/>
  <c r="T90" i="32"/>
  <c r="C94" i="4"/>
  <c r="X90" i="32"/>
  <c r="Q90" i="32"/>
  <c r="H90" i="32"/>
  <c r="W90" i="32"/>
  <c r="S90" i="32"/>
  <c r="Y90" i="32"/>
  <c r="L90" i="32"/>
  <c r="CN95" i="4"/>
  <c r="C88" i="32"/>
  <c r="M180" i="32"/>
  <c r="Q180" i="32"/>
  <c r="S180" i="32"/>
  <c r="G180" i="32"/>
  <c r="I180" i="32"/>
  <c r="J180" i="32"/>
  <c r="W180" i="32"/>
  <c r="U180" i="32"/>
  <c r="N180" i="32"/>
  <c r="K180" i="32"/>
  <c r="R180" i="32"/>
  <c r="T180" i="32"/>
  <c r="P180" i="32"/>
  <c r="X180" i="32"/>
  <c r="V180" i="32"/>
  <c r="L180" i="32"/>
  <c r="F180" i="32"/>
  <c r="Y180" i="32"/>
  <c r="H180" i="32"/>
  <c r="Z180" i="32"/>
  <c r="E180" i="32"/>
  <c r="O180" i="32"/>
  <c r="CN118" i="4"/>
  <c r="C118" i="4" s="1"/>
  <c r="CN116" i="4"/>
  <c r="C116" i="4" s="1"/>
  <c r="C108" i="4"/>
  <c r="C104" i="32"/>
  <c r="C113" i="4"/>
  <c r="C109" i="32"/>
  <c r="CO101" i="4"/>
  <c r="C100" i="4"/>
  <c r="C96" i="32"/>
  <c r="C104" i="4"/>
  <c r="C100" i="32"/>
  <c r="C98" i="32"/>
  <c r="C102" i="4"/>
  <c r="CN110" i="4"/>
  <c r="CO110" i="4" s="1"/>
  <c r="C109" i="4"/>
  <c r="C105" i="32"/>
  <c r="C108" i="32"/>
  <c r="C103" i="32"/>
  <c r="CN187" i="4"/>
  <c r="G178" i="32"/>
  <c r="I178" i="32"/>
  <c r="S178" i="32"/>
  <c r="T178" i="32"/>
  <c r="P178" i="32"/>
  <c r="H178" i="32"/>
  <c r="K178" i="32"/>
  <c r="M178" i="32"/>
  <c r="Z178" i="32"/>
  <c r="V178" i="32"/>
  <c r="J178" i="32"/>
  <c r="O178" i="32"/>
  <c r="E178" i="32"/>
  <c r="Q178" i="32"/>
  <c r="X178" i="32"/>
  <c r="Y178" i="32"/>
  <c r="F178" i="32"/>
  <c r="U178" i="32"/>
  <c r="R178" i="32"/>
  <c r="L178" i="32"/>
  <c r="N178" i="32"/>
  <c r="W178" i="32"/>
  <c r="D112" i="4" l="1"/>
  <c r="D112" i="39"/>
  <c r="O91" i="32"/>
  <c r="P91" i="32"/>
  <c r="K91" i="32"/>
  <c r="J91" i="32"/>
  <c r="CN119" i="4" a="1"/>
  <c r="CN119" i="4" s="1"/>
  <c r="C119" i="4" s="1"/>
  <c r="Y91" i="32"/>
  <c r="T91" i="32"/>
  <c r="I91" i="32"/>
  <c r="H91" i="32"/>
  <c r="S91" i="32"/>
  <c r="Q91" i="32"/>
  <c r="X91" i="32"/>
  <c r="V91" i="32"/>
  <c r="N91" i="32"/>
  <c r="E91" i="32"/>
  <c r="G91" i="32"/>
  <c r="F91" i="32"/>
  <c r="CN171" i="4"/>
  <c r="L91" i="32"/>
  <c r="Z91" i="32"/>
  <c r="R91" i="32"/>
  <c r="M91" i="32"/>
  <c r="W91" i="32"/>
  <c r="U91" i="32"/>
  <c r="C90" i="32"/>
  <c r="V183" i="32"/>
  <c r="T183" i="32"/>
  <c r="X183" i="32"/>
  <c r="K183" i="32"/>
  <c r="L183" i="32"/>
  <c r="F183" i="32"/>
  <c r="I183" i="32"/>
  <c r="Y183" i="32"/>
  <c r="J183" i="32"/>
  <c r="R183" i="32"/>
  <c r="Z183" i="32"/>
  <c r="M183" i="32"/>
  <c r="P183" i="32"/>
  <c r="S183" i="32"/>
  <c r="O183" i="32"/>
  <c r="G183" i="32"/>
  <c r="U183" i="32"/>
  <c r="H183" i="32"/>
  <c r="Q183" i="32"/>
  <c r="N183" i="32"/>
  <c r="W183" i="32"/>
  <c r="E183" i="32"/>
  <c r="CN117" i="4"/>
  <c r="C117" i="4" s="1"/>
  <c r="C106" i="32"/>
  <c r="C110" i="4"/>
  <c r="C112" i="4"/>
  <c r="D108" i="32"/>
  <c r="C102" i="32"/>
  <c r="C106" i="4"/>
  <c r="C97" i="32"/>
  <c r="C101" i="4"/>
  <c r="C112" i="39" l="1"/>
  <c r="D108" i="40"/>
  <c r="CN170" i="4"/>
  <c r="R167" i="32"/>
  <c r="F167" i="32"/>
  <c r="M167" i="32"/>
  <c r="H167" i="32"/>
  <c r="K167" i="32"/>
  <c r="W167" i="32"/>
  <c r="T167" i="32"/>
  <c r="J167" i="32"/>
  <c r="G167" i="32"/>
  <c r="Q167" i="32"/>
  <c r="E167" i="32"/>
  <c r="I167" i="32"/>
  <c r="U167" i="32"/>
  <c r="O167" i="32"/>
  <c r="Y167" i="32"/>
  <c r="C171" i="4"/>
  <c r="P167" i="32"/>
  <c r="V167" i="32"/>
  <c r="Z167" i="32"/>
  <c r="S167" i="32"/>
  <c r="L167" i="32"/>
  <c r="N167" i="32"/>
  <c r="X167" i="32"/>
  <c r="C114" i="4"/>
  <c r="C110" i="32"/>
  <c r="CN115" i="4" l="1"/>
  <c r="C115" i="4" s="1"/>
  <c r="E166" i="32"/>
  <c r="Z166" i="32"/>
  <c r="W166" i="32"/>
  <c r="T166" i="32"/>
  <c r="L166" i="32"/>
  <c r="CN177" i="4"/>
  <c r="V166" i="32"/>
  <c r="U166" i="32"/>
  <c r="S166" i="32"/>
  <c r="M166" i="32"/>
  <c r="R166" i="32"/>
  <c r="J166" i="32"/>
  <c r="X166" i="32"/>
  <c r="N166" i="32"/>
  <c r="G166" i="32"/>
  <c r="Q166" i="32"/>
  <c r="F166" i="32"/>
  <c r="Y166" i="32"/>
  <c r="O166" i="32"/>
  <c r="P166" i="32"/>
  <c r="I166" i="32"/>
  <c r="H166" i="32"/>
  <c r="K166" i="32"/>
  <c r="S173" i="32" l="1"/>
  <c r="L173" i="32"/>
  <c r="T173" i="32"/>
  <c r="X173" i="32"/>
  <c r="V173" i="32"/>
  <c r="Q173" i="32"/>
  <c r="CN189" i="4"/>
  <c r="CN190" i="4"/>
  <c r="U173" i="32"/>
  <c r="J173" i="32"/>
  <c r="H173" i="32"/>
  <c r="W173" i="32"/>
  <c r="P173" i="32"/>
  <c r="Z173" i="32"/>
  <c r="O173" i="32"/>
  <c r="F173" i="32"/>
  <c r="G173" i="32"/>
  <c r="R173" i="32"/>
  <c r="N173" i="32"/>
  <c r="I173" i="32"/>
  <c r="M173" i="32"/>
  <c r="E173" i="32"/>
  <c r="K173" i="32"/>
  <c r="Y173" i="32"/>
  <c r="Y185" i="32" l="1"/>
  <c r="Y186" i="32"/>
  <c r="I186" i="32"/>
  <c r="I185" i="32"/>
  <c r="F186" i="32"/>
  <c r="F185" i="32"/>
  <c r="W186" i="32"/>
  <c r="W185" i="32"/>
  <c r="X186" i="32"/>
  <c r="X185" i="32"/>
  <c r="K185" i="32"/>
  <c r="K186" i="32"/>
  <c r="N185" i="32"/>
  <c r="N186" i="32"/>
  <c r="O185" i="32"/>
  <c r="O186" i="32"/>
  <c r="H185" i="32"/>
  <c r="H186" i="32"/>
  <c r="T186" i="32"/>
  <c r="T185" i="32"/>
  <c r="E185" i="32"/>
  <c r="E186" i="32"/>
  <c r="R185" i="32"/>
  <c r="R186" i="32"/>
  <c r="Z185" i="32"/>
  <c r="Z186" i="32"/>
  <c r="J186" i="32"/>
  <c r="J185" i="32"/>
  <c r="Q185" i="32"/>
  <c r="Q186" i="32"/>
  <c r="L186" i="32"/>
  <c r="L185" i="32"/>
  <c r="M185" i="32"/>
  <c r="M186" i="32"/>
  <c r="G186" i="32"/>
  <c r="G185" i="32"/>
  <c r="P185" i="32"/>
  <c r="P186" i="32"/>
  <c r="U185" i="32"/>
  <c r="U186" i="32"/>
  <c r="V185" i="32"/>
  <c r="V186" i="32"/>
  <c r="S186" i="32"/>
  <c r="S185" i="3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81" authorId="0" shapeId="0" xr:uid="{00000000-0006-0000-0300-000001000000}">
      <text>
        <r>
          <rPr>
            <sz val="10"/>
            <color rgb="FF000000"/>
            <rFont val="Arimo"/>
          </rPr>
          <t xml:space="preserve">ОБ: без учета TV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77" authorId="0" shapeId="0" xr:uid="{00000000-0006-0000-0400-000001000000}">
      <text>
        <r>
          <rPr>
            <sz val="10"/>
            <color rgb="FF000000"/>
            <rFont val="Arimo"/>
          </rPr>
          <t xml:space="preserve">ОБ: без учета TV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81" authorId="0" shapeId="0" xr:uid="{933CFE0E-B3EE-4C15-B4D1-97EC3CC2B07E}">
      <text>
        <r>
          <rPr>
            <sz val="10"/>
            <color rgb="FF000000"/>
            <rFont val="Arimo"/>
          </rPr>
          <t xml:space="preserve">ОБ: без учета TV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83" authorId="0" shapeId="0" xr:uid="{00000000-0006-0000-0600-000001000000}">
      <text>
        <r>
          <rPr>
            <sz val="10"/>
            <color rgb="FF000000"/>
            <rFont val="Arimo"/>
          </rPr>
          <t xml:space="preserve">ОБ: без учета TV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77" authorId="0" shapeId="0" xr:uid="{F2DADD2B-0506-4111-975F-5F747F001191}">
      <text>
        <r>
          <rPr>
            <sz val="10"/>
            <color rgb="FF000000"/>
            <rFont val="Arimo"/>
          </rPr>
          <t xml:space="preserve">ОБ: без учета TV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<sst xmlns="http://schemas.openxmlformats.org/spreadsheetml/2006/main" count="2998" uniqueCount="1123">
  <si>
    <t>Содержание ФЭМ</t>
  </si>
  <si>
    <t>№ Листа пп</t>
  </si>
  <si>
    <t>Название листа</t>
  </si>
  <si>
    <t>Описание</t>
  </si>
  <si>
    <t>Инструкция</t>
  </si>
  <si>
    <t>Инструкция по работе с моделью</t>
  </si>
  <si>
    <t>Assump</t>
  </si>
  <si>
    <t>Ключевые предпосылки проекта Дмитров гольф</t>
  </si>
  <si>
    <t>Model</t>
  </si>
  <si>
    <t>Инвестиционная модель реализации проекта Дмитров гольф: БДР, БДДС, Баланс</t>
  </si>
  <si>
    <t>Sensitivity</t>
  </si>
  <si>
    <t>DiscRate</t>
  </si>
  <si>
    <t>Расчет ставки дисконтирования</t>
  </si>
  <si>
    <t>Финансирование</t>
  </si>
  <si>
    <t>Структура капитала, условия финансирования</t>
  </si>
  <si>
    <t>Инфраструктура</t>
  </si>
  <si>
    <t xml:space="preserve">Описание номерного фонда и инфраструктуры отеля </t>
  </si>
  <si>
    <t>График работ</t>
  </si>
  <si>
    <t>График проведения капитальных работ по строительству отеля</t>
  </si>
  <si>
    <t>Операционные расходы</t>
  </si>
  <si>
    <t>Свод по расходам отеля на ведение операционной деятельности на первые 3 года после открытия</t>
  </si>
  <si>
    <t>Итого выручка</t>
  </si>
  <si>
    <t>Свод по доходам отеля от операционной деятельности на первые 3 года после открытия</t>
  </si>
  <si>
    <t>Доходы-расходы свод месяцы</t>
  </si>
  <si>
    <t>Свод БДР помесячно на первые три года после открытия</t>
  </si>
  <si>
    <t>Открытые тарифы 1 год</t>
  </si>
  <si>
    <t>Прогноз открытых тарифов на номера отеля с пакетом услуг с НДС на 1 год работы</t>
  </si>
  <si>
    <t>Скидки для типов гостей</t>
  </si>
  <si>
    <t>Размер скидок на проживание и агентских комиссий по типам гостей</t>
  </si>
  <si>
    <t>Спортсмены</t>
  </si>
  <si>
    <t xml:space="preserve">Расчет загрузки отеля по категории Спорт </t>
  </si>
  <si>
    <t>ADR</t>
  </si>
  <si>
    <t>Расчет средней стоимости проживания по типам номеров (без НДС, без пакета услуг)</t>
  </si>
  <si>
    <t>Выручка номеров</t>
  </si>
  <si>
    <t>Расчет загрузки и выручки от проживания помесячно на первые 3 года после открытия. Прогноз индексации цен на 14 лет работы отеля.</t>
  </si>
  <si>
    <t>Шведский стол + питание спорт</t>
  </si>
  <si>
    <t>Выручка от продажи питания в пакете на первые 3 года после открытия</t>
  </si>
  <si>
    <t>СПА и развлечения в пакете</t>
  </si>
  <si>
    <t>Выручка от продажи услуг ВОК в стоимости номера на первые 3 года после открытия отеля</t>
  </si>
  <si>
    <t>Выручка от общепита</t>
  </si>
  <si>
    <t>Выручка от дополнительных услуг общественного питания на первые 3 года после открытия</t>
  </si>
  <si>
    <t>Конференц-услуги</t>
  </si>
  <si>
    <t>Расчет выручки от аренды конференц-залов на первые 3 года после октрытия</t>
  </si>
  <si>
    <t>Выручка от СПА-центра и спорта</t>
  </si>
  <si>
    <t>Услуги СПА и водно-оздоровительного комплекса 1 финансовый год</t>
  </si>
  <si>
    <t>ФОТ</t>
  </si>
  <si>
    <t>Расчет затрат на оплату труда и услуг аутсорсинга, включая налоги на ФОТ</t>
  </si>
  <si>
    <t>Расчет сторонней прачки</t>
  </si>
  <si>
    <t>Расчет затрат на услуги прачечной на первые 3 года после открытия</t>
  </si>
  <si>
    <t>Расчет инд.продукции в номер</t>
  </si>
  <si>
    <t>Расчет затрат на гостевые принадлежности на первые 3 года после открытия</t>
  </si>
  <si>
    <t>Данные для коммунальных услуг</t>
  </si>
  <si>
    <t>Расчет затрат на КУ на первые 3 года после открытия</t>
  </si>
  <si>
    <t>Гольф-поле (без ФОТ)</t>
  </si>
  <si>
    <t>Расчет затрат на обслуживание гольф-поля помесячно</t>
  </si>
  <si>
    <t>Амортизация</t>
  </si>
  <si>
    <t>Укрупненный прогноз амортизации</t>
  </si>
  <si>
    <t xml:space="preserve">Предоткрытие </t>
  </si>
  <si>
    <t>Расчет операционных расходов на предоткрытие отеля</t>
  </si>
  <si>
    <t>2035 баз.</t>
  </si>
  <si>
    <t>Прогноз индексов-дефляторов и инфляции до 2036 г.(базовый вариант) из Прогноза социально-экономического развития Российской Федерации на период до 2036 года</t>
  </si>
  <si>
    <t>Инструкция по работе с ФЭМ</t>
  </si>
  <si>
    <t>На листах с 12 по 28 (с "Открытые тарифы 1" год по "Предоткрытие") собраны и рассчитаны исходные данные для открытия и ведения операционной деятельности отелем с детализацией по месяцам, видам доходов и расходов, категориям гостей и пр.</t>
  </si>
  <si>
    <t>На листах 9-11 ("Операционные расходы", "Итого выручка", "Доходы-расходы свод месяцы") с помощью формул собраны данные по операционным доходам и расходам с листов 11-27. При изменении ввоных на листах 11-27, доходы и расходы на сводных листах будут персчитаны автоматически.</t>
  </si>
  <si>
    <t>Лист 6 Финансирование содержит информацию о структуре капитала для финансирования инвестиционного проекта, условиях предоставления заемных средств (% ставка по кредиту)</t>
  </si>
  <si>
    <t>На листе 2 Assump собраны ключевые предпосылки для расчетов модели, включая ставки налогов, данные по доходам на 1 год работы, период начала операционной деятельности, ставки дисконтирования, предпосылки для формирования Баланса. Часть данных внесена вручную, часть подтягивается с листов 6-28 по формулам. Данные с этого листа используются для расчета инвестиционной модели на листе Model</t>
  </si>
  <si>
    <t>Лист 3 Model  - основной лист ФЭМ, содержащий прогнозные отчеты БДР, БДДС, Баланс, а также вспомогательные вычисления для формирования данных отчетов, и расчет эффективности проекта (ключевые показатели инвест. проекта, включая анализ ликвидности, бюджетной эффектвиности и пр.). Все данные на на листе рассчитываются по формулам. Ручное редактирование запрещено. При изменении исходных данных, все корректировки должны быть внесены на листы 2, 5-28.</t>
  </si>
  <si>
    <t xml:space="preserve">На листе 4 Sensitivity производится анализ чувствительности проекта. Все данные в БДР, БДДС, Балансе рассчитываются по формулам (также как на листе 3 Model), ручное редактирование запрещено. Для проведения анализа чувствительности необходимо изменить ключевые показатели (Загрузку, АДР, % индексации доходов и расходов, % ставка по кредиту) в специальной таблице Sensitivity analysis в нижней части листа </t>
  </si>
  <si>
    <t>На листе 5 DiscRate осущетсвлен расчет ставк дисконтирования по методу средневзвешенной стоимости капитала WACC</t>
  </si>
  <si>
    <t>Дмитров гольф: Ключевые предпосылки Проекта</t>
  </si>
  <si>
    <t>АДМИНИСТРАТИВНЫЕ ПРЕДПОСЫЛКИ</t>
  </si>
  <si>
    <t>Проект</t>
  </si>
  <si>
    <t>Фактический адрес</t>
  </si>
  <si>
    <t>Начало прогноза</t>
  </si>
  <si>
    <t>Разрядность модели</t>
  </si>
  <si>
    <t>Тысячи</t>
  </si>
  <si>
    <t>Ставка дисконтирования, квартал</t>
  </si>
  <si>
    <t>Ставка дисконтирования бюджетных доходов и расходов, квартал</t>
  </si>
  <si>
    <t>ПАРАМЕТРЫ ОБЪЕКТА</t>
  </si>
  <si>
    <t>Общая площадь</t>
  </si>
  <si>
    <t>Номерной фонд</t>
  </si>
  <si>
    <t>НАЛОГОВЫЕ ПРЕДПОСЫЛКИ</t>
  </si>
  <si>
    <t>Страховые взносы на ФОТ (максимальная ставка без учета регресса)</t>
  </si>
  <si>
    <t>Ставка НДС</t>
  </si>
  <si>
    <t>Ставка налога на прибыль</t>
  </si>
  <si>
    <t>Земельный налог (В квартал)</t>
  </si>
  <si>
    <t>Налог на имущество</t>
  </si>
  <si>
    <t>ПАРАМЕТРЫ КРЕДИТА</t>
  </si>
  <si>
    <t>Лимит выборки</t>
  </si>
  <si>
    <t>Grace Period, лет (льготный период)</t>
  </si>
  <si>
    <t>Целевой DSCR (коэ-т покрытия долга)</t>
  </si>
  <si>
    <t>ПРЕДПОСЫЛКИ ПО ДОХОДНОЙ ЧАСТИ (1й год работы)</t>
  </si>
  <si>
    <t>Загрузка номерного фонда, %</t>
  </si>
  <si>
    <t>ADR номера (без завтрака и доп.услуг)</t>
  </si>
  <si>
    <t>Доход F&amp;B на одну номеро-ночь</t>
  </si>
  <si>
    <t>Выручка от развлекательного и СПА комплекса (в стоимости номера) на одну номеро-ночь</t>
  </si>
  <si>
    <t>Выручка от конференц-услуг (аренда + оборудование) на кв.м. в квартал</t>
  </si>
  <si>
    <t>Выручка от аренды спортивных сооружений на кв. м. в квартал</t>
  </si>
  <si>
    <t>Выручка от гольфа в квартал</t>
  </si>
  <si>
    <t>Выручка от прочих услуг на 1 номеро-ночь</t>
  </si>
  <si>
    <t>Количество дней в периоде</t>
  </si>
  <si>
    <t>Индексация доходов и расходов, вкл. инфляцию</t>
  </si>
  <si>
    <t>Номер квартала открытия гостиницы</t>
  </si>
  <si>
    <t>ПРЕДПОСЫЛКИ ДЛЯ БАЛАНСА и ДДС</t>
  </si>
  <si>
    <t>Покупатели (оплата в день заезда)</t>
  </si>
  <si>
    <t>Запасы (% от себестоимости)</t>
  </si>
  <si>
    <t>Налоги по заработной плате (оплата в следующем месяце)</t>
  </si>
  <si>
    <t>Неснижаемый остаток ДС на конец периода, тыс руб.</t>
  </si>
  <si>
    <t>Дмитров Гольф Финансовая модель Проекта</t>
  </si>
  <si>
    <t>TOTAL</t>
  </si>
  <si>
    <t>0 период</t>
  </si>
  <si>
    <t>TV</t>
  </si>
  <si>
    <t>Год</t>
  </si>
  <si>
    <t>Квартал</t>
  </si>
  <si>
    <t>ОПЕРАЦИОННЫЕ ПРЕДПОСЫЛКИ</t>
  </si>
  <si>
    <t>Индексация цен</t>
  </si>
  <si>
    <t>Загрузка гостиничных номеров</t>
  </si>
  <si>
    <t>ADR, RUR тысячи</t>
  </si>
  <si>
    <t>ОТЧЕТ О ПРИБЫЛИ И УБЫТКАХ ПРОЕКТА (RUR, Тысячи)</t>
  </si>
  <si>
    <t>Выручка от проживания за вычетом комиссий и агентских</t>
  </si>
  <si>
    <t>Выручка от питания "Шведский стол"</t>
  </si>
  <si>
    <t>Выручка от развлекательного и СПА комплекса (в стоимости номера)</t>
  </si>
  <si>
    <t>Выручка от дополнительных услуг общественного питания</t>
  </si>
  <si>
    <t>Выручка от конференц-услуг (аренда + оборудование)</t>
  </si>
  <si>
    <t>Выручка от доп. Услуг СПА-центра</t>
  </si>
  <si>
    <t>Выручка от аренды спортивных сооружений</t>
  </si>
  <si>
    <t>Выручка от гольфа</t>
  </si>
  <si>
    <t>Выручка от прочих услуг</t>
  </si>
  <si>
    <t>Доходы</t>
  </si>
  <si>
    <t>Переменные</t>
  </si>
  <si>
    <t>Затраты на премиальную часть зарплаты (вызывные, премии, бонусы)</t>
  </si>
  <si>
    <t xml:space="preserve">Выплаты в фонды от премиальной части </t>
  </si>
  <si>
    <t>Затраты на аутсорсинг</t>
  </si>
  <si>
    <t>Продукты для гостей, ресторанов и баров</t>
  </si>
  <si>
    <t>Продукты "шведский стол"</t>
  </si>
  <si>
    <t>Замена посуды, текстиля, мебели и пр.)</t>
  </si>
  <si>
    <t>Затраты на СПА-центр (материалы и пр.)</t>
  </si>
  <si>
    <t xml:space="preserve">Выплата мастерам СПА-центра </t>
  </si>
  <si>
    <t>Услуги прачечной</t>
  </si>
  <si>
    <t>Индивидуальная косметика и аксессуары в номерной фонд</t>
  </si>
  <si>
    <t>Моющие и химические средства</t>
  </si>
  <si>
    <t>Канцтовары и прочее</t>
  </si>
  <si>
    <t xml:space="preserve">Постоянные </t>
  </si>
  <si>
    <t>Затраты на персонал</t>
  </si>
  <si>
    <t xml:space="preserve">Техобслуживание оборудования </t>
  </si>
  <si>
    <t>Ремонт и эксплуатация</t>
  </si>
  <si>
    <t>Обслуживание гольф-поля</t>
  </si>
  <si>
    <t>Водоподготовка в крытых бассейнах СПА-центра</t>
  </si>
  <si>
    <t>Водоподготовка в сезонных открытых бассейнах СПА-центра</t>
  </si>
  <si>
    <t>Затраты на материалы для обеззараживания воды в бассейнах</t>
  </si>
  <si>
    <t>Информационные услуги (связь, оплата ПО и пр.)</t>
  </si>
  <si>
    <t>Благоустройство территории, вывоз мусора, уборка территории</t>
  </si>
  <si>
    <t xml:space="preserve">Коммунальные услуги </t>
  </si>
  <si>
    <t>Маркетинг и реклама отеля</t>
  </si>
  <si>
    <t>ГСМ и Транспортные расходы</t>
  </si>
  <si>
    <t>Охрана труда и Техника безопасности</t>
  </si>
  <si>
    <t>Прочие</t>
  </si>
  <si>
    <t>Накопительные отчисления в Резерв на обновление оборудования, отделки и оснащения Комплекса</t>
  </si>
  <si>
    <t>Земельный налог</t>
  </si>
  <si>
    <t>Расходы</t>
  </si>
  <si>
    <t>EBITDA</t>
  </si>
  <si>
    <t>EBITDA Margin</t>
  </si>
  <si>
    <t>Процентные расходы</t>
  </si>
  <si>
    <t>Прибыль до налогообложения</t>
  </si>
  <si>
    <t>Налог на прибыль</t>
  </si>
  <si>
    <t>Прибыль после налогообложения</t>
  </si>
  <si>
    <t>ОТЧЕТ О ДВИЖЕНИИ ДЕНЕЖНЫХ СРЕДСТВ (RUR, Тысячи)</t>
  </si>
  <si>
    <t>Операционная деятельность</t>
  </si>
  <si>
    <t>Корр-ка EBITDA на авансы поставщикам</t>
  </si>
  <si>
    <t>Корр-ка EBITDA на авансы от покупателей</t>
  </si>
  <si>
    <t>Корр-ка EBITDA на сдвиг оплат от покупателей</t>
  </si>
  <si>
    <t>Корр-ка EBITDA на формирование запасов</t>
  </si>
  <si>
    <t>Корр-ка EBITDA на сдвиг по ФОТ</t>
  </si>
  <si>
    <t>Корр-ка EBITDA на сдвиг оплат налогов на ФОТ</t>
  </si>
  <si>
    <t>НДС в расчетах с контрагентами (нетто)</t>
  </si>
  <si>
    <t>НДС к уплате</t>
  </si>
  <si>
    <t>Денежный поток от операционной деятельности</t>
  </si>
  <si>
    <t>Инвестиционная деятельность</t>
  </si>
  <si>
    <t>Финансирование проекта строительства МФЦ</t>
  </si>
  <si>
    <t>Возмещение НДС по инвестиционной деятельности</t>
  </si>
  <si>
    <t>Денежный поток от инвестиционной деятельности</t>
  </si>
  <si>
    <t>Финансовая деятельность</t>
  </si>
  <si>
    <t>Привлечение средств акционеров</t>
  </si>
  <si>
    <t>Выплаты акционерам</t>
  </si>
  <si>
    <t>Привлечение кредита</t>
  </si>
  <si>
    <t>Погашение кредита</t>
  </si>
  <si>
    <t xml:space="preserve">Погашение процентов </t>
  </si>
  <si>
    <t>Денежный поток от финансовой деятельности</t>
  </si>
  <si>
    <t>Баланс наличности на начало периода</t>
  </si>
  <si>
    <t>Изменение в наличности за период</t>
  </si>
  <si>
    <t>Баланс наличности на конец периода</t>
  </si>
  <si>
    <t>TV (терминальная стоимость проекта)</t>
  </si>
  <si>
    <t>Денежный поток (опер.+инвест. Деят-ть)+TV</t>
  </si>
  <si>
    <t>ДП (опер.+инвест) +TV нараст. итогом</t>
  </si>
  <si>
    <t>ДДП (опер+инвест)+TV</t>
  </si>
  <si>
    <t>ДДП (опер+инвест) +TV нараст. итогом</t>
  </si>
  <si>
    <t>NPV (с учетом TV)</t>
  </si>
  <si>
    <t>IRR, кварт.</t>
  </si>
  <si>
    <t>IRR, Год</t>
  </si>
  <si>
    <t>PI (индекс рентабельности инвестиций)</t>
  </si>
  <si>
    <t>Payback period, лет</t>
  </si>
  <si>
    <t>Discounted payback period, лет</t>
  </si>
  <si>
    <t>FCFE (ЧДП для собств. Капитала c учетом TV)</t>
  </si>
  <si>
    <t>FCFE (ЧДП для собств. Капитала c учетом TV) нараст. итогом</t>
  </si>
  <si>
    <t>FCFE (ЧДП для собств. Капитала с учетом TV) дисконт</t>
  </si>
  <si>
    <t>FCFE (ЧДП для собств. Капитала с учетом TV) нараст. итогом дисконт</t>
  </si>
  <si>
    <t>NPV (собств. капитал) с учетом TV</t>
  </si>
  <si>
    <t>IRR, кварт. (для собств. капитала)</t>
  </si>
  <si>
    <t>Payback period, лет (собст. капитал)</t>
  </si>
  <si>
    <t>Discounted payback period, лет (собств. капитал)</t>
  </si>
  <si>
    <t>Current ratio (Коэффициент текущей ликвидности)</t>
  </si>
  <si>
    <t>Debt\Equity ratio (Отношение долга к собств. Капиталу)</t>
  </si>
  <si>
    <t>Debt\Total assets ratio (Отношение долга к капиталу)</t>
  </si>
  <si>
    <t>Debt\EBITDA (Отношение долга к EBITDA)</t>
  </si>
  <si>
    <t>LLCR (Коэффициент покрытия долга в период до погашения долга)</t>
  </si>
  <si>
    <t>CFADS (Денежный поток, доступный для покрытия долга)</t>
  </si>
  <si>
    <t>DSCR (Коэффициент покрытия долга)</t>
  </si>
  <si>
    <t>Бюджетные доходы (сумма налоговых поступлений)</t>
  </si>
  <si>
    <t>Дисконтированные бюджетные доходы</t>
  </si>
  <si>
    <t>Бюджетные расходы (сумма возмещения налога из бюджета)</t>
  </si>
  <si>
    <t>Дисконтированные бюджетные расходы</t>
  </si>
  <si>
    <t>Бюджетная эффективность, RUR тысячи</t>
  </si>
  <si>
    <t>Бюджетная эффективность, %</t>
  </si>
  <si>
    <t>ВСПОМОГАТЕЛЬНЫЕ ВЫЧИСЛЕНИЯ</t>
  </si>
  <si>
    <t>Справочно: Сумма налоговых отчислений за 10 лет работы Отеля</t>
  </si>
  <si>
    <t>Налогооблагаемая прибыль</t>
  </si>
  <si>
    <t>Убыток, переносимый на будущее</t>
  </si>
  <si>
    <t>Скорректированная налогооблагаемая прибыль</t>
  </si>
  <si>
    <t>Баланс на начало периода</t>
  </si>
  <si>
    <t>Зачет убытка, перенесенного на будущее</t>
  </si>
  <si>
    <t>Баланс на конец периода</t>
  </si>
  <si>
    <t>НДС (операционная деятельность)</t>
  </si>
  <si>
    <t>НДС от операционных расходов</t>
  </si>
  <si>
    <t>НДС от выручки</t>
  </si>
  <si>
    <t>НДС (инвестиционная деятельность)</t>
  </si>
  <si>
    <t>НДС от инвестиционных расходов</t>
  </si>
  <si>
    <t>возмещение НДС из бюджета</t>
  </si>
  <si>
    <t>Кредит</t>
  </si>
  <si>
    <t>Погашение процентов</t>
  </si>
  <si>
    <t>БАЛАНС (RUR, Тысячи)</t>
  </si>
  <si>
    <t>Активы</t>
  </si>
  <si>
    <t>Оборотные активы</t>
  </si>
  <si>
    <t>Денежные средства</t>
  </si>
  <si>
    <t>Запасы</t>
  </si>
  <si>
    <t>Дебиторская задолженность</t>
  </si>
  <si>
    <t>НДС к получению из бюджета</t>
  </si>
  <si>
    <t>Внеоборотные активы</t>
  </si>
  <si>
    <t>Основные средства</t>
  </si>
  <si>
    <t>Итого</t>
  </si>
  <si>
    <t>Пассивы</t>
  </si>
  <si>
    <t>Краткосрочные обязательства</t>
  </si>
  <si>
    <t>Кредиторская задолженность</t>
  </si>
  <si>
    <t>Долгосрочные обязательства</t>
  </si>
  <si>
    <t>Кредит банка</t>
  </si>
  <si>
    <t>Капитал и резервы</t>
  </si>
  <si>
    <t>Накопленная прибыль / (Убыток)</t>
  </si>
  <si>
    <t>Собственные средства</t>
  </si>
  <si>
    <t>Проверка: Активы = Пассивы?</t>
  </si>
  <si>
    <t>Разница</t>
  </si>
  <si>
    <t>Sensitivity analysis</t>
  </si>
  <si>
    <t>Изменение загрузки</t>
  </si>
  <si>
    <t>Изменение ADR</t>
  </si>
  <si>
    <t>Изменение дохода F&amp;B, прочих доходов</t>
  </si>
  <si>
    <t>Изменение доходов от проведения спортивных мероприятий и СПА</t>
  </si>
  <si>
    <t>Доля собственных средств</t>
  </si>
  <si>
    <t>Вариант 1. Расчет ставки дисконтирования по методу определения средневзвешенной стоимости капитала WACC (%)</t>
  </si>
  <si>
    <t>WACC = (1 - T) x Dd x Wd + De x We</t>
  </si>
  <si>
    <r>
      <rPr>
        <sz val="10"/>
        <color rgb="FF000000"/>
        <rFont val="Noto Sans Symbols"/>
      </rP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2"/>
        <color rgb="FF000000"/>
        <rFont val="Times New Roman"/>
        <family val="1"/>
        <charset val="204"/>
      </rPr>
      <t>T – эффективная ставка налога на прибыль, доли ед.;</t>
    </r>
  </si>
  <si>
    <r>
      <rPr>
        <sz val="10"/>
        <color rgb="FF000000"/>
        <rFont val="Noto Sans Symbols"/>
      </rP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2"/>
        <color rgb="FF000000"/>
        <rFont val="Times New Roman"/>
        <family val="1"/>
        <charset val="204"/>
      </rPr>
      <t>Dd – стоимость долга (cost of debt, стоимость привлечения заемных средств), %;</t>
    </r>
  </si>
  <si>
    <r>
      <rPr>
        <sz val="10"/>
        <color rgb="FF000000"/>
        <rFont val="Noto Sans Symbols"/>
      </rP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2"/>
        <color rgb="FF000000"/>
        <rFont val="Times New Roman"/>
        <family val="1"/>
        <charset val="204"/>
      </rPr>
      <t>Wd – доля заемных средств, доли единицы;</t>
    </r>
  </si>
  <si>
    <r>
      <rPr>
        <sz val="10"/>
        <color rgb="FF000000"/>
        <rFont val="Noto Sans Symbols"/>
      </rP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2"/>
        <color rgb="FF000000"/>
        <rFont val="Times New Roman"/>
        <family val="1"/>
        <charset val="204"/>
      </rPr>
      <t>De – стоимость собственного капитала, %;</t>
    </r>
  </si>
  <si>
    <r>
      <rPr>
        <sz val="10"/>
        <color rgb="FF000000"/>
        <rFont val="Noto Sans Symbols"/>
      </rP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2"/>
        <color rgb="FF000000"/>
        <rFont val="Times New Roman"/>
        <family val="1"/>
        <charset val="204"/>
      </rPr>
      <t>We – доля собственных средств, доли ед.</t>
    </r>
  </si>
  <si>
    <t>ННП</t>
  </si>
  <si>
    <t>Dd</t>
  </si>
  <si>
    <t>Wd</t>
  </si>
  <si>
    <t>только банк. Кредиты</t>
  </si>
  <si>
    <t>De</t>
  </si>
  <si>
    <t>определяется по методу CARM (Capital Asset Pricing Model)</t>
  </si>
  <si>
    <t>We</t>
  </si>
  <si>
    <t>вкл. Внутр. Займы</t>
  </si>
  <si>
    <t>Расчет ст-ти собственных средств по модели САРМ</t>
  </si>
  <si>
    <t>De = Rf + β x (Rm - Rf) + RiskA + RiskB + RiskC</t>
  </si>
  <si>
    <r>
      <rPr>
        <sz val="10"/>
        <color rgb="FF000000"/>
        <rFont val="Noto Sans Symbols"/>
      </rP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2"/>
        <color rgb="FF000000"/>
        <rFont val="Times New Roman"/>
        <family val="1"/>
        <charset val="204"/>
      </rPr>
      <t>Rf – безрисковая ставка, %;</t>
    </r>
  </si>
  <si>
    <r>
      <rPr>
        <sz val="10"/>
        <color rgb="FF000000"/>
        <rFont val="Noto Sans Symbols"/>
      </rP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2"/>
        <color rgb="FF000000"/>
        <rFont val="Times New Roman"/>
        <family val="1"/>
        <charset val="204"/>
      </rPr>
      <t>β – коэффициент бета, доли единицы;</t>
    </r>
  </si>
  <si>
    <r>
      <rPr>
        <sz val="10"/>
        <color rgb="FF000000"/>
        <rFont val="Noto Sans Symbols"/>
      </rP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2"/>
        <color rgb="FF000000"/>
        <rFont val="Times New Roman"/>
        <family val="1"/>
        <charset val="204"/>
      </rPr>
      <t>Rm – доходность на рыночный портфель, %</t>
    </r>
  </si>
  <si>
    <r>
      <rPr>
        <sz val="10"/>
        <color rgb="FF000000"/>
        <rFont val="Noto Sans Symbols"/>
      </rP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2"/>
        <color rgb="FF000000"/>
        <rFont val="Times New Roman"/>
        <family val="1"/>
        <charset val="204"/>
      </rPr>
      <t>Rm - Rf – рыночная премия за риск (Equity risk premium), %;</t>
    </r>
  </si>
  <si>
    <r>
      <rPr>
        <sz val="10"/>
        <color rgb="FF000000"/>
        <rFont val="Noto Sans Symbols"/>
      </rP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2"/>
        <color rgb="FF000000"/>
        <rFont val="Times New Roman"/>
        <family val="1"/>
        <charset val="204"/>
      </rPr>
      <t>RiskA – риск, связанный с небольшим размером компании, %;</t>
    </r>
  </si>
  <si>
    <r>
      <rPr>
        <sz val="10"/>
        <color rgb="FF000000"/>
        <rFont val="Noto Sans Symbols"/>
      </rP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2"/>
        <color rgb="FF000000"/>
        <rFont val="Times New Roman"/>
        <family val="1"/>
        <charset val="204"/>
      </rPr>
      <t>RiskB – страновой риск, %;</t>
    </r>
  </si>
  <si>
    <r>
      <rPr>
        <sz val="10"/>
        <color rgb="FF000000"/>
        <rFont val="Noto Sans Symbols"/>
      </rP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2"/>
        <color rgb="FF000000"/>
        <rFont val="Times New Roman"/>
        <family val="1"/>
        <charset val="204"/>
      </rPr>
      <t>RiskC – специфический риск оцениваемой компании, %.</t>
    </r>
  </si>
  <si>
    <t>Rf</t>
  </si>
  <si>
    <t>B</t>
  </si>
  <si>
    <t>Rm</t>
  </si>
  <si>
    <t>Обзор индексных фондов российских акций 2021 (rostsber.ru)</t>
  </si>
  <si>
    <t>Rm-Rf</t>
  </si>
  <si>
    <t>http://pages.stern.nyu.edu/~adamodar/</t>
  </si>
  <si>
    <t xml:space="preserve">либо </t>
  </si>
  <si>
    <t>RiskA</t>
  </si>
  <si>
    <t>Ibbotson.pdf (cpcpa.ru)</t>
  </si>
  <si>
    <t>RiskB</t>
  </si>
  <si>
    <t>RiskC</t>
  </si>
  <si>
    <t>βi = βu x [1 + (1 - t) x D/E]</t>
  </si>
  <si>
    <r>
      <rPr>
        <sz val="10"/>
        <color rgb="FF000000"/>
        <rFont val="Noto Sans Symbols"/>
      </rP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2"/>
        <color rgb="FF000000"/>
        <rFont val="Times New Roman"/>
        <family val="1"/>
        <charset val="204"/>
      </rPr>
      <t>βi – коэффициент бета, учитывающий финансовый рычаг;</t>
    </r>
  </si>
  <si>
    <r>
      <rPr>
        <sz val="10"/>
        <color rgb="FF000000"/>
        <rFont val="Noto Sans Symbols"/>
      </rP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2"/>
        <color rgb="FF000000"/>
        <rFont val="Times New Roman"/>
        <family val="1"/>
        <charset val="204"/>
      </rPr>
      <t>βu – коэффициент бета, не учитывающий финансовый рычаг;</t>
    </r>
  </si>
  <si>
    <t>·       t – корпоративная налоговая ставка;</t>
  </si>
  <si>
    <r>
      <rPr>
        <sz val="10"/>
        <color rgb="FF000000"/>
        <rFont val="Noto Sans Symbols"/>
      </rP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2"/>
        <color rgb="FF000000"/>
        <rFont val="Times New Roman"/>
        <family val="1"/>
        <charset val="204"/>
      </rPr>
      <t>D/E – коэффициент, учитывающий соотношение «долг/собственный капитал» компании.</t>
    </r>
  </si>
  <si>
    <t>Bu</t>
  </si>
  <si>
    <t>T</t>
  </si>
  <si>
    <t>D/E</t>
  </si>
  <si>
    <t>Доходность к погашению по облигациям федерального займа со сроком, максимально близким к срокам реализации проекта</t>
  </si>
  <si>
    <t>Значения кривой бескупонной доходности государственных облигаций (% годовых) | Банк России (cbr.ru)</t>
  </si>
  <si>
    <t>Срок до погашения, лет</t>
  </si>
  <si>
    <t>Наименование</t>
  </si>
  <si>
    <t>Размер</t>
  </si>
  <si>
    <t>%</t>
  </si>
  <si>
    <t>Ключевая ставка</t>
  </si>
  <si>
    <t xml:space="preserve">2. </t>
  </si>
  <si>
    <t>2.2</t>
  </si>
  <si>
    <t>Взнос Собственника</t>
  </si>
  <si>
    <t>2.3</t>
  </si>
  <si>
    <t>Банковский кредит</t>
  </si>
  <si>
    <t>Проживание</t>
  </si>
  <si>
    <t>Хамам</t>
  </si>
  <si>
    <t>Тренажерный зал</t>
  </si>
  <si>
    <t>Наименование работ</t>
  </si>
  <si>
    <t>Общестроительные работы</t>
  </si>
  <si>
    <t>Операционные расходы 1 финансовый год</t>
  </si>
  <si>
    <t>Данные для расчетов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</si>
  <si>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</si>
  <si>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</si>
  <si>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</si>
  <si>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</si>
  <si>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</si>
  <si>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</si>
  <si>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</si>
  <si>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</si>
  <si>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</si>
  <si>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</si>
  <si>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</si>
  <si>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</si>
  <si>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 xml:space="preserve">ИТОГО </t>
  </si>
  <si>
    <t>Примечания</t>
  </si>
  <si>
    <t>% от валовой выручки</t>
  </si>
  <si>
    <t>% от выручки НФ</t>
  </si>
  <si>
    <t>% от выручки F&amp;B</t>
  </si>
  <si>
    <t>% от выручки Шведского стола и спортсменов в пакете</t>
  </si>
  <si>
    <t>% от выручки СПА</t>
  </si>
  <si>
    <t>себе-стоимость</t>
  </si>
  <si>
    <t>Объем воды в бассейнах, м3</t>
  </si>
  <si>
    <t>Загрузка</t>
  </si>
  <si>
    <t>% выплат в ФСС и ПФ от премиальной части</t>
  </si>
  <si>
    <t xml:space="preserve">% от выручки от точек питания </t>
  </si>
  <si>
    <t xml:space="preserve">% от выручки от "шведского стола" и питания спортсменов </t>
  </si>
  <si>
    <t>% от выручки от СПА-процедур</t>
  </si>
  <si>
    <t>Средняя себестоимость средств на номер * количество номеров * количество дней в месяце * загрузку</t>
  </si>
  <si>
    <t>Затраты на выплату зарплаты персонала с учетом налогов и выплат в фонды</t>
  </si>
  <si>
    <t>см. лист "ФОТ"</t>
  </si>
  <si>
    <t>Техобслуживание оборудования гостинично-конгрессного комлекса, клубного дома, СПА-комплекса и ресторанно-развлекательного центра</t>
  </si>
  <si>
    <t>Средняя стоимость ТО по аналогичным отелям. Включено ТО по сторонним договорам (котельная, пожарной безопасности и пр.) и расходные материалы для собственного ТО систем</t>
  </si>
  <si>
    <t xml:space="preserve">себестоимость за куб * количество кубов </t>
  </si>
  <si>
    <t>себестоимость за куб * количество кубов с учетом сезонности работы бассейнов</t>
  </si>
  <si>
    <t>Средняя стоимость по аналогичным отелям. ПО: НФ - Logus, Общепит - IICO, СПА - Проффит, Миграционный учет - Контур, Бухгалтерия - 1С Предприятие, CRM - Bitrix24</t>
  </si>
  <si>
    <t>Благоустройство территории (материалы), вывоз мусора, уборка территории и пр.</t>
  </si>
  <si>
    <t>По данным аналогичных отелей. Договоры на вывоз ТБО, посадочный материал,расходный инвентарь и расходные материалы для обслуживания территории</t>
  </si>
  <si>
    <t>Данные Заказчика и Средняя стоимость по аналогичным отелям. Расходы на топливо, ТО</t>
  </si>
  <si>
    <t>Средняя стоимость по аналогичным отелям. Расходы на подготовку нормативных документов, согласование и проведение проверок</t>
  </si>
  <si>
    <t>Административные и прочие расходы</t>
  </si>
  <si>
    <t>В 1-2 годы - 1% от выручки, 3- год- 3%, 4-й и далее - 4%</t>
  </si>
  <si>
    <t>Общий размер инвестиций в создание комплекса * 65% (ориентировочная доля недвижимости в инвестициях) * понижающий коэффициент 0,6*2,2% (ставка налога)</t>
  </si>
  <si>
    <t>ИТОГО затраты (до амортизации )</t>
  </si>
  <si>
    <t>ИТОГО ВЫРУЧКА 1 финансовый год</t>
  </si>
  <si>
    <t>янв</t>
  </si>
  <si>
    <t>фев</t>
  </si>
  <si>
    <t>мар</t>
  </si>
  <si>
    <t>апр</t>
  </si>
  <si>
    <t>июн</t>
  </si>
  <si>
    <t>июл</t>
  </si>
  <si>
    <t>авг</t>
  </si>
  <si>
    <t>сен</t>
  </si>
  <si>
    <t>окт</t>
  </si>
  <si>
    <t>ноя</t>
  </si>
  <si>
    <t>дек</t>
  </si>
  <si>
    <t>Всего за год</t>
  </si>
  <si>
    <t>Доля в продажах</t>
  </si>
  <si>
    <t>ИТОГО</t>
  </si>
  <si>
    <t>ИТОГО ВЫРУЧКА 2 финансовый год</t>
  </si>
  <si>
    <t>ИТОГО ВЫРУЧКА 3 финансовый год</t>
  </si>
  <si>
    <t xml:space="preserve">   </t>
  </si>
  <si>
    <t>P&amp;L  1 полный финансовый год</t>
  </si>
  <si>
    <t>Итого за год</t>
  </si>
  <si>
    <t xml:space="preserve">ВСЕГО ВЫРУЧКА </t>
  </si>
  <si>
    <t>Операционная прибыль (GOP)</t>
  </si>
  <si>
    <t>Рентабельность GOP</t>
  </si>
  <si>
    <t>Рентабельность EBITDA</t>
  </si>
  <si>
    <t>P&amp;L  2 полный финансовый год</t>
  </si>
  <si>
    <t>P&amp;L  3 полный финансовый год</t>
  </si>
  <si>
    <t>Элемент пакета</t>
  </si>
  <si>
    <t>Кол-во чел. в юните</t>
  </si>
  <si>
    <t>Кол-во юнитов</t>
  </si>
  <si>
    <t>Стоимость в пакете на юнит</t>
  </si>
  <si>
    <t>Ср.значение</t>
  </si>
  <si>
    <t>будни</t>
  </si>
  <si>
    <t>вых.</t>
  </si>
  <si>
    <t>МГН</t>
  </si>
  <si>
    <t>Завтрак на человека</t>
  </si>
  <si>
    <t>Среднее число гостей в номере</t>
  </si>
  <si>
    <t>Тип клиента</t>
  </si>
  <si>
    <t>Скидка (комиссия) средняя, %</t>
  </si>
  <si>
    <t>Доля в общем объеме продаж, %</t>
  </si>
  <si>
    <t>среднее количество гостей в номере</t>
  </si>
  <si>
    <t>Спортивные федерации и клубы</t>
  </si>
  <si>
    <t>Sport</t>
  </si>
  <si>
    <t>Индивидуальные брони с электронных систем продаж  (OTA )</t>
  </si>
  <si>
    <t>OTA</t>
  </si>
  <si>
    <t>Прямые продажи индивидуальным клиентам (Walk In)</t>
  </si>
  <si>
    <t>Retail</t>
  </si>
  <si>
    <t>FIT</t>
  </si>
  <si>
    <t>Банкеты, свадьбы</t>
  </si>
  <si>
    <t>BNQ</t>
  </si>
  <si>
    <t>Мероприятия (MICE)</t>
  </si>
  <si>
    <t>MICE</t>
  </si>
  <si>
    <t>Средняя скидка (комиссия) с учетом доли продаж, %</t>
  </si>
  <si>
    <t>Категория номера</t>
  </si>
  <si>
    <t xml:space="preserve">Кол-во но-меров </t>
  </si>
  <si>
    <t xml:space="preserve">Средняя стоимость проживания (ADR) (без НДС, завтрака и доп.услуг), руб. </t>
  </si>
  <si>
    <t xml:space="preserve">Средняя стоимость номера </t>
  </si>
  <si>
    <t>средняя цена за месяц</t>
  </si>
  <si>
    <t>Всего номеров</t>
  </si>
  <si>
    <t>Средняя цена номера ИТОГО</t>
  </si>
  <si>
    <t>Годы операционной работы</t>
  </si>
  <si>
    <t xml:space="preserve">2 год </t>
  </si>
  <si>
    <t>3 год</t>
  </si>
  <si>
    <t xml:space="preserve">4 год </t>
  </si>
  <si>
    <t xml:space="preserve">5 год </t>
  </si>
  <si>
    <t xml:space="preserve">6 год </t>
  </si>
  <si>
    <t xml:space="preserve">7 год </t>
  </si>
  <si>
    <t xml:space="preserve">8 год </t>
  </si>
  <si>
    <t xml:space="preserve">9 год </t>
  </si>
  <si>
    <t xml:space="preserve">10 год </t>
  </si>
  <si>
    <t xml:space="preserve">11 год </t>
  </si>
  <si>
    <t xml:space="preserve">12 год </t>
  </si>
  <si>
    <t xml:space="preserve">13 год </t>
  </si>
  <si>
    <t xml:space="preserve">14 год </t>
  </si>
  <si>
    <t>Выручка от продажи номеров в 1 полный финансовый год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</si>
  <si>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</si>
  <si>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</si>
  <si>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</si>
  <si>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</si>
  <si>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</si>
  <si>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</si>
  <si>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</si>
  <si>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</si>
  <si>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</si>
  <si>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</si>
  <si>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</si>
  <si>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</si>
  <si>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Дней в текущем месяце</t>
  </si>
  <si>
    <t>Потенциал номеро-суток</t>
  </si>
  <si>
    <t>Продано номеро-суток</t>
  </si>
  <si>
    <t>Загрузка номеров, %</t>
  </si>
  <si>
    <t>Средняя стоимость номера</t>
  </si>
  <si>
    <t>Средняя скидка за месяц</t>
  </si>
  <si>
    <t>Средняя стоимость со скидкой</t>
  </si>
  <si>
    <t>Выручка от продажи номеров, руб.</t>
  </si>
  <si>
    <t>Выручка от продажи номеров во 2 полный финансовый год</t>
  </si>
  <si>
    <t>Выручка от продажи номеров в 3 полный финансовый год</t>
  </si>
  <si>
    <t>Прогноз турпотока на 10 лет</t>
  </si>
  <si>
    <t>Параметр</t>
  </si>
  <si>
    <t>Годы работы курорта</t>
  </si>
  <si>
    <t>Загрузка курорта</t>
  </si>
  <si>
    <t>продано номеро-суток</t>
  </si>
  <si>
    <t>средняя количество гостей в номере</t>
  </si>
  <si>
    <t>с НДС</t>
  </si>
  <si>
    <t>без НДС</t>
  </si>
  <si>
    <t>Средняя стоимость завтрака на человека , руб.</t>
  </si>
  <si>
    <t>Средняя доля проданных завтраков от загрузки</t>
  </si>
  <si>
    <t>Средняя стоимость обеда на человека , руб.</t>
  </si>
  <si>
    <t>Средняя доля проданных обедов от загрузки</t>
  </si>
  <si>
    <t>Выручка от продажи питания в пакете в 1 полный финансовый год</t>
  </si>
  <si>
    <t>Загрузка номеров, %, в т.ч.:</t>
  </si>
  <si>
    <t>Продано номеро-суток без учета спортсменов</t>
  </si>
  <si>
    <t>Средняя стоимость завтрака без НДС</t>
  </si>
  <si>
    <t>Средняя стоимость обеда без НДС</t>
  </si>
  <si>
    <t>Доход на одну номеро-ночь от завтраков</t>
  </si>
  <si>
    <t>Доход на одну номеро-ночь от обедов</t>
  </si>
  <si>
    <t>ИТОГО от питания в пакете</t>
  </si>
  <si>
    <t>Выручка от продажи питания в пакете во 2 полный финансовый год</t>
  </si>
  <si>
    <t>Выручка от продажи питания в пакете в 3 полный финансовый год</t>
  </si>
  <si>
    <t>на человека</t>
  </si>
  <si>
    <t>на номер</t>
  </si>
  <si>
    <t>Стоимость посещения СПА в стоимости номера, руб. без НДС</t>
  </si>
  <si>
    <t>Стоимость посещения Развлекательного центра в стоимости номера, руб. без НДС</t>
  </si>
  <si>
    <t>Средняя доля проданного СПА и развлечений в пакете (без учета спортсменов)</t>
  </si>
  <si>
    <t>Выручка от продажи услуг ВОК в стоимости номера в 1 полный финансовый год</t>
  </si>
  <si>
    <t>Стоимость посещения СПА и развлекатлеьного центра  в стоимости номера, руб.</t>
  </si>
  <si>
    <t>Выручка от услуг СПА (в стоимости номера)</t>
  </si>
  <si>
    <t>Выручка от продажи услуг ВОК в стоимости номера во 2 полный финансовый год</t>
  </si>
  <si>
    <t>Выручка от продажи услуг ВОК в стоимости номера в 3 полный финансовый год</t>
  </si>
  <si>
    <t>Выручка от дополнительных услуг общественного питания 1 год</t>
  </si>
  <si>
    <t xml:space="preserve">ВСЕГО   </t>
  </si>
  <si>
    <t>Кол-во дней в месяце</t>
  </si>
  <si>
    <t xml:space="preserve">Средний чек </t>
  </si>
  <si>
    <t>Средний клиентооборот в месяц для постояльцев отеля</t>
  </si>
  <si>
    <t>Средний клипентооборот однодневных посетителей</t>
  </si>
  <si>
    <t xml:space="preserve">Итого выручка  </t>
  </si>
  <si>
    <t>Оценочный процент гостей бара от проживающих в отеле (без учета спортсменов)</t>
  </si>
  <si>
    <t xml:space="preserve">Кол-во посещений одним постольяцем отеля (без учета спортсменов) </t>
  </si>
  <si>
    <t>Цена на человека</t>
  </si>
  <si>
    <t>1 год</t>
  </si>
  <si>
    <t>2 год</t>
  </si>
  <si>
    <t xml:space="preserve">Цена за разовое посещение (2 часа) </t>
  </si>
  <si>
    <t xml:space="preserve">Кол-во сеансов в месяц  </t>
  </si>
  <si>
    <t>Среднее число гостей в сеанс</t>
  </si>
  <si>
    <t>Количество кабинетов</t>
  </si>
  <si>
    <t>Цена за процедуру</t>
  </si>
  <si>
    <t>Прочая выручка</t>
  </si>
  <si>
    <t>Администрация</t>
  </si>
  <si>
    <t>Экономист</t>
  </si>
  <si>
    <t>HR-отдел</t>
  </si>
  <si>
    <t>IT-отдел</t>
  </si>
  <si>
    <t>Бухгалтерия</t>
  </si>
  <si>
    <t>Главный бухгалтер</t>
  </si>
  <si>
    <t>Бухгалтер</t>
  </si>
  <si>
    <t>Бухгалтер-калькулятор</t>
  </si>
  <si>
    <t>кассир</t>
  </si>
  <si>
    <t>Служба безопасности</t>
  </si>
  <si>
    <t>Оператор видеонаблюдения</t>
  </si>
  <si>
    <t>Инженерно-техническая служба и АХО</t>
  </si>
  <si>
    <t>Транспортная служба</t>
  </si>
  <si>
    <t>Механик</t>
  </si>
  <si>
    <t>Служба Housekeeping</t>
  </si>
  <si>
    <t>Уборщик территории/ разнорабочий</t>
  </si>
  <si>
    <t>Кастелянша</t>
  </si>
  <si>
    <t>Носильщик</t>
  </si>
  <si>
    <t>Уборщик общежития</t>
  </si>
  <si>
    <t>Коммерческая служба</t>
  </si>
  <si>
    <t>Менеджер по бронированию</t>
  </si>
  <si>
    <t>Менеджер по рекламе</t>
  </si>
  <si>
    <t>Шеф-анимации</t>
  </si>
  <si>
    <t>Аниматор</t>
  </si>
  <si>
    <t>Воспитатель детской комнаты</t>
  </si>
  <si>
    <t>Ди-джей</t>
  </si>
  <si>
    <t>СПиР</t>
  </si>
  <si>
    <t>Руководитель СПиР</t>
  </si>
  <si>
    <t>Администратор</t>
  </si>
  <si>
    <t>Спасатель</t>
  </si>
  <si>
    <t>Ресторанно-банкетная служба</t>
  </si>
  <si>
    <t>Зав.производством (технолог)</t>
  </si>
  <si>
    <t>Заведующая складом (кладовщик)</t>
  </si>
  <si>
    <t>Менеджер зала</t>
  </si>
  <si>
    <t>Менеджер Банкетной службы</t>
  </si>
  <si>
    <t>Шеф-повар</t>
  </si>
  <si>
    <t>Су-Шеф</t>
  </si>
  <si>
    <t>Повар холодного цеха</t>
  </si>
  <si>
    <t>Повар раздаточной линии</t>
  </si>
  <si>
    <t>Пекарь -кондитер</t>
  </si>
  <si>
    <t>Шеф-стюард</t>
  </si>
  <si>
    <t>Мойщик столовой посуды</t>
  </si>
  <si>
    <t>Мойщик кухонной  посуды</t>
  </si>
  <si>
    <t>Официант</t>
  </si>
  <si>
    <t>Подсобный рабочий/заготовщик</t>
  </si>
  <si>
    <t>Грузчик</t>
  </si>
  <si>
    <t>Бассейн</t>
  </si>
  <si>
    <t>СПА-центр</t>
  </si>
  <si>
    <t>Коммунальные платежи</t>
  </si>
  <si>
    <r>
      <rPr>
        <b/>
        <sz val="14"/>
        <color rgb="FF000000"/>
        <rFont val="Times New Roman"/>
        <family val="1"/>
        <charset val="204"/>
      </rPr>
      <t>Прогноз индексов-дефляторов и инфляции до 2036 г. (в %, за год к предыдущему году)</t>
    </r>
    <r>
      <rPr>
        <b/>
        <u/>
        <sz val="14"/>
        <color rgb="FF000000"/>
        <rFont val="Times New Roman"/>
        <family val="1"/>
        <charset val="204"/>
      </rPr>
      <t xml:space="preserve"> (базовый вариант)</t>
    </r>
  </si>
  <si>
    <t>Промышленность (BCDE)</t>
  </si>
  <si>
    <t>Добыча полезных ископаемых (Раздел B)</t>
  </si>
  <si>
    <t xml:space="preserve">Добыча топливно-энергетических полезных ископаемых (05, 06+09) </t>
  </si>
  <si>
    <t>Добыча угля (05)</t>
  </si>
  <si>
    <t>Добыча сырой нефти и природного газа (06+09)</t>
  </si>
  <si>
    <t xml:space="preserve">Добыча металлических руд и прочих полезных ископаемых (07, 08) </t>
  </si>
  <si>
    <t>Добыча металлических руд (07)</t>
  </si>
  <si>
    <t>Добыча прочих полезных ископаемых (08)</t>
  </si>
  <si>
    <t>Обрабатывающие производства (Раздел C)</t>
  </si>
  <si>
    <t>Производство пищевых продуктов, напитков и табачных изделий (10, 11, 12)</t>
  </si>
  <si>
    <t>Производство текстильных изделий, 
Производство одежды, 
Производство кожи и изделий из кожи (13, 14, 15)</t>
  </si>
  <si>
    <t>Обработка древесины и производство изделий из дерева и пробки, кроме мебели, производство изделий из соломки и материалов для плетения (16)</t>
  </si>
  <si>
    <t>Производство бумаги и бумажных изделий (17)</t>
  </si>
  <si>
    <t>Производство нефтепродуктов (19.2)</t>
  </si>
  <si>
    <t>Производство химических веществ и химических продуктов, Производство лекарственных средств и материалов, применяемых в медицинских целях, 
Производство резиновых и пластмассовых изделий (20, 21, 22)</t>
  </si>
  <si>
    <t>Производство прочей неметаллической минеральной продукции (23)</t>
  </si>
  <si>
    <t>Производство готовых металлических изделий, кроме машин и оборудования (25)</t>
  </si>
  <si>
    <t xml:space="preserve">Производство черных металлов 
(24.1, 24.2, 24.3, 24.5) </t>
  </si>
  <si>
    <t>Производство основных драгоценных металлов и прочих цветных металлов, производство ядерного топлива (24.4)</t>
  </si>
  <si>
    <t>Продукция машиностроения (26, 27, 28, 29, 30, 33)</t>
  </si>
  <si>
    <t>Обеспечение электрической энергией, газом и паром; кондиционирование воздуха (35)</t>
  </si>
  <si>
    <t>Водоснабжение; водоотведение, организация сбора и утилизация отходов, деятельность по ликвидации загрязнений (Раздел E)</t>
  </si>
  <si>
    <t>Сельское хозяйство</t>
  </si>
  <si>
    <t>Транспорт, вкл. Трубопроводный</t>
  </si>
  <si>
    <t>Строительство</t>
  </si>
  <si>
    <t>Оборот розничной торговли</t>
  </si>
  <si>
    <t>Платные услуги населению</t>
  </si>
  <si>
    <t>Инфляция (ИПЦ) среднегодовая</t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</si>
  <si>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-за счет всех источников финансирования</t>
    </r>
  </si>
  <si>
    <t>Номер месяца</t>
  </si>
  <si>
    <t>Платные услуги населению в соответсвующем году</t>
  </si>
  <si>
    <t>Перевод в месячный показатель</t>
  </si>
  <si>
    <t>Показатель с нарастающим итогом</t>
  </si>
  <si>
    <t>Инвестиции в основной капитал 1</t>
  </si>
  <si>
    <t>Процентная ставка, год</t>
  </si>
  <si>
    <t>Процентная ставка, квартал</t>
  </si>
  <si>
    <t>Ставка % по кредиту, кварт</t>
  </si>
  <si>
    <t>Листы 7 и 8 ("Инфраструктура" и "График работ") содержат информацию об инфраструктуре будущего отеля и графику проведения капитальных работ и капиталовложений.</t>
  </si>
  <si>
    <t>ВРЕМЕННАЯ ШКАЛА. Начало периода</t>
  </si>
  <si>
    <t>ВРЕМЕННАЯ ШКАЛА. Конец периода</t>
  </si>
  <si>
    <t>IRR,год</t>
  </si>
  <si>
    <t>IRR, год (для собств. капитала)</t>
  </si>
  <si>
    <t>ВРЕМЕННАЯ ШКАЛА.Год</t>
  </si>
  <si>
    <t>Квартал. Конец периода</t>
  </si>
  <si>
    <t>Квартал. Начало периода</t>
  </si>
  <si>
    <t>Model (years)</t>
  </si>
  <si>
    <t>Инвестиционная модель реализации проекта Дмитров гольф: БДР, БДДС, Баланс в годовой разбивке</t>
  </si>
  <si>
    <t>Ставка % по кредиту, год</t>
  </si>
  <si>
    <t>Sensitivity (years)</t>
  </si>
  <si>
    <t>Анализ чувствительности проекта к изменению операционных и финансовых показателей в квартальной разбивке</t>
  </si>
  <si>
    <t>Анализ чувствительности проекта к изменению операционных и финансовых показателей в годовой разбивке</t>
  </si>
  <si>
    <t>% от выручки от Проживания</t>
  </si>
  <si>
    <t>% от общей выручки</t>
  </si>
  <si>
    <t>Рост тарифов до уровня конкурентов (занятие рынка)</t>
  </si>
  <si>
    <t>ИТОГО Рост цен</t>
  </si>
  <si>
    <t>Предполагаемый рост цен по годам, начиная со 2-го года операционной деятельности (инфляция согласно прогнозам МЭР)</t>
  </si>
  <si>
    <t>Поставщики (предоплата)</t>
  </si>
  <si>
    <t xml:space="preserve">авансы </t>
  </si>
  <si>
    <t>постоплаты (госзаказ)</t>
  </si>
  <si>
    <t>постоплаты</t>
  </si>
  <si>
    <t>Заработная плата (аванс 40%, отсрочка)</t>
  </si>
  <si>
    <t>Кол-во дней</t>
  </si>
  <si>
    <t xml:space="preserve">1 год </t>
  </si>
  <si>
    <t>Амортизация капитализированных %</t>
  </si>
  <si>
    <t>Резерв на обновление ОФ (недвижимость)</t>
  </si>
  <si>
    <t>Корректировка налога на прибыль по капитализируемым %</t>
  </si>
  <si>
    <t>Прочая КЗ (налоги)</t>
  </si>
  <si>
    <t>Налог на имущество (резерв на обновление ОФ)</t>
  </si>
  <si>
    <t>Амортизация (резерв на обновление ОФ)</t>
  </si>
  <si>
    <t>Бонусная выплата УК</t>
  </si>
  <si>
    <t>Налог на имущество первые 3 года</t>
  </si>
  <si>
    <t>Налог на имущество с 4-6 год</t>
  </si>
  <si>
    <t>Налог на имущество с 7-8 год</t>
  </si>
  <si>
    <t xml:space="preserve">       Наименование</t>
  </si>
  <si>
    <t>Кол-во номеров/мест</t>
  </si>
  <si>
    <t>Новое строительство на территории у бювета</t>
  </si>
  <si>
    <t>Visitor Centre</t>
  </si>
  <si>
    <t xml:space="preserve">Стандарт  Одноместный   </t>
  </si>
  <si>
    <t>Стандарт  Двухместный</t>
  </si>
  <si>
    <t>Джуниор Сьюит</t>
  </si>
  <si>
    <t xml:space="preserve">Номер Люкс                                </t>
  </si>
  <si>
    <t xml:space="preserve">Президентский сьюит                         </t>
  </si>
  <si>
    <t>Холл Ресепшен</t>
  </si>
  <si>
    <t>Бассейн детский</t>
  </si>
  <si>
    <t>Обертывания</t>
  </si>
  <si>
    <t>Аромо-паровая</t>
  </si>
  <si>
    <t>Сауна</t>
  </si>
  <si>
    <t>Снежный душ</t>
  </si>
  <si>
    <t>Соляная комната</t>
  </si>
  <si>
    <t>Душ впечатлений</t>
  </si>
  <si>
    <t>Фитобар</t>
  </si>
  <si>
    <t>Процедурные кабинеты</t>
  </si>
  <si>
    <t>Технические помещения</t>
  </si>
  <si>
    <t>Раздевалки</t>
  </si>
  <si>
    <t>ИТОГО ПЛОЩАДЬ ЗДАНИЙ</t>
  </si>
  <si>
    <t>Плоскостные сооружения</t>
  </si>
  <si>
    <t>Служебная парковка на 20 м/м</t>
  </si>
  <si>
    <t>Терренкур протяженностью 3000 м</t>
  </si>
  <si>
    <t>Холл</t>
  </si>
  <si>
    <t>Бассейн закрытый</t>
  </si>
  <si>
    <t>Детский бассейн</t>
  </si>
  <si>
    <t>Бассейн выплывной</t>
  </si>
  <si>
    <t>Термальная зона</t>
  </si>
  <si>
    <t xml:space="preserve">Холл с купелью и душевыми </t>
  </si>
  <si>
    <t>Бальнеологическая зона</t>
  </si>
  <si>
    <t>Зона отдыха Релакс</t>
  </si>
  <si>
    <t>Коридоры</t>
  </si>
  <si>
    <t>Общественные  зоны</t>
  </si>
  <si>
    <t>Эко-вилладж 4*</t>
  </si>
  <si>
    <t xml:space="preserve">Бассейн </t>
  </si>
  <si>
    <t>Детская зона бассейна</t>
  </si>
  <si>
    <t>Уличная часть бассейна</t>
  </si>
  <si>
    <t xml:space="preserve">Pool Bar                                  </t>
  </si>
  <si>
    <t>Зона Бань</t>
  </si>
  <si>
    <t>Фито зона</t>
  </si>
  <si>
    <t>Зал групповых занятий</t>
  </si>
  <si>
    <t>Административный Корпус</t>
  </si>
  <si>
    <t>Дом для персонала</t>
  </si>
  <si>
    <t>ВЗУ</t>
  </si>
  <si>
    <t>ТП</t>
  </si>
  <si>
    <t>Котельная Мини</t>
  </si>
  <si>
    <t>Веревочный Парк</t>
  </si>
  <si>
    <t>Терренкур</t>
  </si>
  <si>
    <t>Этно-деревня у водохранилища</t>
  </si>
  <si>
    <t>Острог</t>
  </si>
  <si>
    <t xml:space="preserve">Стандарт  Двухместный    </t>
  </si>
  <si>
    <t xml:space="preserve">Семейный номер </t>
  </si>
  <si>
    <t xml:space="preserve">Четырехместный  </t>
  </si>
  <si>
    <t xml:space="preserve">  </t>
  </si>
  <si>
    <t>кафе</t>
  </si>
  <si>
    <t>трапезная</t>
  </si>
  <si>
    <t>Терраса</t>
  </si>
  <si>
    <t>Кухня</t>
  </si>
  <si>
    <t>Дом-мастерская</t>
  </si>
  <si>
    <t>Ремесленнай цех/павильон</t>
  </si>
  <si>
    <t>Открытая площадка в ремесленной слободе</t>
  </si>
  <si>
    <t>Ремесленный и крестьянский базар</t>
  </si>
  <si>
    <t xml:space="preserve">Прокат </t>
  </si>
  <si>
    <t>Парусная школа</t>
  </si>
  <si>
    <t>Баня индивидуальная</t>
  </si>
  <si>
    <t>Лодочная станция с эллингом и зимним хранением</t>
  </si>
  <si>
    <t>Баня плавучая</t>
  </si>
  <si>
    <t>Причал</t>
  </si>
  <si>
    <t>Мостки для рыбалки</t>
  </si>
  <si>
    <t>Пляж</t>
  </si>
  <si>
    <t>Экотропа</t>
  </si>
  <si>
    <t>Смотровые площадки на тропе</t>
  </si>
  <si>
    <t>Детская площадка</t>
  </si>
  <si>
    <t xml:space="preserve">Мангальные зоны </t>
  </si>
  <si>
    <t>Горка</t>
  </si>
  <si>
    <t>Гостевая парковка</t>
  </si>
  <si>
    <t>Служебная парковка</t>
  </si>
  <si>
    <t>Инвестиции, руб.</t>
  </si>
  <si>
    <t>Макс. Цена станд</t>
  </si>
  <si>
    <t>Комплекс у бювета</t>
  </si>
  <si>
    <t>Посещение Водно-оздоровительного комплекса (бассейны и бани) 2 часа в день на человека</t>
  </si>
  <si>
    <t>Обед на человека</t>
  </si>
  <si>
    <t>Клиенты от туркомпаний, страховых и пр.</t>
  </si>
  <si>
    <t xml:space="preserve">Среднее количество гостей в номере </t>
  </si>
  <si>
    <t>поток туристов с проживанием</t>
  </si>
  <si>
    <t xml:space="preserve">Поток однодневных посетителей </t>
  </si>
  <si>
    <t xml:space="preserve">Кол-во посещений одним постояльцем отеля </t>
  </si>
  <si>
    <t xml:space="preserve">Оценочный процент гостей ресторана от проживающих в отеле </t>
  </si>
  <si>
    <t xml:space="preserve">Кол-во посещений одним гостем </t>
  </si>
  <si>
    <t>Оценочный процент гостей  от одднодневных посетителей</t>
  </si>
  <si>
    <t>Оценочный процент гостей бара от проживающих в отеле</t>
  </si>
  <si>
    <t xml:space="preserve">Кол-во посещений одним постольяцем отеля </t>
  </si>
  <si>
    <t>Панорамный Ресторан с террасой Шведский стол/ a la carte Комплекса "У Бювета"</t>
  </si>
  <si>
    <t>Винный Погреб (Галерея) "У Бювета"</t>
  </si>
  <si>
    <t>Чайный павильон "У Бювета"</t>
  </si>
  <si>
    <t>Детский Клуб "У Бювета"</t>
  </si>
  <si>
    <t>Зона Ретрита (Йога Лаунж) "У Бювета"</t>
  </si>
  <si>
    <t>Детская Игровая площадка "У Бювета"</t>
  </si>
  <si>
    <t>Площадка Воркаут "У Бювета"</t>
  </si>
  <si>
    <t>Гостевая парковка на 90 м/м у санатория</t>
  </si>
  <si>
    <t>Новый Бальнеологический центр Санатория</t>
  </si>
  <si>
    <t>Visitor  Center Эко-Вилладж</t>
  </si>
  <si>
    <t>Шале Тип №1 с террасой Эко-Вилладж</t>
  </si>
  <si>
    <t>Шале Тип №2 с террасой Эко-Вилладж</t>
  </si>
  <si>
    <t>Шале Тип №3 с террасой Эко-Вилладж</t>
  </si>
  <si>
    <t>Шале Тип №4 с террасой Эко-Вилладж</t>
  </si>
  <si>
    <t>Панорамный ресторан с террасой Эко-Вилладж</t>
  </si>
  <si>
    <t>Панорамное Кафе с террасой Эко-Вилладж</t>
  </si>
  <si>
    <t>Многофункциональный комплекс FRESH Эко-Вилладж</t>
  </si>
  <si>
    <t>Питьевой Бювет с террасой Эко-Вилладж</t>
  </si>
  <si>
    <t>Питьевой Бювет Санатория</t>
  </si>
  <si>
    <t>Шатер Многофункциональный  Эко-Вилладж</t>
  </si>
  <si>
    <t>Маяк с баром и смотровой площадкой Эко-Вилладж</t>
  </si>
  <si>
    <t>Пункт проката Эко-Вилладж</t>
  </si>
  <si>
    <t>Служебные объекты Эко-Вилладж</t>
  </si>
  <si>
    <t>Детская Игровая площадка Эко-Вилладж</t>
  </si>
  <si>
    <t>Универсальные спортивные площадки Эко-Вилладж</t>
  </si>
  <si>
    <t>Всесезонная  Тюбинговая горка взрослая Эко-Вилладж</t>
  </si>
  <si>
    <t>Всесезонная  Тюбинговая горка детская Эко-Вилладж</t>
  </si>
  <si>
    <t>Лодочная станция Эко-Вилладж</t>
  </si>
  <si>
    <t>Зона BBQ «Кострище» Эко-Вилладж</t>
  </si>
  <si>
    <t>Эко Тропа Эко-Вилладж</t>
  </si>
  <si>
    <t>Площадка ТБО Эко-Вилладж</t>
  </si>
  <si>
    <t>Гостевая парковка на 70 м/м Эко-Вилладж</t>
  </si>
  <si>
    <t>Комплекс "Трапезная" в Этно-Деревне</t>
  </si>
  <si>
    <t>Некапитальные домики в Этно-Деревне</t>
  </si>
  <si>
    <t>Гостиничный комплекс 3* в Этно-Деревне</t>
  </si>
  <si>
    <t>Музей в Этно-Деревне</t>
  </si>
  <si>
    <t>Ремесленная слобода (посад) в Этно-Деревне</t>
  </si>
  <si>
    <t>Рыбацкая деревня в Этно-Деревне</t>
  </si>
  <si>
    <t>Плоскостные сооружения в Этно-Деревне</t>
  </si>
  <si>
    <t>Дома для проживания</t>
  </si>
  <si>
    <t>Гостиничный комплекс 4* "У Бювета"</t>
  </si>
  <si>
    <t>Средняя стоимость коттеджа</t>
  </si>
  <si>
    <t>Средняя стоимость (ADR)</t>
  </si>
  <si>
    <t>ИТОГО ВЫРУЧКА ОТ ПРОЖИВАНИЯ</t>
  </si>
  <si>
    <t>субсидия</t>
  </si>
  <si>
    <t>коммерция в санатории</t>
  </si>
  <si>
    <t>Действующий корпус санатория с новым бальнеологическим комплексом</t>
  </si>
  <si>
    <t>СТД1М</t>
  </si>
  <si>
    <t>СТД2М</t>
  </si>
  <si>
    <t>СТД3М</t>
  </si>
  <si>
    <t>П/ЛЮКС</t>
  </si>
  <si>
    <t>ЛЮКС (джуниор сюит)</t>
  </si>
  <si>
    <t>VIP (Аппартаменты)</t>
  </si>
  <si>
    <t>Гостевой 518</t>
  </si>
  <si>
    <t>Действующий номерной фонд санатория</t>
  </si>
  <si>
    <t xml:space="preserve"> Площадь нового строительства, м2</t>
  </si>
  <si>
    <t>Площадь нового строительства итого, м2</t>
  </si>
  <si>
    <t xml:space="preserve">Прогноз  средней стоимости номера новых объектов (ADR) </t>
  </si>
  <si>
    <t xml:space="preserve">Средняя стоимость завтрака </t>
  </si>
  <si>
    <t>ВСЕГО ВЫРУЧКА ОБЩЕПИТА КОМПЛЕКСА "У БЮВЕТА"</t>
  </si>
  <si>
    <t>Кофе-бар</t>
  </si>
  <si>
    <t>ВСЕГО ВЫРУЧКА ОБЩЕПИТА Санатория</t>
  </si>
  <si>
    <t>Оценочный процент гостей бара от проживающих</t>
  </si>
  <si>
    <t xml:space="preserve">Оценочный процент гостей  от проживающих </t>
  </si>
  <si>
    <t xml:space="preserve">Средний клиентооборот в месяц для постояльцев </t>
  </si>
  <si>
    <t>Этно-деревня</t>
  </si>
  <si>
    <t>Однодневные посетители</t>
  </si>
  <si>
    <t>Масимальное количество в высокий сезон в день</t>
  </si>
  <si>
    <t>Служебная парковка 20 м/м Эко-Вилладж</t>
  </si>
  <si>
    <t>ВСЕГО ВЫРУЧКА ОБЩЕПИТА ЭКО-ВИЛЛАДЖ</t>
  </si>
  <si>
    <t xml:space="preserve">Дом в Этно-деревне Тип 1 </t>
  </si>
  <si>
    <t>Дом в Этно-деревне Тип 2</t>
  </si>
  <si>
    <t xml:space="preserve">среднее число гостей </t>
  </si>
  <si>
    <t xml:space="preserve">Количество мероприятий  в месяц </t>
  </si>
  <si>
    <t>Medical  SPA "У Бювета"</t>
  </si>
  <si>
    <t>Прочие услуги 1 финансовый год</t>
  </si>
  <si>
    <t>Водно-оздоровительный комплекс</t>
  </si>
  <si>
    <t>СПА-комплекс (Процедурные кабинеты)</t>
  </si>
  <si>
    <t>Массажные</t>
  </si>
  <si>
    <t>Процедурные</t>
  </si>
  <si>
    <t>Количество процедур в день максимально</t>
  </si>
  <si>
    <t>Количество процедур в месяц с учетом загрузки</t>
  </si>
  <si>
    <t>Водно-оздоровительный центр</t>
  </si>
  <si>
    <t>средний чек</t>
  </si>
  <si>
    <t>Оборот в месяц</t>
  </si>
  <si>
    <t>Прокат, магазин, рынок и пр.</t>
  </si>
  <si>
    <t>ВСЕГО ВЫРУЧКА ПРОЧИХ УСЛУГ КОМПЛЕКСА "У БЮВЕТА"</t>
  </si>
  <si>
    <t>ВСЕГО ВЫРУЧКА ПРОЧИХ УСЛУГ ЭКО-ВИЛЛАДЖ</t>
  </si>
  <si>
    <t>ВСЕГО ВЫРУЧКА ПРОЧИХ УСЛУГ ЭТНО-ДЕРЕВНИ</t>
  </si>
  <si>
    <t>Питание, входящее в стоимость номера</t>
  </si>
  <si>
    <t>Услуги доподнительгного общественного питания</t>
  </si>
  <si>
    <t>Прочие услуги</t>
  </si>
  <si>
    <t>Пакет (санаторно-курортная путевка)</t>
  </si>
  <si>
    <t>Выручка от процедур, не входящих в путевку</t>
  </si>
  <si>
    <t>ВСЕГО ВЫРУЧКА ПРОЧИХ УСЛУГ САНАТОРИЯ</t>
  </si>
  <si>
    <t>Доп. Услуги, входящие в стоимость номера</t>
  </si>
  <si>
    <t xml:space="preserve">Операционные расходы </t>
  </si>
  <si>
    <t>Затраты на аутсорсинг и доп. Выходы</t>
  </si>
  <si>
    <t>ВСЕГО ВЫРУЧКА</t>
  </si>
  <si>
    <t xml:space="preserve">% от вадовой  выручки </t>
  </si>
  <si>
    <t xml:space="preserve">Маркетинг и реклама </t>
  </si>
  <si>
    <t>справочно 2022 год</t>
  </si>
  <si>
    <t>4 год</t>
  </si>
  <si>
    <t>5 год</t>
  </si>
  <si>
    <t>6 год</t>
  </si>
  <si>
    <t>7 год</t>
  </si>
  <si>
    <t>8 год</t>
  </si>
  <si>
    <t>9 год</t>
  </si>
  <si>
    <t>10 год</t>
  </si>
  <si>
    <t>11 год</t>
  </si>
  <si>
    <t>12 год</t>
  </si>
  <si>
    <t>13 год</t>
  </si>
  <si>
    <t>14 год</t>
  </si>
  <si>
    <t>15 год</t>
  </si>
  <si>
    <t>16 год</t>
  </si>
  <si>
    <t>17 год</t>
  </si>
  <si>
    <t>18 год</t>
  </si>
  <si>
    <t>19 год</t>
  </si>
  <si>
    <t>20 год</t>
  </si>
  <si>
    <t>21 год</t>
  </si>
  <si>
    <t>22 год</t>
  </si>
  <si>
    <t>23 год</t>
  </si>
  <si>
    <t>24 год</t>
  </si>
  <si>
    <t>25 год</t>
  </si>
  <si>
    <t>Санаторий с бальнеолологическим центром и комплекс у бювета</t>
  </si>
  <si>
    <t>ИТОГО ВЫРУЧКА</t>
  </si>
  <si>
    <t>Пакет</t>
  </si>
  <si>
    <t>Стоимость пакета</t>
  </si>
  <si>
    <t>Проживание в комплексе у бювета</t>
  </si>
  <si>
    <t>Доп. Услуги</t>
  </si>
  <si>
    <t>Затраты, в т.ч.:</t>
  </si>
  <si>
    <t>Продукты</t>
  </si>
  <si>
    <t>Операционная прибыль</t>
  </si>
  <si>
    <t>Рентабельность</t>
  </si>
  <si>
    <t>Эко-вилладж</t>
  </si>
  <si>
    <t>ИТОГО ЗАТРАТЫ, в т.ч.:</t>
  </si>
  <si>
    <t>Средний чек на развлечения</t>
  </si>
  <si>
    <t>Объем услуг (в чеках)</t>
  </si>
  <si>
    <t>Выручка от услуг</t>
  </si>
  <si>
    <t xml:space="preserve">ФОТ </t>
  </si>
  <si>
    <t>Оплата комиссии мастерам</t>
  </si>
  <si>
    <t>Кластер Борисовский</t>
  </si>
  <si>
    <t>КЕМЕРОВСКАЯ  ОБЛАСТЬ/КРАПИВИНСКИЙ МУНИЦИПАЛЬНЫЙ ОКРУГ/
СЕЛО БОРИСОВО</t>
  </si>
  <si>
    <t>Площадь зданий комплекса "У Бювета"</t>
  </si>
  <si>
    <t>Площадь зданий Эко-Вилладж</t>
  </si>
  <si>
    <t>Площадь зданий Этно-деревни</t>
  </si>
  <si>
    <t>Площадь создаваемого бальнеологического центра</t>
  </si>
  <si>
    <t>Существующая плозадь санатория</t>
  </si>
  <si>
    <t>Водолечебница</t>
  </si>
  <si>
    <t>Прачечная</t>
  </si>
  <si>
    <t>Общественные и служебные помещения</t>
  </si>
  <si>
    <t>Лечебный блок</t>
  </si>
  <si>
    <t>Здание клуб-столовая</t>
  </si>
  <si>
    <t>Склад</t>
  </si>
  <si>
    <t>ИТОГО ПЛОЩАДЬ БАЛЬНЕОЛОГИЧЕСКОГО ЦЕНТРА, м2</t>
  </si>
  <si>
    <t>ИНВЕСТИЦИИ В БАЛЬНЕОЛОГИЧЕСКИЙ ЦЕНТР, руб.</t>
  </si>
  <si>
    <t>ИНВЕСТИЦИИ В РЕНОВАЦИЮ САНАТОРИЯ, РУБ.</t>
  </si>
  <si>
    <t>ИНВЕСТИЦИИ В ЭКО-ВИЛЛАДЖ</t>
  </si>
  <si>
    <t>ИТОГО ПЛОЩАДЬ ЗАДНИЙ ЭТНО-ДЕРЕВНИ</t>
  </si>
  <si>
    <t>ИНВЕСТИЦИИ В ЭТНО-ДЕРЕВНЮ</t>
  </si>
  <si>
    <t>ВСЕГО ИНВЕСТИЦИЙ</t>
  </si>
  <si>
    <t>Плоскостные сооружения в эко-вилладж</t>
  </si>
  <si>
    <t>Итоговая ставка с учетом субсидирования</t>
  </si>
  <si>
    <t>3 квартал</t>
  </si>
  <si>
    <t>4 квартал</t>
  </si>
  <si>
    <t>1 квартал</t>
  </si>
  <si>
    <t>2 квартал</t>
  </si>
  <si>
    <t>Подготовительные работы (бизнес-план, проектирование, получение разрешения на строительство, развертование площадок строительства)</t>
  </si>
  <si>
    <t>Отделочные работы (полы, стены, потолок)</t>
  </si>
  <si>
    <t>Оснащение и комплектация</t>
  </si>
  <si>
    <t>Подготовка к открытию</t>
  </si>
  <si>
    <t>Прочие непредвиденные расходы</t>
  </si>
  <si>
    <t>Этап 1. Создание санаторно-курортного комплекса Борисовский с Эко-вилладж</t>
  </si>
  <si>
    <t>1 этап</t>
  </si>
  <si>
    <t>1 кв</t>
  </si>
  <si>
    <t>2 кв</t>
  </si>
  <si>
    <t>3 кв</t>
  </si>
  <si>
    <t>4 кв</t>
  </si>
  <si>
    <t>5 кв.</t>
  </si>
  <si>
    <t>6 кв</t>
  </si>
  <si>
    <t>Этап 2. Создание Этно-деревни</t>
  </si>
  <si>
    <t>ПИР</t>
  </si>
  <si>
    <t>Реновация санатория с пристройкой бальнеологического центра</t>
  </si>
  <si>
    <t>Общежитие</t>
  </si>
  <si>
    <t>Жилой дом для врачей</t>
  </si>
  <si>
    <t>Создаваемые служебные объекты</t>
  </si>
  <si>
    <t>ИНВЕСТИЦИИ В ОБЩЕЖИТИЕ И ЖИЛОЙ ДОМ ДЛЯ ВРАЧЕЙ САНАТОРИЯ, РУБ.</t>
  </si>
  <si>
    <t xml:space="preserve">Спрачочно: инвестиции в реновацию по объектам </t>
  </si>
  <si>
    <t>Сумма, руб.</t>
  </si>
  <si>
    <t>Входная группа + Лобби</t>
  </si>
  <si>
    <t>Обеденные Залы + Кафе +Бювет</t>
  </si>
  <si>
    <t>Производство Кухня +Склады</t>
  </si>
  <si>
    <t>ИТОГО реновация</t>
  </si>
  <si>
    <t>ИТОГО создаваемые служебные объекты</t>
  </si>
  <si>
    <t>Проектирование</t>
  </si>
  <si>
    <t>СМР, отделка, комплектация</t>
  </si>
  <si>
    <t>Благоустройство</t>
  </si>
  <si>
    <t>Техническое сопровожденние</t>
  </si>
  <si>
    <t>Инженерные сети</t>
  </si>
  <si>
    <t>Затраты на Техническое сопровождение</t>
  </si>
  <si>
    <t>Непредвиденые расходы</t>
  </si>
  <si>
    <t>Инвестиции по этапам</t>
  </si>
  <si>
    <t>% от СМР</t>
  </si>
  <si>
    <t>Благоутройство и внешние сети</t>
  </si>
  <si>
    <t>Наименование должностей</t>
  </si>
  <si>
    <t>Руководители</t>
  </si>
  <si>
    <t>Лечебная часть</t>
  </si>
  <si>
    <t>Врачебный персонал</t>
  </si>
  <si>
    <t>Средний медицинский персонал</t>
  </si>
  <si>
    <t>медицинская сестра палатная (постовая)</t>
  </si>
  <si>
    <t>медицинская сестра по физиотерапии</t>
  </si>
  <si>
    <t>медицинская сестра процедурная</t>
  </si>
  <si>
    <t>инструктор ЛФК</t>
  </si>
  <si>
    <t>медицинская сестра (приемного отделения)</t>
  </si>
  <si>
    <t>медицинская сестра по массажу</t>
  </si>
  <si>
    <t>медицинский брат по массажу</t>
  </si>
  <si>
    <t>Младший медицинский персонал</t>
  </si>
  <si>
    <t>Сестра-хозяйка</t>
  </si>
  <si>
    <t>уборщик служебных помещений</t>
  </si>
  <si>
    <t>ВОДОЛЕЧЕБНИЦА</t>
  </si>
  <si>
    <t>Старшая медицинская сестра</t>
  </si>
  <si>
    <t>лаборант</t>
  </si>
  <si>
    <t>Отдел контроля питания</t>
  </si>
  <si>
    <t>Врач диетолог</t>
  </si>
  <si>
    <t>медицинская сестра диетическая</t>
  </si>
  <si>
    <t>Прочий персонал</t>
  </si>
  <si>
    <t>инструктор-методист по лечебной физкультуре</t>
  </si>
  <si>
    <t>психолог</t>
  </si>
  <si>
    <t xml:space="preserve">АПТЕЧНЫЙ ПУНКТ -1-ой группы </t>
  </si>
  <si>
    <t>фармацевт</t>
  </si>
  <si>
    <t>ОТДЕЛ ЗАКУПОК И СНАБЖЕНИЯ</t>
  </si>
  <si>
    <t>ОТДЕЛ ПРОДАЖ И МАРКЕТИНГА</t>
  </si>
  <si>
    <t>ОТДЕЛ ОРГАНИЗАЦИИ ДОСУГА ОТДЫХАЮЩИХ</t>
  </si>
  <si>
    <t>БУХГАЛТЕРИЯ</t>
  </si>
  <si>
    <t>ПЛАНОВО-ЭКОНОМИЧЕСКИЙ ОТДЕЛ</t>
  </si>
  <si>
    <t>СКЛАДСКОЕ ХОЗЯЙСТВО</t>
  </si>
  <si>
    <t>ПРАЧЕЧНАЯ</t>
  </si>
  <si>
    <t>ТЕХНИЧЕСКИЙ ОТДЕЛ</t>
  </si>
  <si>
    <t>ХОЗЯЙСТВЕННЫЙ ОТДЕЛ</t>
  </si>
  <si>
    <t>АВТОХОЗЯЙСТВО</t>
  </si>
  <si>
    <t>ОТДЕЛ ПИТАНИЯ</t>
  </si>
  <si>
    <t>Директор</t>
  </si>
  <si>
    <t>Главный врач</t>
  </si>
  <si>
    <t>Заместитель главного бухгалтера</t>
  </si>
  <si>
    <t>Заместитель директора по экономике и финансам</t>
  </si>
  <si>
    <t>Главная медицинская сестра</t>
  </si>
  <si>
    <t>Заведующий отделением врач невролог</t>
  </si>
  <si>
    <t>врач эндокринолог</t>
  </si>
  <si>
    <t xml:space="preserve">врач терапевт </t>
  </si>
  <si>
    <t>врач гинеколог</t>
  </si>
  <si>
    <t>врач физиотерапевт</t>
  </si>
  <si>
    <t>врач терапевт</t>
  </si>
  <si>
    <t>врач травматолог-ортопед</t>
  </si>
  <si>
    <t>врач функциональной диагностики</t>
  </si>
  <si>
    <t>врач гастроэнтеролог</t>
  </si>
  <si>
    <t>врач пульмонолог</t>
  </si>
  <si>
    <t>старшая медицинская сестра</t>
  </si>
  <si>
    <t xml:space="preserve">медицинская сестра палатная (постовая) </t>
  </si>
  <si>
    <t>фельдшер</t>
  </si>
  <si>
    <t>Младшая медицинская сестра</t>
  </si>
  <si>
    <t>секретарь-администратор</t>
  </si>
  <si>
    <t>инженер ГО и ЧС</t>
  </si>
  <si>
    <t>делопроизводитель</t>
  </si>
  <si>
    <t>специалист по кадровому делопроизводству</t>
  </si>
  <si>
    <t>специалист по охране труда</t>
  </si>
  <si>
    <t>юрисконсульт ведущий</t>
  </si>
  <si>
    <t>начальник службы безопасности</t>
  </si>
  <si>
    <t>архивариус</t>
  </si>
  <si>
    <t>начальник отдела кадров</t>
  </si>
  <si>
    <t>специалист по кадрам</t>
  </si>
  <si>
    <t>менеджер по снабжению</t>
  </si>
  <si>
    <t>менеджер закупок и продаж</t>
  </si>
  <si>
    <t>Начальник отдела закупок и снабжения</t>
  </si>
  <si>
    <t>системный администратор</t>
  </si>
  <si>
    <t>менеджер по рекламе</t>
  </si>
  <si>
    <t>Начальник отдела</t>
  </si>
  <si>
    <t>Старший администратор</t>
  </si>
  <si>
    <t>культорганизатор</t>
  </si>
  <si>
    <t>Концертмейстер</t>
  </si>
  <si>
    <t>приемщик пункта проката</t>
  </si>
  <si>
    <t xml:space="preserve"> бухгалтер по расчету с рабочими и служащими 1 категории</t>
  </si>
  <si>
    <t>Бухгалтер по учету и калькулированию продуктов питания 1категории</t>
  </si>
  <si>
    <t>Бухгалтер по учету материальных ценностей</t>
  </si>
  <si>
    <t>Бухгалтер по финансовому учету 1категории</t>
  </si>
  <si>
    <t>Бухгалтер по финансовому учету 1 категории</t>
  </si>
  <si>
    <t>Бухгалтер по учету материальных ценностей 2 категории</t>
  </si>
  <si>
    <t>экономист</t>
  </si>
  <si>
    <t>ведущий экономист по финансовой работе</t>
  </si>
  <si>
    <t>зав.складом</t>
  </si>
  <si>
    <t>кладовщик</t>
  </si>
  <si>
    <t>заведующая прачечной</t>
  </si>
  <si>
    <t>оператор стиральных машин</t>
  </si>
  <si>
    <t>начальник технического отдела</t>
  </si>
  <si>
    <t>электромеханик участка</t>
  </si>
  <si>
    <t>техник</t>
  </si>
  <si>
    <t>слесарь-электрик по ремонту и обслуживанию электрооборудования</t>
  </si>
  <si>
    <t>слесарь-сантехник</t>
  </si>
  <si>
    <t>столяр</t>
  </si>
  <si>
    <t>плотник</t>
  </si>
  <si>
    <t>электрогазосварщик</t>
  </si>
  <si>
    <t>каменщик</t>
  </si>
  <si>
    <t>кровельщик</t>
  </si>
  <si>
    <t>маляр</t>
  </si>
  <si>
    <t>лифтер</t>
  </si>
  <si>
    <t>начальник хозяйственного отдела</t>
  </si>
  <si>
    <t xml:space="preserve">горничная </t>
  </si>
  <si>
    <t xml:space="preserve">садовник </t>
  </si>
  <si>
    <t>сторож</t>
  </si>
  <si>
    <t xml:space="preserve">уборщик территории  </t>
  </si>
  <si>
    <t>дворник</t>
  </si>
  <si>
    <t>продавец непродовольственных товаров</t>
  </si>
  <si>
    <t>швея</t>
  </si>
  <si>
    <t>Механик гаража</t>
  </si>
  <si>
    <t>водитель</t>
  </si>
  <si>
    <t>тракторист</t>
  </si>
  <si>
    <t>слесарь по ремонту автомобилей</t>
  </si>
  <si>
    <t>начальник отдела</t>
  </si>
  <si>
    <t>шеф-повар(заведующий производством)</t>
  </si>
  <si>
    <t>администратор</t>
  </si>
  <si>
    <t>сестра хозяйка</t>
  </si>
  <si>
    <t xml:space="preserve">повар </t>
  </si>
  <si>
    <t>повар</t>
  </si>
  <si>
    <t>официант</t>
  </si>
  <si>
    <t>кухонный рабочий</t>
  </si>
  <si>
    <t>мойщик посуды</t>
  </si>
  <si>
    <t>бармен</t>
  </si>
  <si>
    <t>пекарь</t>
  </si>
  <si>
    <t>подсобный рабочий</t>
  </si>
  <si>
    <t>ЦЕХ ПО РОЗЛИВУ МИНЕРАЛЬНОЙ ВОДЫ</t>
  </si>
  <si>
    <t>Начальник производства (цеха)</t>
  </si>
  <si>
    <t>Технолог</t>
  </si>
  <si>
    <t>Механик - наладчик</t>
  </si>
  <si>
    <t>Инженер - наладчик</t>
  </si>
  <si>
    <t>Менеджер закупок и продаж</t>
  </si>
  <si>
    <t>Оператор линии розлива</t>
  </si>
  <si>
    <t>Водитель</t>
  </si>
  <si>
    <t>Оператор погрузочных-разгрузочных работ</t>
  </si>
  <si>
    <t>Оператор выдува ПЭТ - бутылок</t>
  </si>
  <si>
    <t>Кладовщик</t>
  </si>
  <si>
    <t>ОТДЕЛ ДОБЫЧИ МИНЕРАЛЬНОЙ ВОДЫ</t>
  </si>
  <si>
    <t>Машинист насосных установок</t>
  </si>
  <si>
    <t>Кол-во</t>
  </si>
  <si>
    <t>Размер заработной платы с учетом премий, руб.</t>
  </si>
  <si>
    <t>ИТОГО начисления с учетом количества вакансий</t>
  </si>
  <si>
    <t>Выплаты в фонды</t>
  </si>
  <si>
    <t>ИТОГО затраты на ФОТ</t>
  </si>
  <si>
    <t>Дополнительный персонал бальнеологического центра</t>
  </si>
  <si>
    <t>Администратор бальнеологического комплекса</t>
  </si>
  <si>
    <t>Уборщик помещений бальнеологического комплекса</t>
  </si>
  <si>
    <t>Медсестра</t>
  </si>
  <si>
    <t>Операционный менеджер</t>
  </si>
  <si>
    <t>Дествующее штатное расписание Санатория</t>
  </si>
  <si>
    <t>ИНФОРМАЦИОННО-ТЕХНИЧЕСКИЙ ОТДЕЛ</t>
  </si>
  <si>
    <t xml:space="preserve">Бухгалтер </t>
  </si>
  <si>
    <t xml:space="preserve">Инспектор </t>
  </si>
  <si>
    <t xml:space="preserve">Старшая горничная </t>
  </si>
  <si>
    <t>Прокат</t>
  </si>
  <si>
    <t>Администратор проката</t>
  </si>
  <si>
    <t xml:space="preserve">Бармен </t>
  </si>
  <si>
    <t xml:space="preserve">врач-терапевт </t>
  </si>
  <si>
    <t>Отдел снабжения</t>
  </si>
  <si>
    <t>АХО</t>
  </si>
  <si>
    <t>ВСЕГО ФОТ 1 ЭТАПА</t>
  </si>
  <si>
    <t>Продукты санатория</t>
  </si>
  <si>
    <t>Среднее значения по факту 2023  + 10%</t>
  </si>
  <si>
    <t>Требуемый размер инвестиций по 2 этапам</t>
  </si>
  <si>
    <t>Объекты 1 этапа</t>
  </si>
  <si>
    <t>ИТОГО ВЫРУЧКА ОБЪЕКТОВ ЭТАПА 1</t>
  </si>
  <si>
    <t>ЭТАП 1</t>
  </si>
  <si>
    <t>ВСЕГО ВЫРУЧКА ЭТНО-ДЕРЕВНИ</t>
  </si>
  <si>
    <t xml:space="preserve">Продукты "шведский стол" </t>
  </si>
  <si>
    <t>Средняя стоимость пакета , включая питание и лечение</t>
  </si>
  <si>
    <t>Повар - универсал</t>
  </si>
  <si>
    <t>Повар -универсал</t>
  </si>
  <si>
    <t>Операционный Директор</t>
  </si>
  <si>
    <t>Заместитель директора по административно - хозяйственной части</t>
  </si>
  <si>
    <t>IT отдел</t>
  </si>
  <si>
    <t>Технический отдел</t>
  </si>
  <si>
    <t>Супервайзер</t>
  </si>
  <si>
    <t>Менеджер по аренде</t>
  </si>
  <si>
    <t>Руководитель службы</t>
  </si>
  <si>
    <t>Объект 2 этапа</t>
  </si>
  <si>
    <t>У Бювета</t>
  </si>
  <si>
    <t>этно-деревня</t>
  </si>
  <si>
    <t>амортизапция</t>
  </si>
  <si>
    <t xml:space="preserve">налог на землю </t>
  </si>
  <si>
    <t>амортизация</t>
  </si>
  <si>
    <t>Ставка налога на прибыль первые 7 лет</t>
  </si>
  <si>
    <t>банковский кредит</t>
  </si>
  <si>
    <t>собственные средства</t>
  </si>
  <si>
    <t>Инвестор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</si>
</sst>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1"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#,##0_);\(#,##0\);&quot;--&quot;_)"/>
    <numFmt numFmtId="165" formatCode="dd/mm/yy"/>
    <numFmt numFmtId="166" formatCode="#,##0.00%_);\(#,##0.00%\);&quot;--&quot;_)"/>
    <numFmt numFmtId="167" formatCode="0.0%"/>
    <numFmt numFmtId="168" formatCode="#,##0.00\x_);\(#,##0.00\x\);&quot;--&quot;_)"/>
    <numFmt numFmtId="169" formatCode="#,##0.0%_);\(#,##0.0%\);&quot;--&quot;_)"/>
    <numFmt numFmtId="170" formatCode="_-* #,##0_-;\-* #,##0_-;_-* &quot;-&quot;??_-;_-@"/>
    <numFmt numFmtId="171" formatCode="#,##0.000_);\(#,##0.000\);&quot;--&quot;_)"/>
    <numFmt numFmtId="172" formatCode="#,##0%_);\(#,##0%\);&quot;--&quot;_)"/>
    <numFmt numFmtId="173" formatCode="_-* #,##0.00_-;\-* #,##0.00_-;_-* &quot;-&quot;??_-;_-@"/>
    <numFmt numFmtId="174" formatCode="###0_);\(###0\);&quot;--&quot;_)"/>
    <numFmt numFmtId="175" formatCode="#,##0.00_);\(#,##0.00\);&quot;--&quot;_)"/>
    <numFmt numFmtId="176" formatCode="#,##0.0_);\(#,##0.0\);&quot;--&quot;_)"/>
    <numFmt numFmtId="177" formatCode="\+#,##0.0%_);\-#,##0.0%_);&quot;--&quot;_)"/>
    <numFmt numFmtId="178" formatCode="\+#,##0%_);\-#,##0%_);&quot;--&quot;_)"/>
    <numFmt numFmtId="179" formatCode="_(* #,##0_);_(* \(#,##0\);_(* &quot;-&quot;_);_(@_)"/>
    <numFmt numFmtId="180" formatCode="#,##0_р_."/>
    <numFmt numFmtId="181" formatCode="0.0"/>
    <numFmt numFmtId="182" formatCode="_-* #,##0\ _р_._-;\-* #,##0\ _р_._-;_-* &quot;-&quot;\ _р_._-;_-@"/>
    <numFmt numFmtId="183" formatCode="0.00000%"/>
    <numFmt numFmtId="184" formatCode="#,##0.000_р_."/>
    <numFmt numFmtId="185" formatCode="_(* #,##0.00_);_(* \(#,##0.00\);_(* &quot;-&quot;_);_(@_)"/>
    <numFmt numFmtId="186" formatCode="#,##0\ _р_."/>
    <numFmt numFmtId="187" formatCode="#,##0.00_р_."/>
    <numFmt numFmtId="188" formatCode="#,##0.0"/>
    <numFmt numFmtId="189" formatCode="#,##0\ _₽"/>
    <numFmt numFmtId="190" formatCode="#,##0.0\ _₽"/>
    <numFmt numFmtId="191" formatCode="d\ mmmm\,\ yyyy"/>
    <numFmt numFmtId="192" formatCode="0_)"/>
    <numFmt numFmtId="193" formatCode="0.000"/>
    <numFmt numFmtId="194" formatCode="0.00_)"/>
    <numFmt numFmtId="195" formatCode="_-* #,##0.00\ _₽_-;\-* #,##0.00\ _₽_-;_-* &quot;-&quot;??\ _₽_-;_-@_-"/>
    <numFmt numFmtId="196" formatCode="_-* #,##0.00_р_._-;\-* #,##0.00_р_._-;_-* &quot;-&quot;??_р_._-;_-@_-"/>
    <numFmt numFmtId="197" formatCode="#,##0_ ;\(#,##0\);\-"/>
    <numFmt numFmtId="198" formatCode="_(* #,##0.00\x_);_(* \(#,##0.00\x\);_(* &quot;-&quot;_);_(@_)"/>
    <numFmt numFmtId="199" formatCode="#,##0_ ;\(#,##0\);\-\ "/>
    <numFmt numFmtId="200" formatCode="_-* #,##0\ _₽_-;\-* #,##0\ _₽_-;_-* &quot;-&quot;??\ _₽_-;_-@_-"/>
    <numFmt numFmtId="201" formatCode="#,##0_ ;\-#,##0\ "/>
    <numFmt numFmtId="202" formatCode="#,##0.00_ ;\-#,##0.00\ "/>
  </numFmts>
  <fonts count="126">
    <font>
      <sz val="10"/>
      <color rgb="FF000000"/>
      <name val="Arimo"/>
    </font>
    <font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</font>
    <font>
      <b/>
      <i/>
      <sz val="10"/>
      <name val="Arimo"/>
    </font>
    <font>
      <sz val="10"/>
      <name val="Arimo"/>
    </font>
    <font>
      <sz val="10"/>
      <name val="Calibri"/>
      <family val="2"/>
      <charset val="204"/>
    </font>
    <font>
      <b/>
      <sz val="12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0"/>
      <color rgb="FF0000FF"/>
      <name val="Calibri"/>
      <family val="2"/>
      <charset val="204"/>
    </font>
    <font>
      <sz val="10"/>
      <name val="Calibri"/>
      <family val="2"/>
      <charset val="204"/>
    </font>
    <font>
      <i/>
      <sz val="10"/>
      <name val="Calibri"/>
      <family val="2"/>
      <charset val="204"/>
    </font>
    <font>
      <b/>
      <sz val="12"/>
      <name val="Calibri"/>
      <family val="2"/>
      <charset val="204"/>
    </font>
    <font>
      <b/>
      <sz val="10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sz val="10"/>
      <color rgb="FFFF0000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sz val="10"/>
      <color rgb="FF000000"/>
      <name val="Noto Sans Symbols"/>
    </font>
    <font>
      <i/>
      <sz val="14"/>
      <color rgb="FF000000"/>
      <name val="Times New Roman"/>
      <family val="1"/>
      <charset val="204"/>
    </font>
    <font>
      <u/>
      <sz val="11"/>
      <name val="Calibri"/>
      <family val="2"/>
      <charset val="204"/>
    </font>
    <font>
      <u/>
      <sz val="11"/>
      <name val="Calibri"/>
      <family val="2"/>
      <charset val="204"/>
    </font>
    <font>
      <b/>
      <sz val="11"/>
      <name val="Calibri"/>
      <family val="2"/>
      <charset val="204"/>
    </font>
    <font>
      <u/>
      <sz val="10"/>
      <name val="Arimo"/>
    </font>
    <font>
      <sz val="10"/>
      <color rgb="FF2B2E33"/>
      <name val="Arial"/>
      <family val="2"/>
      <charset val="204"/>
    </font>
    <font>
      <sz val="10"/>
      <name val="Arimo"/>
    </font>
    <font>
      <b/>
      <sz val="10"/>
      <name val="Arimo"/>
    </font>
    <font>
      <sz val="10"/>
      <color rgb="FFFF0000"/>
      <name val="Arimo"/>
    </font>
    <font>
      <b/>
      <sz val="9"/>
      <name val="Arial Narrow"/>
      <family val="2"/>
      <charset val="204"/>
    </font>
    <font>
      <sz val="9"/>
      <name val="Arial Narrow"/>
      <family val="2"/>
      <charset val="204"/>
    </font>
    <font>
      <b/>
      <sz val="9"/>
      <color rgb="FF000000"/>
      <name val="Arial Narrow"/>
      <family val="2"/>
      <charset val="204"/>
    </font>
    <font>
      <b/>
      <sz val="8"/>
      <name val="Arial Narrow"/>
      <family val="2"/>
      <charset val="204"/>
    </font>
    <font>
      <b/>
      <i/>
      <sz val="8"/>
      <name val="Arial Narrow"/>
      <family val="2"/>
      <charset val="204"/>
    </font>
    <font>
      <sz val="9"/>
      <color rgb="FF000000"/>
      <name val="Arial Narrow"/>
      <family val="2"/>
      <charset val="204"/>
    </font>
    <font>
      <sz val="8"/>
      <color rgb="FF000000"/>
      <name val="Arial Narrow"/>
      <family val="2"/>
      <charset val="204"/>
    </font>
    <font>
      <sz val="8"/>
      <name val="Arial Narrow"/>
      <family val="2"/>
      <charset val="204"/>
    </font>
    <font>
      <b/>
      <sz val="8"/>
      <color rgb="FF000000"/>
      <name val="Arial Narrow"/>
      <family val="2"/>
      <charset val="204"/>
    </font>
    <font>
      <b/>
      <sz val="10"/>
      <name val="Arial Narrow"/>
      <family val="2"/>
      <charset val="204"/>
    </font>
    <font>
      <sz val="10"/>
      <name val="Arial Narrow"/>
      <family val="2"/>
      <charset val="204"/>
    </font>
    <font>
      <b/>
      <sz val="11"/>
      <name val="Arial Narrow"/>
      <family val="2"/>
      <charset val="204"/>
    </font>
    <font>
      <i/>
      <sz val="10"/>
      <name val="Arial Narrow"/>
      <family val="2"/>
      <charset val="204"/>
    </font>
    <font>
      <b/>
      <sz val="10"/>
      <color rgb="FF000000"/>
      <name val="Arial Narrow"/>
      <family val="2"/>
      <charset val="204"/>
    </font>
    <font>
      <sz val="10"/>
      <color rgb="FF000000"/>
      <name val="Arial Narrow"/>
      <family val="2"/>
      <charset val="204"/>
    </font>
    <font>
      <sz val="11"/>
      <name val="Calibri"/>
      <family val="2"/>
      <charset val="204"/>
    </font>
    <font>
      <sz val="11"/>
      <name val="Arial Narrow"/>
      <family val="2"/>
      <charset val="204"/>
    </font>
    <font>
      <sz val="11"/>
      <color rgb="FF000000"/>
      <name val="Arial Narrow"/>
      <family val="2"/>
      <charset val="204"/>
    </font>
    <font>
      <b/>
      <sz val="12"/>
      <name val="Arial Narrow"/>
      <family val="2"/>
      <charset val="204"/>
    </font>
    <font>
      <b/>
      <sz val="14"/>
      <name val="Arial Narrow"/>
      <family val="2"/>
      <charset val="204"/>
    </font>
    <font>
      <b/>
      <sz val="14"/>
      <color rgb="FF000000"/>
      <name val="Times New Roman"/>
      <family val="1"/>
      <charset val="204"/>
    </font>
    <font>
      <sz val="12"/>
      <color rgb="FF000000"/>
      <name val="Courier"/>
      <family val="3"/>
    </font>
    <font>
      <b/>
      <u/>
      <sz val="11"/>
      <color rgb="FF000000"/>
      <name val="Times"/>
      <family val="1"/>
    </font>
    <font>
      <b/>
      <sz val="12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rgb="FF800000"/>
      <name val="Courier"/>
      <family val="3"/>
    </font>
    <font>
      <sz val="11"/>
      <name val="Times New Roman"/>
      <family val="1"/>
      <charset val="204"/>
    </font>
    <font>
      <sz val="12"/>
      <color rgb="FF800000"/>
      <name val="Courier"/>
      <family val="3"/>
    </font>
    <font>
      <sz val="12"/>
      <name val="Times"/>
      <family val="1"/>
    </font>
    <font>
      <b/>
      <i/>
      <sz val="12"/>
      <color rgb="FF800000"/>
      <name val="Courier"/>
      <family val="3"/>
    </font>
    <font>
      <sz val="11"/>
      <color rgb="FF000000"/>
      <name val="Times"/>
      <family val="1"/>
    </font>
    <font>
      <sz val="12"/>
      <color rgb="FF0000FF"/>
      <name val="Courier"/>
      <family val="3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rgb="FF000000"/>
      <name val="Courier"/>
      <family val="3"/>
    </font>
    <font>
      <b/>
      <sz val="12"/>
      <color rgb="FF0000FF"/>
      <name val="Courier"/>
      <family val="3"/>
    </font>
    <font>
      <sz val="10"/>
      <name val="Courier"/>
      <family val="3"/>
    </font>
    <font>
      <sz val="10"/>
      <color rgb="FF000000"/>
      <name val="Courier"/>
      <family val="3"/>
    </font>
    <font>
      <b/>
      <sz val="11"/>
      <color rgb="FF800000"/>
      <name val="Times New Roman"/>
      <family val="1"/>
      <charset val="204"/>
    </font>
    <font>
      <sz val="12"/>
      <color rgb="FF000000"/>
      <name val="Cambria"/>
      <family val="1"/>
      <charset val="204"/>
    </font>
    <font>
      <sz val="11"/>
      <color rgb="FF000000"/>
      <name val="Courier"/>
      <family val="3"/>
    </font>
    <font>
      <sz val="7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u/>
      <sz val="14"/>
      <color rgb="FF00000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0"/>
      <color rgb="FF000000"/>
      <name val="Arimo"/>
    </font>
    <font>
      <b/>
      <sz val="10"/>
      <color rgb="FF000000"/>
      <name val="Arimo"/>
      <charset val="204"/>
    </font>
    <font>
      <sz val="8"/>
      <name val="Arimo"/>
    </font>
    <font>
      <b/>
      <sz val="10"/>
      <name val="Arimo"/>
      <charset val="204"/>
    </font>
    <font>
      <u/>
      <sz val="10"/>
      <color theme="10"/>
      <name val="Arimo"/>
    </font>
    <font>
      <sz val="10"/>
      <color theme="1"/>
      <name val="Century Gothic"/>
      <family val="2"/>
      <charset val="204"/>
    </font>
    <font>
      <b/>
      <sz val="10"/>
      <color theme="1"/>
      <name val="Century Gothic"/>
      <family val="2"/>
      <charset val="204"/>
    </font>
    <font>
      <b/>
      <sz val="14"/>
      <color theme="1"/>
      <name val="Century Gothic"/>
      <family val="2"/>
      <charset val="204"/>
    </font>
    <font>
      <u/>
      <sz val="10"/>
      <color theme="1"/>
      <name val="Century Gothic"/>
      <family val="2"/>
      <charset val="204"/>
    </font>
    <font>
      <i/>
      <sz val="10"/>
      <color theme="1"/>
      <name val="Century Gothic"/>
      <family val="2"/>
      <charset val="204"/>
    </font>
    <font>
      <b/>
      <sz val="12"/>
      <color theme="1"/>
      <name val="Century Gothic"/>
      <family val="2"/>
      <charset val="204"/>
    </font>
    <font>
      <sz val="10"/>
      <color rgb="FFFF0000"/>
      <name val="Century Gothic"/>
      <family val="2"/>
      <charset val="204"/>
    </font>
    <font>
      <sz val="10"/>
      <name val="Arial Cyr"/>
      <charset val="204"/>
    </font>
    <font>
      <sz val="10"/>
      <name val="Helv"/>
      <charset val="238"/>
    </font>
    <font>
      <sz val="10"/>
      <name val="Arial"/>
      <family val="2"/>
      <charset val="161"/>
    </font>
    <font>
      <sz val="10"/>
      <name val="Arial"/>
      <family val="2"/>
      <charset val="204"/>
    </font>
    <font>
      <b/>
      <sz val="11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1"/>
      <color indexed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  <charset val="204"/>
    </font>
    <font>
      <sz val="11"/>
      <color theme="1"/>
      <name val="Calibri"/>
      <family val="2"/>
      <charset val="204"/>
    </font>
    <font>
      <sz val="10"/>
      <color theme="1"/>
      <name val="Arial"/>
      <family val="2"/>
      <charset val="204"/>
    </font>
    <font>
      <b/>
      <sz val="12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theme="0"/>
      <name val="Arial"/>
      <family val="2"/>
      <charset val="204"/>
    </font>
    <font>
      <b/>
      <sz val="12"/>
      <color theme="5"/>
      <name val="Arial"/>
      <family val="2"/>
      <charset val="204"/>
    </font>
    <font>
      <i/>
      <sz val="10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1"/>
      <color theme="7" tint="-0.2499465926084170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1"/>
      <color theme="3"/>
      <name val="Arial"/>
      <family val="2"/>
      <charset val="204"/>
    </font>
    <font>
      <u/>
      <sz val="10"/>
      <color theme="10"/>
      <name val="Arial Cyr"/>
      <charset val="204"/>
    </font>
    <font>
      <sz val="10"/>
      <name val="Courier"/>
      <family val="1"/>
      <charset val="204"/>
    </font>
    <font>
      <b/>
      <sz val="12"/>
      <color rgb="FF000000"/>
      <name val="Arimo"/>
      <charset val="204"/>
    </font>
    <font>
      <sz val="12"/>
      <name val="Arimo"/>
      <charset val="204"/>
    </font>
    <font>
      <b/>
      <sz val="14"/>
      <color rgb="FF000000"/>
      <name val="Arimo"/>
      <charset val="204"/>
    </font>
    <font>
      <b/>
      <sz val="16"/>
      <color rgb="FF000000"/>
      <name val="Arimo"/>
      <charset val="204"/>
    </font>
    <font>
      <b/>
      <sz val="11"/>
      <color rgb="FF000000"/>
      <name val="Arial Narrow"/>
      <family val="2"/>
      <charset val="204"/>
    </font>
    <font>
      <i/>
      <u/>
      <sz val="10"/>
      <color theme="1"/>
      <name val="Century Gothic"/>
      <family val="2"/>
      <charset val="204"/>
    </font>
    <font>
      <b/>
      <sz val="11"/>
      <color theme="1"/>
      <name val="Century Gothic"/>
      <family val="2"/>
      <charset val="204"/>
    </font>
    <font>
      <b/>
      <u/>
      <sz val="10"/>
      <color theme="1"/>
      <name val="Century Gothic"/>
      <family val="2"/>
      <charset val="204"/>
    </font>
    <font>
      <b/>
      <sz val="12"/>
      <color rgb="FF000000"/>
      <name val="Arial Narrow"/>
      <family val="2"/>
      <charset val="204"/>
    </font>
    <font>
      <b/>
      <i/>
      <sz val="12"/>
      <color theme="1"/>
      <name val="Arial Narrow"/>
      <family val="2"/>
      <charset val="204"/>
    </font>
    <font>
      <b/>
      <sz val="14"/>
      <color rgb="FF000000"/>
      <name val="Arial Narrow"/>
      <family val="2"/>
      <charset val="204"/>
    </font>
    <font>
      <b/>
      <sz val="14"/>
      <name val="Calibri"/>
      <family val="2"/>
      <charset val="204"/>
    </font>
    <font>
      <b/>
      <sz val="16"/>
      <color rgb="FF000000"/>
      <name val="Arial Narrow"/>
      <family val="2"/>
      <charset val="204"/>
    </font>
    <font>
      <sz val="10"/>
      <color rgb="FF000000"/>
      <name val="Arimo"/>
      <charset val="204"/>
    </font>
  </fonts>
  <fills count="35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FC000"/>
        <bgColor rgb="FFFFC000"/>
      </patternFill>
    </fill>
    <fill>
      <patternFill patternType="solid">
        <fgColor rgb="FFEAF1DD"/>
        <bgColor rgb="FFEAF1DD"/>
      </patternFill>
    </fill>
    <fill>
      <patternFill patternType="solid">
        <fgColor rgb="FF92D050"/>
        <bgColor rgb="FF92D050"/>
      </patternFill>
    </fill>
    <fill>
      <patternFill patternType="solid">
        <fgColor rgb="FFFBD4B4"/>
        <bgColor rgb="FFFBD4B4"/>
      </patternFill>
    </fill>
    <fill>
      <patternFill patternType="solid">
        <fgColor rgb="FFFDE9D9"/>
        <bgColor rgb="FFFDE9D9"/>
      </patternFill>
    </fill>
    <fill>
      <patternFill patternType="solid">
        <fgColor rgb="FF00B050"/>
        <bgColor rgb="FF00B05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BFBFBF"/>
        <bgColor rgb="FFBFBFBF"/>
      </patternFill>
    </fill>
    <fill>
      <patternFill patternType="solid">
        <fgColor rgb="FF00B0F0"/>
        <bgColor rgb="FF00B0F0"/>
      </patternFill>
    </fill>
    <fill>
      <patternFill patternType="solid">
        <fgColor rgb="FF92CDDC"/>
        <bgColor rgb="FF92CDDC"/>
      </patternFill>
    </fill>
    <fill>
      <patternFill patternType="solid">
        <fgColor rgb="FFA5A5A5"/>
        <bgColor rgb="FFA5A5A5"/>
      </patternFill>
    </fill>
    <fill>
      <patternFill patternType="solid">
        <fgColor rgb="FF000000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2E49C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/>
        <bgColor theme="3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rgb="FFA5A5A5"/>
      </patternFill>
    </fill>
  </fills>
  <borders count="75">
    <border>
      <left/>
      <right/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E8E9EB"/>
      </bottom>
      <diagonal/>
    </border>
    <border>
      <left/>
      <right/>
      <top/>
      <bottom style="medium">
        <color rgb="FFE8E9EB"/>
      </bottom>
      <diagonal/>
    </border>
    <border>
      <left/>
      <right/>
      <top/>
      <bottom style="medium">
        <color rgb="FFE8E9EB"/>
      </bottom>
      <diagonal/>
    </border>
    <border>
      <left/>
      <right/>
      <top/>
      <bottom style="medium">
        <color rgb="FFE8E9EB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theme="3" tint="-0.24994659260841701"/>
      </bottom>
      <diagonal/>
    </border>
    <border>
      <left/>
      <right/>
      <top/>
      <bottom style="medium">
        <color theme="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3">
    <xf numFmtId="0" fontId="0" fillId="0" borderId="0"/>
    <xf numFmtId="0" fontId="74" fillId="0" borderId="46"/>
    <xf numFmtId="9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87" fillId="0" borderId="46"/>
    <xf numFmtId="0" fontId="87" fillId="0" borderId="46"/>
    <xf numFmtId="9" fontId="87" fillId="0" borderId="46" applyFont="0" applyFill="0" applyBorder="0" applyAlignment="0" applyProtection="0"/>
    <xf numFmtId="0" fontId="88" fillId="0" borderId="46"/>
    <xf numFmtId="196" fontId="87" fillId="0" borderId="46" applyFont="0" applyFill="0" applyBorder="0" applyAlignment="0" applyProtection="0"/>
    <xf numFmtId="0" fontId="89" fillId="0" borderId="46"/>
    <xf numFmtId="0" fontId="1" fillId="0" borderId="46"/>
    <xf numFmtId="9" fontId="1" fillId="0" borderId="46" applyFont="0" applyFill="0" applyBorder="0" applyAlignment="0" applyProtection="0"/>
    <xf numFmtId="0" fontId="87" fillId="0" borderId="46"/>
    <xf numFmtId="0" fontId="90" fillId="0" borderId="46"/>
    <xf numFmtId="0" fontId="1" fillId="0" borderId="46"/>
    <xf numFmtId="9" fontId="94" fillId="0" borderId="46" applyFont="0" applyFill="0" applyBorder="0" applyAlignment="0" applyProtection="0"/>
    <xf numFmtId="0" fontId="95" fillId="0" borderId="46" applyNumberFormat="0" applyFill="0" applyBorder="0" applyAlignment="0" applyProtection="0"/>
    <xf numFmtId="43" fontId="87" fillId="0" borderId="46" applyFont="0" applyFill="0" applyBorder="0" applyAlignment="0" applyProtection="0"/>
    <xf numFmtId="0" fontId="1" fillId="0" borderId="46"/>
    <xf numFmtId="9" fontId="1" fillId="0" borderId="46" applyFont="0" applyFill="0" applyBorder="0" applyAlignment="0" applyProtection="0"/>
    <xf numFmtId="0" fontId="87" fillId="0" borderId="46"/>
    <xf numFmtId="0" fontId="96" fillId="0" borderId="46"/>
    <xf numFmtId="0" fontId="1" fillId="0" borderId="46"/>
    <xf numFmtId="44" fontId="96" fillId="0" borderId="46" applyFont="0" applyFill="0" applyBorder="0" applyAlignment="0" applyProtection="0"/>
    <xf numFmtId="0" fontId="98" fillId="0" borderId="46"/>
    <xf numFmtId="9" fontId="1" fillId="0" borderId="46" applyFont="0" applyFill="0" applyBorder="0" applyAlignment="0" applyProtection="0"/>
    <xf numFmtId="0" fontId="104" fillId="0" borderId="72" applyNumberFormat="0" applyFill="0" applyAlignment="0" applyProtection="0"/>
    <xf numFmtId="0" fontId="104" fillId="0" borderId="73" applyNumberFormat="0" applyFill="0" applyAlignment="0" applyProtection="0"/>
    <xf numFmtId="0" fontId="107" fillId="0" borderId="46" applyNumberFormat="0" applyFill="0" applyBorder="0" applyAlignment="0" applyProtection="0"/>
    <xf numFmtId="1" fontId="100" fillId="30" borderId="46" applyBorder="0">
      <alignment vertical="center"/>
    </xf>
    <xf numFmtId="199" fontId="99" fillId="23" borderId="46"/>
    <xf numFmtId="199" fontId="105" fillId="25" borderId="70"/>
    <xf numFmtId="199" fontId="103" fillId="29" borderId="49"/>
    <xf numFmtId="199" fontId="105" fillId="27" borderId="70"/>
    <xf numFmtId="199" fontId="99" fillId="23" borderId="71"/>
    <xf numFmtId="199" fontId="90" fillId="26" borderId="46"/>
    <xf numFmtId="198" fontId="99" fillId="23" borderId="46"/>
    <xf numFmtId="197" fontId="101" fillId="23" borderId="46"/>
    <xf numFmtId="199" fontId="106" fillId="25" borderId="69"/>
    <xf numFmtId="199" fontId="102" fillId="23" borderId="46"/>
    <xf numFmtId="10" fontId="105" fillId="27" borderId="70"/>
    <xf numFmtId="199" fontId="105" fillId="28" borderId="70"/>
    <xf numFmtId="0" fontId="101" fillId="0" borderId="46"/>
    <xf numFmtId="9" fontId="1" fillId="0" borderId="46" applyFont="0" applyFill="0" applyBorder="0" applyAlignment="0" applyProtection="0"/>
    <xf numFmtId="0" fontId="108" fillId="0" borderId="46" applyNumberFormat="0" applyFill="0" applyBorder="0" applyAlignment="0" applyProtection="0"/>
    <xf numFmtId="9" fontId="1" fillId="0" borderId="46" applyFont="0" applyFill="0" applyBorder="0" applyAlignment="0" applyProtection="0"/>
    <xf numFmtId="0" fontId="109" fillId="0" borderId="46" applyNumberFormat="0" applyFill="0" applyBorder="0" applyAlignment="0" applyProtection="0"/>
    <xf numFmtId="9" fontId="1" fillId="0" borderId="46" applyFont="0" applyFill="0" applyBorder="0" applyAlignment="0" applyProtection="0"/>
    <xf numFmtId="0" fontId="1" fillId="0" borderId="46"/>
    <xf numFmtId="0" fontId="87" fillId="0" borderId="46"/>
    <xf numFmtId="9" fontId="87" fillId="0" borderId="46" applyFont="0" applyFill="0" applyBorder="0" applyAlignment="0" applyProtection="0"/>
    <xf numFmtId="196" fontId="87" fillId="0" borderId="46" applyFont="0" applyFill="0" applyBorder="0" applyAlignment="0" applyProtection="0"/>
    <xf numFmtId="0" fontId="1" fillId="0" borderId="46"/>
    <xf numFmtId="9" fontId="1" fillId="0" borderId="46" applyFont="0" applyFill="0" applyBorder="0" applyAlignment="0" applyProtection="0"/>
    <xf numFmtId="0" fontId="1" fillId="0" borderId="46"/>
    <xf numFmtId="43" fontId="87" fillId="0" borderId="46" applyFont="0" applyFill="0" applyBorder="0" applyAlignment="0" applyProtection="0"/>
    <xf numFmtId="0" fontId="1" fillId="0" borderId="46"/>
    <xf numFmtId="9" fontId="1" fillId="0" borderId="46" applyFont="0" applyFill="0" applyBorder="0" applyAlignment="0" applyProtection="0"/>
    <xf numFmtId="0" fontId="1" fillId="0" borderId="46"/>
    <xf numFmtId="44" fontId="96" fillId="0" borderId="46" applyFont="0" applyFill="0" applyBorder="0" applyAlignment="0" applyProtection="0"/>
    <xf numFmtId="9" fontId="1" fillId="0" borderId="46" applyFont="0" applyFill="0" applyBorder="0" applyAlignment="0" applyProtection="0"/>
    <xf numFmtId="9" fontId="1" fillId="0" borderId="46" applyFont="0" applyFill="0" applyBorder="0" applyAlignment="0" applyProtection="0"/>
    <xf numFmtId="9" fontId="1" fillId="0" borderId="46" applyFont="0" applyFill="0" applyBorder="0" applyAlignment="0" applyProtection="0"/>
    <xf numFmtId="9" fontId="1" fillId="0" borderId="46" applyFont="0" applyFill="0" applyBorder="0" applyAlignment="0" applyProtection="0"/>
    <xf numFmtId="0" fontId="1" fillId="0" borderId="46"/>
    <xf numFmtId="9" fontId="1" fillId="0" borderId="46" applyFont="0" applyFill="0" applyBorder="0" applyAlignment="0" applyProtection="0"/>
    <xf numFmtId="0" fontId="1" fillId="0" borderId="46"/>
    <xf numFmtId="43" fontId="87" fillId="0" borderId="46" applyFont="0" applyFill="0" applyBorder="0" applyAlignment="0" applyProtection="0"/>
    <xf numFmtId="0" fontId="1" fillId="0" borderId="46"/>
    <xf numFmtId="9" fontId="1" fillId="0" borderId="46" applyFont="0" applyFill="0" applyBorder="0" applyAlignment="0" applyProtection="0"/>
    <xf numFmtId="0" fontId="1" fillId="0" borderId="46"/>
    <xf numFmtId="44" fontId="96" fillId="0" borderId="46" applyFont="0" applyFill="0" applyBorder="0" applyAlignment="0" applyProtection="0"/>
    <xf numFmtId="9" fontId="1" fillId="0" borderId="46" applyFont="0" applyFill="0" applyBorder="0" applyAlignment="0" applyProtection="0"/>
    <xf numFmtId="9" fontId="1" fillId="0" borderId="46" applyFont="0" applyFill="0" applyBorder="0" applyAlignment="0" applyProtection="0"/>
    <xf numFmtId="9" fontId="1" fillId="0" borderId="46" applyFont="0" applyFill="0" applyBorder="0" applyAlignment="0" applyProtection="0"/>
    <xf numFmtId="9" fontId="1" fillId="0" borderId="46" applyFont="0" applyFill="0" applyBorder="0" applyAlignment="0" applyProtection="0"/>
    <xf numFmtId="0" fontId="74" fillId="0" borderId="46"/>
    <xf numFmtId="0" fontId="110" fillId="0" borderId="46" applyNumberFormat="0" applyFill="0" applyBorder="0" applyAlignment="0" applyProtection="0"/>
    <xf numFmtId="0" fontId="1" fillId="0" borderId="46"/>
    <xf numFmtId="192" fontId="111" fillId="0" borderId="46"/>
    <xf numFmtId="0" fontId="1" fillId="0" borderId="46"/>
    <xf numFmtId="0" fontId="1" fillId="0" borderId="46"/>
  </cellStyleXfs>
  <cellXfs count="868">
    <xf numFmtId="0" fontId="0" fillId="0" borderId="0" xfId="0"/>
    <xf numFmtId="164" fontId="2" fillId="2" borderId="1" xfId="0" applyNumberFormat="1" applyFont="1" applyFill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vertical="center"/>
    </xf>
    <xf numFmtId="164" fontId="5" fillId="0" borderId="0" xfId="0" applyNumberFormat="1" applyFont="1"/>
    <xf numFmtId="164" fontId="6" fillId="0" borderId="0" xfId="0" applyNumberFormat="1" applyFont="1"/>
    <xf numFmtId="164" fontId="7" fillId="0" borderId="0" xfId="0" applyNumberFormat="1" applyFont="1"/>
    <xf numFmtId="164" fontId="2" fillId="2" borderId="2" xfId="0" applyNumberFormat="1" applyFont="1" applyFill="1" applyBorder="1"/>
    <xf numFmtId="164" fontId="5" fillId="2" borderId="3" xfId="0" applyNumberFormat="1" applyFont="1" applyFill="1" applyBorder="1"/>
    <xf numFmtId="164" fontId="5" fillId="0" borderId="4" xfId="0" applyNumberFormat="1" applyFont="1" applyBorder="1" applyAlignment="1">
      <alignment horizontal="left"/>
    </xf>
    <xf numFmtId="164" fontId="8" fillId="0" borderId="5" xfId="0" applyNumberFormat="1" applyFont="1" applyBorder="1"/>
    <xf numFmtId="164" fontId="8" fillId="0" borderId="6" xfId="0" applyNumberFormat="1" applyFont="1" applyBorder="1" applyAlignment="1">
      <alignment horizontal="left"/>
    </xf>
    <xf numFmtId="165" fontId="8" fillId="0" borderId="5" xfId="0" applyNumberFormat="1" applyFont="1" applyBorder="1"/>
    <xf numFmtId="165" fontId="8" fillId="0" borderId="6" xfId="0" applyNumberFormat="1" applyFont="1" applyBorder="1" applyAlignment="1">
      <alignment horizontal="center"/>
    </xf>
    <xf numFmtId="164" fontId="8" fillId="0" borderId="6" xfId="0" applyNumberFormat="1" applyFont="1" applyBorder="1" applyAlignment="1">
      <alignment horizontal="center"/>
    </xf>
    <xf numFmtId="164" fontId="5" fillId="0" borderId="7" xfId="0" applyNumberFormat="1" applyFont="1" applyBorder="1"/>
    <xf numFmtId="10" fontId="8" fillId="3" borderId="6" xfId="0" applyNumberFormat="1" applyFont="1" applyFill="1" applyBorder="1"/>
    <xf numFmtId="164" fontId="8" fillId="0" borderId="6" xfId="0" applyNumberFormat="1" applyFont="1" applyBorder="1"/>
    <xf numFmtId="164" fontId="5" fillId="0" borderId="5" xfId="0" applyNumberFormat="1" applyFont="1" applyBorder="1"/>
    <xf numFmtId="166" fontId="8" fillId="0" borderId="6" xfId="0" applyNumberFormat="1" applyFont="1" applyBorder="1"/>
    <xf numFmtId="164" fontId="5" fillId="2" borderId="2" xfId="0" applyNumberFormat="1" applyFont="1" applyFill="1" applyBorder="1"/>
    <xf numFmtId="167" fontId="8" fillId="0" borderId="6" xfId="0" applyNumberFormat="1" applyFont="1" applyBorder="1"/>
    <xf numFmtId="164" fontId="8" fillId="0" borderId="8" xfId="0" applyNumberFormat="1" applyFont="1" applyBorder="1"/>
    <xf numFmtId="168" fontId="9" fillId="0" borderId="8" xfId="0" applyNumberFormat="1" applyFont="1" applyBorder="1"/>
    <xf numFmtId="9" fontId="8" fillId="0" borderId="6" xfId="0" applyNumberFormat="1" applyFont="1" applyBorder="1"/>
    <xf numFmtId="164" fontId="5" fillId="0" borderId="0" xfId="0" applyNumberFormat="1" applyFont="1" applyAlignment="1">
      <alignment horizontal="left"/>
    </xf>
    <xf numFmtId="164" fontId="5" fillId="0" borderId="0" xfId="0" applyNumberFormat="1" applyFont="1" applyAlignment="1">
      <alignment horizontal="left" vertical="center"/>
    </xf>
    <xf numFmtId="164" fontId="5" fillId="0" borderId="0" xfId="0" applyNumberFormat="1" applyFont="1" applyAlignment="1">
      <alignment horizontal="center" vertical="center"/>
    </xf>
    <xf numFmtId="164" fontId="5" fillId="0" borderId="7" xfId="0" applyNumberFormat="1" applyFont="1" applyBorder="1" applyAlignment="1">
      <alignment horizontal="right"/>
    </xf>
    <xf numFmtId="164" fontId="5" fillId="0" borderId="7" xfId="0" applyNumberFormat="1" applyFont="1" applyBorder="1" applyAlignment="1">
      <alignment horizontal="right" vertical="center"/>
    </xf>
    <xf numFmtId="169" fontId="8" fillId="0" borderId="6" xfId="0" applyNumberFormat="1" applyFont="1" applyBorder="1"/>
    <xf numFmtId="164" fontId="10" fillId="0" borderId="4" xfId="0" applyNumberFormat="1" applyFont="1" applyBorder="1" applyAlignment="1">
      <alignment horizontal="right"/>
    </xf>
    <xf numFmtId="170" fontId="8" fillId="0" borderId="6" xfId="0" applyNumberFormat="1" applyFont="1" applyBorder="1"/>
    <xf numFmtId="164" fontId="8" fillId="0" borderId="0" xfId="0" applyNumberFormat="1" applyFont="1"/>
    <xf numFmtId="164" fontId="9" fillId="0" borderId="0" xfId="0" applyNumberFormat="1" applyFont="1"/>
    <xf numFmtId="164" fontId="11" fillId="0" borderId="0" xfId="0" applyNumberFormat="1" applyFont="1"/>
    <xf numFmtId="164" fontId="12" fillId="0" borderId="0" xfId="0" applyNumberFormat="1" applyFont="1"/>
    <xf numFmtId="171" fontId="9" fillId="0" borderId="0" xfId="0" applyNumberFormat="1" applyFont="1"/>
    <xf numFmtId="172" fontId="9" fillId="0" borderId="0" xfId="0" applyNumberFormat="1" applyFont="1" applyAlignment="1">
      <alignment horizontal="right"/>
    </xf>
    <xf numFmtId="173" fontId="9" fillId="0" borderId="0" xfId="0" applyNumberFormat="1" applyFont="1" applyAlignment="1">
      <alignment horizontal="right"/>
    </xf>
    <xf numFmtId="164" fontId="9" fillId="0" borderId="0" xfId="0" applyNumberFormat="1" applyFont="1" applyAlignment="1">
      <alignment horizontal="center" vertical="center"/>
    </xf>
    <xf numFmtId="164" fontId="9" fillId="0" borderId="9" xfId="0" applyNumberFormat="1" applyFont="1" applyBorder="1"/>
    <xf numFmtId="164" fontId="12" fillId="0" borderId="9" xfId="0" applyNumberFormat="1" applyFont="1" applyBorder="1"/>
    <xf numFmtId="165" fontId="9" fillId="4" borderId="10" xfId="0" applyNumberFormat="1" applyFont="1" applyFill="1" applyBorder="1" applyAlignment="1">
      <alignment horizontal="center"/>
    </xf>
    <xf numFmtId="165" fontId="9" fillId="0" borderId="9" xfId="0" applyNumberFormat="1" applyFont="1" applyBorder="1" applyAlignment="1">
      <alignment horizontal="center"/>
    </xf>
    <xf numFmtId="174" fontId="9" fillId="4" borderId="11" xfId="0" applyNumberFormat="1" applyFont="1" applyFill="1" applyBorder="1"/>
    <xf numFmtId="174" fontId="9" fillId="0" borderId="0" xfId="0" applyNumberFormat="1" applyFont="1"/>
    <xf numFmtId="174" fontId="12" fillId="0" borderId="0" xfId="0" applyNumberFormat="1" applyFont="1"/>
    <xf numFmtId="164" fontId="9" fillId="0" borderId="12" xfId="0" applyNumberFormat="1" applyFont="1" applyBorder="1" applyAlignment="1">
      <alignment horizontal="left"/>
    </xf>
    <xf numFmtId="164" fontId="9" fillId="0" borderId="12" xfId="0" applyNumberFormat="1" applyFont="1" applyBorder="1"/>
    <xf numFmtId="3" fontId="9" fillId="4" borderId="13" xfId="0" applyNumberFormat="1" applyFont="1" applyFill="1" applyBorder="1" applyAlignment="1">
      <alignment horizontal="right"/>
    </xf>
    <xf numFmtId="164" fontId="9" fillId="0" borderId="12" xfId="0" applyNumberFormat="1" applyFont="1" applyBorder="1" applyAlignment="1">
      <alignment horizontal="right"/>
    </xf>
    <xf numFmtId="164" fontId="9" fillId="4" borderId="13" xfId="0" applyNumberFormat="1" applyFont="1" applyFill="1" applyBorder="1"/>
    <xf numFmtId="164" fontId="9" fillId="0" borderId="14" xfId="0" applyNumberFormat="1" applyFont="1" applyBorder="1" applyAlignment="1">
      <alignment horizontal="left"/>
    </xf>
    <xf numFmtId="164" fontId="9" fillId="0" borderId="14" xfId="0" applyNumberFormat="1" applyFont="1" applyBorder="1"/>
    <xf numFmtId="3" fontId="9" fillId="4" borderId="15" xfId="0" applyNumberFormat="1" applyFont="1" applyFill="1" applyBorder="1" applyAlignment="1">
      <alignment horizontal="right"/>
    </xf>
    <xf numFmtId="164" fontId="9" fillId="0" borderId="14" xfId="0" applyNumberFormat="1" applyFont="1" applyBorder="1" applyAlignment="1">
      <alignment horizontal="right"/>
    </xf>
    <xf numFmtId="164" fontId="9" fillId="4" borderId="15" xfId="0" applyNumberFormat="1" applyFont="1" applyFill="1" applyBorder="1"/>
    <xf numFmtId="3" fontId="9" fillId="4" borderId="11" xfId="0" applyNumberFormat="1" applyFont="1" applyFill="1" applyBorder="1"/>
    <xf numFmtId="164" fontId="9" fillId="4" borderId="11" xfId="0" applyNumberFormat="1" applyFont="1" applyFill="1" applyBorder="1"/>
    <xf numFmtId="174" fontId="9" fillId="4" borderId="10" xfId="0" applyNumberFormat="1" applyFont="1" applyFill="1" applyBorder="1"/>
    <xf numFmtId="174" fontId="9" fillId="0" borderId="9" xfId="0" applyNumberFormat="1" applyFont="1" applyBorder="1"/>
    <xf numFmtId="164" fontId="9" fillId="0" borderId="0" xfId="0" applyNumberFormat="1" applyFont="1" applyAlignment="1">
      <alignment horizontal="left"/>
    </xf>
    <xf numFmtId="172" fontId="9" fillId="4" borderId="11" xfId="0" applyNumberFormat="1" applyFont="1" applyFill="1" applyBorder="1" applyAlignment="1">
      <alignment horizontal="right"/>
    </xf>
    <xf numFmtId="169" fontId="9" fillId="0" borderId="0" xfId="0" applyNumberFormat="1" applyFont="1" applyAlignment="1">
      <alignment horizontal="right"/>
    </xf>
    <xf numFmtId="172" fontId="5" fillId="0" borderId="0" xfId="0" applyNumberFormat="1" applyFont="1" applyAlignment="1">
      <alignment horizontal="right"/>
    </xf>
    <xf numFmtId="164" fontId="12" fillId="5" borderId="10" xfId="0" applyNumberFormat="1" applyFont="1" applyFill="1" applyBorder="1"/>
    <xf numFmtId="164" fontId="9" fillId="5" borderId="10" xfId="0" applyNumberFormat="1" applyFont="1" applyFill="1" applyBorder="1"/>
    <xf numFmtId="165" fontId="5" fillId="0" borderId="9" xfId="0" applyNumberFormat="1" applyFont="1" applyBorder="1" applyAlignment="1">
      <alignment horizontal="center"/>
    </xf>
    <xf numFmtId="164" fontId="12" fillId="0" borderId="5" xfId="0" applyNumberFormat="1" applyFont="1" applyBorder="1"/>
    <xf numFmtId="164" fontId="12" fillId="4" borderId="2" xfId="0" applyNumberFormat="1" applyFont="1" applyFill="1" applyBorder="1"/>
    <xf numFmtId="164" fontId="2" fillId="0" borderId="5" xfId="0" applyNumberFormat="1" applyFont="1" applyBorder="1"/>
    <xf numFmtId="164" fontId="13" fillId="0" borderId="0" xfId="0" applyNumberFormat="1" applyFont="1" applyAlignment="1">
      <alignment horizontal="left"/>
    </xf>
    <xf numFmtId="164" fontId="9" fillId="0" borderId="5" xfId="0" applyNumberFormat="1" applyFont="1" applyBorder="1"/>
    <xf numFmtId="164" fontId="12" fillId="0" borderId="14" xfId="0" applyNumberFormat="1" applyFont="1" applyBorder="1"/>
    <xf numFmtId="164" fontId="12" fillId="4" borderId="15" xfId="0" applyNumberFormat="1" applyFont="1" applyFill="1" applyBorder="1"/>
    <xf numFmtId="164" fontId="2" fillId="0" borderId="14" xfId="0" applyNumberFormat="1" applyFont="1" applyBorder="1"/>
    <xf numFmtId="164" fontId="14" fillId="0" borderId="14" xfId="0" applyNumberFormat="1" applyFont="1" applyBorder="1"/>
    <xf numFmtId="172" fontId="14" fillId="4" borderId="15" xfId="0" applyNumberFormat="1" applyFont="1" applyFill="1" applyBorder="1"/>
    <xf numFmtId="172" fontId="14" fillId="0" borderId="14" xfId="0" applyNumberFormat="1" applyFont="1" applyBorder="1"/>
    <xf numFmtId="172" fontId="10" fillId="0" borderId="14" xfId="0" applyNumberFormat="1" applyFont="1" applyBorder="1"/>
    <xf numFmtId="164" fontId="9" fillId="4" borderId="16" xfId="0" applyNumberFormat="1" applyFont="1" applyFill="1" applyBorder="1"/>
    <xf numFmtId="164" fontId="9" fillId="0" borderId="17" xfId="0" applyNumberFormat="1" applyFont="1" applyBorder="1"/>
    <xf numFmtId="164" fontId="5" fillId="0" borderId="17" xfId="0" applyNumberFormat="1" applyFont="1" applyBorder="1"/>
    <xf numFmtId="165" fontId="9" fillId="4" borderId="11" xfId="0" applyNumberFormat="1" applyFont="1" applyFill="1" applyBorder="1" applyAlignment="1">
      <alignment horizontal="center"/>
    </xf>
    <xf numFmtId="165" fontId="9" fillId="0" borderId="0" xfId="0" applyNumberFormat="1" applyFont="1" applyAlignment="1">
      <alignment horizontal="center"/>
    </xf>
    <xf numFmtId="164" fontId="14" fillId="0" borderId="0" xfId="0" applyNumberFormat="1" applyFont="1" applyAlignment="1">
      <alignment horizontal="left"/>
    </xf>
    <xf numFmtId="164" fontId="9" fillId="0" borderId="11" xfId="0" applyNumberFormat="1" applyFont="1" applyBorder="1"/>
    <xf numFmtId="164" fontId="9" fillId="0" borderId="11" xfId="0" applyNumberFormat="1" applyFont="1" applyBorder="1" applyAlignment="1">
      <alignment horizontal="left"/>
    </xf>
    <xf numFmtId="164" fontId="12" fillId="0" borderId="11" xfId="0" applyNumberFormat="1" applyFont="1" applyBorder="1"/>
    <xf numFmtId="164" fontId="12" fillId="0" borderId="2" xfId="0" applyNumberFormat="1" applyFont="1" applyBorder="1"/>
    <xf numFmtId="164" fontId="12" fillId="4" borderId="11" xfId="0" applyNumberFormat="1" applyFont="1" applyFill="1" applyBorder="1"/>
    <xf numFmtId="164" fontId="12" fillId="0" borderId="11" xfId="0" applyNumberFormat="1" applyFont="1" applyBorder="1" applyAlignment="1">
      <alignment horizontal="left"/>
    </xf>
    <xf numFmtId="164" fontId="12" fillId="0" borderId="15" xfId="0" applyNumberFormat="1" applyFont="1" applyBorder="1" applyAlignment="1">
      <alignment horizontal="left"/>
    </xf>
    <xf numFmtId="164" fontId="12" fillId="0" borderId="15" xfId="0" applyNumberFormat="1" applyFont="1" applyBorder="1"/>
    <xf numFmtId="164" fontId="12" fillId="0" borderId="18" xfId="0" applyNumberFormat="1" applyFont="1" applyBorder="1"/>
    <xf numFmtId="167" fontId="12" fillId="0" borderId="18" xfId="0" applyNumberFormat="1" applyFont="1" applyBorder="1"/>
    <xf numFmtId="167" fontId="12" fillId="4" borderId="19" xfId="0" applyNumberFormat="1" applyFont="1" applyFill="1" applyBorder="1"/>
    <xf numFmtId="164" fontId="12" fillId="0" borderId="20" xfId="0" applyNumberFormat="1" applyFont="1" applyBorder="1"/>
    <xf numFmtId="167" fontId="12" fillId="0" borderId="11" xfId="0" applyNumberFormat="1" applyFont="1" applyBorder="1"/>
    <xf numFmtId="175" fontId="12" fillId="0" borderId="18" xfId="0" applyNumberFormat="1" applyFont="1" applyBorder="1"/>
    <xf numFmtId="164" fontId="12" fillId="6" borderId="18" xfId="0" applyNumberFormat="1" applyFont="1" applyFill="1" applyBorder="1"/>
    <xf numFmtId="167" fontId="12" fillId="6" borderId="18" xfId="0" applyNumberFormat="1" applyFont="1" applyFill="1" applyBorder="1"/>
    <xf numFmtId="176" fontId="12" fillId="4" borderId="18" xfId="0" applyNumberFormat="1" applyFont="1" applyFill="1" applyBorder="1"/>
    <xf numFmtId="176" fontId="12" fillId="0" borderId="18" xfId="0" applyNumberFormat="1" applyFont="1" applyBorder="1"/>
    <xf numFmtId="164" fontId="12" fillId="4" borderId="18" xfId="0" applyNumberFormat="1" applyFont="1" applyFill="1" applyBorder="1"/>
    <xf numFmtId="9" fontId="12" fillId="0" borderId="18" xfId="0" applyNumberFormat="1" applyFont="1" applyBorder="1"/>
    <xf numFmtId="164" fontId="9" fillId="0" borderId="5" xfId="0" applyNumberFormat="1" applyFont="1" applyBorder="1" applyAlignment="1">
      <alignment horizontal="left"/>
    </xf>
    <xf numFmtId="164" fontId="9" fillId="4" borderId="2" xfId="0" applyNumberFormat="1" applyFont="1" applyFill="1" applyBorder="1"/>
    <xf numFmtId="164" fontId="9" fillId="0" borderId="15" xfId="0" applyNumberFormat="1" applyFont="1" applyBorder="1" applyAlignment="1">
      <alignment horizontal="left"/>
    </xf>
    <xf numFmtId="164" fontId="9" fillId="0" borderId="15" xfId="0" applyNumberFormat="1" applyFont="1" applyBorder="1"/>
    <xf numFmtId="164" fontId="2" fillId="0" borderId="11" xfId="0" applyNumberFormat="1" applyFont="1" applyBorder="1"/>
    <xf numFmtId="164" fontId="15" fillId="0" borderId="9" xfId="0" applyNumberFormat="1" applyFont="1" applyBorder="1"/>
    <xf numFmtId="165" fontId="5" fillId="4" borderId="10" xfId="0" applyNumberFormat="1" applyFont="1" applyFill="1" applyBorder="1" applyAlignment="1">
      <alignment horizontal="center"/>
    </xf>
    <xf numFmtId="165" fontId="5" fillId="0" borderId="10" xfId="0" applyNumberFormat="1" applyFont="1" applyBorder="1" applyAlignment="1">
      <alignment horizontal="center"/>
    </xf>
    <xf numFmtId="164" fontId="2" fillId="4" borderId="11" xfId="0" applyNumberFormat="1" applyFont="1" applyFill="1" applyBorder="1"/>
    <xf numFmtId="164" fontId="2" fillId="0" borderId="0" xfId="0" applyNumberFormat="1" applyFont="1"/>
    <xf numFmtId="164" fontId="5" fillId="4" borderId="11" xfId="0" applyNumberFormat="1" applyFont="1" applyFill="1" applyBorder="1"/>
    <xf numFmtId="164" fontId="2" fillId="0" borderId="15" xfId="0" applyNumberFormat="1" applyFont="1" applyBorder="1" applyAlignment="1">
      <alignment horizontal="left"/>
    </xf>
    <xf numFmtId="164" fontId="2" fillId="0" borderId="15" xfId="0" applyNumberFormat="1" applyFont="1" applyBorder="1"/>
    <xf numFmtId="164" fontId="2" fillId="4" borderId="15" xfId="0" applyNumberFormat="1" applyFont="1" applyFill="1" applyBorder="1"/>
    <xf numFmtId="164" fontId="2" fillId="0" borderId="11" xfId="0" applyNumberFormat="1" applyFont="1" applyBorder="1" applyAlignment="1">
      <alignment horizontal="left"/>
    </xf>
    <xf numFmtId="164" fontId="5" fillId="0" borderId="11" xfId="0" applyNumberFormat="1" applyFont="1" applyBorder="1"/>
    <xf numFmtId="164" fontId="10" fillId="0" borderId="0" xfId="0" applyNumberFormat="1" applyFont="1" applyAlignment="1">
      <alignment horizontal="right"/>
    </xf>
    <xf numFmtId="164" fontId="10" fillId="4" borderId="11" xfId="0" applyNumberFormat="1" applyFont="1" applyFill="1" applyBorder="1" applyAlignment="1">
      <alignment horizontal="center"/>
    </xf>
    <xf numFmtId="164" fontId="10" fillId="0" borderId="0" xfId="0" applyNumberFormat="1" applyFont="1" applyAlignment="1">
      <alignment horizontal="center"/>
    </xf>
    <xf numFmtId="172" fontId="9" fillId="7" borderId="11" xfId="0" applyNumberFormat="1" applyFont="1" applyFill="1" applyBorder="1" applyAlignment="1">
      <alignment horizontal="right"/>
    </xf>
    <xf numFmtId="172" fontId="5" fillId="7" borderId="11" xfId="0" applyNumberFormat="1" applyFont="1" applyFill="1" applyBorder="1" applyAlignment="1">
      <alignment horizontal="right"/>
    </xf>
    <xf numFmtId="173" fontId="9" fillId="7" borderId="11" xfId="0" applyNumberFormat="1" applyFont="1" applyFill="1" applyBorder="1" applyAlignment="1">
      <alignment horizontal="right"/>
    </xf>
    <xf numFmtId="173" fontId="5" fillId="7" borderId="11" xfId="0" applyNumberFormat="1" applyFont="1" applyFill="1" applyBorder="1" applyAlignment="1">
      <alignment horizontal="right"/>
    </xf>
    <xf numFmtId="164" fontId="9" fillId="7" borderId="11" xfId="0" applyNumberFormat="1" applyFont="1" applyFill="1" applyBorder="1"/>
    <xf numFmtId="10" fontId="12" fillId="0" borderId="18" xfId="0" applyNumberFormat="1" applyFont="1" applyBorder="1"/>
    <xf numFmtId="10" fontId="12" fillId="6" borderId="18" xfId="0" applyNumberFormat="1" applyFont="1" applyFill="1" applyBorder="1"/>
    <xf numFmtId="164" fontId="12" fillId="5" borderId="11" xfId="0" applyNumberFormat="1" applyFont="1" applyFill="1" applyBorder="1"/>
    <xf numFmtId="0" fontId="16" fillId="8" borderId="11" xfId="0" applyFont="1" applyFill="1" applyBorder="1"/>
    <xf numFmtId="0" fontId="17" fillId="0" borderId="0" xfId="0" applyFont="1"/>
    <xf numFmtId="10" fontId="4" fillId="3" borderId="11" xfId="0" applyNumberFormat="1" applyFont="1" applyFill="1" applyBorder="1"/>
    <xf numFmtId="0" fontId="18" fillId="0" borderId="0" xfId="0" applyFont="1" applyAlignment="1">
      <alignment horizontal="left" vertical="center"/>
    </xf>
    <xf numFmtId="9" fontId="17" fillId="0" borderId="0" xfId="0" applyNumberFormat="1" applyFont="1"/>
    <xf numFmtId="167" fontId="4" fillId="0" borderId="0" xfId="0" applyNumberFormat="1" applyFont="1"/>
    <xf numFmtId="2" fontId="17" fillId="0" borderId="0" xfId="0" applyNumberFormat="1" applyFont="1"/>
    <xf numFmtId="10" fontId="17" fillId="0" borderId="0" xfId="0" applyNumberFormat="1" applyFont="1"/>
    <xf numFmtId="0" fontId="19" fillId="0" borderId="0" xfId="0" applyFont="1" applyAlignment="1">
      <alignment vertical="center"/>
    </xf>
    <xf numFmtId="10" fontId="16" fillId="0" borderId="0" xfId="0" applyNumberFormat="1" applyFont="1"/>
    <xf numFmtId="10" fontId="17" fillId="5" borderId="11" xfId="0" applyNumberFormat="1" applyFont="1" applyFill="1" applyBorder="1"/>
    <xf numFmtId="0" fontId="20" fillId="0" borderId="0" xfId="0" applyFont="1"/>
    <xf numFmtId="9" fontId="4" fillId="0" borderId="0" xfId="0" applyNumberFormat="1" applyFont="1"/>
    <xf numFmtId="2" fontId="16" fillId="0" borderId="0" xfId="0" applyNumberFormat="1" applyFont="1"/>
    <xf numFmtId="0" fontId="21" fillId="0" borderId="0" xfId="0" applyFont="1" applyAlignment="1">
      <alignment horizontal="left" vertical="center"/>
    </xf>
    <xf numFmtId="10" fontId="17" fillId="2" borderId="18" xfId="0" applyNumberFormat="1" applyFont="1" applyFill="1" applyBorder="1" applyAlignment="1">
      <alignment horizontal="center"/>
    </xf>
    <xf numFmtId="0" fontId="22" fillId="0" borderId="0" xfId="0" applyFont="1"/>
    <xf numFmtId="0" fontId="16" fillId="0" borderId="0" xfId="0" applyFont="1"/>
    <xf numFmtId="0" fontId="23" fillId="0" borderId="0" xfId="0" applyFont="1"/>
    <xf numFmtId="0" fontId="4" fillId="9" borderId="11" xfId="0" applyFont="1" applyFill="1" applyBorder="1"/>
    <xf numFmtId="0" fontId="24" fillId="9" borderId="28" xfId="0" applyFont="1" applyFill="1" applyBorder="1" applyAlignment="1">
      <alignment horizontal="left" vertical="top" wrapText="1"/>
    </xf>
    <xf numFmtId="0" fontId="24" fillId="10" borderId="28" xfId="0" applyFont="1" applyFill="1" applyBorder="1" applyAlignment="1">
      <alignment horizontal="left" vertical="top" wrapText="1"/>
    </xf>
    <xf numFmtId="0" fontId="24" fillId="9" borderId="28" xfId="0" applyFont="1" applyFill="1" applyBorder="1" applyAlignment="1">
      <alignment vertical="top" wrapText="1"/>
    </xf>
    <xf numFmtId="0" fontId="24" fillId="10" borderId="28" xfId="0" applyFont="1" applyFill="1" applyBorder="1" applyAlignment="1">
      <alignment vertical="top" wrapText="1"/>
    </xf>
    <xf numFmtId="0" fontId="17" fillId="0" borderId="0" xfId="0" applyFont="1" applyAlignment="1">
      <alignment wrapText="1"/>
    </xf>
    <xf numFmtId="0" fontId="16" fillId="0" borderId="18" xfId="0" applyFont="1" applyBorder="1" applyAlignment="1">
      <alignment horizontal="center" wrapText="1"/>
    </xf>
    <xf numFmtId="0" fontId="17" fillId="0" borderId="18" xfId="0" applyFont="1" applyBorder="1" applyAlignment="1">
      <alignment wrapText="1"/>
    </xf>
    <xf numFmtId="3" fontId="17" fillId="0" borderId="18" xfId="0" applyNumberFormat="1" applyFont="1" applyBorder="1" applyAlignment="1">
      <alignment wrapText="1"/>
    </xf>
    <xf numFmtId="9" fontId="4" fillId="0" borderId="18" xfId="0" applyNumberFormat="1" applyFont="1" applyBorder="1" applyAlignment="1">
      <alignment wrapText="1"/>
    </xf>
    <xf numFmtId="0" fontId="17" fillId="0" borderId="18" xfId="0" quotePrefix="1" applyFont="1" applyBorder="1" applyAlignment="1">
      <alignment wrapText="1"/>
    </xf>
    <xf numFmtId="167" fontId="4" fillId="0" borderId="18" xfId="0" applyNumberFormat="1" applyFont="1" applyBorder="1" applyAlignment="1">
      <alignment wrapText="1"/>
    </xf>
    <xf numFmtId="10" fontId="17" fillId="0" borderId="18" xfId="0" applyNumberFormat="1" applyFont="1" applyBorder="1" applyAlignment="1">
      <alignment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9" fillId="12" borderId="18" xfId="0" applyFont="1" applyFill="1" applyBorder="1" applyAlignment="1">
      <alignment wrapText="1"/>
    </xf>
    <xf numFmtId="0" fontId="29" fillId="12" borderId="11" xfId="0" applyFont="1" applyFill="1" applyBorder="1" applyAlignment="1">
      <alignment wrapText="1"/>
    </xf>
    <xf numFmtId="0" fontId="28" fillId="0" borderId="18" xfId="0" applyFont="1" applyBorder="1" applyAlignment="1">
      <alignment horizontal="center" wrapText="1"/>
    </xf>
    <xf numFmtId="0" fontId="28" fillId="0" borderId="32" xfId="0" applyFont="1" applyBorder="1" applyAlignment="1">
      <alignment horizontal="center" wrapText="1"/>
    </xf>
    <xf numFmtId="0" fontId="28" fillId="0" borderId="18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28" fillId="0" borderId="0" xfId="0" applyFont="1" applyAlignment="1">
      <alignment horizontal="center" wrapText="1"/>
    </xf>
    <xf numFmtId="0" fontId="29" fillId="0" borderId="18" xfId="0" applyFont="1" applyBorder="1" applyAlignment="1">
      <alignment horizontal="center" wrapText="1"/>
    </xf>
    <xf numFmtId="0" fontId="29" fillId="0" borderId="32" xfId="0" applyFont="1" applyBorder="1" applyAlignment="1">
      <alignment horizont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29" fillId="0" borderId="0" xfId="0" applyFont="1" applyAlignment="1">
      <alignment horizontal="center" wrapText="1"/>
    </xf>
    <xf numFmtId="9" fontId="29" fillId="0" borderId="18" xfId="0" applyNumberFormat="1" applyFont="1" applyBorder="1" applyAlignment="1">
      <alignment horizontal="center" wrapText="1"/>
    </xf>
    <xf numFmtId="0" fontId="30" fillId="0" borderId="18" xfId="0" applyFont="1" applyBorder="1" applyAlignment="1">
      <alignment wrapText="1"/>
    </xf>
    <xf numFmtId="3" fontId="31" fillId="0" borderId="18" xfId="0" applyNumberFormat="1" applyFont="1" applyBorder="1" applyAlignment="1">
      <alignment wrapText="1"/>
    </xf>
    <xf numFmtId="3" fontId="32" fillId="0" borderId="18" xfId="0" applyNumberFormat="1" applyFont="1" applyBorder="1" applyAlignment="1">
      <alignment wrapText="1"/>
    </xf>
    <xf numFmtId="0" fontId="29" fillId="0" borderId="18" xfId="0" applyFont="1" applyBorder="1" applyAlignment="1">
      <alignment wrapText="1"/>
    </xf>
    <xf numFmtId="0" fontId="29" fillId="0" borderId="0" xfId="0" applyFont="1" applyAlignment="1">
      <alignment wrapText="1"/>
    </xf>
    <xf numFmtId="0" fontId="33" fillId="0" borderId="18" xfId="0" applyFont="1" applyBorder="1" applyAlignment="1">
      <alignment wrapText="1"/>
    </xf>
    <xf numFmtId="3" fontId="34" fillId="0" borderId="18" xfId="0" applyNumberFormat="1" applyFont="1" applyBorder="1" applyAlignment="1">
      <alignment wrapText="1"/>
    </xf>
    <xf numFmtId="0" fontId="29" fillId="0" borderId="32" xfId="0" applyFont="1" applyBorder="1" applyAlignment="1">
      <alignment wrapText="1"/>
    </xf>
    <xf numFmtId="167" fontId="29" fillId="0" borderId="18" xfId="0" applyNumberFormat="1" applyFont="1" applyBorder="1" applyAlignment="1">
      <alignment horizontal="center" vertical="center" wrapText="1"/>
    </xf>
    <xf numFmtId="180" fontId="29" fillId="0" borderId="18" xfId="0" applyNumberFormat="1" applyFont="1" applyBorder="1" applyAlignment="1">
      <alignment horizontal="center" vertical="center" wrapText="1"/>
    </xf>
    <xf numFmtId="3" fontId="35" fillId="0" borderId="18" xfId="0" applyNumberFormat="1" applyFont="1" applyBorder="1" applyAlignment="1">
      <alignment wrapText="1"/>
    </xf>
    <xf numFmtId="9" fontId="29" fillId="0" borderId="18" xfId="0" applyNumberFormat="1" applyFont="1" applyBorder="1" applyAlignment="1">
      <alignment horizontal="center" vertical="center" wrapText="1"/>
    </xf>
    <xf numFmtId="9" fontId="29" fillId="0" borderId="34" xfId="0" applyNumberFormat="1" applyFont="1" applyBorder="1" applyAlignment="1">
      <alignment horizontal="center" vertical="center" wrapText="1"/>
    </xf>
    <xf numFmtId="10" fontId="29" fillId="0" borderId="18" xfId="0" applyNumberFormat="1" applyFont="1" applyBorder="1" applyAlignment="1">
      <alignment horizontal="center" vertical="center" wrapText="1"/>
    </xf>
    <xf numFmtId="3" fontId="34" fillId="0" borderId="32" xfId="0" applyNumberFormat="1" applyFont="1" applyBorder="1" applyAlignment="1">
      <alignment wrapText="1"/>
    </xf>
    <xf numFmtId="0" fontId="28" fillId="0" borderId="18" xfId="0" applyFont="1" applyBorder="1" applyAlignment="1">
      <alignment wrapText="1"/>
    </xf>
    <xf numFmtId="3" fontId="36" fillId="0" borderId="32" xfId="0" applyNumberFormat="1" applyFont="1" applyBorder="1" applyAlignment="1">
      <alignment wrapText="1"/>
    </xf>
    <xf numFmtId="3" fontId="29" fillId="0" borderId="32" xfId="0" applyNumberFormat="1" applyFont="1" applyBorder="1" applyAlignment="1">
      <alignment wrapText="1"/>
    </xf>
    <xf numFmtId="3" fontId="32" fillId="0" borderId="29" xfId="0" applyNumberFormat="1" applyFont="1" applyBorder="1" applyAlignment="1">
      <alignment wrapText="1"/>
    </xf>
    <xf numFmtId="3" fontId="28" fillId="0" borderId="18" xfId="0" applyNumberFormat="1" applyFont="1" applyBorder="1" applyAlignment="1">
      <alignment wrapText="1"/>
    </xf>
    <xf numFmtId="0" fontId="28" fillId="0" borderId="0" xfId="0" applyFont="1" applyAlignment="1">
      <alignment wrapText="1"/>
    </xf>
    <xf numFmtId="0" fontId="38" fillId="0" borderId="0" xfId="0" applyFont="1" applyAlignment="1">
      <alignment wrapText="1"/>
    </xf>
    <xf numFmtId="0" fontId="38" fillId="0" borderId="18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3" fontId="38" fillId="0" borderId="18" xfId="0" applyNumberFormat="1" applyFont="1" applyBorder="1" applyAlignment="1">
      <alignment horizontal="center" vertical="center" wrapText="1"/>
    </xf>
    <xf numFmtId="3" fontId="37" fillId="0" borderId="18" xfId="0" applyNumberFormat="1" applyFont="1" applyBorder="1" applyAlignment="1">
      <alignment horizontal="center" vertical="center" wrapText="1"/>
    </xf>
    <xf numFmtId="0" fontId="37" fillId="0" borderId="0" xfId="0" applyFont="1" applyAlignment="1">
      <alignment wrapText="1"/>
    </xf>
    <xf numFmtId="0" fontId="31" fillId="0" borderId="18" xfId="0" applyFont="1" applyBorder="1" applyAlignment="1">
      <alignment wrapText="1"/>
    </xf>
    <xf numFmtId="0" fontId="35" fillId="0" borderId="18" xfId="0" applyFont="1" applyBorder="1" applyAlignment="1">
      <alignment horizontal="left" wrapText="1"/>
    </xf>
    <xf numFmtId="182" fontId="35" fillId="0" borderId="18" xfId="0" applyNumberFormat="1" applyFont="1" applyBorder="1" applyAlignment="1">
      <alignment horizontal="center" vertical="center" wrapText="1"/>
    </xf>
    <xf numFmtId="3" fontId="31" fillId="0" borderId="18" xfId="0" applyNumberFormat="1" applyFont="1" applyBorder="1" applyAlignment="1">
      <alignment horizontal="center" vertical="center" wrapText="1"/>
    </xf>
    <xf numFmtId="9" fontId="31" fillId="0" borderId="18" xfId="0" applyNumberFormat="1" applyFont="1" applyBorder="1" applyAlignment="1">
      <alignment wrapText="1"/>
    </xf>
    <xf numFmtId="182" fontId="31" fillId="0" borderId="18" xfId="0" applyNumberFormat="1" applyFont="1" applyBorder="1" applyAlignment="1">
      <alignment wrapText="1"/>
    </xf>
    <xf numFmtId="182" fontId="35" fillId="0" borderId="18" xfId="0" applyNumberFormat="1" applyFont="1" applyBorder="1" applyAlignment="1">
      <alignment wrapText="1"/>
    </xf>
    <xf numFmtId="0" fontId="35" fillId="0" borderId="18" xfId="0" applyFont="1" applyBorder="1" applyAlignment="1">
      <alignment wrapText="1"/>
    </xf>
    <xf numFmtId="0" fontId="37" fillId="0" borderId="0" xfId="0" applyFont="1" applyAlignment="1">
      <alignment horizontal="center" vertical="center" wrapText="1"/>
    </xf>
    <xf numFmtId="1" fontId="38" fillId="0" borderId="0" xfId="0" applyNumberFormat="1" applyFont="1" applyAlignment="1">
      <alignment vertical="center" wrapText="1"/>
    </xf>
    <xf numFmtId="0" fontId="4" fillId="0" borderId="0" xfId="0" applyFont="1"/>
    <xf numFmtId="0" fontId="38" fillId="0" borderId="0" xfId="0" applyFont="1" applyAlignment="1">
      <alignment horizontal="left" vertical="center" wrapText="1"/>
    </xf>
    <xf numFmtId="0" fontId="38" fillId="0" borderId="0" xfId="0" applyFont="1" applyAlignment="1">
      <alignment vertical="center" wrapText="1"/>
    </xf>
    <xf numFmtId="0" fontId="38" fillId="0" borderId="18" xfId="0" applyFont="1" applyBorder="1" applyAlignment="1">
      <alignment horizontal="center" vertical="center" textRotation="90" wrapText="1"/>
    </xf>
    <xf numFmtId="0" fontId="38" fillId="0" borderId="32" xfId="0" applyFont="1" applyBorder="1" applyAlignment="1">
      <alignment horizontal="center" vertical="center" textRotation="90" wrapText="1"/>
    </xf>
    <xf numFmtId="0" fontId="4" fillId="0" borderId="0" xfId="0" applyFont="1" applyAlignment="1">
      <alignment textRotation="90"/>
    </xf>
    <xf numFmtId="0" fontId="38" fillId="0" borderId="32" xfId="0" applyFont="1" applyBorder="1" applyAlignment="1">
      <alignment horizontal="center" vertical="center" wrapText="1"/>
    </xf>
    <xf numFmtId="1" fontId="38" fillId="0" borderId="18" xfId="0" applyNumberFormat="1" applyFont="1" applyBorder="1" applyAlignment="1">
      <alignment vertical="center" wrapText="1"/>
    </xf>
    <xf numFmtId="0" fontId="38" fillId="0" borderId="18" xfId="0" applyFont="1" applyBorder="1" applyAlignment="1">
      <alignment vertical="center" wrapText="1"/>
    </xf>
    <xf numFmtId="0" fontId="38" fillId="0" borderId="18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1" fontId="26" fillId="0" borderId="0" xfId="0" applyNumberFormat="1" applyFont="1"/>
    <xf numFmtId="0" fontId="4" fillId="0" borderId="18" xfId="0" applyFont="1" applyBorder="1" applyAlignment="1">
      <alignment wrapText="1"/>
    </xf>
    <xf numFmtId="0" fontId="27" fillId="0" borderId="0" xfId="0" applyFont="1" applyAlignment="1">
      <alignment wrapText="1"/>
    </xf>
    <xf numFmtId="9" fontId="4" fillId="0" borderId="0" xfId="0" applyNumberFormat="1" applyFont="1" applyAlignment="1">
      <alignment wrapText="1"/>
    </xf>
    <xf numFmtId="9" fontId="26" fillId="0" borderId="0" xfId="0" applyNumberFormat="1" applyFont="1" applyAlignment="1">
      <alignment wrapText="1"/>
    </xf>
    <xf numFmtId="0" fontId="26" fillId="0" borderId="18" xfId="0" applyFont="1" applyBorder="1" applyAlignment="1">
      <alignment wrapText="1"/>
    </xf>
    <xf numFmtId="10" fontId="26" fillId="0" borderId="18" xfId="0" applyNumberFormat="1" applyFont="1" applyBorder="1" applyAlignment="1">
      <alignment horizontal="center" vertical="center" wrapText="1"/>
    </xf>
    <xf numFmtId="2" fontId="26" fillId="0" borderId="18" xfId="0" applyNumberFormat="1" applyFont="1" applyBorder="1" applyAlignment="1">
      <alignment horizontal="center" vertical="center" wrapText="1"/>
    </xf>
    <xf numFmtId="183" fontId="4" fillId="0" borderId="0" xfId="0" applyNumberFormat="1" applyFont="1" applyAlignment="1">
      <alignment wrapText="1"/>
    </xf>
    <xf numFmtId="2" fontId="4" fillId="0" borderId="0" xfId="0" applyNumberFormat="1" applyFont="1" applyAlignment="1">
      <alignment wrapText="1"/>
    </xf>
    <xf numFmtId="179" fontId="37" fillId="0" borderId="0" xfId="0" applyNumberFormat="1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7" fillId="0" borderId="18" xfId="0" applyFont="1" applyBorder="1" applyAlignment="1">
      <alignment horizontal="left" vertical="center" wrapText="1"/>
    </xf>
    <xf numFmtId="1" fontId="38" fillId="0" borderId="18" xfId="0" applyNumberFormat="1" applyFont="1" applyBorder="1" applyAlignment="1">
      <alignment horizontal="center" vertical="center" wrapText="1"/>
    </xf>
    <xf numFmtId="180" fontId="38" fillId="0" borderId="34" xfId="0" applyNumberFormat="1" applyFont="1" applyBorder="1" applyAlignment="1">
      <alignment horizontal="center" vertical="center" wrapText="1"/>
    </xf>
    <xf numFmtId="180" fontId="38" fillId="0" borderId="18" xfId="0" applyNumberFormat="1" applyFont="1" applyBorder="1" applyAlignment="1">
      <alignment horizontal="center" vertical="center" wrapText="1"/>
    </xf>
    <xf numFmtId="1" fontId="37" fillId="0" borderId="32" xfId="0" applyNumberFormat="1" applyFont="1" applyBorder="1" applyAlignment="1">
      <alignment horizontal="center" vertical="center" wrapText="1"/>
    </xf>
    <xf numFmtId="1" fontId="37" fillId="0" borderId="18" xfId="0" applyNumberFormat="1" applyFont="1" applyBorder="1" applyAlignment="1">
      <alignment vertical="center" wrapText="1"/>
    </xf>
    <xf numFmtId="184" fontId="37" fillId="0" borderId="0" xfId="0" applyNumberFormat="1" applyFont="1" applyAlignment="1">
      <alignment vertical="center" wrapText="1"/>
    </xf>
    <xf numFmtId="1" fontId="38" fillId="0" borderId="32" xfId="0" applyNumberFormat="1" applyFont="1" applyBorder="1" applyAlignment="1">
      <alignment horizontal="center" vertical="center" wrapText="1"/>
    </xf>
    <xf numFmtId="179" fontId="37" fillId="0" borderId="18" xfId="0" applyNumberFormat="1" applyFont="1" applyBorder="1" applyAlignment="1">
      <alignment horizontal="left" vertical="center" wrapText="1"/>
    </xf>
    <xf numFmtId="180" fontId="38" fillId="0" borderId="0" xfId="0" applyNumberFormat="1" applyFont="1" applyAlignment="1">
      <alignment vertical="center" wrapText="1"/>
    </xf>
    <xf numFmtId="180" fontId="37" fillId="0" borderId="0" xfId="0" applyNumberFormat="1" applyFont="1" applyAlignment="1">
      <alignment vertical="center" wrapText="1"/>
    </xf>
    <xf numFmtId="1" fontId="37" fillId="0" borderId="18" xfId="0" applyNumberFormat="1" applyFont="1" applyBorder="1" applyAlignment="1">
      <alignment horizontal="center" vertical="center" wrapText="1"/>
    </xf>
    <xf numFmtId="0" fontId="37" fillId="0" borderId="0" xfId="0" applyFont="1" applyAlignment="1">
      <alignment horizontal="left" vertical="center" wrapText="1"/>
    </xf>
    <xf numFmtId="179" fontId="37" fillId="0" borderId="0" xfId="0" applyNumberFormat="1" applyFont="1" applyAlignment="1">
      <alignment horizontal="left" vertical="center" wrapText="1"/>
    </xf>
    <xf numFmtId="1" fontId="38" fillId="0" borderId="0" xfId="0" applyNumberFormat="1" applyFont="1" applyAlignment="1">
      <alignment horizontal="center" vertical="center" wrapText="1"/>
    </xf>
    <xf numFmtId="1" fontId="37" fillId="0" borderId="0" xfId="0" applyNumberFormat="1" applyFont="1" applyAlignment="1">
      <alignment horizontal="center" vertical="center" wrapText="1"/>
    </xf>
    <xf numFmtId="0" fontId="37" fillId="0" borderId="18" xfId="0" applyFont="1" applyBorder="1" applyAlignment="1">
      <alignment vertical="center" wrapText="1"/>
    </xf>
    <xf numFmtId="0" fontId="41" fillId="0" borderId="18" xfId="0" applyFont="1" applyBorder="1" applyAlignment="1">
      <alignment horizontal="left" vertical="center" wrapText="1"/>
    </xf>
    <xf numFmtId="0" fontId="41" fillId="0" borderId="0" xfId="0" applyFont="1" applyAlignment="1">
      <alignment horizontal="left" vertical="center" wrapText="1"/>
    </xf>
    <xf numFmtId="180" fontId="37" fillId="0" borderId="0" xfId="0" applyNumberFormat="1" applyFont="1" applyAlignment="1">
      <alignment horizontal="center" vertical="center" wrapText="1"/>
    </xf>
    <xf numFmtId="179" fontId="38" fillId="0" borderId="0" xfId="0" applyNumberFormat="1" applyFont="1" applyAlignment="1">
      <alignment horizontal="right" vertical="center" wrapText="1"/>
    </xf>
    <xf numFmtId="179" fontId="37" fillId="0" borderId="18" xfId="0" applyNumberFormat="1" applyFont="1" applyBorder="1" applyAlignment="1">
      <alignment horizontal="center" vertical="center" wrapText="1"/>
    </xf>
    <xf numFmtId="167" fontId="4" fillId="0" borderId="18" xfId="0" applyNumberFormat="1" applyFont="1" applyBorder="1" applyAlignment="1">
      <alignment horizontal="center" vertical="center" wrapText="1"/>
    </xf>
    <xf numFmtId="9" fontId="38" fillId="0" borderId="0" xfId="0" applyNumberFormat="1" applyFont="1" applyAlignment="1">
      <alignment horizontal="right" vertical="center" wrapText="1"/>
    </xf>
    <xf numFmtId="185" fontId="38" fillId="0" borderId="18" xfId="0" applyNumberFormat="1" applyFont="1" applyBorder="1" applyAlignment="1">
      <alignment horizontal="right" vertical="center" wrapText="1"/>
    </xf>
    <xf numFmtId="179" fontId="38" fillId="12" borderId="11" xfId="0" applyNumberFormat="1" applyFont="1" applyFill="1" applyBorder="1" applyAlignment="1">
      <alignment horizontal="right" vertical="center" wrapText="1"/>
    </xf>
    <xf numFmtId="179" fontId="37" fillId="0" borderId="18" xfId="0" applyNumberFormat="1" applyFont="1" applyBorder="1" applyAlignment="1">
      <alignment horizontal="right" vertical="center" wrapText="1"/>
    </xf>
    <xf numFmtId="179" fontId="37" fillId="0" borderId="0" xfId="0" applyNumberFormat="1" applyFont="1" applyAlignment="1">
      <alignment horizontal="right" vertical="center" wrapText="1"/>
    </xf>
    <xf numFmtId="1" fontId="38" fillId="0" borderId="18" xfId="0" applyNumberFormat="1" applyFont="1" applyBorder="1" applyAlignment="1">
      <alignment horizontal="right" vertical="center" wrapText="1"/>
    </xf>
    <xf numFmtId="9" fontId="37" fillId="0" borderId="18" xfId="0" applyNumberFormat="1" applyFont="1" applyBorder="1" applyAlignment="1">
      <alignment horizontal="center" vertical="center" wrapText="1"/>
    </xf>
    <xf numFmtId="9" fontId="38" fillId="0" borderId="18" xfId="0" applyNumberFormat="1" applyFont="1" applyBorder="1" applyAlignment="1">
      <alignment horizontal="center" vertical="center" wrapText="1"/>
    </xf>
    <xf numFmtId="10" fontId="38" fillId="0" borderId="18" xfId="0" applyNumberFormat="1" applyFont="1" applyBorder="1" applyAlignment="1">
      <alignment horizontal="right" vertical="center" wrapText="1"/>
    </xf>
    <xf numFmtId="10" fontId="37" fillId="0" borderId="18" xfId="0" applyNumberFormat="1" applyFont="1" applyBorder="1" applyAlignment="1">
      <alignment horizontal="center" vertical="center" wrapText="1"/>
    </xf>
    <xf numFmtId="179" fontId="37" fillId="11" borderId="18" xfId="0" applyNumberFormat="1" applyFont="1" applyFill="1" applyBorder="1" applyAlignment="1">
      <alignment horizontal="center" vertical="center" wrapText="1"/>
    </xf>
    <xf numFmtId="3" fontId="37" fillId="11" borderId="18" xfId="0" applyNumberFormat="1" applyFont="1" applyFill="1" applyBorder="1" applyAlignment="1">
      <alignment horizontal="right" vertical="center" wrapText="1"/>
    </xf>
    <xf numFmtId="3" fontId="37" fillId="11" borderId="18" xfId="0" applyNumberFormat="1" applyFont="1" applyFill="1" applyBorder="1" applyAlignment="1">
      <alignment horizontal="center" vertical="center" wrapText="1"/>
    </xf>
    <xf numFmtId="179" fontId="38" fillId="0" borderId="0" xfId="0" applyNumberFormat="1" applyFont="1" applyAlignment="1">
      <alignment horizontal="center" vertical="center" wrapText="1"/>
    </xf>
    <xf numFmtId="0" fontId="41" fillId="0" borderId="40" xfId="0" applyFont="1" applyBorder="1" applyAlignment="1">
      <alignment horizontal="center" vertical="center"/>
    </xf>
    <xf numFmtId="0" fontId="42" fillId="0" borderId="39" xfId="0" applyFont="1" applyBorder="1" applyAlignment="1">
      <alignment horizontal="left" vertical="center"/>
    </xf>
    <xf numFmtId="9" fontId="33" fillId="0" borderId="40" xfId="0" applyNumberFormat="1" applyFont="1" applyBorder="1" applyAlignment="1">
      <alignment horizontal="center" vertical="center"/>
    </xf>
    <xf numFmtId="3" fontId="33" fillId="0" borderId="40" xfId="0" applyNumberFormat="1" applyFont="1" applyBorder="1" applyAlignment="1">
      <alignment horizontal="center" vertical="center"/>
    </xf>
    <xf numFmtId="0" fontId="43" fillId="0" borderId="36" xfId="0" applyFont="1" applyBorder="1" applyAlignment="1">
      <alignment vertical="center"/>
    </xf>
    <xf numFmtId="0" fontId="43" fillId="0" borderId="37" xfId="0" applyFont="1" applyBorder="1" applyAlignment="1">
      <alignment vertical="center"/>
    </xf>
    <xf numFmtId="0" fontId="43" fillId="0" borderId="38" xfId="0" applyFont="1" applyBorder="1" applyAlignment="1">
      <alignment vertical="center"/>
    </xf>
    <xf numFmtId="0" fontId="4" fillId="0" borderId="18" xfId="0" applyFont="1" applyBorder="1"/>
    <xf numFmtId="0" fontId="26" fillId="0" borderId="18" xfId="0" applyFont="1" applyBorder="1"/>
    <xf numFmtId="9" fontId="4" fillId="0" borderId="18" xfId="0" applyNumberFormat="1" applyFont="1" applyBorder="1"/>
    <xf numFmtId="179" fontId="38" fillId="0" borderId="18" xfId="0" applyNumberFormat="1" applyFont="1" applyBorder="1" applyAlignment="1">
      <alignment horizontal="left" vertical="center" wrapText="1"/>
    </xf>
    <xf numFmtId="9" fontId="37" fillId="0" borderId="18" xfId="0" applyNumberFormat="1" applyFont="1" applyBorder="1" applyAlignment="1">
      <alignment horizontal="left" vertical="center" wrapText="1"/>
    </xf>
    <xf numFmtId="10" fontId="38" fillId="0" borderId="18" xfId="0" applyNumberFormat="1" applyFont="1" applyBorder="1" applyAlignment="1">
      <alignment horizontal="center" vertical="center" wrapText="1"/>
    </xf>
    <xf numFmtId="2" fontId="38" fillId="0" borderId="18" xfId="0" applyNumberFormat="1" applyFont="1" applyBorder="1" applyAlignment="1">
      <alignment horizontal="center" vertical="center" wrapText="1"/>
    </xf>
    <xf numFmtId="182" fontId="37" fillId="0" borderId="18" xfId="0" applyNumberFormat="1" applyFont="1" applyBorder="1" applyAlignment="1">
      <alignment horizontal="center" vertical="center" wrapText="1"/>
    </xf>
    <xf numFmtId="179" fontId="37" fillId="11" borderId="18" xfId="0" applyNumberFormat="1" applyFont="1" applyFill="1" applyBorder="1" applyAlignment="1">
      <alignment horizontal="left" vertical="center" wrapText="1"/>
    </xf>
    <xf numFmtId="182" fontId="37" fillId="11" borderId="18" xfId="0" applyNumberFormat="1" applyFont="1" applyFill="1" applyBorder="1" applyAlignment="1">
      <alignment horizontal="center" vertical="center" wrapText="1"/>
    </xf>
    <xf numFmtId="182" fontId="38" fillId="0" borderId="0" xfId="0" applyNumberFormat="1" applyFont="1" applyAlignment="1">
      <alignment horizontal="center" vertical="center" wrapText="1"/>
    </xf>
    <xf numFmtId="182" fontId="37" fillId="0" borderId="0" xfId="0" applyNumberFormat="1" applyFont="1" applyAlignment="1">
      <alignment horizontal="center" vertical="center" wrapText="1"/>
    </xf>
    <xf numFmtId="186" fontId="38" fillId="11" borderId="18" xfId="0" applyNumberFormat="1" applyFont="1" applyFill="1" applyBorder="1" applyAlignment="1">
      <alignment horizontal="center" vertical="center" wrapText="1"/>
    </xf>
    <xf numFmtId="187" fontId="28" fillId="0" borderId="18" xfId="0" applyNumberFormat="1" applyFont="1" applyBorder="1" applyAlignment="1">
      <alignment horizontal="left" vertical="center" wrapText="1"/>
    </xf>
    <xf numFmtId="187" fontId="28" fillId="0" borderId="18" xfId="0" applyNumberFormat="1" applyFont="1" applyBorder="1" applyAlignment="1">
      <alignment horizontal="center" vertical="center" wrapText="1"/>
    </xf>
    <xf numFmtId="180" fontId="28" fillId="0" borderId="18" xfId="0" applyNumberFormat="1" applyFont="1" applyBorder="1" applyAlignment="1">
      <alignment horizontal="center" vertical="center" wrapText="1"/>
    </xf>
    <xf numFmtId="180" fontId="30" fillId="0" borderId="18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187" fontId="29" fillId="0" borderId="18" xfId="0" applyNumberFormat="1" applyFont="1" applyBorder="1" applyAlignment="1">
      <alignment horizontal="left" vertical="center" wrapText="1"/>
    </xf>
    <xf numFmtId="3" fontId="29" fillId="0" borderId="18" xfId="0" applyNumberFormat="1" applyFont="1" applyBorder="1" applyAlignment="1">
      <alignment horizontal="center" vertical="center" wrapText="1"/>
    </xf>
    <xf numFmtId="3" fontId="33" fillId="0" borderId="18" xfId="0" applyNumberFormat="1" applyFont="1" applyBorder="1" applyAlignment="1">
      <alignment horizontal="center" vertical="center" wrapText="1"/>
    </xf>
    <xf numFmtId="3" fontId="28" fillId="0" borderId="18" xfId="0" applyNumberFormat="1" applyFont="1" applyBorder="1" applyAlignment="1">
      <alignment horizontal="center" vertical="center" wrapText="1"/>
    </xf>
    <xf numFmtId="3" fontId="30" fillId="0" borderId="18" xfId="0" applyNumberFormat="1" applyFont="1" applyBorder="1" applyAlignment="1">
      <alignment horizontal="center" vertical="center" wrapText="1"/>
    </xf>
    <xf numFmtId="187" fontId="28" fillId="0" borderId="18" xfId="0" applyNumberFormat="1" applyFont="1" applyBorder="1" applyAlignment="1">
      <alignment horizontal="left" vertical="top" wrapText="1"/>
    </xf>
    <xf numFmtId="187" fontId="29" fillId="0" borderId="18" xfId="0" applyNumberFormat="1" applyFont="1" applyBorder="1" applyAlignment="1">
      <alignment horizontal="left" vertical="top" wrapText="1"/>
    </xf>
    <xf numFmtId="188" fontId="29" fillId="0" borderId="18" xfId="0" applyNumberFormat="1" applyFont="1" applyBorder="1" applyAlignment="1">
      <alignment horizontal="center" vertical="center" wrapText="1"/>
    </xf>
    <xf numFmtId="9" fontId="30" fillId="0" borderId="18" xfId="0" applyNumberFormat="1" applyFont="1" applyBorder="1" applyAlignment="1">
      <alignment horizontal="center" vertical="center" wrapText="1"/>
    </xf>
    <xf numFmtId="187" fontId="28" fillId="14" borderId="18" xfId="0" applyNumberFormat="1" applyFont="1" applyFill="1" applyBorder="1" applyAlignment="1">
      <alignment horizontal="left" vertical="top" wrapText="1"/>
    </xf>
    <xf numFmtId="3" fontId="28" fillId="14" borderId="18" xfId="0" applyNumberFormat="1" applyFont="1" applyFill="1" applyBorder="1" applyAlignment="1">
      <alignment horizontal="center" vertical="center" wrapText="1"/>
    </xf>
    <xf numFmtId="3" fontId="30" fillId="14" borderId="18" xfId="0" applyNumberFormat="1" applyFont="1" applyFill="1" applyBorder="1" applyAlignment="1">
      <alignment horizontal="center" vertical="center" wrapText="1"/>
    </xf>
    <xf numFmtId="187" fontId="28" fillId="0" borderId="29" xfId="0" applyNumberFormat="1" applyFont="1" applyBorder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1" fontId="4" fillId="0" borderId="0" xfId="0" applyNumberFormat="1" applyFont="1" applyAlignment="1">
      <alignment horizontal="center" vertical="center" wrapText="1"/>
    </xf>
    <xf numFmtId="0" fontId="33" fillId="12" borderId="11" xfId="0" applyFont="1" applyFill="1" applyBorder="1" applyAlignment="1">
      <alignment horizontal="center" vertical="center" wrapText="1"/>
    </xf>
    <xf numFmtId="0" fontId="4" fillId="14" borderId="18" xfId="0" applyFont="1" applyFill="1" applyBorder="1" applyAlignment="1">
      <alignment horizontal="left" vertical="center" wrapText="1"/>
    </xf>
    <xf numFmtId="0" fontId="4" fillId="14" borderId="18" xfId="0" applyFont="1" applyFill="1" applyBorder="1" applyAlignment="1">
      <alignment horizontal="center" vertical="center" wrapText="1"/>
    </xf>
    <xf numFmtId="1" fontId="4" fillId="14" borderId="18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1" fontId="33" fillId="0" borderId="18" xfId="0" applyNumberFormat="1" applyFont="1" applyBorder="1" applyAlignment="1">
      <alignment horizontal="center" vertical="center" wrapText="1"/>
    </xf>
    <xf numFmtId="1" fontId="29" fillId="0" borderId="18" xfId="0" applyNumberFormat="1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187" fontId="28" fillId="0" borderId="0" xfId="0" applyNumberFormat="1" applyFont="1" applyAlignment="1">
      <alignment horizontal="left" vertical="center" wrapText="1"/>
    </xf>
    <xf numFmtId="0" fontId="44" fillId="0" borderId="0" xfId="0" applyFont="1" applyAlignment="1">
      <alignment horizontal="center" vertical="center" wrapText="1"/>
    </xf>
    <xf numFmtId="0" fontId="39" fillId="14" borderId="18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189" fontId="44" fillId="0" borderId="18" xfId="0" applyNumberFormat="1" applyFont="1" applyBorder="1" applyAlignment="1">
      <alignment horizontal="center" vertical="center" wrapText="1"/>
    </xf>
    <xf numFmtId="0" fontId="44" fillId="0" borderId="18" xfId="0" applyFont="1" applyBorder="1" applyAlignment="1">
      <alignment horizontal="left" vertical="center" wrapText="1"/>
    </xf>
    <xf numFmtId="189" fontId="39" fillId="0" borderId="0" xfId="0" applyNumberFormat="1" applyFont="1" applyAlignment="1">
      <alignment horizontal="center" vertical="center" wrapText="1"/>
    </xf>
    <xf numFmtId="0" fontId="44" fillId="0" borderId="18" xfId="0" quotePrefix="1" applyFont="1" applyBorder="1" applyAlignment="1">
      <alignment horizontal="center" vertical="center" wrapText="1"/>
    </xf>
    <xf numFmtId="0" fontId="45" fillId="0" borderId="18" xfId="0" applyFont="1" applyBorder="1" applyAlignment="1">
      <alignment horizontal="left" vertical="center" wrapText="1"/>
    </xf>
    <xf numFmtId="189" fontId="45" fillId="0" borderId="18" xfId="0" applyNumberFormat="1" applyFont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8" fillId="0" borderId="0" xfId="0" applyFont="1" applyAlignment="1">
      <alignment horizontal="center" vertical="center"/>
    </xf>
    <xf numFmtId="0" fontId="49" fillId="0" borderId="0" xfId="0" applyFont="1"/>
    <xf numFmtId="191" fontId="50" fillId="0" borderId="18" xfId="0" applyNumberFormat="1" applyFont="1" applyBorder="1" applyAlignment="1">
      <alignment horizontal="center" vertical="center"/>
    </xf>
    <xf numFmtId="0" fontId="51" fillId="0" borderId="47" xfId="0" applyFont="1" applyBorder="1" applyAlignment="1">
      <alignment horizontal="center" vertical="center"/>
    </xf>
    <xf numFmtId="0" fontId="51" fillId="0" borderId="33" xfId="0" applyFont="1" applyBorder="1" applyAlignment="1">
      <alignment horizontal="center" vertical="center"/>
    </xf>
    <xf numFmtId="0" fontId="51" fillId="0" borderId="12" xfId="0" applyFont="1" applyBorder="1" applyAlignment="1">
      <alignment horizontal="center" vertical="center"/>
    </xf>
    <xf numFmtId="0" fontId="51" fillId="0" borderId="22" xfId="0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52" fillId="0" borderId="18" xfId="0" applyFont="1" applyBorder="1" applyAlignment="1">
      <alignment horizontal="left" vertical="center" wrapText="1"/>
    </xf>
    <xf numFmtId="181" fontId="52" fillId="0" borderId="33" xfId="0" applyNumberFormat="1" applyFont="1" applyBorder="1" applyAlignment="1">
      <alignment horizontal="center" vertical="center"/>
    </xf>
    <xf numFmtId="0" fontId="53" fillId="0" borderId="0" xfId="0" applyFont="1"/>
    <xf numFmtId="49" fontId="52" fillId="0" borderId="18" xfId="0" applyNumberFormat="1" applyFont="1" applyBorder="1" applyAlignment="1">
      <alignment vertical="center" wrapText="1"/>
    </xf>
    <xf numFmtId="0" fontId="54" fillId="0" borderId="30" xfId="0" applyFont="1" applyBorder="1" applyAlignment="1">
      <alignment vertical="center" wrapText="1"/>
    </xf>
    <xf numFmtId="181" fontId="54" fillId="0" borderId="0" xfId="0" applyNumberFormat="1" applyFont="1" applyAlignment="1">
      <alignment horizontal="center" vertical="center"/>
    </xf>
    <xf numFmtId="0" fontId="55" fillId="0" borderId="0" xfId="0" applyFont="1"/>
    <xf numFmtId="49" fontId="54" fillId="0" borderId="30" xfId="0" applyNumberFormat="1" applyFont="1" applyBorder="1" applyAlignment="1">
      <alignment vertical="center" wrapText="1"/>
    </xf>
    <xf numFmtId="192" fontId="56" fillId="0" borderId="23" xfId="0" applyNumberFormat="1" applyFont="1" applyBorder="1" applyAlignment="1">
      <alignment horizontal="left" vertical="center" wrapText="1"/>
    </xf>
    <xf numFmtId="49" fontId="54" fillId="0" borderId="30" xfId="0" applyNumberFormat="1" applyFont="1" applyBorder="1" applyAlignment="1">
      <alignment horizontal="left" vertical="center" wrapText="1"/>
    </xf>
    <xf numFmtId="0" fontId="57" fillId="0" borderId="0" xfId="0" applyFont="1"/>
    <xf numFmtId="0" fontId="54" fillId="0" borderId="30" xfId="0" applyFont="1" applyBorder="1" applyAlignment="1">
      <alignment horizontal="left" vertical="center" wrapText="1"/>
    </xf>
    <xf numFmtId="192" fontId="58" fillId="0" borderId="30" xfId="0" applyNumberFormat="1" applyFont="1" applyBorder="1" applyAlignment="1">
      <alignment vertical="center" wrapText="1"/>
    </xf>
    <xf numFmtId="0" fontId="59" fillId="0" borderId="0" xfId="0" applyFont="1"/>
    <xf numFmtId="0" fontId="54" fillId="0" borderId="31" xfId="0" applyFont="1" applyBorder="1" applyAlignment="1">
      <alignment vertical="center" wrapText="1"/>
    </xf>
    <xf numFmtId="181" fontId="54" fillId="0" borderId="9" xfId="0" applyNumberFormat="1" applyFont="1" applyBorder="1" applyAlignment="1">
      <alignment horizontal="center" vertical="center"/>
    </xf>
    <xf numFmtId="0" fontId="52" fillId="0" borderId="30" xfId="0" applyFont="1" applyBorder="1" applyAlignment="1">
      <alignment horizontal="left" vertical="center" wrapText="1"/>
    </xf>
    <xf numFmtId="181" fontId="52" fillId="0" borderId="0" xfId="0" applyNumberFormat="1" applyFont="1" applyAlignment="1">
      <alignment horizontal="center" vertical="center"/>
    </xf>
    <xf numFmtId="0" fontId="52" fillId="10" borderId="48" xfId="0" applyFont="1" applyFill="1" applyBorder="1" applyAlignment="1">
      <alignment horizontal="left" vertical="center"/>
    </xf>
    <xf numFmtId="181" fontId="52" fillId="10" borderId="11" xfId="0" applyNumberFormat="1" applyFont="1" applyFill="1" applyBorder="1" applyAlignment="1">
      <alignment horizontal="center" vertical="center"/>
    </xf>
    <xf numFmtId="0" fontId="53" fillId="10" borderId="11" xfId="0" applyFont="1" applyFill="1" applyBorder="1"/>
    <xf numFmtId="0" fontId="60" fillId="0" borderId="18" xfId="0" applyFont="1" applyBorder="1" applyAlignment="1">
      <alignment horizontal="left" vertical="center" wrapText="1"/>
    </xf>
    <xf numFmtId="0" fontId="61" fillId="0" borderId="0" xfId="0" applyFont="1" applyAlignment="1">
      <alignment horizontal="left"/>
    </xf>
    <xf numFmtId="2" fontId="62" fillId="0" borderId="0" xfId="0" applyNumberFormat="1" applyFont="1" applyAlignment="1">
      <alignment horizontal="center" vertical="center"/>
    </xf>
    <xf numFmtId="0" fontId="53" fillId="15" borderId="11" xfId="0" applyFont="1" applyFill="1" applyBorder="1"/>
    <xf numFmtId="0" fontId="52" fillId="0" borderId="0" xfId="0" applyFont="1" applyAlignment="1">
      <alignment horizontal="left" vertical="center"/>
    </xf>
    <xf numFmtId="193" fontId="54" fillId="0" borderId="0" xfId="0" applyNumberFormat="1" applyFont="1" applyAlignment="1">
      <alignment horizontal="center" vertical="center"/>
    </xf>
    <xf numFmtId="0" fontId="63" fillId="0" borderId="0" xfId="0" applyFont="1"/>
    <xf numFmtId="181" fontId="54" fillId="0" borderId="11" xfId="0" applyNumberFormat="1" applyFont="1" applyBorder="1" applyAlignment="1">
      <alignment horizontal="center" vertical="center"/>
    </xf>
    <xf numFmtId="0" fontId="64" fillId="0" borderId="0" xfId="0" applyFont="1"/>
    <xf numFmtId="181" fontId="65" fillId="0" borderId="0" xfId="0" applyNumberFormat="1" applyFont="1" applyAlignment="1">
      <alignment horizontal="center"/>
    </xf>
    <xf numFmtId="0" fontId="52" fillId="0" borderId="0" xfId="0" applyFont="1" applyAlignment="1">
      <alignment horizontal="left" vertical="center" wrapText="1"/>
    </xf>
    <xf numFmtId="192" fontId="66" fillId="0" borderId="0" xfId="0" applyNumberFormat="1" applyFont="1"/>
    <xf numFmtId="0" fontId="67" fillId="0" borderId="11" xfId="0" applyFont="1" applyBorder="1" applyAlignment="1">
      <alignment horizontal="left" vertical="center" wrapText="1"/>
    </xf>
    <xf numFmtId="181" fontId="68" fillId="0" borderId="0" xfId="0" applyNumberFormat="1" applyFont="1"/>
    <xf numFmtId="181" fontId="66" fillId="0" borderId="0" xfId="0" applyNumberFormat="1" applyFont="1" applyAlignment="1">
      <alignment horizontal="center"/>
    </xf>
    <xf numFmtId="194" fontId="66" fillId="0" borderId="0" xfId="0" applyNumberFormat="1" applyFont="1"/>
    <xf numFmtId="181" fontId="66" fillId="0" borderId="11" xfId="0" applyNumberFormat="1" applyFont="1" applyBorder="1" applyAlignment="1">
      <alignment horizontal="center"/>
    </xf>
    <xf numFmtId="0" fontId="66" fillId="0" borderId="0" xfId="0" applyFont="1"/>
    <xf numFmtId="2" fontId="49" fillId="0" borderId="0" xfId="0" applyNumberFormat="1" applyFont="1" applyAlignment="1">
      <alignment horizontal="center"/>
    </xf>
    <xf numFmtId="181" fontId="49" fillId="0" borderId="0" xfId="0" applyNumberFormat="1" applyFont="1"/>
    <xf numFmtId="1" fontId="49" fillId="0" borderId="0" xfId="0" applyNumberFormat="1" applyFont="1"/>
    <xf numFmtId="181" fontId="49" fillId="0" borderId="0" xfId="0" applyNumberFormat="1" applyFont="1" applyAlignment="1">
      <alignment horizontal="center"/>
    </xf>
    <xf numFmtId="0" fontId="66" fillId="0" borderId="0" xfId="0" applyFont="1" applyAlignment="1">
      <alignment vertical="top" wrapText="1"/>
    </xf>
    <xf numFmtId="181" fontId="66" fillId="0" borderId="0" xfId="0" applyNumberFormat="1" applyFont="1"/>
    <xf numFmtId="181" fontId="66" fillId="0" borderId="0" xfId="0" applyNumberFormat="1" applyFont="1" applyAlignment="1">
      <alignment vertical="top" wrapText="1"/>
    </xf>
    <xf numFmtId="2" fontId="66" fillId="0" borderId="0" xfId="0" applyNumberFormat="1" applyFont="1" applyAlignment="1">
      <alignment horizontal="center"/>
    </xf>
    <xf numFmtId="0" fontId="66" fillId="0" borderId="0" xfId="0" applyFont="1" applyAlignment="1">
      <alignment horizontal="left"/>
    </xf>
    <xf numFmtId="0" fontId="69" fillId="0" borderId="0" xfId="0" applyFont="1" applyAlignment="1">
      <alignment horizontal="left"/>
    </xf>
    <xf numFmtId="181" fontId="54" fillId="0" borderId="49" xfId="0" applyNumberFormat="1" applyFont="1" applyBorder="1" applyAlignment="1">
      <alignment horizontal="center" vertical="center"/>
    </xf>
    <xf numFmtId="167" fontId="52" fillId="0" borderId="49" xfId="0" applyNumberFormat="1" applyFont="1" applyBorder="1" applyAlignment="1">
      <alignment horizontal="center" vertical="center"/>
    </xf>
    <xf numFmtId="167" fontId="65" fillId="0" borderId="49" xfId="0" applyNumberFormat="1" applyFont="1" applyBorder="1" applyAlignment="1">
      <alignment horizontal="center"/>
    </xf>
    <xf numFmtId="0" fontId="52" fillId="0" borderId="50" xfId="0" applyFont="1" applyBorder="1" applyAlignment="1">
      <alignment horizontal="left" vertical="center"/>
    </xf>
    <xf numFmtId="0" fontId="52" fillId="0" borderId="51" xfId="0" applyFont="1" applyBorder="1" applyAlignment="1">
      <alignment horizontal="center" vertical="center"/>
    </xf>
    <xf numFmtId="0" fontId="52" fillId="0" borderId="52" xfId="0" applyFont="1" applyBorder="1" applyAlignment="1">
      <alignment horizontal="center" vertical="center"/>
    </xf>
    <xf numFmtId="0" fontId="52" fillId="0" borderId="53" xfId="0" applyFont="1" applyBorder="1" applyAlignment="1">
      <alignment horizontal="left" vertical="center"/>
    </xf>
    <xf numFmtId="181" fontId="54" fillId="0" borderId="54" xfId="0" applyNumberFormat="1" applyFont="1" applyBorder="1" applyAlignment="1">
      <alignment horizontal="center" vertical="center"/>
    </xf>
    <xf numFmtId="167" fontId="52" fillId="0" borderId="54" xfId="0" applyNumberFormat="1" applyFont="1" applyBorder="1" applyAlignment="1">
      <alignment horizontal="center" vertical="center"/>
    </xf>
    <xf numFmtId="167" fontId="65" fillId="0" borderId="54" xfId="0" applyNumberFormat="1" applyFont="1" applyBorder="1" applyAlignment="1">
      <alignment horizontal="center"/>
    </xf>
    <xf numFmtId="0" fontId="52" fillId="0" borderId="55" xfId="0" applyFont="1" applyBorder="1" applyAlignment="1">
      <alignment horizontal="left" vertical="center"/>
    </xf>
    <xf numFmtId="167" fontId="65" fillId="0" borderId="56" xfId="0" applyNumberFormat="1" applyFont="1" applyBorder="1" applyAlignment="1">
      <alignment horizontal="center"/>
    </xf>
    <xf numFmtId="167" fontId="65" fillId="0" borderId="57" xfId="0" applyNumberFormat="1" applyFont="1" applyBorder="1" applyAlignment="1">
      <alignment horizontal="center"/>
    </xf>
    <xf numFmtId="164" fontId="2" fillId="0" borderId="18" xfId="0" applyNumberFormat="1" applyFont="1" applyBorder="1"/>
    <xf numFmtId="10" fontId="8" fillId="0" borderId="8" xfId="0" applyNumberFormat="1" applyFont="1" applyBorder="1"/>
    <xf numFmtId="164" fontId="12" fillId="0" borderId="46" xfId="0" applyNumberFormat="1" applyFont="1" applyBorder="1"/>
    <xf numFmtId="165" fontId="9" fillId="4" borderId="46" xfId="0" applyNumberFormat="1" applyFont="1" applyFill="1" applyBorder="1" applyAlignment="1">
      <alignment horizontal="center"/>
    </xf>
    <xf numFmtId="165" fontId="9" fillId="0" borderId="46" xfId="0" applyNumberFormat="1" applyFont="1" applyBorder="1" applyAlignment="1">
      <alignment horizontal="center"/>
    </xf>
    <xf numFmtId="174" fontId="9" fillId="4" borderId="46" xfId="0" applyNumberFormat="1" applyFont="1" applyFill="1" applyBorder="1"/>
    <xf numFmtId="164" fontId="5" fillId="0" borderId="9" xfId="0" applyNumberFormat="1" applyFont="1" applyBorder="1"/>
    <xf numFmtId="164" fontId="5" fillId="0" borderId="46" xfId="0" applyNumberFormat="1" applyFont="1" applyBorder="1"/>
    <xf numFmtId="164" fontId="2" fillId="6" borderId="18" xfId="0" applyNumberFormat="1" applyFont="1" applyFill="1" applyBorder="1"/>
    <xf numFmtId="164" fontId="5" fillId="0" borderId="12" xfId="0" applyNumberFormat="1" applyFont="1" applyBorder="1" applyAlignment="1">
      <alignment horizontal="left"/>
    </xf>
    <xf numFmtId="164" fontId="5" fillId="0" borderId="14" xfId="0" applyNumberFormat="1" applyFont="1" applyBorder="1" applyAlignment="1">
      <alignment horizontal="left"/>
    </xf>
    <xf numFmtId="164" fontId="9" fillId="16" borderId="0" xfId="0" applyNumberFormat="1" applyFont="1" applyFill="1"/>
    <xf numFmtId="0" fontId="38" fillId="0" borderId="46" xfId="0" applyFont="1" applyBorder="1" applyAlignment="1">
      <alignment wrapText="1"/>
    </xf>
    <xf numFmtId="0" fontId="38" fillId="0" borderId="49" xfId="0" applyFont="1" applyBorder="1" applyAlignment="1">
      <alignment wrapText="1"/>
    </xf>
    <xf numFmtId="3" fontId="38" fillId="0" borderId="49" xfId="0" applyNumberFormat="1" applyFont="1" applyBorder="1" applyAlignment="1">
      <alignment wrapText="1"/>
    </xf>
    <xf numFmtId="3" fontId="37" fillId="0" borderId="49" xfId="0" applyNumberFormat="1" applyFont="1" applyBorder="1" applyAlignment="1">
      <alignment wrapText="1"/>
    </xf>
    <xf numFmtId="0" fontId="76" fillId="0" borderId="0" xfId="0" applyFont="1"/>
    <xf numFmtId="167" fontId="29" fillId="0" borderId="0" xfId="2" applyNumberFormat="1" applyFont="1" applyAlignment="1">
      <alignment wrapText="1"/>
    </xf>
    <xf numFmtId="10" fontId="29" fillId="0" borderId="0" xfId="2" applyNumberFormat="1" applyFont="1" applyAlignment="1">
      <alignment wrapText="1"/>
    </xf>
    <xf numFmtId="9" fontId="14" fillId="0" borderId="14" xfId="2" applyFont="1" applyBorder="1"/>
    <xf numFmtId="164" fontId="5" fillId="0" borderId="59" xfId="0" applyNumberFormat="1" applyFont="1" applyBorder="1" applyAlignment="1">
      <alignment horizontal="left"/>
    </xf>
    <xf numFmtId="178" fontId="8" fillId="0" borderId="60" xfId="0" applyNumberFormat="1" applyFont="1" applyBorder="1"/>
    <xf numFmtId="164" fontId="5" fillId="0" borderId="61" xfId="0" applyNumberFormat="1" applyFont="1" applyBorder="1" applyAlignment="1">
      <alignment horizontal="left"/>
    </xf>
    <xf numFmtId="178" fontId="8" fillId="0" borderId="62" xfId="0" applyNumberFormat="1" applyFont="1" applyBorder="1"/>
    <xf numFmtId="177" fontId="8" fillId="0" borderId="62" xfId="0" applyNumberFormat="1" applyFont="1" applyBorder="1"/>
    <xf numFmtId="164" fontId="5" fillId="0" borderId="63" xfId="0" applyNumberFormat="1" applyFont="1" applyBorder="1" applyAlignment="1">
      <alignment horizontal="left"/>
    </xf>
    <xf numFmtId="177" fontId="8" fillId="0" borderId="64" xfId="0" applyNumberFormat="1" applyFont="1" applyBorder="1"/>
    <xf numFmtId="172" fontId="9" fillId="18" borderId="0" xfId="0" applyNumberFormat="1" applyFont="1" applyFill="1" applyAlignment="1">
      <alignment horizontal="right"/>
    </xf>
    <xf numFmtId="0" fontId="41" fillId="0" borderId="58" xfId="0" applyFont="1" applyBorder="1" applyAlignment="1">
      <alignment horizontal="center" vertical="center"/>
    </xf>
    <xf numFmtId="0" fontId="25" fillId="0" borderId="42" xfId="0" applyFont="1" applyBorder="1"/>
    <xf numFmtId="0" fontId="42" fillId="0" borderId="42" xfId="0" applyFont="1" applyBorder="1" applyAlignment="1">
      <alignment horizontal="left" vertical="center"/>
    </xf>
    <xf numFmtId="0" fontId="42" fillId="0" borderId="41" xfId="0" applyFont="1" applyBorder="1" applyAlignment="1">
      <alignment horizontal="left" vertical="center"/>
    </xf>
    <xf numFmtId="9" fontId="37" fillId="0" borderId="18" xfId="2" applyFont="1" applyBorder="1" applyAlignment="1">
      <alignment horizontal="center" vertical="center" wrapText="1"/>
    </xf>
    <xf numFmtId="188" fontId="12" fillId="0" borderId="18" xfId="0" applyNumberFormat="1" applyFont="1" applyBorder="1"/>
    <xf numFmtId="0" fontId="37" fillId="0" borderId="49" xfId="0" applyFont="1" applyBorder="1" applyAlignment="1">
      <alignment wrapText="1"/>
    </xf>
    <xf numFmtId="164" fontId="9" fillId="4" borderId="46" xfId="0" applyNumberFormat="1" applyFont="1" applyFill="1" applyBorder="1"/>
    <xf numFmtId="164" fontId="5" fillId="0" borderId="5" xfId="0" applyNumberFormat="1" applyFont="1" applyBorder="1" applyAlignment="1">
      <alignment horizontal="left"/>
    </xf>
    <xf numFmtId="164" fontId="5" fillId="4" borderId="46" xfId="0" applyNumberFormat="1" applyFont="1" applyFill="1" applyBorder="1"/>
    <xf numFmtId="164" fontId="9" fillId="0" borderId="46" xfId="0" applyNumberFormat="1" applyFont="1" applyBorder="1"/>
    <xf numFmtId="164" fontId="9" fillId="16" borderId="46" xfId="0" applyNumberFormat="1" applyFont="1" applyFill="1" applyBorder="1"/>
    <xf numFmtId="164" fontId="9" fillId="16" borderId="11" xfId="0" applyNumberFormat="1" applyFont="1" applyFill="1" applyBorder="1"/>
    <xf numFmtId="165" fontId="5" fillId="0" borderId="46" xfId="0" applyNumberFormat="1" applyFont="1" applyBorder="1" applyAlignment="1">
      <alignment horizontal="center"/>
    </xf>
    <xf numFmtId="43" fontId="17" fillId="0" borderId="0" xfId="3" applyFont="1" applyAlignment="1">
      <alignment wrapText="1"/>
    </xf>
    <xf numFmtId="0" fontId="38" fillId="0" borderId="34" xfId="0" applyFont="1" applyBorder="1" applyAlignment="1">
      <alignment horizontal="center" vertical="center" textRotation="90" wrapText="1"/>
    </xf>
    <xf numFmtId="0" fontId="38" fillId="0" borderId="34" xfId="0" applyFont="1" applyBorder="1" applyAlignment="1">
      <alignment horizontal="center" vertical="center" wrapText="1"/>
    </xf>
    <xf numFmtId="1" fontId="38" fillId="0" borderId="34" xfId="0" applyNumberFormat="1" applyFont="1" applyBorder="1" applyAlignment="1">
      <alignment vertical="center" wrapText="1"/>
    </xf>
    <xf numFmtId="0" fontId="38" fillId="0" borderId="34" xfId="0" applyFont="1" applyBorder="1" applyAlignment="1">
      <alignment vertical="center" wrapText="1"/>
    </xf>
    <xf numFmtId="0" fontId="38" fillId="0" borderId="49" xfId="0" applyFont="1" applyBorder="1" applyAlignment="1">
      <alignment horizontal="center" vertical="center" wrapText="1"/>
    </xf>
    <xf numFmtId="0" fontId="38" fillId="0" borderId="49" xfId="0" applyFont="1" applyBorder="1" applyAlignment="1">
      <alignment horizontal="center" vertical="center" textRotation="90" wrapText="1"/>
    </xf>
    <xf numFmtId="0" fontId="38" fillId="0" borderId="49" xfId="0" applyFont="1" applyBorder="1" applyAlignment="1">
      <alignment vertical="center" wrapText="1"/>
    </xf>
    <xf numFmtId="0" fontId="40" fillId="0" borderId="49" xfId="0" applyFont="1" applyBorder="1" applyAlignment="1">
      <alignment vertical="center" wrapText="1"/>
    </xf>
    <xf numFmtId="0" fontId="40" fillId="0" borderId="49" xfId="0" applyFont="1" applyBorder="1" applyAlignment="1">
      <alignment horizontal="center" vertical="center" wrapText="1"/>
    </xf>
    <xf numFmtId="0" fontId="38" fillId="0" borderId="49" xfId="0" applyFont="1" applyBorder="1" applyAlignment="1">
      <alignment horizontal="left" vertical="center" wrapText="1"/>
    </xf>
    <xf numFmtId="0" fontId="29" fillId="0" borderId="18" xfId="0" applyFont="1" applyBorder="1" applyAlignment="1">
      <alignment horizontal="left" wrapText="1" indent="2"/>
    </xf>
    <xf numFmtId="167" fontId="38" fillId="0" borderId="0" xfId="2" applyNumberFormat="1" applyFont="1" applyAlignment="1">
      <alignment wrapText="1"/>
    </xf>
    <xf numFmtId="9" fontId="8" fillId="0" borderId="6" xfId="2" applyFont="1" applyBorder="1"/>
    <xf numFmtId="167" fontId="8" fillId="0" borderId="6" xfId="2" applyNumberFormat="1" applyFont="1" applyBorder="1"/>
    <xf numFmtId="14" fontId="79" fillId="9" borderId="28" xfId="4" applyNumberFormat="1" applyFill="1" applyBorder="1" applyAlignment="1">
      <alignment vertical="top" wrapText="1"/>
    </xf>
    <xf numFmtId="0" fontId="25" fillId="0" borderId="49" xfId="0" applyFont="1" applyBorder="1"/>
    <xf numFmtId="0" fontId="25" fillId="0" borderId="33" xfId="0" applyFont="1" applyBorder="1"/>
    <xf numFmtId="0" fontId="25" fillId="0" borderId="34" xfId="0" applyFont="1" applyBorder="1"/>
    <xf numFmtId="0" fontId="81" fillId="0" borderId="49" xfId="0" applyFont="1" applyBorder="1" applyAlignment="1">
      <alignment vertical="center" wrapText="1"/>
    </xf>
    <xf numFmtId="0" fontId="81" fillId="0" borderId="49" xfId="0" applyFont="1" applyBorder="1" applyAlignment="1">
      <alignment horizontal="center" vertical="center" wrapText="1"/>
    </xf>
    <xf numFmtId="0" fontId="82" fillId="0" borderId="0" xfId="0" applyFont="1" applyAlignment="1">
      <alignment horizontal="center" vertical="center" wrapText="1"/>
    </xf>
    <xf numFmtId="0" fontId="80" fillId="0" borderId="0" xfId="0" applyFont="1" applyAlignment="1">
      <alignment horizontal="center" vertical="center" wrapText="1"/>
    </xf>
    <xf numFmtId="0" fontId="37" fillId="0" borderId="49" xfId="5" applyFont="1" applyBorder="1" applyAlignment="1">
      <alignment horizontal="center" vertical="center" wrapText="1"/>
    </xf>
    <xf numFmtId="0" fontId="31" fillId="0" borderId="49" xfId="5" applyFont="1" applyBorder="1" applyAlignment="1">
      <alignment wrapText="1"/>
    </xf>
    <xf numFmtId="0" fontId="38" fillId="0" borderId="49" xfId="5" applyFont="1" applyBorder="1" applyAlignment="1">
      <alignment horizontal="center" vertical="center" textRotation="90" wrapText="1"/>
    </xf>
    <xf numFmtId="0" fontId="38" fillId="0" borderId="49" xfId="5" applyFont="1" applyBorder="1" applyAlignment="1">
      <alignment wrapText="1"/>
    </xf>
    <xf numFmtId="9" fontId="38" fillId="0" borderId="49" xfId="5" applyNumberFormat="1" applyFont="1" applyBorder="1" applyAlignment="1">
      <alignment wrapText="1"/>
    </xf>
    <xf numFmtId="0" fontId="37" fillId="0" borderId="49" xfId="0" applyFont="1" applyBorder="1" applyAlignment="1">
      <alignment vertical="center" wrapText="1"/>
    </xf>
    <xf numFmtId="9" fontId="38" fillId="0" borderId="18" xfId="0" applyNumberFormat="1" applyFont="1" applyBorder="1" applyAlignment="1">
      <alignment horizontal="left" vertical="center" wrapText="1"/>
    </xf>
    <xf numFmtId="9" fontId="38" fillId="0" borderId="30" xfId="0" applyNumberFormat="1" applyFont="1" applyBorder="1" applyAlignment="1">
      <alignment horizontal="left" vertical="center" wrapText="1"/>
    </xf>
    <xf numFmtId="2" fontId="37" fillId="0" borderId="18" xfId="0" applyNumberFormat="1" applyFont="1" applyBorder="1" applyAlignment="1">
      <alignment horizontal="center" vertical="center" wrapText="1"/>
    </xf>
    <xf numFmtId="2" fontId="33" fillId="0" borderId="41" xfId="0" applyNumberFormat="1" applyFont="1" applyBorder="1" applyAlignment="1">
      <alignment horizontal="center" vertical="center"/>
    </xf>
    <xf numFmtId="0" fontId="81" fillId="0" borderId="0" xfId="0" applyFont="1" applyAlignment="1">
      <alignment horizontal="center" vertical="center" wrapText="1"/>
    </xf>
    <xf numFmtId="0" fontId="80" fillId="0" borderId="0" xfId="0" applyFont="1" applyAlignment="1">
      <alignment vertical="center" wrapText="1"/>
    </xf>
    <xf numFmtId="0" fontId="78" fillId="0" borderId="0" xfId="0" applyFont="1"/>
    <xf numFmtId="0" fontId="37" fillId="0" borderId="49" xfId="0" applyFont="1" applyBorder="1" applyAlignment="1">
      <alignment horizontal="center" vertical="center" wrapText="1"/>
    </xf>
    <xf numFmtId="179" fontId="37" fillId="0" borderId="46" xfId="0" applyNumberFormat="1" applyFont="1" applyBorder="1" applyAlignment="1">
      <alignment horizontal="center" vertical="center" wrapText="1"/>
    </xf>
    <xf numFmtId="3" fontId="37" fillId="0" borderId="46" xfId="0" applyNumberFormat="1" applyFont="1" applyBorder="1" applyAlignment="1">
      <alignment horizontal="right" vertical="center" wrapText="1"/>
    </xf>
    <xf numFmtId="3" fontId="37" fillId="0" borderId="46" xfId="0" applyNumberFormat="1" applyFont="1" applyBorder="1" applyAlignment="1">
      <alignment horizontal="center" vertical="center" wrapText="1"/>
    </xf>
    <xf numFmtId="179" fontId="47" fillId="0" borderId="18" xfId="0" applyNumberFormat="1" applyFont="1" applyBorder="1" applyAlignment="1">
      <alignment horizontal="center" vertical="center" wrapText="1"/>
    </xf>
    <xf numFmtId="1" fontId="37" fillId="0" borderId="34" xfId="0" applyNumberFormat="1" applyFont="1" applyBorder="1" applyAlignment="1">
      <alignment vertical="center" wrapText="1"/>
    </xf>
    <xf numFmtId="0" fontId="37" fillId="0" borderId="49" xfId="0" applyFont="1" applyBorder="1" applyAlignment="1">
      <alignment horizontal="left" vertical="center" wrapText="1"/>
    </xf>
    <xf numFmtId="0" fontId="38" fillId="0" borderId="67" xfId="0" applyFont="1" applyBorder="1" applyAlignment="1">
      <alignment horizontal="center" vertical="center" wrapText="1"/>
    </xf>
    <xf numFmtId="1" fontId="38" fillId="0" borderId="22" xfId="0" applyNumberFormat="1" applyFont="1" applyBorder="1" applyAlignment="1">
      <alignment vertical="center" wrapText="1"/>
    </xf>
    <xf numFmtId="0" fontId="38" fillId="0" borderId="68" xfId="0" applyFont="1" applyBorder="1" applyAlignment="1">
      <alignment horizontal="left" vertical="center" wrapText="1"/>
    </xf>
    <xf numFmtId="0" fontId="38" fillId="0" borderId="24" xfId="0" applyFont="1" applyBorder="1" applyAlignment="1">
      <alignment vertical="center" wrapText="1"/>
    </xf>
    <xf numFmtId="0" fontId="38" fillId="0" borderId="31" xfId="0" applyFont="1" applyBorder="1" applyAlignment="1">
      <alignment vertical="center" wrapText="1"/>
    </xf>
    <xf numFmtId="0" fontId="38" fillId="0" borderId="46" xfId="0" applyFont="1" applyBorder="1" applyAlignment="1">
      <alignment vertical="center" wrapText="1"/>
    </xf>
    <xf numFmtId="1" fontId="38" fillId="0" borderId="46" xfId="0" applyNumberFormat="1" applyFont="1" applyBorder="1" applyAlignment="1">
      <alignment vertical="center" wrapText="1"/>
    </xf>
    <xf numFmtId="0" fontId="0" fillId="0" borderId="46" xfId="0" applyBorder="1"/>
    <xf numFmtId="1" fontId="38" fillId="0" borderId="49" xfId="0" applyNumberFormat="1" applyFont="1" applyBorder="1" applyAlignment="1">
      <alignment vertical="center" wrapText="1"/>
    </xf>
    <xf numFmtId="1" fontId="37" fillId="0" borderId="49" xfId="0" applyNumberFormat="1" applyFont="1" applyBorder="1" applyAlignment="1">
      <alignment vertical="center" wrapText="1"/>
    </xf>
    <xf numFmtId="1" fontId="0" fillId="0" borderId="0" xfId="0" applyNumberFormat="1"/>
    <xf numFmtId="0" fontId="40" fillId="0" borderId="67" xfId="0" applyFont="1" applyBorder="1" applyAlignment="1">
      <alignment vertical="center" wrapText="1"/>
    </xf>
    <xf numFmtId="1" fontId="37" fillId="0" borderId="22" xfId="0" applyNumberFormat="1" applyFont="1" applyBorder="1" applyAlignment="1">
      <alignment vertical="center" wrapText="1"/>
    </xf>
    <xf numFmtId="0" fontId="4" fillId="0" borderId="46" xfId="0" applyFont="1" applyBorder="1"/>
    <xf numFmtId="0" fontId="37" fillId="0" borderId="67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 wrapText="1"/>
    </xf>
    <xf numFmtId="0" fontId="40" fillId="0" borderId="68" xfId="0" applyFont="1" applyBorder="1" applyAlignment="1">
      <alignment horizontal="center" vertical="center" wrapText="1"/>
    </xf>
    <xf numFmtId="1" fontId="37" fillId="0" borderId="46" xfId="0" applyNumberFormat="1" applyFont="1" applyBorder="1" applyAlignment="1">
      <alignment horizontal="center" vertical="center" wrapText="1"/>
    </xf>
    <xf numFmtId="1" fontId="37" fillId="0" borderId="46" xfId="0" applyNumberFormat="1" applyFont="1" applyBorder="1" applyAlignment="1">
      <alignment vertical="center" wrapText="1"/>
    </xf>
    <xf numFmtId="0" fontId="37" fillId="0" borderId="68" xfId="0" applyFont="1" applyBorder="1" applyAlignment="1">
      <alignment horizontal="left" vertical="center" wrapText="1"/>
    </xf>
    <xf numFmtId="0" fontId="38" fillId="0" borderId="46" xfId="0" applyFont="1" applyBorder="1" applyAlignment="1">
      <alignment horizontal="center" vertical="center" wrapText="1"/>
    </xf>
    <xf numFmtId="0" fontId="37" fillId="0" borderId="46" xfId="0" applyFont="1" applyBorder="1" applyAlignment="1">
      <alignment horizontal="center" vertical="center" wrapText="1"/>
    </xf>
    <xf numFmtId="0" fontId="91" fillId="0" borderId="49" xfId="0" applyFont="1" applyBorder="1" applyAlignment="1">
      <alignment wrapText="1"/>
    </xf>
    <xf numFmtId="179" fontId="37" fillId="11" borderId="32" xfId="0" applyNumberFormat="1" applyFont="1" applyFill="1" applyBorder="1" applyAlignment="1">
      <alignment horizontal="center" vertical="center" wrapText="1"/>
    </xf>
    <xf numFmtId="3" fontId="37" fillId="0" borderId="49" xfId="0" applyNumberFormat="1" applyFont="1" applyBorder="1" applyAlignment="1">
      <alignment horizontal="right" vertical="center" wrapText="1"/>
    </xf>
    <xf numFmtId="3" fontId="37" fillId="0" borderId="49" xfId="0" applyNumberFormat="1" applyFont="1" applyBorder="1" applyAlignment="1">
      <alignment horizontal="center" vertical="center" wrapText="1"/>
    </xf>
    <xf numFmtId="3" fontId="38" fillId="0" borderId="49" xfId="0" applyNumberFormat="1" applyFont="1" applyBorder="1" applyAlignment="1">
      <alignment horizontal="right" vertical="center" wrapText="1"/>
    </xf>
    <xf numFmtId="9" fontId="38" fillId="0" borderId="49" xfId="0" applyNumberFormat="1" applyFont="1" applyBorder="1" applyAlignment="1">
      <alignment horizontal="right" vertical="center" wrapText="1"/>
    </xf>
    <xf numFmtId="9" fontId="37" fillId="0" borderId="49" xfId="2" applyFont="1" applyFill="1" applyBorder="1" applyAlignment="1">
      <alignment horizontal="center" vertical="center" wrapText="1"/>
    </xf>
    <xf numFmtId="179" fontId="37" fillId="11" borderId="49" xfId="0" applyNumberFormat="1" applyFont="1" applyFill="1" applyBorder="1" applyAlignment="1">
      <alignment horizontal="center" vertical="center" wrapText="1"/>
    </xf>
    <xf numFmtId="179" fontId="46" fillId="19" borderId="49" xfId="0" applyNumberFormat="1" applyFont="1" applyFill="1" applyBorder="1" applyAlignment="1">
      <alignment horizontal="center" vertical="center" wrapText="1"/>
    </xf>
    <xf numFmtId="179" fontId="37" fillId="19" borderId="49" xfId="0" applyNumberFormat="1" applyFont="1" applyFill="1" applyBorder="1" applyAlignment="1">
      <alignment horizontal="center" vertical="center" wrapText="1"/>
    </xf>
    <xf numFmtId="3" fontId="37" fillId="19" borderId="49" xfId="0" applyNumberFormat="1" applyFont="1" applyFill="1" applyBorder="1" applyAlignment="1">
      <alignment horizontal="right" vertical="center" wrapText="1"/>
    </xf>
    <xf numFmtId="3" fontId="37" fillId="19" borderId="49" xfId="0" applyNumberFormat="1" applyFont="1" applyFill="1" applyBorder="1" applyAlignment="1">
      <alignment horizontal="center" vertical="center" wrapText="1"/>
    </xf>
    <xf numFmtId="0" fontId="114" fillId="0" borderId="0" xfId="0" applyFont="1"/>
    <xf numFmtId="0" fontId="0" fillId="0" borderId="0" xfId="0" applyAlignment="1">
      <alignment wrapText="1"/>
    </xf>
    <xf numFmtId="0" fontId="115" fillId="0" borderId="10" xfId="0" applyFont="1" applyBorder="1" applyAlignment="1">
      <alignment wrapText="1"/>
    </xf>
    <xf numFmtId="2" fontId="4" fillId="0" borderId="18" xfId="0" applyNumberFormat="1" applyFont="1" applyBorder="1" applyAlignment="1">
      <alignment wrapText="1"/>
    </xf>
    <xf numFmtId="0" fontId="112" fillId="0" borderId="0" xfId="0" applyFont="1" applyAlignment="1">
      <alignment wrapText="1"/>
    </xf>
    <xf numFmtId="9" fontId="0" fillId="0" borderId="0" xfId="0" applyNumberFormat="1" applyAlignment="1">
      <alignment wrapText="1"/>
    </xf>
    <xf numFmtId="9" fontId="38" fillId="0" borderId="18" xfId="2" applyFont="1" applyBorder="1" applyAlignment="1">
      <alignment horizontal="center" vertical="center" wrapText="1"/>
    </xf>
    <xf numFmtId="187" fontId="46" fillId="0" borderId="18" xfId="0" applyNumberFormat="1" applyFont="1" applyBorder="1" applyAlignment="1">
      <alignment horizontal="left" vertical="center" wrapText="1"/>
    </xf>
    <xf numFmtId="3" fontId="39" fillId="0" borderId="18" xfId="0" applyNumberFormat="1" applyFont="1" applyBorder="1" applyAlignment="1">
      <alignment horizontal="center" vertical="center" wrapText="1"/>
    </xf>
    <xf numFmtId="187" fontId="39" fillId="22" borderId="18" xfId="0" applyNumberFormat="1" applyFont="1" applyFill="1" applyBorder="1" applyAlignment="1">
      <alignment horizontal="left" vertical="top" wrapText="1"/>
    </xf>
    <xf numFmtId="3" fontId="37" fillId="22" borderId="18" xfId="0" applyNumberFormat="1" applyFont="1" applyFill="1" applyBorder="1" applyAlignment="1">
      <alignment horizontal="center" vertical="center" wrapText="1"/>
    </xf>
    <xf numFmtId="3" fontId="41" fillId="22" borderId="18" xfId="0" applyNumberFormat="1" applyFont="1" applyFill="1" applyBorder="1" applyAlignment="1">
      <alignment horizontal="center" vertical="center" wrapText="1"/>
    </xf>
    <xf numFmtId="187" fontId="46" fillId="0" borderId="18" xfId="0" applyNumberFormat="1" applyFont="1" applyBorder="1" applyAlignment="1">
      <alignment horizontal="left" vertical="top" wrapText="1"/>
    </xf>
    <xf numFmtId="187" fontId="47" fillId="0" borderId="18" xfId="0" applyNumberFormat="1" applyFont="1" applyBorder="1" applyAlignment="1">
      <alignment horizontal="left" vertical="top" wrapText="1"/>
    </xf>
    <xf numFmtId="179" fontId="38" fillId="0" borderId="49" xfId="0" applyNumberFormat="1" applyFont="1" applyBorder="1" applyAlignment="1">
      <alignment horizontal="right" vertical="center" wrapText="1"/>
    </xf>
    <xf numFmtId="0" fontId="0" fillId="0" borderId="49" xfId="0" applyBorder="1"/>
    <xf numFmtId="179" fontId="38" fillId="0" borderId="49" xfId="0" applyNumberFormat="1" applyFont="1" applyBorder="1" applyAlignment="1">
      <alignment horizontal="center" vertical="center" wrapText="1"/>
    </xf>
    <xf numFmtId="179" fontId="38" fillId="0" borderId="49" xfId="0" applyNumberFormat="1" applyFont="1" applyBorder="1" applyAlignment="1">
      <alignment horizontal="left" vertical="center" wrapText="1"/>
    </xf>
    <xf numFmtId="9" fontId="38" fillId="0" borderId="49" xfId="2" applyFont="1" applyBorder="1" applyAlignment="1">
      <alignment horizontal="right" vertical="center" wrapText="1"/>
    </xf>
    <xf numFmtId="179" fontId="37" fillId="0" borderId="49" xfId="0" applyNumberFormat="1" applyFont="1" applyBorder="1" applyAlignment="1">
      <alignment horizontal="right" vertical="center" wrapText="1"/>
    </xf>
    <xf numFmtId="1" fontId="38" fillId="0" borderId="66" xfId="0" applyNumberFormat="1" applyFont="1" applyBorder="1" applyAlignment="1">
      <alignment vertical="center" wrapText="1"/>
    </xf>
    <xf numFmtId="1" fontId="38" fillId="0" borderId="65" xfId="0" applyNumberFormat="1" applyFont="1" applyBorder="1" applyAlignment="1">
      <alignment vertical="center" wrapText="1"/>
    </xf>
    <xf numFmtId="187" fontId="28" fillId="0" borderId="32" xfId="0" applyNumberFormat="1" applyFont="1" applyBorder="1" applyAlignment="1">
      <alignment vertical="center" wrapText="1"/>
    </xf>
    <xf numFmtId="0" fontId="41" fillId="0" borderId="46" xfId="0" applyFont="1" applyBorder="1" applyAlignment="1">
      <alignment horizontal="center" vertical="center" wrapText="1"/>
    </xf>
    <xf numFmtId="0" fontId="33" fillId="0" borderId="46" xfId="0" applyFont="1" applyBorder="1" applyAlignment="1">
      <alignment horizontal="center" vertical="center" wrapText="1"/>
    </xf>
    <xf numFmtId="0" fontId="4" fillId="0" borderId="46" xfId="0" applyFont="1" applyBorder="1" applyAlignment="1">
      <alignment horizontal="left" vertical="center" wrapText="1"/>
    </xf>
    <xf numFmtId="0" fontId="4" fillId="0" borderId="46" xfId="0" applyFont="1" applyBorder="1" applyAlignment="1">
      <alignment horizontal="center" vertical="center" wrapText="1"/>
    </xf>
    <xf numFmtId="1" fontId="4" fillId="0" borderId="46" xfId="0" applyNumberFormat="1" applyFont="1" applyBorder="1" applyAlignment="1">
      <alignment horizontal="center" vertical="center" wrapText="1"/>
    </xf>
    <xf numFmtId="3" fontId="28" fillId="0" borderId="46" xfId="0" applyNumberFormat="1" applyFont="1" applyBorder="1" applyAlignment="1">
      <alignment horizontal="center" vertical="center" wrapText="1"/>
    </xf>
    <xf numFmtId="3" fontId="30" fillId="0" borderId="46" xfId="0" applyNumberFormat="1" applyFont="1" applyBorder="1" applyAlignment="1">
      <alignment horizontal="center" vertical="center" wrapText="1"/>
    </xf>
    <xf numFmtId="0" fontId="116" fillId="0" borderId="46" xfId="0" applyFont="1" applyBorder="1" applyAlignment="1">
      <alignment horizontal="center" vertical="center" wrapText="1"/>
    </xf>
    <xf numFmtId="0" fontId="30" fillId="0" borderId="46" xfId="0" applyFont="1" applyBorder="1" applyAlignment="1">
      <alignment horizontal="center" vertical="center" wrapText="1"/>
    </xf>
    <xf numFmtId="0" fontId="4" fillId="14" borderId="34" xfId="0" applyFont="1" applyFill="1" applyBorder="1" applyAlignment="1">
      <alignment horizontal="left" vertical="center" wrapText="1"/>
    </xf>
    <xf numFmtId="3" fontId="28" fillId="0" borderId="29" xfId="0" applyNumberFormat="1" applyFont="1" applyBorder="1" applyAlignment="1">
      <alignment horizontal="center" vertical="center" wrapText="1"/>
    </xf>
    <xf numFmtId="3" fontId="30" fillId="0" borderId="29" xfId="0" applyNumberFormat="1" applyFont="1" applyBorder="1" applyAlignment="1">
      <alignment horizontal="center" vertical="center" wrapText="1"/>
    </xf>
    <xf numFmtId="0" fontId="116" fillId="0" borderId="49" xfId="0" applyFont="1" applyBorder="1" applyAlignment="1">
      <alignment horizontal="center" vertical="center" wrapText="1"/>
    </xf>
    <xf numFmtId="3" fontId="28" fillId="0" borderId="49" xfId="0" applyNumberFormat="1" applyFont="1" applyBorder="1" applyAlignment="1">
      <alignment horizontal="center" vertical="center" wrapText="1"/>
    </xf>
    <xf numFmtId="3" fontId="30" fillId="0" borderId="49" xfId="0" applyNumberFormat="1" applyFont="1" applyBorder="1" applyAlignment="1">
      <alignment horizontal="center" vertical="center" wrapText="1"/>
    </xf>
    <xf numFmtId="0" fontId="41" fillId="0" borderId="49" xfId="0" applyFont="1" applyBorder="1" applyAlignment="1">
      <alignment horizontal="center" vertical="center" wrapText="1"/>
    </xf>
    <xf numFmtId="187" fontId="29" fillId="0" borderId="49" xfId="0" applyNumberFormat="1" applyFont="1" applyBorder="1" applyAlignment="1">
      <alignment horizontal="left" vertical="center" wrapText="1"/>
    </xf>
    <xf numFmtId="3" fontId="29" fillId="0" borderId="49" xfId="0" applyNumberFormat="1" applyFont="1" applyBorder="1" applyAlignment="1">
      <alignment horizontal="center" vertical="center" wrapText="1"/>
    </xf>
    <xf numFmtId="3" fontId="33" fillId="0" borderId="49" xfId="0" applyNumberFormat="1" applyFont="1" applyBorder="1" applyAlignment="1">
      <alignment horizontal="center" vertical="center" wrapText="1"/>
    </xf>
    <xf numFmtId="187" fontId="28" fillId="14" borderId="49" xfId="0" applyNumberFormat="1" applyFont="1" applyFill="1" applyBorder="1" applyAlignment="1">
      <alignment horizontal="left" vertical="top" wrapText="1"/>
    </xf>
    <xf numFmtId="3" fontId="28" fillId="14" borderId="49" xfId="0" applyNumberFormat="1" applyFont="1" applyFill="1" applyBorder="1" applyAlignment="1">
      <alignment horizontal="center" vertical="center" wrapText="1"/>
    </xf>
    <xf numFmtId="3" fontId="30" fillId="14" borderId="49" xfId="0" applyNumberFormat="1" applyFont="1" applyFill="1" applyBorder="1" applyAlignment="1">
      <alignment horizontal="center" vertical="center" wrapText="1"/>
    </xf>
    <xf numFmtId="187" fontId="28" fillId="0" borderId="49" xfId="0" applyNumberFormat="1" applyFont="1" applyBorder="1" applyAlignment="1">
      <alignment horizontal="left" vertical="top" wrapText="1"/>
    </xf>
    <xf numFmtId="187" fontId="28" fillId="0" borderId="49" xfId="0" applyNumberFormat="1" applyFont="1" applyBorder="1" applyAlignment="1">
      <alignment horizontal="left" vertical="center" wrapText="1"/>
    </xf>
    <xf numFmtId="0" fontId="33" fillId="0" borderId="49" xfId="0" applyFont="1" applyBorder="1" applyAlignment="1">
      <alignment horizontal="left" vertical="center" wrapText="1"/>
    </xf>
    <xf numFmtId="1" fontId="33" fillId="0" borderId="49" xfId="0" applyNumberFormat="1" applyFont="1" applyBorder="1" applyAlignment="1">
      <alignment horizontal="center" vertical="center" wrapText="1"/>
    </xf>
    <xf numFmtId="1" fontId="29" fillId="0" borderId="49" xfId="0" applyNumberFormat="1" applyFont="1" applyBorder="1" applyAlignment="1">
      <alignment horizontal="center" vertical="center" wrapText="1"/>
    </xf>
    <xf numFmtId="0" fontId="33" fillId="0" borderId="49" xfId="0" applyFont="1" applyBorder="1" applyAlignment="1">
      <alignment horizontal="center" vertical="center" wrapText="1"/>
    </xf>
    <xf numFmtId="0" fontId="25" fillId="0" borderId="46" xfId="0" applyFont="1" applyBorder="1" applyAlignment="1">
      <alignment wrapText="1"/>
    </xf>
    <xf numFmtId="187" fontId="28" fillId="0" borderId="46" xfId="0" applyNumberFormat="1" applyFont="1" applyBorder="1" applyAlignment="1">
      <alignment horizontal="left" vertical="center" wrapText="1"/>
    </xf>
    <xf numFmtId="187" fontId="28" fillId="0" borderId="46" xfId="0" applyNumberFormat="1" applyFont="1" applyBorder="1" applyAlignment="1">
      <alignment horizontal="left" vertical="top" wrapText="1"/>
    </xf>
    <xf numFmtId="187" fontId="28" fillId="20" borderId="49" xfId="0" applyNumberFormat="1" applyFont="1" applyFill="1" applyBorder="1" applyAlignment="1">
      <alignment horizontal="left" vertical="center" wrapText="1"/>
    </xf>
    <xf numFmtId="3" fontId="28" fillId="20" borderId="18" xfId="0" applyNumberFormat="1" applyFont="1" applyFill="1" applyBorder="1" applyAlignment="1">
      <alignment horizontal="center" vertical="center" wrapText="1"/>
    </xf>
    <xf numFmtId="0" fontId="0" fillId="20" borderId="0" xfId="0" applyFill="1" applyAlignment="1">
      <alignment wrapText="1"/>
    </xf>
    <xf numFmtId="3" fontId="39" fillId="20" borderId="18" xfId="0" applyNumberFormat="1" applyFont="1" applyFill="1" applyBorder="1" applyAlignment="1">
      <alignment horizontal="center" vertical="center" wrapText="1"/>
    </xf>
    <xf numFmtId="3" fontId="116" fillId="14" borderId="18" xfId="0" applyNumberFormat="1" applyFont="1" applyFill="1" applyBorder="1" applyAlignment="1">
      <alignment horizontal="center" vertical="center" wrapText="1"/>
    </xf>
    <xf numFmtId="0" fontId="46" fillId="0" borderId="18" xfId="0" applyFont="1" applyBorder="1" applyAlignment="1">
      <alignment horizontal="center" vertical="center" wrapText="1"/>
    </xf>
    <xf numFmtId="3" fontId="37" fillId="0" borderId="0" xfId="0" applyNumberFormat="1" applyFont="1" applyAlignment="1">
      <alignment wrapText="1"/>
    </xf>
    <xf numFmtId="0" fontId="46" fillId="0" borderId="49" xfId="0" applyFont="1" applyBorder="1" applyAlignment="1">
      <alignment horizontal="center" vertical="center" wrapText="1"/>
    </xf>
    <xf numFmtId="0" fontId="46" fillId="0" borderId="18" xfId="0" applyFont="1" applyBorder="1" applyAlignment="1">
      <alignment horizontal="left" vertical="center" wrapText="1"/>
    </xf>
    <xf numFmtId="0" fontId="46" fillId="0" borderId="46" xfId="0" applyFont="1" applyBorder="1" applyAlignment="1">
      <alignment horizontal="left" vertical="center" wrapText="1"/>
    </xf>
    <xf numFmtId="3" fontId="39" fillId="0" borderId="46" xfId="0" applyNumberFormat="1" applyFont="1" applyBorder="1" applyAlignment="1">
      <alignment horizontal="center" vertical="center" wrapText="1"/>
    </xf>
    <xf numFmtId="0" fontId="92" fillId="0" borderId="49" xfId="0" applyFont="1" applyBorder="1" applyAlignment="1">
      <alignment wrapText="1"/>
    </xf>
    <xf numFmtId="0" fontId="92" fillId="0" borderId="0" xfId="0" applyFont="1" applyAlignment="1">
      <alignment wrapText="1"/>
    </xf>
    <xf numFmtId="9" fontId="92" fillId="0" borderId="49" xfId="0" applyNumberFormat="1" applyFont="1" applyBorder="1" applyAlignment="1">
      <alignment wrapText="1"/>
    </xf>
    <xf numFmtId="201" fontId="91" fillId="0" borderId="49" xfId="0" applyNumberFormat="1" applyFont="1" applyBorder="1" applyAlignment="1">
      <alignment wrapText="1"/>
    </xf>
    <xf numFmtId="1" fontId="91" fillId="0" borderId="49" xfId="0" applyNumberFormat="1" applyFont="1" applyBorder="1" applyAlignment="1">
      <alignment wrapText="1"/>
    </xf>
    <xf numFmtId="201" fontId="92" fillId="0" borderId="49" xfId="0" applyNumberFormat="1" applyFont="1" applyBorder="1" applyAlignment="1">
      <alignment wrapText="1"/>
    </xf>
    <xf numFmtId="202" fontId="92" fillId="0" borderId="49" xfId="0" applyNumberFormat="1" applyFont="1" applyBorder="1" applyAlignment="1">
      <alignment wrapText="1"/>
    </xf>
    <xf numFmtId="0" fontId="91" fillId="0" borderId="0" xfId="0" applyFont="1" applyAlignment="1">
      <alignment wrapText="1"/>
    </xf>
    <xf numFmtId="1" fontId="92" fillId="0" borderId="49" xfId="0" applyNumberFormat="1" applyFont="1" applyBorder="1" applyAlignment="1">
      <alignment wrapText="1"/>
    </xf>
    <xf numFmtId="164" fontId="8" fillId="0" borderId="6" xfId="0" applyNumberFormat="1" applyFont="1" applyBorder="1" applyAlignment="1">
      <alignment horizontal="left" wrapText="1"/>
    </xf>
    <xf numFmtId="3" fontId="80" fillId="0" borderId="49" xfId="0" applyNumberFormat="1" applyFont="1" applyBorder="1" applyAlignment="1">
      <alignment horizontal="center" vertical="center" wrapText="1"/>
    </xf>
    <xf numFmtId="3" fontId="81" fillId="0" borderId="49" xfId="0" applyNumberFormat="1" applyFont="1" applyBorder="1" applyAlignment="1">
      <alignment horizontal="center" vertical="center" wrapText="1"/>
    </xf>
    <xf numFmtId="3" fontId="85" fillId="0" borderId="49" xfId="0" applyNumberFormat="1" applyFont="1" applyBorder="1" applyAlignment="1">
      <alignment horizontal="center" vertical="center" wrapText="1"/>
    </xf>
    <xf numFmtId="3" fontId="85" fillId="20" borderId="49" xfId="0" applyNumberFormat="1" applyFont="1" applyFill="1" applyBorder="1" applyAlignment="1">
      <alignment horizontal="center" vertical="center" wrapText="1"/>
    </xf>
    <xf numFmtId="3" fontId="81" fillId="0" borderId="49" xfId="0" applyNumberFormat="1" applyFont="1" applyBorder="1" applyAlignment="1">
      <alignment vertical="center" wrapText="1"/>
    </xf>
    <xf numFmtId="3" fontId="80" fillId="0" borderId="49" xfId="0" applyNumberFormat="1" applyFont="1" applyBorder="1" applyAlignment="1">
      <alignment vertical="center" wrapText="1"/>
    </xf>
    <xf numFmtId="3" fontId="83" fillId="0" borderId="49" xfId="0" applyNumberFormat="1" applyFont="1" applyBorder="1" applyAlignment="1">
      <alignment vertical="center" wrapText="1"/>
    </xf>
    <xf numFmtId="3" fontId="84" fillId="0" borderId="49" xfId="0" applyNumberFormat="1" applyFont="1" applyBorder="1" applyAlignment="1">
      <alignment horizontal="left" vertical="center" wrapText="1"/>
    </xf>
    <xf numFmtId="3" fontId="117" fillId="0" borderId="49" xfId="0" applyNumberFormat="1" applyFont="1" applyBorder="1" applyAlignment="1">
      <alignment horizontal="left" vertical="center" wrapText="1"/>
    </xf>
    <xf numFmtId="3" fontId="84" fillId="0" borderId="49" xfId="0" applyNumberFormat="1" applyFont="1" applyBorder="1" applyAlignment="1">
      <alignment horizontal="left" vertical="center" wrapText="1" indent="2"/>
    </xf>
    <xf numFmtId="3" fontId="80" fillId="0" borderId="0" xfId="0" applyNumberFormat="1" applyFont="1" applyAlignment="1">
      <alignment horizontal="center" vertical="center" wrapText="1"/>
    </xf>
    <xf numFmtId="3" fontId="81" fillId="20" borderId="49" xfId="0" applyNumberFormat="1" applyFont="1" applyFill="1" applyBorder="1" applyAlignment="1">
      <alignment vertical="center" wrapText="1"/>
    </xf>
    <xf numFmtId="3" fontId="80" fillId="20" borderId="49" xfId="0" applyNumberFormat="1" applyFont="1" applyFill="1" applyBorder="1" applyAlignment="1">
      <alignment horizontal="center" vertical="center" wrapText="1"/>
    </xf>
    <xf numFmtId="3" fontId="80" fillId="0" borderId="0" xfId="0" applyNumberFormat="1" applyFont="1" applyAlignment="1">
      <alignment vertical="center" wrapText="1"/>
    </xf>
    <xf numFmtId="3" fontId="118" fillId="20" borderId="49" xfId="0" applyNumberFormat="1" applyFont="1" applyFill="1" applyBorder="1" applyAlignment="1">
      <alignment vertical="center" wrapText="1"/>
    </xf>
    <xf numFmtId="3" fontId="118" fillId="20" borderId="49" xfId="0" applyNumberFormat="1" applyFont="1" applyFill="1" applyBorder="1" applyAlignment="1">
      <alignment horizontal="center" vertical="center" wrapText="1"/>
    </xf>
    <xf numFmtId="3" fontId="81" fillId="0" borderId="0" xfId="0" applyNumberFormat="1" applyFont="1" applyAlignment="1">
      <alignment horizontal="center" vertical="center" wrapText="1"/>
    </xf>
    <xf numFmtId="3" fontId="117" fillId="0" borderId="49" xfId="0" applyNumberFormat="1" applyFont="1" applyBorder="1" applyAlignment="1">
      <alignment vertical="center" wrapText="1"/>
    </xf>
    <xf numFmtId="3" fontId="0" fillId="0" borderId="49" xfId="0" applyNumberFormat="1" applyBorder="1" applyAlignment="1">
      <alignment vertical="top" wrapText="1"/>
    </xf>
    <xf numFmtId="3" fontId="86" fillId="0" borderId="49" xfId="0" applyNumberFormat="1" applyFont="1" applyBorder="1" applyAlignment="1">
      <alignment horizontal="center" vertical="center" wrapText="1"/>
    </xf>
    <xf numFmtId="3" fontId="118" fillId="0" borderId="49" xfId="0" applyNumberFormat="1" applyFont="1" applyBorder="1" applyAlignment="1">
      <alignment horizontal="left" vertical="center" wrapText="1"/>
    </xf>
    <xf numFmtId="3" fontId="119" fillId="0" borderId="49" xfId="0" applyNumberFormat="1" applyFont="1" applyBorder="1" applyAlignment="1">
      <alignment vertical="center" wrapText="1"/>
    </xf>
    <xf numFmtId="0" fontId="85" fillId="20" borderId="0" xfId="0" applyFont="1" applyFill="1" applyAlignment="1">
      <alignment vertical="center" wrapText="1"/>
    </xf>
    <xf numFmtId="0" fontId="85" fillId="20" borderId="0" xfId="0" applyFont="1" applyFill="1" applyAlignment="1">
      <alignment horizontal="center" vertical="center" wrapText="1"/>
    </xf>
    <xf numFmtId="3" fontId="85" fillId="20" borderId="0" xfId="0" applyNumberFormat="1" applyFont="1" applyFill="1" applyAlignment="1">
      <alignment horizontal="center" vertical="center" wrapText="1"/>
    </xf>
    <xf numFmtId="0" fontId="93" fillId="19" borderId="49" xfId="0" applyFont="1" applyFill="1" applyBorder="1" applyAlignment="1">
      <alignment horizontal="center" vertical="top" wrapText="1"/>
    </xf>
    <xf numFmtId="0" fontId="93" fillId="19" borderId="49" xfId="0" applyFont="1" applyFill="1" applyBorder="1" applyAlignment="1">
      <alignment vertical="center" wrapText="1"/>
    </xf>
    <xf numFmtId="200" fontId="93" fillId="19" borderId="49" xfId="0" applyNumberFormat="1" applyFont="1" applyFill="1" applyBorder="1" applyAlignment="1">
      <alignment vertical="center" wrapText="1"/>
    </xf>
    <xf numFmtId="10" fontId="93" fillId="19" borderId="49" xfId="0" applyNumberFormat="1" applyFont="1" applyFill="1" applyBorder="1" applyAlignment="1">
      <alignment horizontal="center" vertical="center" wrapText="1"/>
    </xf>
    <xf numFmtId="0" fontId="93" fillId="19" borderId="0" xfId="0" applyFont="1" applyFill="1" applyAlignment="1">
      <alignment wrapText="1"/>
    </xf>
    <xf numFmtId="0" fontId="93" fillId="0" borderId="49" xfId="0" applyFont="1" applyBorder="1" applyAlignment="1">
      <alignment horizontal="center" vertical="top" wrapText="1"/>
    </xf>
    <xf numFmtId="0" fontId="97" fillId="0" borderId="49" xfId="0" applyFont="1" applyBorder="1" applyAlignment="1">
      <alignment wrapText="1"/>
    </xf>
    <xf numFmtId="3" fontId="97" fillId="0" borderId="49" xfId="0" applyNumberFormat="1" applyFont="1" applyBorder="1" applyAlignment="1">
      <alignment wrapText="1"/>
    </xf>
    <xf numFmtId="167" fontId="97" fillId="0" borderId="49" xfId="2" applyNumberFormat="1" applyFont="1" applyBorder="1" applyAlignment="1">
      <alignment horizontal="center" wrapText="1"/>
    </xf>
    <xf numFmtId="167" fontId="97" fillId="0" borderId="49" xfId="0" applyNumberFormat="1" applyFont="1" applyBorder="1" applyAlignment="1">
      <alignment horizontal="center" vertical="center" wrapText="1"/>
    </xf>
    <xf numFmtId="0" fontId="97" fillId="0" borderId="49" xfId="0" applyFont="1" applyBorder="1" applyAlignment="1">
      <alignment horizontal="center" vertical="center" wrapText="1"/>
    </xf>
    <xf numFmtId="0" fontId="93" fillId="0" borderId="49" xfId="0" applyFont="1" applyBorder="1" applyAlignment="1">
      <alignment wrapText="1"/>
    </xf>
    <xf numFmtId="3" fontId="93" fillId="0" borderId="49" xfId="0" applyNumberFormat="1" applyFont="1" applyBorder="1" applyAlignment="1">
      <alignment wrapText="1"/>
    </xf>
    <xf numFmtId="167" fontId="93" fillId="0" borderId="49" xfId="0" applyNumberFormat="1" applyFont="1" applyBorder="1" applyAlignment="1">
      <alignment horizontal="center" vertical="center" wrapText="1"/>
    </xf>
    <xf numFmtId="0" fontId="97" fillId="0" borderId="49" xfId="0" applyFont="1" applyBorder="1" applyAlignment="1">
      <alignment horizontal="left" wrapText="1" indent="2"/>
    </xf>
    <xf numFmtId="9" fontId="97" fillId="0" borderId="49" xfId="0" applyNumberFormat="1" applyFont="1" applyBorder="1" applyAlignment="1">
      <alignment wrapText="1"/>
    </xf>
    <xf numFmtId="9" fontId="97" fillId="0" borderId="49" xfId="2" applyFont="1" applyBorder="1" applyAlignment="1">
      <alignment wrapText="1"/>
    </xf>
    <xf numFmtId="0" fontId="93" fillId="0" borderId="49" xfId="0" applyFont="1" applyBorder="1" applyAlignment="1">
      <alignment horizontal="center" vertical="center" wrapText="1"/>
    </xf>
    <xf numFmtId="9" fontId="93" fillId="0" borderId="49" xfId="2" applyFont="1" applyBorder="1" applyAlignment="1">
      <alignment wrapText="1"/>
    </xf>
    <xf numFmtId="0" fontId="93" fillId="24" borderId="49" xfId="0" applyFont="1" applyFill="1" applyBorder="1" applyAlignment="1">
      <alignment horizontal="center" vertical="center" wrapText="1"/>
    </xf>
    <xf numFmtId="0" fontId="93" fillId="0" borderId="49" xfId="0" applyFont="1" applyBorder="1" applyAlignment="1">
      <alignment horizontal="center" vertical="center" textRotation="90" wrapText="1"/>
    </xf>
    <xf numFmtId="0" fontId="93" fillId="0" borderId="49" xfId="0" applyFont="1" applyBorder="1" applyAlignment="1">
      <alignment vertical="center" wrapText="1"/>
    </xf>
    <xf numFmtId="200" fontId="93" fillId="0" borderId="49" xfId="0" applyNumberFormat="1" applyFont="1" applyBorder="1" applyAlignment="1">
      <alignment vertical="center" wrapText="1"/>
    </xf>
    <xf numFmtId="10" fontId="93" fillId="0" borderId="49" xfId="0" applyNumberFormat="1" applyFont="1" applyBorder="1" applyAlignment="1">
      <alignment horizontal="center" vertical="center" wrapText="1"/>
    </xf>
    <xf numFmtId="200" fontId="93" fillId="17" borderId="49" xfId="0" applyNumberFormat="1" applyFont="1" applyFill="1" applyBorder="1" applyAlignment="1">
      <alignment vertical="center" wrapText="1"/>
    </xf>
    <xf numFmtId="0" fontId="97" fillId="0" borderId="49" xfId="0" applyFont="1" applyBorder="1" applyAlignment="1">
      <alignment horizontal="left" vertical="center" wrapText="1" indent="2"/>
    </xf>
    <xf numFmtId="200" fontId="97" fillId="0" borderId="49" xfId="0" applyNumberFormat="1" applyFont="1" applyBorder="1" applyAlignment="1">
      <alignment vertical="center" wrapText="1"/>
    </xf>
    <xf numFmtId="200" fontId="97" fillId="32" borderId="49" xfId="0" applyNumberFormat="1" applyFont="1" applyFill="1" applyBorder="1" applyAlignment="1">
      <alignment vertical="center" wrapText="1"/>
    </xf>
    <xf numFmtId="200" fontId="97" fillId="31" borderId="49" xfId="0" applyNumberFormat="1" applyFont="1" applyFill="1" applyBorder="1" applyAlignment="1">
      <alignment vertical="center" wrapText="1"/>
    </xf>
    <xf numFmtId="200" fontId="97" fillId="24" borderId="49" xfId="0" applyNumberFormat="1" applyFont="1" applyFill="1" applyBorder="1" applyAlignment="1">
      <alignment vertical="center" wrapText="1"/>
    </xf>
    <xf numFmtId="200" fontId="93" fillId="0" borderId="49" xfId="0" applyNumberFormat="1" applyFont="1" applyBorder="1" applyAlignment="1">
      <alignment horizontal="justify" vertical="center" wrapText="1"/>
    </xf>
    <xf numFmtId="0" fontId="93" fillId="0" borderId="0" xfId="0" applyFont="1" applyAlignment="1">
      <alignment wrapText="1"/>
    </xf>
    <xf numFmtId="0" fontId="93" fillId="21" borderId="49" xfId="0" applyFont="1" applyFill="1" applyBorder="1" applyAlignment="1">
      <alignment horizontal="justify" vertical="center" wrapText="1"/>
    </xf>
    <xf numFmtId="9" fontId="93" fillId="0" borderId="49" xfId="0" applyNumberFormat="1" applyFont="1" applyBorder="1" applyAlignment="1">
      <alignment horizontal="center" vertical="center" wrapText="1"/>
    </xf>
    <xf numFmtId="200" fontId="93" fillId="21" borderId="49" xfId="0" applyNumberFormat="1" applyFont="1" applyFill="1" applyBorder="1" applyAlignment="1">
      <alignment horizontal="justify" vertical="center" wrapText="1"/>
    </xf>
    <xf numFmtId="0" fontId="93" fillId="0" borderId="49" xfId="0" applyFont="1" applyBorder="1" applyAlignment="1">
      <alignment horizontal="center" wrapText="1"/>
    </xf>
    <xf numFmtId="3" fontId="97" fillId="19" borderId="49" xfId="0" applyNumberFormat="1" applyFont="1" applyFill="1" applyBorder="1" applyAlignment="1">
      <alignment wrapText="1"/>
    </xf>
    <xf numFmtId="43" fontId="0" fillId="0" borderId="0" xfId="3" applyFont="1" applyAlignment="1">
      <alignment wrapText="1"/>
    </xf>
    <xf numFmtId="195" fontId="0" fillId="0" borderId="0" xfId="0" applyNumberFormat="1" applyAlignment="1">
      <alignment wrapText="1"/>
    </xf>
    <xf numFmtId="9" fontId="0" fillId="0" borderId="0" xfId="2" applyFont="1" applyAlignment="1">
      <alignment wrapText="1"/>
    </xf>
    <xf numFmtId="0" fontId="17" fillId="0" borderId="18" xfId="0" applyFont="1" applyBorder="1" applyAlignment="1">
      <alignment horizontal="left" wrapText="1" indent="2"/>
    </xf>
    <xf numFmtId="0" fontId="76" fillId="0" borderId="0" xfId="0" applyFont="1" applyAlignment="1">
      <alignment horizontal="left" wrapText="1"/>
    </xf>
    <xf numFmtId="0" fontId="16" fillId="0" borderId="18" xfId="0" applyFont="1" applyBorder="1" applyAlignment="1">
      <alignment wrapText="1"/>
    </xf>
    <xf numFmtId="9" fontId="78" fillId="0" borderId="18" xfId="0" applyNumberFormat="1" applyFont="1" applyBorder="1" applyAlignment="1">
      <alignment wrapText="1"/>
    </xf>
    <xf numFmtId="0" fontId="80" fillId="0" borderId="49" xfId="0" applyFont="1" applyBorder="1" applyAlignment="1">
      <alignment vertical="center" wrapText="1"/>
    </xf>
    <xf numFmtId="0" fontId="80" fillId="0" borderId="49" xfId="0" applyFont="1" applyBorder="1" applyAlignment="1">
      <alignment horizontal="center" vertical="center" wrapText="1"/>
    </xf>
    <xf numFmtId="0" fontId="81" fillId="0" borderId="0" xfId="0" applyFont="1" applyAlignment="1">
      <alignment vertical="center" wrapText="1"/>
    </xf>
    <xf numFmtId="9" fontId="92" fillId="0" borderId="49" xfId="2" applyFont="1" applyBorder="1" applyAlignment="1">
      <alignment wrapText="1"/>
    </xf>
    <xf numFmtId="9" fontId="91" fillId="0" borderId="49" xfId="2" applyFont="1" applyBorder="1" applyAlignment="1">
      <alignment wrapText="1"/>
    </xf>
    <xf numFmtId="0" fontId="97" fillId="0" borderId="0" xfId="0" applyFont="1" applyAlignment="1">
      <alignment horizontal="center" vertical="top" wrapText="1"/>
    </xf>
    <xf numFmtId="0" fontId="93" fillId="0" borderId="0" xfId="0" applyFont="1" applyAlignment="1">
      <alignment horizontal="left" vertical="top" wrapText="1"/>
    </xf>
    <xf numFmtId="0" fontId="93" fillId="0" borderId="0" xfId="0" applyFont="1" applyAlignment="1">
      <alignment vertical="top" wrapText="1"/>
    </xf>
    <xf numFmtId="0" fontId="97" fillId="0" borderId="0" xfId="0" applyFont="1" applyAlignment="1">
      <alignment wrapText="1"/>
    </xf>
    <xf numFmtId="0" fontId="97" fillId="0" borderId="0" xfId="0" applyFont="1" applyAlignment="1">
      <alignment horizontal="center" vertical="center" wrapText="1"/>
    </xf>
    <xf numFmtId="0" fontId="93" fillId="0" borderId="49" xfId="0" applyFont="1" applyBorder="1" applyAlignment="1">
      <alignment horizontal="left" wrapText="1"/>
    </xf>
    <xf numFmtId="3" fontId="93" fillId="0" borderId="0" xfId="0" applyNumberFormat="1" applyFont="1" applyAlignment="1">
      <alignment wrapText="1"/>
    </xf>
    <xf numFmtId="0" fontId="93" fillId="0" borderId="0" xfId="0" applyFont="1" applyAlignment="1">
      <alignment horizontal="center" vertical="top" wrapText="1"/>
    </xf>
    <xf numFmtId="0" fontId="93" fillId="0" borderId="49" xfId="0" applyFont="1" applyBorder="1" applyAlignment="1">
      <alignment vertical="top" wrapText="1"/>
    </xf>
    <xf numFmtId="9" fontId="97" fillId="0" borderId="0" xfId="2" applyFont="1" applyAlignment="1">
      <alignment wrapText="1"/>
    </xf>
    <xf numFmtId="0" fontId="121" fillId="0" borderId="49" xfId="0" applyFont="1" applyBorder="1" applyAlignment="1">
      <alignment horizontal="left" wrapText="1"/>
    </xf>
    <xf numFmtId="0" fontId="121" fillId="0" borderId="0" xfId="0" applyFont="1" applyAlignment="1">
      <alignment wrapText="1"/>
    </xf>
    <xf numFmtId="0" fontId="93" fillId="0" borderId="46" xfId="0" applyFont="1" applyBorder="1" applyAlignment="1">
      <alignment horizontal="left" wrapText="1"/>
    </xf>
    <xf numFmtId="0" fontId="97" fillId="0" borderId="66" xfId="0" applyFont="1" applyBorder="1" applyAlignment="1">
      <alignment horizontal="left" wrapText="1" indent="2"/>
    </xf>
    <xf numFmtId="0" fontId="121" fillId="0" borderId="66" xfId="0" applyFont="1" applyBorder="1" applyAlignment="1">
      <alignment horizontal="left" wrapText="1" indent="1"/>
    </xf>
    <xf numFmtId="0" fontId="121" fillId="0" borderId="46" xfId="0" applyFont="1" applyBorder="1" applyAlignment="1">
      <alignment wrapText="1"/>
    </xf>
    <xf numFmtId="0" fontId="97" fillId="0" borderId="0" xfId="0" applyFont="1" applyAlignment="1">
      <alignment horizontal="left" wrapText="1" indent="2"/>
    </xf>
    <xf numFmtId="3" fontId="97" fillId="0" borderId="0" xfId="0" applyNumberFormat="1" applyFont="1" applyAlignment="1">
      <alignment horizontal="center" vertical="center" wrapText="1"/>
    </xf>
    <xf numFmtId="0" fontId="45" fillId="0" borderId="0" xfId="0" applyFont="1" applyAlignment="1">
      <alignment wrapText="1"/>
    </xf>
    <xf numFmtId="0" fontId="45" fillId="0" borderId="0" xfId="0" applyFont="1" applyAlignment="1">
      <alignment horizontal="center" wrapText="1"/>
    </xf>
    <xf numFmtId="189" fontId="45" fillId="0" borderId="0" xfId="0" applyNumberFormat="1" applyFont="1" applyAlignment="1">
      <alignment horizontal="center" wrapText="1"/>
    </xf>
    <xf numFmtId="0" fontId="116" fillId="19" borderId="0" xfId="0" applyFont="1" applyFill="1" applyAlignment="1">
      <alignment wrapText="1"/>
    </xf>
    <xf numFmtId="0" fontId="45" fillId="0" borderId="49" xfId="0" applyFont="1" applyBorder="1" applyAlignment="1">
      <alignment wrapText="1"/>
    </xf>
    <xf numFmtId="0" fontId="45" fillId="0" borderId="49" xfId="0" applyFont="1" applyBorder="1" applyAlignment="1">
      <alignment horizontal="center" wrapText="1"/>
    </xf>
    <xf numFmtId="0" fontId="116" fillId="19" borderId="49" xfId="0" applyFont="1" applyFill="1" applyBorder="1" applyAlignment="1">
      <alignment wrapText="1"/>
    </xf>
    <xf numFmtId="0" fontId="116" fillId="19" borderId="49" xfId="0" applyFont="1" applyFill="1" applyBorder="1" applyAlignment="1">
      <alignment horizontal="center" wrapText="1"/>
    </xf>
    <xf numFmtId="2" fontId="45" fillId="0" borderId="49" xfId="0" applyNumberFormat="1" applyFont="1" applyBorder="1" applyAlignment="1">
      <alignment horizontal="center" wrapText="1"/>
    </xf>
    <xf numFmtId="189" fontId="45" fillId="0" borderId="49" xfId="0" applyNumberFormat="1" applyFont="1" applyBorder="1" applyAlignment="1">
      <alignment horizontal="center" wrapText="1"/>
    </xf>
    <xf numFmtId="0" fontId="116" fillId="0" borderId="49" xfId="0" applyFont="1" applyBorder="1" applyAlignment="1">
      <alignment wrapText="1"/>
    </xf>
    <xf numFmtId="0" fontId="116" fillId="19" borderId="68" xfId="0" applyFont="1" applyFill="1" applyBorder="1" applyAlignment="1">
      <alignment wrapText="1"/>
    </xf>
    <xf numFmtId="0" fontId="116" fillId="19" borderId="68" xfId="0" applyFont="1" applyFill="1" applyBorder="1" applyAlignment="1">
      <alignment horizontal="center" wrapText="1"/>
    </xf>
    <xf numFmtId="0" fontId="116" fillId="0" borderId="49" xfId="0" applyFont="1" applyBorder="1" applyAlignment="1">
      <alignment vertical="center" wrapText="1"/>
    </xf>
    <xf numFmtId="189" fontId="116" fillId="0" borderId="49" xfId="0" applyNumberFormat="1" applyFont="1" applyBorder="1" applyAlignment="1">
      <alignment horizontal="center" vertical="center" wrapText="1"/>
    </xf>
    <xf numFmtId="189" fontId="116" fillId="19" borderId="68" xfId="0" applyNumberFormat="1" applyFont="1" applyFill="1" applyBorder="1" applyAlignment="1">
      <alignment horizontal="center" wrapText="1"/>
    </xf>
    <xf numFmtId="189" fontId="116" fillId="19" borderId="49" xfId="0" applyNumberFormat="1" applyFont="1" applyFill="1" applyBorder="1" applyAlignment="1">
      <alignment horizontal="center" wrapText="1"/>
    </xf>
    <xf numFmtId="0" fontId="116" fillId="0" borderId="68" xfId="0" applyFont="1" applyBorder="1" applyAlignment="1">
      <alignment horizontal="center" vertical="center" wrapText="1"/>
    </xf>
    <xf numFmtId="189" fontId="116" fillId="0" borderId="68" xfId="0" applyNumberFormat="1" applyFont="1" applyBorder="1" applyAlignment="1">
      <alignment horizontal="center" vertical="center" wrapText="1"/>
    </xf>
    <xf numFmtId="0" fontId="116" fillId="33" borderId="49" xfId="0" applyFont="1" applyFill="1" applyBorder="1" applyAlignment="1">
      <alignment wrapText="1"/>
    </xf>
    <xf numFmtId="2" fontId="116" fillId="33" borderId="49" xfId="0" applyNumberFormat="1" applyFont="1" applyFill="1" applyBorder="1" applyAlignment="1">
      <alignment horizontal="center" wrapText="1"/>
    </xf>
    <xf numFmtId="189" fontId="116" fillId="33" borderId="49" xfId="0" applyNumberFormat="1" applyFont="1" applyFill="1" applyBorder="1" applyAlignment="1">
      <alignment horizontal="center" wrapText="1"/>
    </xf>
    <xf numFmtId="0" fontId="116" fillId="33" borderId="0" xfId="0" applyFont="1" applyFill="1" applyAlignment="1">
      <alignment wrapText="1"/>
    </xf>
    <xf numFmtId="0" fontId="120" fillId="19" borderId="49" xfId="0" applyFont="1" applyFill="1" applyBorder="1" applyAlignment="1">
      <alignment wrapText="1"/>
    </xf>
    <xf numFmtId="0" fontId="45" fillId="0" borderId="46" xfId="0" applyFont="1" applyBorder="1" applyAlignment="1">
      <alignment wrapText="1"/>
    </xf>
    <xf numFmtId="0" fontId="45" fillId="0" borderId="66" xfId="0" applyFont="1" applyBorder="1" applyAlignment="1">
      <alignment wrapText="1"/>
    </xf>
    <xf numFmtId="0" fontId="39" fillId="34" borderId="18" xfId="0" applyFont="1" applyFill="1" applyBorder="1" applyAlignment="1">
      <alignment horizontal="center" vertical="center" wrapText="1"/>
    </xf>
    <xf numFmtId="189" fontId="39" fillId="19" borderId="0" xfId="0" applyNumberFormat="1" applyFont="1" applyFill="1" applyAlignment="1">
      <alignment horizontal="center" vertical="center" wrapText="1"/>
    </xf>
    <xf numFmtId="0" fontId="39" fillId="19" borderId="0" xfId="0" applyFont="1" applyFill="1" applyAlignment="1">
      <alignment horizontal="center" vertical="center" wrapText="1"/>
    </xf>
    <xf numFmtId="0" fontId="0" fillId="19" borderId="0" xfId="0" applyFill="1"/>
    <xf numFmtId="0" fontId="39" fillId="0" borderId="46" xfId="0" applyFont="1" applyBorder="1" applyAlignment="1">
      <alignment horizontal="center" vertical="center" wrapText="1"/>
    </xf>
    <xf numFmtId="0" fontId="39" fillId="14" borderId="18" xfId="0" applyFont="1" applyFill="1" applyBorder="1" applyAlignment="1">
      <alignment horizontal="left" vertical="center" wrapText="1"/>
    </xf>
    <xf numFmtId="3" fontId="122" fillId="0" borderId="0" xfId="0" applyNumberFormat="1" applyFont="1" applyAlignment="1">
      <alignment wrapText="1"/>
    </xf>
    <xf numFmtId="0" fontId="120" fillId="33" borderId="49" xfId="0" applyFont="1" applyFill="1" applyBorder="1" applyAlignment="1">
      <alignment wrapText="1"/>
    </xf>
    <xf numFmtId="2" fontId="120" fillId="33" borderId="49" xfId="0" applyNumberFormat="1" applyFont="1" applyFill="1" applyBorder="1" applyAlignment="1">
      <alignment horizontal="center" wrapText="1"/>
    </xf>
    <xf numFmtId="189" fontId="120" fillId="33" borderId="49" xfId="0" applyNumberFormat="1" applyFont="1" applyFill="1" applyBorder="1" applyAlignment="1">
      <alignment horizontal="center" wrapText="1"/>
    </xf>
    <xf numFmtId="0" fontId="120" fillId="33" borderId="0" xfId="0" applyFont="1" applyFill="1" applyAlignment="1">
      <alignment wrapText="1"/>
    </xf>
    <xf numFmtId="0" fontId="45" fillId="17" borderId="49" xfId="0" applyFont="1" applyFill="1" applyBorder="1" applyAlignment="1">
      <alignment wrapText="1"/>
    </xf>
    <xf numFmtId="0" fontId="122" fillId="17" borderId="49" xfId="0" applyFont="1" applyFill="1" applyBorder="1" applyAlignment="1">
      <alignment wrapText="1"/>
    </xf>
    <xf numFmtId="0" fontId="122" fillId="17" borderId="49" xfId="0" applyFont="1" applyFill="1" applyBorder="1" applyAlignment="1">
      <alignment horizontal="center" wrapText="1"/>
    </xf>
    <xf numFmtId="189" fontId="122" fillId="17" borderId="49" xfId="0" applyNumberFormat="1" applyFont="1" applyFill="1" applyBorder="1" applyAlignment="1">
      <alignment horizontal="center" wrapText="1"/>
    </xf>
    <xf numFmtId="189" fontId="120" fillId="17" borderId="49" xfId="0" applyNumberFormat="1" applyFont="1" applyFill="1" applyBorder="1" applyAlignment="1">
      <alignment wrapText="1"/>
    </xf>
    <xf numFmtId="3" fontId="76" fillId="0" borderId="0" xfId="0" applyNumberFormat="1" applyFont="1" applyAlignment="1">
      <alignment wrapText="1"/>
    </xf>
    <xf numFmtId="3" fontId="123" fillId="0" borderId="18" xfId="0" applyNumberFormat="1" applyFont="1" applyBorder="1" applyAlignment="1">
      <alignment wrapText="1"/>
    </xf>
    <xf numFmtId="0" fontId="41" fillId="0" borderId="0" xfId="0" applyFont="1"/>
    <xf numFmtId="187" fontId="46" fillId="17" borderId="18" xfId="0" applyNumberFormat="1" applyFont="1" applyFill="1" applyBorder="1" applyAlignment="1">
      <alignment horizontal="left" vertical="top" wrapText="1"/>
    </xf>
    <xf numFmtId="3" fontId="37" fillId="17" borderId="18" xfId="0" applyNumberFormat="1" applyFont="1" applyFill="1" applyBorder="1" applyAlignment="1">
      <alignment horizontal="center" vertical="center" wrapText="1"/>
    </xf>
    <xf numFmtId="3" fontId="39" fillId="17" borderId="18" xfId="0" applyNumberFormat="1" applyFont="1" applyFill="1" applyBorder="1" applyAlignment="1">
      <alignment horizontal="center" vertical="center" wrapText="1"/>
    </xf>
    <xf numFmtId="0" fontId="122" fillId="0" borderId="0" xfId="0" applyFont="1"/>
    <xf numFmtId="0" fontId="124" fillId="0" borderId="0" xfId="0" applyFont="1"/>
    <xf numFmtId="187" fontId="39" fillId="17" borderId="18" xfId="0" applyNumberFormat="1" applyFont="1" applyFill="1" applyBorder="1" applyAlignment="1">
      <alignment horizontal="left" vertical="top" wrapText="1"/>
    </xf>
    <xf numFmtId="3" fontId="31" fillId="0" borderId="48" xfId="0" applyNumberFormat="1" applyFont="1" applyBorder="1" applyAlignment="1">
      <alignment wrapText="1"/>
    </xf>
    <xf numFmtId="182" fontId="31" fillId="0" borderId="48" xfId="0" applyNumberFormat="1" applyFont="1" applyBorder="1" applyAlignment="1">
      <alignment wrapText="1"/>
    </xf>
    <xf numFmtId="0" fontId="116" fillId="0" borderId="0" xfId="0" applyFont="1" applyAlignment="1">
      <alignment horizontal="center" vertical="center" wrapText="1"/>
    </xf>
    <xf numFmtId="0" fontId="44" fillId="0" borderId="0" xfId="0" quotePrefix="1" applyFont="1" applyAlignment="1">
      <alignment horizontal="center" vertical="center" wrapText="1"/>
    </xf>
    <xf numFmtId="189" fontId="45" fillId="0" borderId="0" xfId="0" applyNumberFormat="1" applyFont="1" applyAlignment="1">
      <alignment horizontal="center" vertical="center" wrapText="1"/>
    </xf>
    <xf numFmtId="189" fontId="44" fillId="0" borderId="0" xfId="0" applyNumberFormat="1" applyFont="1" applyAlignment="1">
      <alignment horizontal="center" vertical="center" wrapText="1"/>
    </xf>
    <xf numFmtId="3" fontId="120" fillId="0" borderId="49" xfId="0" applyNumberFormat="1" applyFont="1" applyBorder="1" applyAlignment="1">
      <alignment vertical="center" wrapText="1"/>
    </xf>
    <xf numFmtId="0" fontId="39" fillId="34" borderId="18" xfId="0" applyFont="1" applyFill="1" applyBorder="1" applyAlignment="1">
      <alignment horizontal="left" vertical="center" wrapText="1"/>
    </xf>
    <xf numFmtId="189" fontId="39" fillId="34" borderId="18" xfId="0" applyNumberFormat="1" applyFont="1" applyFill="1" applyBorder="1" applyAlignment="1">
      <alignment horizontal="center" vertical="center" wrapText="1"/>
    </xf>
    <xf numFmtId="0" fontId="39" fillId="19" borderId="0" xfId="0" applyFont="1" applyFill="1" applyAlignment="1">
      <alignment horizontal="left" vertical="center" wrapText="1"/>
    </xf>
    <xf numFmtId="189" fontId="39" fillId="14" borderId="18" xfId="0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190" fontId="39" fillId="14" borderId="18" xfId="0" applyNumberFormat="1" applyFont="1" applyFill="1" applyBorder="1" applyAlignment="1">
      <alignment horizontal="center" vertical="center" wrapText="1"/>
    </xf>
    <xf numFmtId="0" fontId="44" fillId="0" borderId="46" xfId="0" applyFont="1" applyBorder="1" applyAlignment="1">
      <alignment horizontal="left" vertical="center" wrapText="1"/>
    </xf>
    <xf numFmtId="0" fontId="39" fillId="0" borderId="18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125" fillId="0" borderId="0" xfId="0" applyFont="1"/>
    <xf numFmtId="2" fontId="45" fillId="0" borderId="49" xfId="0" applyNumberFormat="1" applyFont="1" applyBorder="1" applyAlignment="1">
      <alignment horizontal="center" vertical="center" wrapText="1"/>
    </xf>
    <xf numFmtId="189" fontId="45" fillId="0" borderId="49" xfId="0" applyNumberFormat="1" applyFont="1" applyBorder="1" applyAlignment="1">
      <alignment horizontal="center" vertical="center" wrapText="1"/>
    </xf>
    <xf numFmtId="0" fontId="116" fillId="19" borderId="49" xfId="0" applyFont="1" applyFill="1" applyBorder="1" applyAlignment="1">
      <alignment horizontal="center" vertical="center" wrapText="1"/>
    </xf>
    <xf numFmtId="189" fontId="116" fillId="19" borderId="49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2" fontId="116" fillId="0" borderId="49" xfId="0" applyNumberFormat="1" applyFont="1" applyBorder="1" applyAlignment="1">
      <alignment horizontal="center" vertical="center" wrapText="1"/>
    </xf>
    <xf numFmtId="0" fontId="76" fillId="0" borderId="49" xfId="0" applyFont="1" applyBorder="1"/>
    <xf numFmtId="0" fontId="38" fillId="0" borderId="46" xfId="0" applyFont="1" applyBorder="1" applyAlignment="1">
      <alignment horizontal="center" vertical="center" textRotation="90" wrapText="1"/>
    </xf>
    <xf numFmtId="9" fontId="42" fillId="0" borderId="49" xfId="0" applyNumberFormat="1" applyFont="1" applyBorder="1"/>
    <xf numFmtId="4" fontId="93" fillId="19" borderId="49" xfId="0" applyNumberFormat="1" applyFont="1" applyFill="1" applyBorder="1" applyAlignment="1">
      <alignment horizontal="center" vertical="center" wrapText="1"/>
    </xf>
    <xf numFmtId="4" fontId="93" fillId="19" borderId="49" xfId="0" applyNumberFormat="1" applyFont="1" applyFill="1" applyBorder="1" applyAlignment="1">
      <alignment vertical="center" wrapText="1"/>
    </xf>
    <xf numFmtId="10" fontId="45" fillId="0" borderId="0" xfId="0" applyNumberFormat="1" applyFont="1" applyAlignment="1">
      <alignment wrapText="1"/>
    </xf>
    <xf numFmtId="4" fontId="0" fillId="0" borderId="0" xfId="0" applyNumberFormat="1"/>
    <xf numFmtId="0" fontId="29" fillId="0" borderId="46" xfId="0" applyFont="1" applyBorder="1" applyAlignment="1">
      <alignment wrapText="1"/>
    </xf>
    <xf numFmtId="3" fontId="97" fillId="0" borderId="0" xfId="0" applyNumberFormat="1" applyFont="1" applyAlignment="1">
      <alignment wrapText="1"/>
    </xf>
    <xf numFmtId="0" fontId="121" fillId="0" borderId="49" xfId="0" applyFont="1" applyBorder="1" applyAlignment="1">
      <alignment wrapText="1"/>
    </xf>
    <xf numFmtId="189" fontId="0" fillId="0" borderId="0" xfId="0" applyNumberFormat="1"/>
    <xf numFmtId="0" fontId="97" fillId="0" borderId="0" xfId="0" applyFont="1" applyAlignment="1">
      <alignment vertical="center" wrapText="1"/>
    </xf>
    <xf numFmtId="0" fontId="97" fillId="0" borderId="49" xfId="0" applyFont="1" applyBorder="1" applyAlignment="1">
      <alignment vertical="center" wrapText="1"/>
    </xf>
    <xf numFmtId="0" fontId="76" fillId="0" borderId="49" xfId="0" applyFont="1" applyBorder="1" applyAlignment="1">
      <alignment horizontal="center" vertical="center"/>
    </xf>
    <xf numFmtId="0" fontId="93" fillId="0" borderId="0" xfId="0" applyFont="1" applyAlignment="1">
      <alignment vertical="center" wrapText="1"/>
    </xf>
    <xf numFmtId="0" fontId="93" fillId="0" borderId="67" xfId="0" applyFont="1" applyBorder="1" applyAlignment="1">
      <alignment vertical="center" wrapText="1"/>
    </xf>
    <xf numFmtId="0" fontId="76" fillId="0" borderId="49" xfId="0" applyFont="1" applyBorder="1" applyAlignment="1">
      <alignment vertical="center"/>
    </xf>
    <xf numFmtId="3" fontId="93" fillId="0" borderId="49" xfId="0" applyNumberFormat="1" applyFont="1" applyBorder="1" applyAlignment="1">
      <alignment horizontal="center" vertical="center" wrapText="1"/>
    </xf>
    <xf numFmtId="3" fontId="0" fillId="0" borderId="49" xfId="0" applyNumberFormat="1" applyBorder="1" applyAlignment="1">
      <alignment horizontal="center" vertical="center"/>
    </xf>
    <xf numFmtId="3" fontId="93" fillId="19" borderId="49" xfId="0" applyNumberFormat="1" applyFont="1" applyFill="1" applyBorder="1" applyAlignment="1">
      <alignment horizontal="center" vertical="center" wrapText="1"/>
    </xf>
    <xf numFmtId="3" fontId="76" fillId="19" borderId="49" xfId="0" applyNumberFormat="1" applyFont="1" applyFill="1" applyBorder="1" applyAlignment="1">
      <alignment horizontal="center" vertical="center"/>
    </xf>
    <xf numFmtId="3" fontId="97" fillId="0" borderId="49" xfId="0" applyNumberFormat="1" applyFont="1" applyBorder="1" applyAlignment="1">
      <alignment horizontal="center" vertical="center" wrapText="1"/>
    </xf>
    <xf numFmtId="3" fontId="0" fillId="19" borderId="49" xfId="0" applyNumberFormat="1" applyFill="1" applyBorder="1" applyAlignment="1">
      <alignment horizontal="center" vertical="center"/>
    </xf>
    <xf numFmtId="9" fontId="93" fillId="19" borderId="49" xfId="2" applyFont="1" applyFill="1" applyBorder="1" applyAlignment="1">
      <alignment horizontal="center" vertical="center" wrapText="1"/>
    </xf>
    <xf numFmtId="9" fontId="93" fillId="0" borderId="49" xfId="2" applyFont="1" applyBorder="1" applyAlignment="1">
      <alignment horizontal="center" vertical="center" wrapText="1"/>
    </xf>
    <xf numFmtId="0" fontId="24" fillId="9" borderId="25" xfId="0" applyFont="1" applyFill="1" applyBorder="1" applyAlignment="1">
      <alignment horizontal="center" vertical="top" wrapText="1"/>
    </xf>
    <xf numFmtId="0" fontId="25" fillId="0" borderId="26" xfId="0" applyFont="1" applyBorder="1"/>
    <xf numFmtId="0" fontId="25" fillId="0" borderId="27" xfId="0" applyFont="1" applyBorder="1"/>
    <xf numFmtId="0" fontId="91" fillId="0" borderId="49" xfId="0" applyFont="1" applyBorder="1" applyAlignment="1">
      <alignment horizontal="center" wrapText="1"/>
    </xf>
    <xf numFmtId="3" fontId="82" fillId="0" borderId="49" xfId="0" applyNumberFormat="1" applyFont="1" applyBorder="1" applyAlignment="1">
      <alignment horizontal="left" vertical="center" wrapText="1"/>
    </xf>
    <xf numFmtId="0" fontId="82" fillId="0" borderId="49" xfId="0" applyFont="1" applyBorder="1" applyAlignment="1">
      <alignment horizontal="left" vertical="center" wrapText="1"/>
    </xf>
    <xf numFmtId="0" fontId="93" fillId="24" borderId="49" xfId="0" applyFont="1" applyFill="1" applyBorder="1" applyAlignment="1">
      <alignment horizontal="center" vertical="center" wrapText="1"/>
    </xf>
    <xf numFmtId="0" fontId="97" fillId="0" borderId="67" xfId="0" applyFont="1" applyBorder="1" applyAlignment="1">
      <alignment horizontal="center" vertical="top" wrapText="1"/>
    </xf>
    <xf numFmtId="0" fontId="97" fillId="0" borderId="68" xfId="0" applyFont="1" applyBorder="1" applyAlignment="1">
      <alignment horizontal="center" vertical="top" wrapText="1"/>
    </xf>
    <xf numFmtId="0" fontId="93" fillId="0" borderId="49" xfId="0" applyFont="1" applyBorder="1" applyAlignment="1">
      <alignment horizontal="center" vertical="center" wrapText="1"/>
    </xf>
    <xf numFmtId="0" fontId="93" fillId="0" borderId="49" xfId="0" applyFont="1" applyBorder="1" applyAlignment="1">
      <alignment horizontal="justify" vertical="center" wrapText="1"/>
    </xf>
    <xf numFmtId="0" fontId="93" fillId="0" borderId="66" xfId="0" applyFont="1" applyBorder="1" applyAlignment="1">
      <alignment horizontal="center" vertical="top" wrapText="1"/>
    </xf>
    <xf numFmtId="0" fontId="0" fillId="0" borderId="74" xfId="0" applyBorder="1" applyAlignment="1">
      <alignment horizontal="center" vertical="top" wrapText="1"/>
    </xf>
    <xf numFmtId="0" fontId="0" fillId="0" borderId="65" xfId="0" applyBorder="1" applyAlignment="1">
      <alignment horizontal="center" vertical="top" wrapText="1"/>
    </xf>
    <xf numFmtId="0" fontId="93" fillId="0" borderId="74" xfId="0" applyFont="1" applyBorder="1" applyAlignment="1">
      <alignment horizontal="center" vertical="top" wrapText="1"/>
    </xf>
    <xf numFmtId="0" fontId="76" fillId="0" borderId="49" xfId="0" applyFont="1" applyBorder="1" applyAlignment="1">
      <alignment horizontal="center" vertical="center"/>
    </xf>
    <xf numFmtId="179" fontId="39" fillId="12" borderId="32" xfId="0" applyNumberFormat="1" applyFont="1" applyFill="1" applyBorder="1" applyAlignment="1">
      <alignment horizontal="center" vertical="center" wrapText="1"/>
    </xf>
    <xf numFmtId="0" fontId="25" fillId="0" borderId="33" xfId="0" applyFont="1" applyBorder="1"/>
    <xf numFmtId="0" fontId="25" fillId="0" borderId="34" xfId="0" applyFont="1" applyBorder="1"/>
    <xf numFmtId="0" fontId="37" fillId="19" borderId="9" xfId="0" applyFont="1" applyFill="1" applyBorder="1" applyAlignment="1">
      <alignment horizontal="center" wrapText="1"/>
    </xf>
    <xf numFmtId="0" fontId="25" fillId="19" borderId="9" xfId="0" applyFont="1" applyFill="1" applyBorder="1"/>
    <xf numFmtId="0" fontId="37" fillId="19" borderId="10" xfId="0" applyFont="1" applyFill="1" applyBorder="1" applyAlignment="1">
      <alignment horizontal="center" wrapText="1"/>
    </xf>
    <xf numFmtId="0" fontId="37" fillId="19" borderId="46" xfId="0" applyFont="1" applyFill="1" applyBorder="1" applyAlignment="1">
      <alignment horizontal="center" wrapText="1"/>
    </xf>
    <xf numFmtId="0" fontId="38" fillId="0" borderId="0" xfId="0" applyFont="1" applyAlignment="1">
      <alignment horizontal="center" wrapText="1"/>
    </xf>
    <xf numFmtId="179" fontId="28" fillId="12" borderId="32" xfId="0" applyNumberFormat="1" applyFont="1" applyFill="1" applyBorder="1" applyAlignment="1">
      <alignment horizontal="center" vertical="center" wrapText="1"/>
    </xf>
    <xf numFmtId="0" fontId="28" fillId="12" borderId="43" xfId="0" applyFont="1" applyFill="1" applyBorder="1" applyAlignment="1">
      <alignment horizontal="center" wrapText="1"/>
    </xf>
    <xf numFmtId="0" fontId="25" fillId="0" borderId="44" xfId="0" applyFont="1" applyBorder="1"/>
    <xf numFmtId="0" fontId="25" fillId="0" borderId="45" xfId="0" applyFont="1" applyBorder="1"/>
    <xf numFmtId="1" fontId="37" fillId="0" borderId="66" xfId="0" applyNumberFormat="1" applyFont="1" applyBorder="1" applyAlignment="1">
      <alignment horizontal="center" vertical="center" wrapText="1"/>
    </xf>
    <xf numFmtId="1" fontId="37" fillId="0" borderId="65" xfId="0" applyNumberFormat="1" applyFont="1" applyBorder="1" applyAlignment="1">
      <alignment horizontal="center" vertical="center" wrapText="1"/>
    </xf>
    <xf numFmtId="0" fontId="38" fillId="0" borderId="49" xfId="0" applyFont="1" applyBorder="1" applyAlignment="1">
      <alignment horizontal="left" vertical="center" wrapText="1"/>
    </xf>
    <xf numFmtId="0" fontId="25" fillId="0" borderId="49" xfId="0" applyFont="1" applyBorder="1"/>
    <xf numFmtId="0" fontId="38" fillId="0" borderId="10" xfId="0" applyFont="1" applyBorder="1" applyAlignment="1">
      <alignment horizontal="center" vertical="center" wrapText="1"/>
    </xf>
    <xf numFmtId="0" fontId="25" fillId="0" borderId="9" xfId="0" applyFont="1" applyBorder="1"/>
    <xf numFmtId="0" fontId="37" fillId="0" borderId="47" xfId="0" applyFont="1" applyBorder="1" applyAlignment="1">
      <alignment horizontal="center" vertical="center" wrapText="1"/>
    </xf>
    <xf numFmtId="0" fontId="37" fillId="0" borderId="32" xfId="0" applyFont="1" applyBorder="1" applyAlignment="1">
      <alignment horizontal="center" vertical="center" wrapText="1"/>
    </xf>
    <xf numFmtId="0" fontId="37" fillId="0" borderId="49" xfId="5" applyFont="1" applyBorder="1" applyAlignment="1">
      <alignment horizontal="center" vertical="center" wrapText="1"/>
    </xf>
    <xf numFmtId="0" fontId="38" fillId="0" borderId="66" xfId="0" applyFont="1" applyBorder="1" applyAlignment="1">
      <alignment horizontal="left" vertical="center" wrapText="1"/>
    </xf>
    <xf numFmtId="0" fontId="38" fillId="0" borderId="65" xfId="0" applyFont="1" applyBorder="1" applyAlignment="1">
      <alignment horizontal="left" vertical="center" wrapText="1"/>
    </xf>
    <xf numFmtId="0" fontId="46" fillId="0" borderId="0" xfId="0" applyFont="1" applyAlignment="1">
      <alignment horizontal="left" vertical="center" wrapText="1"/>
    </xf>
    <xf numFmtId="0" fontId="112" fillId="0" borderId="0" xfId="0" applyFont="1"/>
    <xf numFmtId="0" fontId="37" fillId="0" borderId="0" xfId="0" applyFont="1" applyAlignment="1">
      <alignment horizontal="center" vertical="center" wrapText="1"/>
    </xf>
    <xf numFmtId="0" fontId="0" fillId="0" borderId="0" xfId="0"/>
    <xf numFmtId="0" fontId="25" fillId="0" borderId="68" xfId="0" applyFont="1" applyBorder="1"/>
    <xf numFmtId="0" fontId="4" fillId="0" borderId="32" xfId="0" applyFont="1" applyBorder="1" applyAlignment="1">
      <alignment horizontal="center" wrapText="1"/>
    </xf>
    <xf numFmtId="1" fontId="37" fillId="0" borderId="32" xfId="0" applyNumberFormat="1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/>
    </xf>
    <xf numFmtId="179" fontId="37" fillId="0" borderId="29" xfId="0" applyNumberFormat="1" applyFont="1" applyBorder="1" applyAlignment="1">
      <alignment horizontal="center" vertical="center" wrapText="1"/>
    </xf>
    <xf numFmtId="0" fontId="25" fillId="0" borderId="30" xfId="0" applyFont="1" applyBorder="1"/>
    <xf numFmtId="0" fontId="25" fillId="0" borderId="31" xfId="0" applyFont="1" applyBorder="1"/>
    <xf numFmtId="179" fontId="37" fillId="0" borderId="32" xfId="0" applyNumberFormat="1" applyFont="1" applyBorder="1" applyAlignment="1">
      <alignment horizontal="center" vertical="center" wrapText="1"/>
    </xf>
    <xf numFmtId="179" fontId="37" fillId="0" borderId="29" xfId="0" applyNumberFormat="1" applyFont="1" applyBorder="1" applyAlignment="1">
      <alignment horizontal="center" vertical="center" textRotation="90" wrapText="1"/>
    </xf>
    <xf numFmtId="179" fontId="37" fillId="0" borderId="0" xfId="0" applyNumberFormat="1" applyFont="1" applyAlignment="1">
      <alignment horizontal="center" vertical="center" wrapText="1"/>
    </xf>
    <xf numFmtId="0" fontId="41" fillId="0" borderId="35" xfId="0" applyFont="1" applyBorder="1" applyAlignment="1">
      <alignment horizontal="center" vertical="center"/>
    </xf>
    <xf numFmtId="0" fontId="25" fillId="0" borderId="39" xfId="0" applyFont="1" applyBorder="1"/>
    <xf numFmtId="0" fontId="41" fillId="0" borderId="36" xfId="0" applyFont="1" applyBorder="1" applyAlignment="1">
      <alignment horizontal="center" vertical="center"/>
    </xf>
    <xf numFmtId="0" fontId="25" fillId="0" borderId="37" xfId="0" applyFont="1" applyBorder="1"/>
    <xf numFmtId="0" fontId="25" fillId="0" borderId="38" xfId="0" applyFont="1" applyBorder="1"/>
    <xf numFmtId="179" fontId="37" fillId="0" borderId="41" xfId="0" applyNumberFormat="1" applyFont="1" applyBorder="1" applyAlignment="1">
      <alignment horizontal="center" vertical="center" wrapText="1"/>
    </xf>
    <xf numFmtId="0" fontId="25" fillId="0" borderId="41" xfId="0" applyFont="1" applyBorder="1"/>
    <xf numFmtId="179" fontId="46" fillId="12" borderId="32" xfId="0" applyNumberFormat="1" applyFont="1" applyFill="1" applyBorder="1" applyAlignment="1">
      <alignment horizontal="center" vertical="center" wrapText="1"/>
    </xf>
    <xf numFmtId="179" fontId="46" fillId="12" borderId="47" xfId="0" applyNumberFormat="1" applyFont="1" applyFill="1" applyBorder="1" applyAlignment="1">
      <alignment horizontal="center" vertical="center" wrapText="1"/>
    </xf>
    <xf numFmtId="0" fontId="113" fillId="0" borderId="33" xfId="0" applyFont="1" applyBorder="1"/>
    <xf numFmtId="0" fontId="113" fillId="0" borderId="34" xfId="0" applyFont="1" applyBorder="1"/>
    <xf numFmtId="0" fontId="25" fillId="0" borderId="33" xfId="0" applyFont="1" applyBorder="1" applyAlignment="1">
      <alignment wrapText="1"/>
    </xf>
    <xf numFmtId="0" fontId="25" fillId="0" borderId="34" xfId="0" applyFont="1" applyBorder="1" applyAlignment="1">
      <alignment wrapText="1"/>
    </xf>
    <xf numFmtId="179" fontId="37" fillId="0" borderId="47" xfId="0" applyNumberFormat="1" applyFont="1" applyBorder="1" applyAlignment="1">
      <alignment horizontal="center" vertical="center" wrapText="1"/>
    </xf>
    <xf numFmtId="179" fontId="37" fillId="0" borderId="34" xfId="0" applyNumberFormat="1" applyFont="1" applyBorder="1" applyAlignment="1">
      <alignment horizontal="center" vertical="center" wrapText="1"/>
    </xf>
    <xf numFmtId="179" fontId="28" fillId="13" borderId="32" xfId="0" applyNumberFormat="1" applyFont="1" applyFill="1" applyBorder="1" applyAlignment="1">
      <alignment horizontal="center" vertical="center" wrapText="1"/>
    </xf>
    <xf numFmtId="0" fontId="41" fillId="12" borderId="46" xfId="0" applyFont="1" applyFill="1" applyBorder="1" applyAlignment="1">
      <alignment horizontal="center" vertical="center" wrapText="1"/>
    </xf>
    <xf numFmtId="0" fontId="25" fillId="0" borderId="44" xfId="0" applyFont="1" applyBorder="1" applyAlignment="1">
      <alignment wrapText="1"/>
    </xf>
    <xf numFmtId="0" fontId="25" fillId="0" borderId="45" xfId="0" applyFont="1" applyBorder="1" applyAlignment="1">
      <alignment wrapText="1"/>
    </xf>
    <xf numFmtId="0" fontId="48" fillId="0" borderId="9" xfId="0" applyFont="1" applyBorder="1" applyAlignment="1">
      <alignment horizontal="center" vertical="center"/>
    </xf>
  </cellXfs>
  <cellStyles count="83">
    <cellStyle name="Assumption" xfId="32" xr:uid="{2E2AEE81-2762-4B70-867F-82C7991DF56C}"/>
    <cellStyle name="List_Input" xfId="39" xr:uid="{02D30D9E-9F40-4CAA-B889-AA9E4C702A06}"/>
    <cellStyle name="Macro_Paste" xfId="42" xr:uid="{C01762E9-E5F0-40CF-91BF-1ECCE7376B90}"/>
    <cellStyle name="Normal 2" xfId="43" xr:uid="{8B18E13D-1C48-4105-B8B2-11B83993F67B}"/>
    <cellStyle name="Percent 2" xfId="44" xr:uid="{B9912D5C-2BB6-49F0-B92B-EA0AC65E7C4C}"/>
    <cellStyle name="Percent 2 2" xfId="62" xr:uid="{EAB73506-4617-4AC8-93F1-8F8681A06166}"/>
    <cellStyle name="Percent 2 3" xfId="74" xr:uid="{4B802DD3-7D72-4D1E-B1CA-12EA532DA1BC}"/>
    <cellStyle name="Percent 3" xfId="48" xr:uid="{14E5AFDB-2E15-4B81-BEA2-C3E71CF463C5}"/>
    <cellStyle name="Percent 3 2" xfId="64" xr:uid="{DA5011D9-9348-4B5F-8B1C-CA1B2E67FCCF}"/>
    <cellStyle name="Percent 3 3" xfId="76" xr:uid="{0B4263D3-9BD3-4ED8-9F67-CF1810723AFD}"/>
    <cellStyle name="Βασικό_ΠΑΡΑΡΤΗΜΑ_I_3908_2011" xfId="10" xr:uid="{39A348BB-0127-4BFE-8FDB-36DF5F666E84}"/>
    <cellStyle name="Гиперссылка" xfId="4" builtinId="8"/>
    <cellStyle name="Гиперссылка 2" xfId="17" xr:uid="{B8FB9904-1A78-44CE-A6F0-4021CD37D8FC}"/>
    <cellStyle name="Гиперссылка 3" xfId="45" xr:uid="{EB921663-9F68-4CA2-B8D9-4A16BD97C073}"/>
    <cellStyle name="Гиперссылка 4" xfId="78" xr:uid="{01D23754-1392-456D-AC84-6E6E869E6E03}"/>
    <cellStyle name="Группа" xfId="30" xr:uid="{82A9AD30-FED2-48F0-9B07-3AACF36CF3BC}"/>
    <cellStyle name="Денежный 3" xfId="24" xr:uid="{77C97F58-9F70-471D-9D25-9A5161E34EA8}"/>
    <cellStyle name="Денежный 3 2" xfId="60" xr:uid="{15882F61-2BD6-4AC0-BB45-466E1CB55AA8}"/>
    <cellStyle name="Денежный 3 3" xfId="72" xr:uid="{9F7C2788-4025-482E-A906-F3AE7B68446D}"/>
    <cellStyle name="Заголовок 2 2" xfId="27" xr:uid="{8BE544BD-4AA8-4E4F-A61D-C378503F5CAC}"/>
    <cellStyle name="Заголовок 3 2" xfId="28" xr:uid="{325AC239-E93C-45E5-AE73-6B11D1230FB1}"/>
    <cellStyle name="Заголовок 4 2" xfId="47" xr:uid="{597792CF-9B82-4CAA-B0D5-E5A72B0AC2E9}"/>
    <cellStyle name="Заголовок 4 3" xfId="29" xr:uid="{3FDC1B95-0E52-4005-864C-5D4821A8FD0B}"/>
    <cellStyle name="Итого_1" xfId="36" xr:uid="{79D0BA0D-C268-4207-B6CA-BE305A882D52}"/>
    <cellStyle name="Коэффициенты" xfId="37" xr:uid="{AAC6E5CD-ECA9-49E2-9BD4-B8920785474D}"/>
    <cellStyle name="Обычный" xfId="0" builtinId="0"/>
    <cellStyle name="Обычный 10" xfId="49" xr:uid="{ECF9260D-08AB-445B-BB8E-EA7AF3B15677}"/>
    <cellStyle name="Обычный 11" xfId="5" xr:uid="{0F114392-8F47-4186-B5A4-CF85A3D55D69}"/>
    <cellStyle name="Обычный 2" xfId="1" xr:uid="{00000000-0005-0000-0000-000001000000}"/>
    <cellStyle name="Обычный 2 2" xfId="21" xr:uid="{C1D4CBC0-8420-4E4E-A8B1-FAA966B6EA8A}"/>
    <cellStyle name="Обычный 2 2 2" xfId="80" xr:uid="{4AC6F7CC-4BB4-4290-9831-2AE3A33A8A2D}"/>
    <cellStyle name="Обычный 2 3" xfId="6" xr:uid="{2E70EBB0-BE7A-4E3C-B0C4-F2FE43962BD9}"/>
    <cellStyle name="Обычный 3" xfId="11" xr:uid="{FF830784-FC3C-48FC-9736-15584523C057}"/>
    <cellStyle name="Обычный 3 2" xfId="53" xr:uid="{53FE4F07-FC20-4726-8D20-DAC292429630}"/>
    <cellStyle name="Обычный 3 3" xfId="65" xr:uid="{535FBB40-96B9-4C70-AEFB-7DFF15DE27A6}"/>
    <cellStyle name="Обычный 4" xfId="15" xr:uid="{D1318710-ADDA-484D-8832-930C3E3E0447}"/>
    <cellStyle name="Обычный 4 2" xfId="22" xr:uid="{49AE8821-4EB4-40D2-ABA0-D49939D37FD9}"/>
    <cellStyle name="Обычный 4 3" xfId="55" xr:uid="{F1990593-DB34-4C1E-8B7D-6457BDEDB08B}"/>
    <cellStyle name="Обычный 4 3 2" xfId="79" xr:uid="{51760964-5E9B-4AFF-8259-E8EEAD912393}"/>
    <cellStyle name="Обычный 4 4" xfId="67" xr:uid="{709D929A-ABB0-4F9C-BE0F-3150BC3BF46E}"/>
    <cellStyle name="Обычный 5" xfId="14" xr:uid="{EAD4DA01-A10B-4F94-B7F2-B45C7479E1A9}"/>
    <cellStyle name="Обычный 5 2" xfId="13" xr:uid="{5237758D-2182-49A3-B539-3736D3183A67}"/>
    <cellStyle name="Обычный 6" xfId="19" xr:uid="{04E97954-AFA6-4F73-8296-DB0B279ED44D}"/>
    <cellStyle name="Обычный 6 2" xfId="57" xr:uid="{78515910-7E0E-4BF8-8B7F-0E3D033D6CDF}"/>
    <cellStyle name="Обычный 6 3" xfId="69" xr:uid="{69FCFC63-EAAE-4BF9-B6D5-2CDA1D3E4604}"/>
    <cellStyle name="Обычный 7" xfId="23" xr:uid="{E3D8AEE6-4708-43A6-B983-19D56A089F15}"/>
    <cellStyle name="Обычный 7 2" xfId="59" xr:uid="{F24E7A5F-7FC9-4D6A-8C6D-F1DFE50C5A9A}"/>
    <cellStyle name="Обычный 7 2 2" xfId="82" xr:uid="{4EF6D5B8-DA67-403F-A754-438C2EE40D15}"/>
    <cellStyle name="Обычный 7 3" xfId="71" xr:uid="{C1F69DDB-430C-4F6B-8C43-6185E4DDEB65}"/>
    <cellStyle name="Обычный 8" xfId="25" xr:uid="{9C80F5A5-34E8-46A9-9295-93BBC42BAA71}"/>
    <cellStyle name="Обычный 9" xfId="50" xr:uid="{65730B80-D96B-46C9-B7ED-96BB2D9A7341}"/>
    <cellStyle name="Обычный 9 2" xfId="81" xr:uid="{023CE7C1-4D22-4A46-AD59-6766F49151D4}"/>
    <cellStyle name="Обычный 9 3" xfId="77" xr:uid="{4B71CF46-C7EC-4854-9D40-30580FB141DF}"/>
    <cellStyle name="Подитог_1" xfId="35" xr:uid="{E4B121DB-50CB-47BD-AF21-29FCB92CD3EE}"/>
    <cellStyle name="Проверки" xfId="40" xr:uid="{C0DC97EC-41B9-43DE-BABD-466D548D2F54}"/>
    <cellStyle name="Процентный" xfId="2" builtinId="5"/>
    <cellStyle name="Процентный 2" xfId="12" xr:uid="{590090BF-B86B-435F-A0AE-65C4B86C18DB}"/>
    <cellStyle name="Процентный 2 2" xfId="46" xr:uid="{792256A9-864B-4FB7-AF8A-B8CAEB9E06DF}"/>
    <cellStyle name="Процентный 2 2 2" xfId="63" xr:uid="{9AB6CB87-02EB-4607-BCCC-92FE891F7118}"/>
    <cellStyle name="Процентный 2 2 3" xfId="75" xr:uid="{B0DBBF4C-4FE9-4B38-8E3F-A79D5CCC1FBA}"/>
    <cellStyle name="Процентный 2 3" xfId="54" xr:uid="{A612C55B-67A0-48F9-A114-066A1720C09A}"/>
    <cellStyle name="Процентный 2 4" xfId="66" xr:uid="{708255EB-D0B4-46EA-947C-729B3489A8E6}"/>
    <cellStyle name="Процентный 3" xfId="16" xr:uid="{B9E435AD-245C-4E48-A3C7-00B765DAA178}"/>
    <cellStyle name="Процентный 4" xfId="20" xr:uid="{3D6564C6-DA07-4957-A0CF-4A8BA18A3895}"/>
    <cellStyle name="Процентный 4 2" xfId="58" xr:uid="{2D76DF96-DF02-4E63-A291-9FD8EF6E144F}"/>
    <cellStyle name="Процентный 4 3" xfId="70" xr:uid="{FC380421-33A8-4A0B-B6C2-7B37D29C095B}"/>
    <cellStyle name="Процентный 5" xfId="26" xr:uid="{676132EA-A8A8-40AB-B3B2-1E2B4D990AE2}"/>
    <cellStyle name="Процентный 5 2" xfId="61" xr:uid="{2157AFBB-B89C-4745-827C-284C03EF3C6A}"/>
    <cellStyle name="Процентный 5 3" xfId="73" xr:uid="{F7D27797-5F07-417A-8DB8-4FE8ECA32F0B}"/>
    <cellStyle name="Процентный 6" xfId="51" xr:uid="{FD1D69DD-AD78-4C2F-8A4A-4CB903E3C33B}"/>
    <cellStyle name="Процентный 7" xfId="7" xr:uid="{75DE4FE2-BCC2-4D81-9925-2989626BEAE1}"/>
    <cellStyle name="Расчеты_1" xfId="31" xr:uid="{E022E68F-65BA-4BBE-B501-74B8F29BDC39}"/>
    <cellStyle name="Сссылка_Процент" xfId="41" xr:uid="{AC525216-0712-4522-84FE-61CBA2EAC027}"/>
    <cellStyle name="Ссылка" xfId="34" xr:uid="{454E93A3-8098-449F-914D-C60279848C27}"/>
    <cellStyle name="Стиль 1" xfId="8" xr:uid="{2F6B961D-7BAF-478E-97F7-581D72B4DE04}"/>
    <cellStyle name="Сумма_Строка" xfId="33" xr:uid="{39D127F2-7E9C-43FF-AE5D-67B4CC3DB164}"/>
    <cellStyle name="Финансовый" xfId="3" builtinId="3"/>
    <cellStyle name="Финансовый 2" xfId="9" xr:uid="{9CC98FE6-9563-4B34-8629-B23979C09412}"/>
    <cellStyle name="Финансовый 2 2" xfId="52" xr:uid="{FA59BC8D-5363-4DAB-B8D4-EB2BF6537FC7}"/>
    <cellStyle name="Финансовый 3" xfId="56" xr:uid="{C9EE83DE-3859-4B09-863C-F26D99673F68}"/>
    <cellStyle name="Финансовый 4" xfId="68" xr:uid="{C8030239-3C5A-4C9C-BFFF-33DD4B1A2578}"/>
    <cellStyle name="Финансовый 5" xfId="18" xr:uid="{0C7B60E0-9DF5-4AF2-A3C1-F761DE4234C1}"/>
    <cellStyle name="Флаг" xfId="38" xr:uid="{16EC97BB-D47E-461E-BAD0-9A0A0CA00156}"/>
  </cellStyles>
  <dxfs count="0"/>
  <tableStyles count="1" defaultTableStyle="TableStyleMedium2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ИТОГО</c:v>
          </c:tx>
          <c:spPr>
            <a:ln w="28575" cmpd="sng">
              <a:solidFill>
                <a:srgbClr val="4285F4"/>
              </a:solidFill>
            </a:ln>
          </c:spPr>
          <c:marker>
            <c:symbol val="circle"/>
            <c:size val="5"/>
            <c:spPr>
              <a:solidFill>
                <a:srgbClr val="4285F4"/>
              </a:solidFill>
              <a:ln cmpd="sng">
                <a:solidFill>
                  <a:srgbClr val="4285F4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'выручка номеров'!$C$122:$L$122</c:f>
              <c:numCache>
                <c:formatCode>#,##0</c:formatCode>
                <c:ptCount val="10"/>
                <c:pt idx="0">
                  <c:v>181335.03999999998</c:v>
                </c:pt>
                <c:pt idx="1">
                  <c:v>182503.53999999998</c:v>
                </c:pt>
                <c:pt idx="2">
                  <c:v>194385.973</c:v>
                </c:pt>
                <c:pt idx="3">
                  <c:v>195625.63465000002</c:v>
                </c:pt>
                <c:pt idx="4">
                  <c:v>196902.48614950001</c:v>
                </c:pt>
                <c:pt idx="5">
                  <c:v>197516.22610359301</c:v>
                </c:pt>
                <c:pt idx="6">
                  <c:v>198138.5584170433</c:v>
                </c:pt>
                <c:pt idx="7">
                  <c:v>198769.60338288191</c:v>
                </c:pt>
                <c:pt idx="8">
                  <c:v>199409.48297824227</c:v>
                </c:pt>
                <c:pt idx="9">
                  <c:v>200058.32088793765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7B-4BD2-AD18-0207900B0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9575803"/>
        <c:axId val="116049034"/>
      </c:lineChart>
      <c:catAx>
        <c:axId val="20995758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ru-RU"/>
          </a:p>
        </c:txPr>
        <c:crossAx val="116049034"/>
        <c:crosses val="autoZero"/>
        <c:auto val="1"/>
        <c:lblAlgn val="ctr"/>
        <c:lblOffset val="100"/>
        <c:noMultiLvlLbl val="1"/>
      </c:catAx>
      <c:valAx>
        <c:axId val="11604903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ru-RU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ru-RU"/>
          </a:p>
        </c:txPr>
        <c:crossAx val="2099575803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622300</xdr:colOff>
      <xdr:row>113</xdr:row>
      <xdr:rowOff>304800</xdr:rowOff>
    </xdr:from>
    <xdr:ext cx="7480300" cy="2590800"/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92.168.19.22\Data\&#1044;&#1080;&#1088;&#1077;&#1082;&#1094;&#1080;&#1103;\&#1088;&#1077;&#1079;&#1077;&#1088;&#1074;_1\&#1052;&#1072;&#1088;&#1082;&#1077;&#1090;&#1080;&#1085;&#1075;&#1086;&#1074;&#1099;&#1077;%20&#1088;&#1072;&#1073;&#1086;&#1090;&#1099;\&#1043;&#1086;&#1089;&#1090;&#1080;&#1085;&#1080;&#1094;&#1099;\&#1061;&#1072;&#1085;&#1090;&#1099;\&#1075;&#1086;&#1089;&#1090;&#1080;&#1085;&#1080;&#1095;&#1085;&#1099;&#1077;%20&#1087;&#1088;&#1086;&#1077;&#1082;&#1090;&#1099;\&#1050;&#1091;&#1079;&#1073;&#1072;&#1089;&#1089;\&#1059;&#1082;&#1088;&#1091;&#1087;&#1085;&#1077;&#1085;&#1085;&#1072;&#1103;%20&#1060;&#1069;&#1052;%201%20&#1101;&#1090;&#1072;&#1087;%20&#1041;&#1086;&#1088;&#1080;&#1089;&#1086;&#1074;&#1089;&#1082;&#1080;&#1081;.xlsx" TargetMode="External"/><Relationship Id="rId1" Type="http://schemas.openxmlformats.org/officeDocument/2006/relationships/externalLinkPath" Target="&#1059;&#1082;&#1088;&#1091;&#1087;&#1085;&#1077;&#1085;&#1085;&#1072;&#1103;%20&#1060;&#1069;&#1052;%201%20&#1101;&#1090;&#1072;&#1087;%20&#1041;&#1086;&#1088;&#1080;&#1089;&#1086;&#1074;&#1089;&#1082;&#1080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Инфраструктура"/>
      <sheetName val="Операционная доходность"/>
      <sheetName val="Фин показатели"/>
    </sheetNames>
    <sheetDataSet>
      <sheetData sheetId="0">
        <row r="7">
          <cell r="B7">
            <v>120</v>
          </cell>
        </row>
        <row r="68">
          <cell r="B68">
            <v>12</v>
          </cell>
        </row>
        <row r="69">
          <cell r="B69">
            <v>8</v>
          </cell>
        </row>
        <row r="70">
          <cell r="B70">
            <v>6</v>
          </cell>
        </row>
        <row r="71">
          <cell r="B71">
            <v>6</v>
          </cell>
        </row>
        <row r="126">
          <cell r="B126">
            <v>21</v>
          </cell>
        </row>
        <row r="127">
          <cell r="B127">
            <v>11</v>
          </cell>
        </row>
        <row r="128">
          <cell r="B128">
            <v>8</v>
          </cell>
        </row>
        <row r="129">
          <cell r="B129"/>
        </row>
        <row r="130">
          <cell r="B130"/>
        </row>
        <row r="131">
          <cell r="B131">
            <v>5</v>
          </cell>
        </row>
        <row r="132">
          <cell r="B132">
            <v>5</v>
          </cell>
        </row>
      </sheetData>
      <sheetData sheetId="1"/>
      <sheetData sheetId="2">
        <row r="4">
          <cell r="B4">
            <v>3040764000</v>
          </cell>
        </row>
        <row r="19">
          <cell r="B19">
            <v>948037500</v>
          </cell>
        </row>
        <row r="20">
          <cell r="B20">
            <v>727650000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cbr.ru/hd_base/zcyc_params/" TargetMode="External"/><Relationship Id="rId13" Type="http://schemas.openxmlformats.org/officeDocument/2006/relationships/hyperlink" Target="https://cbr.ru/hd_base/zcyc_params/zcyc/?DateTo=24.10.2023" TargetMode="External"/><Relationship Id="rId3" Type="http://schemas.openxmlformats.org/officeDocument/2006/relationships/hyperlink" Target="https://cpcpa.ru/files/publications/Ibbotson.pdf" TargetMode="External"/><Relationship Id="rId7" Type="http://schemas.openxmlformats.org/officeDocument/2006/relationships/hyperlink" Target="https://www.audit-it.ru/incl/redirect.php?goto=http%3A%2F%2Fpages.stern.nyu.edu%2F%7Eadamodar%2F&amp;verhash=b30e6f502501b17bfd7bcf931fd88116" TargetMode="External"/><Relationship Id="rId12" Type="http://schemas.openxmlformats.org/officeDocument/2006/relationships/hyperlink" Target="https://cbr.ru/hd_base/zcyc_params/zcyc/?DateTo=25.10.2023" TargetMode="External"/><Relationship Id="rId2" Type="http://schemas.openxmlformats.org/officeDocument/2006/relationships/hyperlink" Target="https://www.audit-it.ru/incl/redirect.php?goto=http%3A%2F%2Fpages.stern.nyu.edu%2F%7Eadamodar%2F&amp;verhash=b30e6f502501b17bfd7bcf931fd88116" TargetMode="External"/><Relationship Id="rId1" Type="http://schemas.openxmlformats.org/officeDocument/2006/relationships/hyperlink" Target="https://rostsber.ru/publish/stocks/index_fund_review_2021.html" TargetMode="External"/><Relationship Id="rId6" Type="http://schemas.openxmlformats.org/officeDocument/2006/relationships/hyperlink" Target="https://www.audit-it.ru/incl/redirect.php?goto=http%3A%2F%2Fpages.stern.nyu.edu%2F%7Eadamodar%2F&amp;verhash=b30e6f502501b17bfd7bcf931fd88116" TargetMode="External"/><Relationship Id="rId11" Type="http://schemas.openxmlformats.org/officeDocument/2006/relationships/hyperlink" Target="https://cbr.ru/hd_base/zcyc_params/zcyc/?DateTo=26.10.2023" TargetMode="External"/><Relationship Id="rId5" Type="http://schemas.openxmlformats.org/officeDocument/2006/relationships/hyperlink" Target="https://www.audit-it.ru/terms/taxation/nalogovaya_stavka.html" TargetMode="External"/><Relationship Id="rId10" Type="http://schemas.openxmlformats.org/officeDocument/2006/relationships/hyperlink" Target="https://cbr.ru/hd_base/zcyc_params/zcyc/?DateTo=27.10.2023" TargetMode="External"/><Relationship Id="rId4" Type="http://schemas.openxmlformats.org/officeDocument/2006/relationships/hyperlink" Target="https://www.audit-it.ru/incl/redirect.php?goto=http%3A%2F%2Fpages.stern.nyu.edu%2F%7Eadamodar%2F&amp;verhash=b30e6f502501b17bfd7bcf931fd88116" TargetMode="External"/><Relationship Id="rId9" Type="http://schemas.openxmlformats.org/officeDocument/2006/relationships/hyperlink" Target="https://cbr.ru/hd_base/zcyc_params/zcyc/?DateTo=24.02.2023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C102"/>
  <sheetViews>
    <sheetView workbookViewId="0">
      <selection activeCell="C28" sqref="C28"/>
    </sheetView>
  </sheetViews>
  <sheetFormatPr defaultColWidth="14.453125" defaultRowHeight="15" customHeight="1"/>
  <cols>
    <col min="1" max="1" width="11.453125" customWidth="1"/>
    <col min="2" max="2" width="33.26953125" customWidth="1"/>
    <col min="3" max="3" width="72.81640625" customWidth="1"/>
    <col min="4" max="11" width="8.7265625" customWidth="1"/>
  </cols>
  <sheetData>
    <row r="1" spans="1:3" ht="12.75" customHeight="1"/>
    <row r="2" spans="1:3" ht="12.75" customHeight="1">
      <c r="B2" s="1" t="s">
        <v>0</v>
      </c>
    </row>
    <row r="3" spans="1:3" ht="12.75" customHeight="1"/>
    <row r="4" spans="1:3" ht="12.75" customHeight="1">
      <c r="A4" s="2" t="s">
        <v>1</v>
      </c>
      <c r="B4" s="2" t="s">
        <v>2</v>
      </c>
      <c r="C4" s="2" t="s">
        <v>3</v>
      </c>
    </row>
    <row r="5" spans="1:3" ht="12.75" customHeight="1">
      <c r="A5">
        <v>1</v>
      </c>
      <c r="B5" t="s">
        <v>4</v>
      </c>
      <c r="C5" t="s">
        <v>5</v>
      </c>
    </row>
    <row r="6" spans="1:3" ht="12.75" customHeight="1">
      <c r="A6">
        <v>2</v>
      </c>
      <c r="B6" t="s">
        <v>6</v>
      </c>
      <c r="C6" t="s">
        <v>7</v>
      </c>
    </row>
    <row r="7" spans="1:3" ht="12.75" customHeight="1">
      <c r="A7">
        <v>3</v>
      </c>
      <c r="B7" t="s">
        <v>8</v>
      </c>
      <c r="C7" t="s">
        <v>9</v>
      </c>
    </row>
    <row r="8" spans="1:3" ht="12.75" customHeight="1">
      <c r="A8">
        <v>4</v>
      </c>
      <c r="B8" t="s">
        <v>610</v>
      </c>
      <c r="C8" t="s">
        <v>611</v>
      </c>
    </row>
    <row r="9" spans="1:3" ht="12.75" customHeight="1">
      <c r="A9">
        <v>5</v>
      </c>
      <c r="B9" t="s">
        <v>10</v>
      </c>
      <c r="C9" t="s">
        <v>614</v>
      </c>
    </row>
    <row r="10" spans="1:3" ht="12.75" customHeight="1">
      <c r="A10">
        <v>6</v>
      </c>
      <c r="B10" t="s">
        <v>613</v>
      </c>
      <c r="C10" t="s">
        <v>615</v>
      </c>
    </row>
    <row r="11" spans="1:3" ht="12.75" customHeight="1">
      <c r="A11">
        <v>7</v>
      </c>
      <c r="B11" t="s">
        <v>11</v>
      </c>
      <c r="C11" t="s">
        <v>12</v>
      </c>
    </row>
    <row r="12" spans="1:3" ht="12.75" customHeight="1">
      <c r="A12">
        <v>8</v>
      </c>
      <c r="B12" t="s">
        <v>13</v>
      </c>
      <c r="C12" t="s">
        <v>14</v>
      </c>
    </row>
    <row r="13" spans="1:3" ht="12.75" customHeight="1">
      <c r="A13">
        <v>9</v>
      </c>
      <c r="B13" t="s">
        <v>15</v>
      </c>
      <c r="C13" t="s">
        <v>16</v>
      </c>
    </row>
    <row r="14" spans="1:3" ht="12.75" customHeight="1">
      <c r="A14">
        <v>10</v>
      </c>
      <c r="B14" t="s">
        <v>17</v>
      </c>
      <c r="C14" t="s">
        <v>18</v>
      </c>
    </row>
    <row r="15" spans="1:3" ht="12.75" customHeight="1">
      <c r="A15">
        <v>11</v>
      </c>
      <c r="B15" t="s">
        <v>19</v>
      </c>
      <c r="C15" t="s">
        <v>20</v>
      </c>
    </row>
    <row r="16" spans="1:3" ht="12.75" customHeight="1">
      <c r="A16">
        <v>12</v>
      </c>
      <c r="B16" t="s">
        <v>21</v>
      </c>
      <c r="C16" t="s">
        <v>22</v>
      </c>
    </row>
    <row r="17" spans="1:3" ht="12.75" customHeight="1">
      <c r="A17">
        <v>13</v>
      </c>
      <c r="B17" t="s">
        <v>23</v>
      </c>
      <c r="C17" t="s">
        <v>24</v>
      </c>
    </row>
    <row r="18" spans="1:3" ht="12.75" customHeight="1">
      <c r="A18">
        <v>14</v>
      </c>
      <c r="B18" t="s">
        <v>25</v>
      </c>
      <c r="C18" t="s">
        <v>26</v>
      </c>
    </row>
    <row r="19" spans="1:3" ht="12.75" customHeight="1">
      <c r="A19">
        <v>15</v>
      </c>
      <c r="B19" t="s">
        <v>27</v>
      </c>
      <c r="C19" t="s">
        <v>28</v>
      </c>
    </row>
    <row r="20" spans="1:3" ht="12.75" customHeight="1">
      <c r="A20">
        <v>16</v>
      </c>
      <c r="B20" t="s">
        <v>29</v>
      </c>
      <c r="C20" t="s">
        <v>30</v>
      </c>
    </row>
    <row r="21" spans="1:3" ht="12.75" customHeight="1">
      <c r="A21">
        <v>17</v>
      </c>
      <c r="B21" t="s">
        <v>31</v>
      </c>
      <c r="C21" t="s">
        <v>32</v>
      </c>
    </row>
    <row r="22" spans="1:3" ht="12.75" customHeight="1">
      <c r="A22">
        <v>18</v>
      </c>
      <c r="B22" t="s">
        <v>33</v>
      </c>
      <c r="C22" t="s">
        <v>34</v>
      </c>
    </row>
    <row r="23" spans="1:3" ht="12.75" customHeight="1">
      <c r="A23">
        <v>19</v>
      </c>
      <c r="B23" t="s">
        <v>35</v>
      </c>
      <c r="C23" t="s">
        <v>36</v>
      </c>
    </row>
    <row r="24" spans="1:3" ht="12.75" customHeight="1">
      <c r="A24">
        <v>20</v>
      </c>
      <c r="B24" t="s">
        <v>37</v>
      </c>
      <c r="C24" t="s">
        <v>38</v>
      </c>
    </row>
    <row r="25" spans="1:3" ht="12.75" customHeight="1">
      <c r="A25">
        <v>21</v>
      </c>
      <c r="B25" t="s">
        <v>39</v>
      </c>
      <c r="C25" t="s">
        <v>40</v>
      </c>
    </row>
    <row r="26" spans="1:3" ht="12.75" customHeight="1">
      <c r="A26">
        <v>22</v>
      </c>
      <c r="B26" t="s">
        <v>41</v>
      </c>
      <c r="C26" t="s">
        <v>42</v>
      </c>
    </row>
    <row r="27" spans="1:3" ht="12.75" customHeight="1">
      <c r="A27">
        <v>23</v>
      </c>
      <c r="B27" t="s">
        <v>43</v>
      </c>
      <c r="C27" t="s">
        <v>44</v>
      </c>
    </row>
    <row r="28" spans="1:3" ht="12.75" customHeight="1">
      <c r="A28">
        <v>24</v>
      </c>
      <c r="B28" t="s">
        <v>45</v>
      </c>
      <c r="C28" t="s">
        <v>46</v>
      </c>
    </row>
    <row r="29" spans="1:3" ht="12.75" customHeight="1">
      <c r="A29">
        <v>25</v>
      </c>
      <c r="B29" t="s">
        <v>47</v>
      </c>
      <c r="C29" t="s">
        <v>48</v>
      </c>
    </row>
    <row r="30" spans="1:3" ht="12.75" customHeight="1">
      <c r="A30">
        <v>26</v>
      </c>
      <c r="B30" t="s">
        <v>49</v>
      </c>
      <c r="C30" t="s">
        <v>50</v>
      </c>
    </row>
    <row r="31" spans="1:3" ht="12.75" customHeight="1">
      <c r="A31">
        <v>27</v>
      </c>
      <c r="B31" t="s">
        <v>51</v>
      </c>
      <c r="C31" t="s">
        <v>52</v>
      </c>
    </row>
    <row r="32" spans="1:3" ht="12.75" customHeight="1">
      <c r="A32">
        <v>28</v>
      </c>
      <c r="B32" t="s">
        <v>53</v>
      </c>
      <c r="C32" t="s">
        <v>54</v>
      </c>
    </row>
    <row r="33" spans="1:3" ht="12.75" customHeight="1">
      <c r="A33">
        <v>29</v>
      </c>
      <c r="B33" t="s">
        <v>55</v>
      </c>
      <c r="C33" t="s">
        <v>56</v>
      </c>
    </row>
    <row r="34" spans="1:3" ht="12.75" customHeight="1">
      <c r="A34">
        <v>30</v>
      </c>
      <c r="B34" t="s">
        <v>57</v>
      </c>
      <c r="C34" t="s">
        <v>58</v>
      </c>
    </row>
    <row r="35" spans="1:3" ht="27" customHeight="1">
      <c r="A35">
        <v>31</v>
      </c>
      <c r="B35" t="s">
        <v>59</v>
      </c>
      <c r="C35" s="3" t="s">
        <v>60</v>
      </c>
    </row>
    <row r="36" spans="1:3" ht="12.75" customHeight="1"/>
    <row r="37" spans="1:3" ht="12.75" customHeight="1"/>
    <row r="38" spans="1:3" ht="12.75" customHeight="1"/>
    <row r="39" spans="1:3" ht="12.75" customHeight="1"/>
    <row r="40" spans="1:3" ht="12.75" customHeight="1"/>
    <row r="41" spans="1:3" ht="12.75" customHeight="1"/>
    <row r="42" spans="1:3" ht="12.75" customHeight="1"/>
    <row r="43" spans="1:3" ht="12.75" customHeight="1"/>
    <row r="44" spans="1:3" ht="12.75" customHeight="1"/>
    <row r="45" spans="1:3" ht="12.75" customHeight="1"/>
    <row r="46" spans="1:3" ht="12.75" customHeight="1"/>
    <row r="47" spans="1:3" ht="12.75" customHeight="1"/>
    <row r="48" spans="1:3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</sheetData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/>
  <dimension ref="A1:P100"/>
  <sheetViews>
    <sheetView workbookViewId="0">
      <selection activeCell="E3" sqref="E3"/>
    </sheetView>
  </sheetViews>
  <sheetFormatPr defaultColWidth="14.453125" defaultRowHeight="12.5" outlineLevelRow="1"/>
  <cols>
    <col min="1" max="1" width="13.1796875" customWidth="1"/>
    <col min="2" max="2" width="9.26953125" customWidth="1"/>
    <col min="3" max="16" width="8.81640625" customWidth="1"/>
  </cols>
  <sheetData>
    <row r="1" spans="1:16" ht="14.5">
      <c r="A1" s="135" t="s">
        <v>265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</row>
    <row r="2" spans="1:16" ht="14.5" outlineLevel="1">
      <c r="A2" s="136"/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</row>
    <row r="3" spans="1:16" ht="14.5" outlineLevel="1">
      <c r="A3" s="136" t="s">
        <v>266</v>
      </c>
      <c r="B3" s="136"/>
      <c r="C3" s="136"/>
      <c r="D3" s="136"/>
      <c r="E3" s="137">
        <f>(1-B13)*B14*B15+B16*B17</f>
        <v>0.11501554261067824</v>
      </c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</row>
    <row r="4" spans="1:16" ht="14.5" outlineLevel="1">
      <c r="A4" s="136"/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</row>
    <row r="5" spans="1:16" ht="15.5" outlineLevel="1">
      <c r="A5" s="138" t="s">
        <v>267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</row>
    <row r="6" spans="1:16" ht="15.5" outlineLevel="1">
      <c r="A6" s="138" t="s">
        <v>268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</row>
    <row r="7" spans="1:16" ht="15.5" outlineLevel="1">
      <c r="A7" s="138" t="s">
        <v>269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</row>
    <row r="8" spans="1:16" ht="15.5" outlineLevel="1">
      <c r="A8" s="138" t="s">
        <v>270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</row>
    <row r="9" spans="1:16" ht="15.5" outlineLevel="1">
      <c r="A9" s="138" t="s">
        <v>271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</row>
    <row r="10" spans="1:16" ht="14.5" outlineLevel="1">
      <c r="A10" s="136"/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</row>
    <row r="11" spans="1:16" ht="14.5" outlineLevel="1">
      <c r="A11" s="138"/>
      <c r="B11" s="136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</row>
    <row r="12" spans="1:16" ht="14.5" outlineLevel="1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</row>
    <row r="13" spans="1:16" ht="14.5" outlineLevel="1">
      <c r="A13" s="136" t="s">
        <v>272</v>
      </c>
      <c r="B13" s="139">
        <v>0.2</v>
      </c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</row>
    <row r="14" spans="1:16" ht="14.5" outlineLevel="1">
      <c r="A14" s="136" t="s">
        <v>273</v>
      </c>
      <c r="B14" s="140">
        <f>Assump!D37</f>
        <v>7.4999999999999997E-2</v>
      </c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</row>
    <row r="15" spans="1:16" ht="14.5" outlineLevel="1">
      <c r="A15" s="136" t="s">
        <v>274</v>
      </c>
      <c r="B15" s="141">
        <f>Финансирование!C6/Финансирование!C3</f>
        <v>0.69413797219190598</v>
      </c>
      <c r="C15" s="136" t="s">
        <v>275</v>
      </c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</row>
    <row r="16" spans="1:16" ht="14.5" outlineLevel="1">
      <c r="A16" s="136" t="s">
        <v>276</v>
      </c>
      <c r="B16" s="142">
        <f>G20</f>
        <v>0.23987045664000001</v>
      </c>
      <c r="C16" s="136" t="s">
        <v>277</v>
      </c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</row>
    <row r="17" spans="1:16" ht="14.5" outlineLevel="1">
      <c r="A17" s="136" t="s">
        <v>278</v>
      </c>
      <c r="B17" s="141">
        <f>1-B15</f>
        <v>0.30586202780809402</v>
      </c>
      <c r="C17" s="136" t="s">
        <v>279</v>
      </c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</row>
    <row r="18" spans="1:16" ht="14.5" outlineLevel="1">
      <c r="A18" s="136"/>
      <c r="B18" s="141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</row>
    <row r="19" spans="1:16" ht="14.5" outlineLevel="1">
      <c r="A19" s="136" t="s">
        <v>280</v>
      </c>
      <c r="B19" s="136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</row>
    <row r="20" spans="1:16" ht="18" outlineLevel="1">
      <c r="A20" s="143" t="s">
        <v>281</v>
      </c>
      <c r="B20" s="136"/>
      <c r="C20" s="136"/>
      <c r="D20" s="136"/>
      <c r="E20" s="136"/>
      <c r="F20" s="136"/>
      <c r="G20" s="144">
        <f>C30+C31*C33+C34+C35+C36</f>
        <v>0.23987045664000001</v>
      </c>
      <c r="H20" s="136"/>
      <c r="I20" s="136"/>
      <c r="J20" s="136"/>
      <c r="K20" s="136"/>
      <c r="L20" s="136"/>
      <c r="M20" s="136"/>
      <c r="N20" s="136"/>
      <c r="O20" s="136"/>
      <c r="P20" s="136"/>
    </row>
    <row r="21" spans="1:16" ht="14.5" outlineLevel="1">
      <c r="A21" s="136"/>
      <c r="B21" s="136"/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</row>
    <row r="22" spans="1:16" ht="15.5" outlineLevel="1">
      <c r="A22" s="138" t="s">
        <v>282</v>
      </c>
      <c r="B22" s="138"/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</row>
    <row r="23" spans="1:16" ht="15.5" outlineLevel="1">
      <c r="A23" s="138" t="s">
        <v>283</v>
      </c>
      <c r="B23" s="138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</row>
    <row r="24" spans="1:16" ht="15.5" outlineLevel="1">
      <c r="A24" s="138" t="s">
        <v>284</v>
      </c>
      <c r="B24" s="138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</row>
    <row r="25" spans="1:16" ht="15.5" outlineLevel="1">
      <c r="A25" s="138" t="s">
        <v>285</v>
      </c>
      <c r="B25" s="138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</row>
    <row r="26" spans="1:16" ht="15.5" outlineLevel="1">
      <c r="A26" s="138" t="s">
        <v>286</v>
      </c>
      <c r="B26" s="138"/>
      <c r="C26" s="136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</row>
    <row r="27" spans="1:16" ht="15.5" outlineLevel="1">
      <c r="A27" s="138" t="s">
        <v>287</v>
      </c>
      <c r="B27" s="138"/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</row>
    <row r="28" spans="1:16" ht="15.5" outlineLevel="1">
      <c r="A28" s="138" t="s">
        <v>288</v>
      </c>
      <c r="B28" s="138"/>
      <c r="C28" s="136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</row>
    <row r="29" spans="1:16" ht="14.5" outlineLevel="1">
      <c r="A29" s="136"/>
      <c r="B29" s="136"/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</row>
    <row r="30" spans="1:16" ht="14.5" outlineLevel="1">
      <c r="A30" s="138"/>
      <c r="B30" s="139" t="s">
        <v>289</v>
      </c>
      <c r="C30" s="145">
        <f>A51</f>
        <v>0.12028999999999999</v>
      </c>
      <c r="D30" s="136"/>
      <c r="E30" s="14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46"/>
    </row>
    <row r="31" spans="1:16" ht="14.5" outlineLevel="1">
      <c r="A31" s="136"/>
      <c r="B31" s="147" t="s">
        <v>290</v>
      </c>
      <c r="C31" s="141">
        <f>E38</f>
        <v>1.3657392000000002</v>
      </c>
      <c r="D31" s="136"/>
      <c r="E31" s="14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</row>
    <row r="32" spans="1:16" ht="14.5" outlineLevel="1">
      <c r="A32" s="136"/>
      <c r="B32" s="136" t="s">
        <v>291</v>
      </c>
      <c r="C32" s="142">
        <v>0.155</v>
      </c>
      <c r="D32" s="136"/>
      <c r="E32" s="146"/>
      <c r="F32" s="136"/>
      <c r="G32" s="136"/>
      <c r="H32" s="136"/>
      <c r="I32" s="136"/>
      <c r="J32" s="136"/>
      <c r="K32" s="136"/>
      <c r="L32" s="136"/>
      <c r="M32" s="146" t="s">
        <v>292</v>
      </c>
      <c r="N32" s="146"/>
      <c r="O32" s="136"/>
      <c r="P32" s="136"/>
    </row>
    <row r="33" spans="1:16" ht="14.5" outlineLevel="1">
      <c r="A33" s="136"/>
      <c r="B33" s="136" t="s">
        <v>293</v>
      </c>
      <c r="C33" s="142">
        <v>6.4199999999999993E-2</v>
      </c>
      <c r="D33" s="136"/>
      <c r="E33" s="146" t="s">
        <v>294</v>
      </c>
      <c r="F33" s="136"/>
      <c r="G33" s="136"/>
      <c r="H33" s="136"/>
      <c r="I33" s="136" t="s">
        <v>295</v>
      </c>
      <c r="J33" s="142">
        <f>C32-C30</f>
        <v>3.4710000000000005E-2</v>
      </c>
      <c r="K33" s="136"/>
      <c r="L33" s="136"/>
      <c r="M33" s="136"/>
      <c r="N33" s="136"/>
      <c r="O33" s="136"/>
      <c r="P33" s="136"/>
    </row>
    <row r="34" spans="1:16" ht="14.5" outlineLevel="1">
      <c r="A34" s="136"/>
      <c r="B34" s="136" t="s">
        <v>296</v>
      </c>
      <c r="C34" s="142">
        <v>1.01E-2</v>
      </c>
      <c r="D34" s="136"/>
      <c r="E34" s="146" t="s">
        <v>297</v>
      </c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</row>
    <row r="35" spans="1:16" ht="14.5" outlineLevel="1">
      <c r="A35" s="136"/>
      <c r="B35" s="136" t="s">
        <v>298</v>
      </c>
      <c r="C35" s="142">
        <v>2.18E-2</v>
      </c>
      <c r="D35" s="136"/>
      <c r="E35" s="146" t="s">
        <v>294</v>
      </c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</row>
    <row r="36" spans="1:16" ht="14.5" outlineLevel="1">
      <c r="A36" s="136"/>
      <c r="B36" s="139" t="s">
        <v>299</v>
      </c>
      <c r="C36" s="139">
        <v>0</v>
      </c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</row>
    <row r="37" spans="1:16" ht="14.5" outlineLevel="1">
      <c r="A37" s="136"/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</row>
    <row r="38" spans="1:16" ht="18" outlineLevel="1">
      <c r="A38" s="143" t="s">
        <v>300</v>
      </c>
      <c r="B38" s="136"/>
      <c r="C38" s="136"/>
      <c r="D38" s="136"/>
      <c r="E38" s="148">
        <f>C45*(1+(1-C46)*C47)</f>
        <v>1.3657392000000002</v>
      </c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</row>
    <row r="39" spans="1:16" ht="14.5" outlineLevel="1">
      <c r="A39" s="136"/>
      <c r="B39" s="136"/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</row>
    <row r="40" spans="1:16" ht="15.5" outlineLevel="1">
      <c r="A40" s="138" t="s">
        <v>301</v>
      </c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</row>
    <row r="41" spans="1:16" ht="15.5" outlineLevel="1">
      <c r="A41" s="138" t="s">
        <v>302</v>
      </c>
      <c r="B41" s="136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</row>
    <row r="42" spans="1:16" ht="14.5" outlineLevel="1">
      <c r="A42" s="149" t="s">
        <v>303</v>
      </c>
      <c r="B42" s="136"/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</row>
    <row r="43" spans="1:16" ht="15.5" outlineLevel="1">
      <c r="A43" s="138" t="s">
        <v>304</v>
      </c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</row>
    <row r="44" spans="1:16" ht="14.5" outlineLevel="1">
      <c r="A44" s="136"/>
      <c r="B44" s="136"/>
      <c r="C44" s="136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</row>
    <row r="45" spans="1:16" ht="14.5" outlineLevel="1">
      <c r="A45" s="136"/>
      <c r="B45" s="136" t="s">
        <v>305</v>
      </c>
      <c r="C45" s="136">
        <v>1.02</v>
      </c>
      <c r="D45" s="136"/>
      <c r="E45" s="146" t="s">
        <v>294</v>
      </c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</row>
    <row r="46" spans="1:16" ht="14.5" outlineLevel="1">
      <c r="A46" s="136"/>
      <c r="B46" s="136" t="s">
        <v>306</v>
      </c>
      <c r="C46" s="139">
        <v>0.2</v>
      </c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</row>
    <row r="47" spans="1:16" ht="14.5" outlineLevel="1">
      <c r="A47" s="136"/>
      <c r="B47" s="136" t="s">
        <v>307</v>
      </c>
      <c r="C47" s="150">
        <v>0.42370000000000002</v>
      </c>
      <c r="D47" s="136"/>
      <c r="E47" s="146" t="s">
        <v>294</v>
      </c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</row>
    <row r="48" spans="1:16" ht="14.5">
      <c r="A48" s="136"/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</row>
    <row r="49" spans="1:16" ht="14.5">
      <c r="A49" s="151" t="s">
        <v>308</v>
      </c>
      <c r="B49" s="152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</row>
    <row r="50" spans="1:16" ht="14.5" outlineLevel="1">
      <c r="A50" s="136"/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</row>
    <row r="51" spans="1:16" ht="14.5" outlineLevel="1">
      <c r="A51" s="145">
        <f>AVERAGE(K56:L60)/100</f>
        <v>0.12028999999999999</v>
      </c>
      <c r="B51" s="153" t="s">
        <v>309</v>
      </c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</row>
    <row r="52" spans="1:16" ht="14.5" outlineLevel="1">
      <c r="A52" s="136"/>
      <c r="B52" s="136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</row>
    <row r="53" spans="1:16" ht="14.5" outlineLevel="1">
      <c r="A53" s="136"/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</row>
    <row r="54" spans="1:16" ht="14.5" outlineLevel="1">
      <c r="A54" s="795" t="s">
        <v>310</v>
      </c>
      <c r="B54" s="796"/>
      <c r="C54" s="796"/>
      <c r="D54" s="796"/>
      <c r="E54" s="796"/>
      <c r="F54" s="796"/>
      <c r="G54" s="796"/>
      <c r="H54" s="796"/>
      <c r="I54" s="796"/>
      <c r="J54" s="796"/>
      <c r="K54" s="796"/>
      <c r="L54" s="797"/>
      <c r="M54" s="154"/>
      <c r="N54" s="136"/>
      <c r="O54" s="136"/>
      <c r="P54" s="136"/>
    </row>
    <row r="55" spans="1:16" ht="14.5" outlineLevel="1">
      <c r="A55" s="155"/>
      <c r="B55" s="155">
        <v>0.25</v>
      </c>
      <c r="C55" s="155">
        <v>0.5</v>
      </c>
      <c r="D55" s="155">
        <v>0.75</v>
      </c>
      <c r="E55" s="155">
        <v>1</v>
      </c>
      <c r="F55" s="155">
        <v>2</v>
      </c>
      <c r="G55" s="155">
        <v>3</v>
      </c>
      <c r="H55" s="155">
        <v>5</v>
      </c>
      <c r="I55" s="155">
        <v>7</v>
      </c>
      <c r="J55" s="155">
        <v>10</v>
      </c>
      <c r="K55" s="156">
        <v>15</v>
      </c>
      <c r="L55" s="156">
        <v>20</v>
      </c>
      <c r="M55" s="155">
        <v>30</v>
      </c>
      <c r="N55" s="136"/>
      <c r="O55" s="136"/>
      <c r="P55" s="136"/>
    </row>
    <row r="56" spans="1:16" ht="14.5" outlineLevel="1">
      <c r="A56" s="465">
        <v>44981</v>
      </c>
      <c r="B56" s="157">
        <v>7.01</v>
      </c>
      <c r="C56" s="157">
        <v>7.22</v>
      </c>
      <c r="D56" s="157">
        <v>7.43</v>
      </c>
      <c r="E56" s="157">
        <v>7.62</v>
      </c>
      <c r="F56" s="157">
        <v>8.2899999999999991</v>
      </c>
      <c r="G56" s="157">
        <v>8.81</v>
      </c>
      <c r="H56" s="157">
        <v>9.67</v>
      </c>
      <c r="I56" s="157">
        <v>10.27</v>
      </c>
      <c r="J56" s="157">
        <v>10.8</v>
      </c>
      <c r="K56" s="158">
        <v>11.25</v>
      </c>
      <c r="L56" s="158">
        <v>11.48</v>
      </c>
      <c r="M56" s="157">
        <v>11.73</v>
      </c>
      <c r="N56" s="136"/>
      <c r="O56" s="136"/>
      <c r="P56" s="136"/>
    </row>
    <row r="57" spans="1:16" ht="14.5" outlineLevel="1">
      <c r="A57" s="465">
        <v>45226</v>
      </c>
      <c r="B57" s="157">
        <v>13.4</v>
      </c>
      <c r="C57" s="157">
        <v>13.38</v>
      </c>
      <c r="D57" s="157">
        <v>13.35</v>
      </c>
      <c r="E57" s="157">
        <v>13.3</v>
      </c>
      <c r="F57" s="157">
        <v>13.04</v>
      </c>
      <c r="G57" s="157">
        <v>12.75</v>
      </c>
      <c r="H57" s="157">
        <v>12.43</v>
      </c>
      <c r="I57" s="157">
        <v>12.3</v>
      </c>
      <c r="J57" s="157">
        <v>12.19</v>
      </c>
      <c r="K57" s="158">
        <v>12.1</v>
      </c>
      <c r="L57" s="158">
        <v>12.04</v>
      </c>
      <c r="M57" s="157">
        <v>11.98</v>
      </c>
      <c r="N57" s="136"/>
      <c r="O57" s="136"/>
      <c r="P57" s="136"/>
    </row>
    <row r="58" spans="1:16" ht="14.5" outlineLevel="1">
      <c r="A58" s="465">
        <v>45225</v>
      </c>
      <c r="B58" s="157">
        <v>12.46</v>
      </c>
      <c r="C58" s="157">
        <v>12.44</v>
      </c>
      <c r="D58" s="157">
        <v>12.43</v>
      </c>
      <c r="E58" s="157">
        <v>12.43</v>
      </c>
      <c r="F58" s="157">
        <v>12.45</v>
      </c>
      <c r="G58" s="157">
        <v>12.43</v>
      </c>
      <c r="H58" s="157">
        <v>12.38</v>
      </c>
      <c r="I58" s="157">
        <v>12.35</v>
      </c>
      <c r="J58" s="157">
        <v>12.33</v>
      </c>
      <c r="K58" s="158">
        <v>12.32</v>
      </c>
      <c r="L58" s="158">
        <v>12.31</v>
      </c>
      <c r="M58" s="157">
        <v>12.31</v>
      </c>
      <c r="N58" s="136"/>
      <c r="O58" s="136"/>
      <c r="P58" s="136"/>
    </row>
    <row r="59" spans="1:16" ht="14.5" outlineLevel="1">
      <c r="A59" s="465">
        <v>45224</v>
      </c>
      <c r="B59" s="157">
        <v>12.52</v>
      </c>
      <c r="C59" s="157">
        <v>12.49</v>
      </c>
      <c r="D59" s="157">
        <v>12.46</v>
      </c>
      <c r="E59" s="157">
        <v>12.44</v>
      </c>
      <c r="F59" s="157">
        <v>12.41</v>
      </c>
      <c r="G59" s="157">
        <v>12.39</v>
      </c>
      <c r="H59" s="157">
        <v>12.36</v>
      </c>
      <c r="I59" s="157">
        <v>12.32</v>
      </c>
      <c r="J59" s="157">
        <v>12.27</v>
      </c>
      <c r="K59" s="158">
        <v>12.22</v>
      </c>
      <c r="L59" s="158">
        <v>12.19</v>
      </c>
      <c r="M59" s="157">
        <v>12.16</v>
      </c>
      <c r="N59" s="136"/>
      <c r="O59" s="136"/>
      <c r="P59" s="136"/>
    </row>
    <row r="60" spans="1:16" ht="14.5" outlineLevel="1">
      <c r="A60" s="465">
        <v>45223</v>
      </c>
      <c r="B60" s="157">
        <v>12.35</v>
      </c>
      <c r="C60" s="157">
        <v>12.37</v>
      </c>
      <c r="D60" s="157">
        <v>12.39</v>
      </c>
      <c r="E60" s="157">
        <v>12.42</v>
      </c>
      <c r="F60" s="157">
        <v>12.48</v>
      </c>
      <c r="G60" s="157">
        <v>12.44</v>
      </c>
      <c r="H60" s="157">
        <v>12.37</v>
      </c>
      <c r="I60" s="157">
        <v>12.32</v>
      </c>
      <c r="J60" s="157">
        <v>12.27</v>
      </c>
      <c r="K60" s="158">
        <v>12.21</v>
      </c>
      <c r="L60" s="158">
        <v>12.17</v>
      </c>
      <c r="M60" s="157">
        <v>12.13</v>
      </c>
      <c r="N60" s="136"/>
      <c r="O60" s="136"/>
      <c r="P60" s="136"/>
    </row>
    <row r="61" spans="1:16" ht="14.5">
      <c r="A61" s="136"/>
      <c r="B61" s="136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</row>
    <row r="62" spans="1:16" ht="14.5">
      <c r="A62" s="136"/>
      <c r="B62" s="136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</row>
    <row r="63" spans="1:16" ht="14.5">
      <c r="A63" s="136"/>
      <c r="B63" s="136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</row>
    <row r="64" spans="1:16" ht="14.5">
      <c r="A64" s="136"/>
      <c r="B64" s="136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</row>
    <row r="65" spans="1:16" ht="14.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</row>
    <row r="66" spans="1:16" ht="14.5">
      <c r="A66" s="136"/>
      <c r="B66" s="136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</row>
    <row r="67" spans="1:16" ht="14.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</row>
    <row r="68" spans="1:16" ht="14.5">
      <c r="A68" s="136"/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</row>
    <row r="69" spans="1:16" ht="14.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</row>
    <row r="70" spans="1:16" ht="14.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</row>
    <row r="71" spans="1:16" ht="14.5">
      <c r="A71" s="136"/>
      <c r="B71" s="136"/>
      <c r="C71" s="136"/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</row>
    <row r="72" spans="1:16" ht="14.5">
      <c r="A72" s="136"/>
      <c r="B72" s="136"/>
      <c r="C72" s="136"/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</row>
    <row r="73" spans="1:16" ht="14.5">
      <c r="A73" s="136"/>
      <c r="B73" s="136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</row>
    <row r="74" spans="1:16" ht="14.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</row>
    <row r="75" spans="1:16" ht="14.5">
      <c r="A75" s="136"/>
      <c r="B75" s="136"/>
      <c r="C75" s="136"/>
      <c r="D75" s="136"/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</row>
    <row r="76" spans="1:16" ht="14.5">
      <c r="A76" s="136"/>
      <c r="B76" s="136"/>
      <c r="C76" s="136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</row>
    <row r="77" spans="1:16" ht="14.5">
      <c r="A77" s="136"/>
      <c r="B77" s="136"/>
      <c r="C77" s="136"/>
      <c r="D77" s="136"/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</row>
    <row r="78" spans="1:16" ht="14.5">
      <c r="A78" s="136"/>
      <c r="B78" s="136"/>
      <c r="C78" s="136"/>
      <c r="D78" s="136"/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</row>
    <row r="79" spans="1:16" ht="14.5">
      <c r="A79" s="136"/>
      <c r="B79" s="136"/>
      <c r="C79" s="136"/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</row>
    <row r="80" spans="1:16" ht="14.5">
      <c r="A80" s="136"/>
      <c r="B80" s="136"/>
      <c r="C80" s="136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</row>
    <row r="81" spans="1:16" ht="14.5">
      <c r="A81" s="136"/>
      <c r="B81" s="136"/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</row>
    <row r="82" spans="1:16" ht="14.5">
      <c r="A82" s="136"/>
      <c r="B82" s="136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</row>
    <row r="83" spans="1:16" ht="14.5">
      <c r="A83" s="136"/>
      <c r="B83" s="136"/>
      <c r="C83" s="136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</row>
    <row r="84" spans="1:16" ht="14.5">
      <c r="A84" s="136"/>
      <c r="B84" s="136"/>
      <c r="C84" s="136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</row>
    <row r="85" spans="1:16" ht="14.5">
      <c r="A85" s="136"/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</row>
    <row r="86" spans="1:16" ht="14.5">
      <c r="A86" s="136"/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</row>
    <row r="87" spans="1:16" ht="14.5">
      <c r="A87" s="136"/>
      <c r="B87" s="136"/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</row>
    <row r="88" spans="1:16" ht="14.5">
      <c r="A88" s="136"/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</row>
    <row r="89" spans="1:16" ht="14.5">
      <c r="A89" s="136"/>
      <c r="B89" s="136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</row>
    <row r="90" spans="1:16" ht="14.5">
      <c r="A90" s="136"/>
      <c r="B90" s="136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</row>
    <row r="91" spans="1:16" ht="14.5">
      <c r="A91" s="136"/>
      <c r="B91" s="136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</row>
    <row r="92" spans="1:16" ht="14.5">
      <c r="A92" s="136"/>
      <c r="B92" s="136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</row>
    <row r="93" spans="1:16" ht="14.5">
      <c r="A93" s="136"/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</row>
    <row r="94" spans="1:16" ht="14.5">
      <c r="A94" s="136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</row>
    <row r="95" spans="1:16" ht="14.5">
      <c r="A95" s="136"/>
      <c r="B95" s="136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</row>
    <row r="96" spans="1:16" ht="14.5">
      <c r="A96" s="136"/>
      <c r="B96" s="136"/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</row>
    <row r="97" spans="1:16" ht="14.5">
      <c r="A97" s="136"/>
      <c r="B97" s="136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</row>
    <row r="98" spans="1:16" ht="14.5">
      <c r="A98" s="136"/>
      <c r="B98" s="136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</row>
    <row r="99" spans="1:16" ht="14.5">
      <c r="A99" s="136"/>
      <c r="B99" s="136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</row>
    <row r="100" spans="1:16" ht="14.5">
      <c r="A100" s="136"/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</row>
  </sheetData>
  <mergeCells count="1">
    <mergeCell ref="A54:L54"/>
  </mergeCells>
  <hyperlinks>
    <hyperlink ref="M32" r:id="rId1" xr:uid="{00000000-0004-0000-0700-000000000000}"/>
    <hyperlink ref="E33" r:id="rId2" xr:uid="{00000000-0004-0000-0700-000001000000}"/>
    <hyperlink ref="E34" r:id="rId3" xr:uid="{00000000-0004-0000-0700-000002000000}"/>
    <hyperlink ref="E35" r:id="rId4" xr:uid="{00000000-0004-0000-0700-000003000000}"/>
    <hyperlink ref="A42" r:id="rId5" xr:uid="{00000000-0004-0000-0700-000004000000}"/>
    <hyperlink ref="E45" r:id="rId6" xr:uid="{00000000-0004-0000-0700-000005000000}"/>
    <hyperlink ref="E47" r:id="rId7" xr:uid="{00000000-0004-0000-0700-000006000000}"/>
    <hyperlink ref="B51" r:id="rId8" xr:uid="{00000000-0004-0000-0700-000007000000}"/>
    <hyperlink ref="A56" r:id="rId9" display="https://cbr.ru/hd_base/zcyc_params/zcyc/?DateTo=24.02.2023" xr:uid="{61627A95-09FC-4CF2-A824-0303EB19ED59}"/>
    <hyperlink ref="A57" r:id="rId10" display="https://cbr.ru/hd_base/zcyc_params/zcyc/?DateTo=27.10.2023" xr:uid="{53728BB6-CD85-4B2F-8C8A-070C2517F081}"/>
    <hyperlink ref="A58" r:id="rId11" display="https://cbr.ru/hd_base/zcyc_params/zcyc/?DateTo=26.10.2023" xr:uid="{2CCE7BE4-95B1-4433-B1F6-52A3CC9B0C8B}"/>
    <hyperlink ref="A59" r:id="rId12" display="https://cbr.ru/hd_base/zcyc_params/zcyc/?DateTo=25.10.2023" xr:uid="{50BAC784-185C-4353-896C-D06C07A846E5}"/>
    <hyperlink ref="A60" r:id="rId13" display="https://cbr.ru/hd_base/zcyc_params/zcyc/?DateTo=24.10.2023" xr:uid="{EA550331-9EFA-48A2-8DCC-C3F9CC7B818A}"/>
  </hyperlink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60749-15F5-4E89-B137-EF8FC512BD3F}">
  <dimension ref="B4:AC52"/>
  <sheetViews>
    <sheetView workbookViewId="0">
      <selection activeCell="E13" sqref="E13"/>
    </sheetView>
  </sheetViews>
  <sheetFormatPr defaultColWidth="9.1796875" defaultRowHeight="14"/>
  <cols>
    <col min="1" max="1" width="3.7265625" style="595" customWidth="1"/>
    <col min="2" max="2" width="22.1796875" style="595" customWidth="1"/>
    <col min="3" max="4" width="13.26953125" style="595" customWidth="1"/>
    <col min="5" max="7" width="13.1796875" style="595" customWidth="1"/>
    <col min="8" max="14" width="13.1796875" style="595" bestFit="1" customWidth="1"/>
    <col min="15" max="15" width="13.54296875" style="595" customWidth="1"/>
    <col min="16" max="19" width="12.453125" style="595" customWidth="1"/>
    <col min="20" max="20" width="12.81640625" style="595" customWidth="1"/>
    <col min="21" max="23" width="13.7265625" style="595" customWidth="1"/>
    <col min="24" max="24" width="16.81640625" style="595" customWidth="1"/>
    <col min="25" max="29" width="12.81640625" style="595" customWidth="1"/>
    <col min="30" max="16384" width="9.1796875" style="595"/>
  </cols>
  <sheetData>
    <row r="4" spans="2:29" ht="28">
      <c r="B4" s="594"/>
      <c r="C4" s="594" t="s">
        <v>833</v>
      </c>
      <c r="D4" s="594"/>
      <c r="E4" s="594" t="s">
        <v>507</v>
      </c>
      <c r="F4" s="594" t="s">
        <v>508</v>
      </c>
      <c r="G4" s="594" t="s">
        <v>430</v>
      </c>
      <c r="H4" s="594" t="s">
        <v>834</v>
      </c>
      <c r="I4" s="594" t="s">
        <v>835</v>
      </c>
      <c r="J4" s="594" t="s">
        <v>836</v>
      </c>
      <c r="K4" s="594" t="s">
        <v>837</v>
      </c>
      <c r="L4" s="594" t="s">
        <v>838</v>
      </c>
      <c r="M4" s="594" t="s">
        <v>839</v>
      </c>
      <c r="N4" s="594" t="s">
        <v>840</v>
      </c>
      <c r="O4" s="594" t="s">
        <v>841</v>
      </c>
      <c r="P4" s="594" t="s">
        <v>842</v>
      </c>
      <c r="Q4" s="594" t="s">
        <v>843</v>
      </c>
      <c r="R4" s="594" t="s">
        <v>844</v>
      </c>
      <c r="S4" s="594" t="s">
        <v>845</v>
      </c>
      <c r="T4" s="594" t="s">
        <v>846</v>
      </c>
      <c r="U4" s="594" t="s">
        <v>847</v>
      </c>
      <c r="V4" s="594" t="s">
        <v>848</v>
      </c>
      <c r="W4" s="594" t="s">
        <v>849</v>
      </c>
      <c r="X4" s="594" t="s">
        <v>850</v>
      </c>
      <c r="Y4" s="594" t="s">
        <v>851</v>
      </c>
      <c r="Z4" s="594" t="s">
        <v>852</v>
      </c>
      <c r="AA4" s="594" t="s">
        <v>853</v>
      </c>
      <c r="AB4" s="594" t="s">
        <v>854</v>
      </c>
      <c r="AC4" s="594" t="s">
        <v>855</v>
      </c>
    </row>
    <row r="5" spans="2:29">
      <c r="B5" s="594"/>
      <c r="C5" s="594"/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</row>
    <row r="6" spans="2:29" ht="24" customHeight="1">
      <c r="B6" s="798" t="s">
        <v>856</v>
      </c>
      <c r="C6" s="798"/>
      <c r="D6" s="798"/>
      <c r="E6" s="798"/>
      <c r="F6" s="798"/>
      <c r="G6" s="798"/>
      <c r="H6" s="798"/>
      <c r="I6" s="798"/>
      <c r="J6" s="798"/>
      <c r="K6" s="798"/>
      <c r="L6" s="798"/>
      <c r="M6" s="798"/>
      <c r="N6" s="798"/>
    </row>
    <row r="7" spans="2:29">
      <c r="B7" s="594" t="s">
        <v>348</v>
      </c>
      <c r="C7" s="596">
        <v>0.67</v>
      </c>
      <c r="D7" s="596"/>
      <c r="E7" s="596">
        <v>0.67</v>
      </c>
      <c r="F7" s="596">
        <v>0.67</v>
      </c>
      <c r="G7" s="596">
        <v>0.72</v>
      </c>
      <c r="H7" s="596">
        <v>0.72</v>
      </c>
      <c r="I7" s="596">
        <v>0.72</v>
      </c>
      <c r="J7" s="596">
        <v>0.72</v>
      </c>
      <c r="K7" s="596">
        <v>0.72</v>
      </c>
      <c r="L7" s="596">
        <v>0.72</v>
      </c>
      <c r="M7" s="596">
        <v>0.72</v>
      </c>
      <c r="N7" s="596">
        <v>0.72</v>
      </c>
    </row>
    <row r="8" spans="2:29">
      <c r="B8" s="517" t="s">
        <v>857</v>
      </c>
      <c r="C8" s="597">
        <f>SUM(C10,C11,C13,C14)</f>
        <v>191145638.87</v>
      </c>
      <c r="D8" s="597"/>
      <c r="E8" s="597">
        <f>SUM(E10:E14)</f>
        <v>746955124.07550001</v>
      </c>
      <c r="F8" s="597">
        <f t="shared" ref="F8:N8" si="0">SUM(F10:F14)</f>
        <v>784302880.27927494</v>
      </c>
      <c r="G8" s="597">
        <f t="shared" si="0"/>
        <v>853723322.12136376</v>
      </c>
      <c r="H8" s="597">
        <f t="shared" si="0"/>
        <v>869670902.22743189</v>
      </c>
      <c r="I8" s="597">
        <f t="shared" si="0"/>
        <v>886415861.33880353</v>
      </c>
      <c r="J8" s="597">
        <f t="shared" si="0"/>
        <v>903998068.40574372</v>
      </c>
      <c r="K8" s="597">
        <f t="shared" si="0"/>
        <v>922459385.82603097</v>
      </c>
      <c r="L8" s="597">
        <f t="shared" si="0"/>
        <v>941843769.11733246</v>
      </c>
      <c r="M8" s="597">
        <f t="shared" si="0"/>
        <v>962197371.57319903</v>
      </c>
      <c r="N8" s="597">
        <f t="shared" si="0"/>
        <v>983568654.15185905</v>
      </c>
    </row>
    <row r="9" spans="2:29">
      <c r="B9" s="517" t="s">
        <v>858</v>
      </c>
      <c r="C9" s="597"/>
      <c r="D9" s="597"/>
      <c r="E9" s="597"/>
      <c r="F9" s="597"/>
      <c r="G9" s="597"/>
      <c r="H9" s="597"/>
      <c r="I9" s="597"/>
      <c r="J9" s="597"/>
      <c r="K9" s="597"/>
      <c r="L9" s="597"/>
      <c r="M9" s="597"/>
      <c r="N9" s="597"/>
    </row>
    <row r="10" spans="2:29">
      <c r="B10" s="517" t="s">
        <v>776</v>
      </c>
      <c r="C10" s="597">
        <v>52229100.310000002</v>
      </c>
      <c r="D10" s="597"/>
      <c r="E10" s="597">
        <f>C10+C10*5%</f>
        <v>54840555.325500004</v>
      </c>
      <c r="F10" s="597">
        <f>E10+E10*5%</f>
        <v>57582583.091775008</v>
      </c>
      <c r="G10" s="597">
        <f t="shared" ref="G10:N10" si="1">F10+F10*5%</f>
        <v>60461712.246363759</v>
      </c>
      <c r="H10" s="597">
        <f t="shared" si="1"/>
        <v>63484797.858681947</v>
      </c>
      <c r="I10" s="597">
        <f t="shared" si="1"/>
        <v>66659037.751616046</v>
      </c>
      <c r="J10" s="597">
        <f t="shared" si="1"/>
        <v>69991989.639196843</v>
      </c>
      <c r="K10" s="597">
        <f t="shared" si="1"/>
        <v>73491589.121156693</v>
      </c>
      <c r="L10" s="597">
        <f t="shared" si="1"/>
        <v>77166168.577214524</v>
      </c>
      <c r="M10" s="597">
        <f t="shared" si="1"/>
        <v>81024477.006075248</v>
      </c>
      <c r="N10" s="597">
        <f t="shared" si="1"/>
        <v>85075700.856379017</v>
      </c>
    </row>
    <row r="11" spans="2:29">
      <c r="B11" s="517" t="s">
        <v>777</v>
      </c>
      <c r="C11" s="598">
        <v>138916538.56</v>
      </c>
      <c r="D11" s="597"/>
      <c r="E11" s="597">
        <f>122*0.65*E12*365*E7*1.5</f>
        <v>218169168.75</v>
      </c>
      <c r="F11" s="597">
        <f t="shared" ref="F11:N11" si="2">122*0.65*F12*365*F7*1.5</f>
        <v>229077627.1875</v>
      </c>
      <c r="G11" s="597">
        <f t="shared" si="2"/>
        <v>258481621.125</v>
      </c>
      <c r="H11" s="597">
        <f t="shared" si="2"/>
        <v>271405702.18124998</v>
      </c>
      <c r="I11" s="597">
        <f t="shared" si="2"/>
        <v>284975987.29031247</v>
      </c>
      <c r="J11" s="597">
        <f t="shared" si="2"/>
        <v>299224786.65482813</v>
      </c>
      <c r="K11" s="597">
        <f t="shared" si="2"/>
        <v>314186025.98756957</v>
      </c>
      <c r="L11" s="597">
        <f t="shared" si="2"/>
        <v>329895327.28694803</v>
      </c>
      <c r="M11" s="597">
        <f t="shared" si="2"/>
        <v>346390093.65129542</v>
      </c>
      <c r="N11" s="597">
        <f t="shared" si="2"/>
        <v>363709598.33386016</v>
      </c>
    </row>
    <row r="12" spans="2:29" hidden="1">
      <c r="B12" s="517" t="s">
        <v>859</v>
      </c>
      <c r="C12" s="597"/>
      <c r="D12" s="597"/>
      <c r="E12" s="597">
        <v>7500</v>
      </c>
      <c r="F12" s="597">
        <f>E12*1.05</f>
        <v>7875</v>
      </c>
      <c r="G12" s="597">
        <f t="shared" ref="G12:N12" si="3">F12*1.05</f>
        <v>8268.75</v>
      </c>
      <c r="H12" s="597">
        <f t="shared" si="3"/>
        <v>8682.1875</v>
      </c>
      <c r="I12" s="597">
        <f t="shared" si="3"/>
        <v>9116.296875</v>
      </c>
      <c r="J12" s="597">
        <f t="shared" si="3"/>
        <v>9572.1117187500004</v>
      </c>
      <c r="K12" s="597">
        <f t="shared" si="3"/>
        <v>10050.717304687501</v>
      </c>
      <c r="L12" s="597">
        <f t="shared" si="3"/>
        <v>10553.253169921876</v>
      </c>
      <c r="M12" s="597">
        <f t="shared" si="3"/>
        <v>11080.91582841797</v>
      </c>
      <c r="N12" s="597">
        <f t="shared" si="3"/>
        <v>11634.961619838869</v>
      </c>
    </row>
    <row r="13" spans="2:29" ht="28">
      <c r="B13" s="594" t="s">
        <v>860</v>
      </c>
      <c r="C13" s="594"/>
      <c r="D13" s="594"/>
      <c r="E13" s="599">
        <f>[1]Инфраструктура!$B$7*9500*E15*365*E7</f>
        <v>278787000</v>
      </c>
      <c r="F13" s="599">
        <f>[1]Инфраструктура!$B$7*9500*F15*365*F7</f>
        <v>292726350</v>
      </c>
      <c r="G13" s="599">
        <f>[1]Инфраструктура!$B$7*9500*G15*365*G7</f>
        <v>314571600</v>
      </c>
      <c r="H13" s="599">
        <f>[1]Инфраструктура!$B$7*9500*H15*365*H7</f>
        <v>314571600</v>
      </c>
      <c r="I13" s="599">
        <f>[1]Инфраструктура!$B$7*9500*I15*365*I7</f>
        <v>314571600</v>
      </c>
      <c r="J13" s="599">
        <f>[1]Инфраструктура!$B$7*9500*J15*365*J7</f>
        <v>314571600</v>
      </c>
      <c r="K13" s="599">
        <f>[1]Инфраструктура!$B$7*9500*K15*365*K7</f>
        <v>314571600</v>
      </c>
      <c r="L13" s="599">
        <f>[1]Инфраструктура!$B$7*9500*L15*365*L7</f>
        <v>314571600</v>
      </c>
      <c r="M13" s="599">
        <f>[1]Инфраструктура!$B$7*9500*M15*365*M7</f>
        <v>314571600</v>
      </c>
      <c r="N13" s="599">
        <f>[1]Инфраструктура!$B$7*9500*N15*365*N7</f>
        <v>314571600</v>
      </c>
      <c r="O13" s="599"/>
    </row>
    <row r="14" spans="2:29">
      <c r="B14" s="594" t="s">
        <v>861</v>
      </c>
      <c r="C14" s="594"/>
      <c r="D14" s="594"/>
      <c r="E14" s="599">
        <f>E13*70%</f>
        <v>195150900</v>
      </c>
      <c r="F14" s="599">
        <f t="shared" ref="F14:N14" si="4">F13*70%</f>
        <v>204908445</v>
      </c>
      <c r="G14" s="599">
        <f t="shared" si="4"/>
        <v>220200120</v>
      </c>
      <c r="H14" s="599">
        <f t="shared" si="4"/>
        <v>220200120</v>
      </c>
      <c r="I14" s="599">
        <f t="shared" si="4"/>
        <v>220200120</v>
      </c>
      <c r="J14" s="599">
        <f t="shared" si="4"/>
        <v>220200120</v>
      </c>
      <c r="K14" s="599">
        <f t="shared" si="4"/>
        <v>220200120</v>
      </c>
      <c r="L14" s="599">
        <f t="shared" si="4"/>
        <v>220200120</v>
      </c>
      <c r="M14" s="599">
        <f t="shared" si="4"/>
        <v>220200120</v>
      </c>
      <c r="N14" s="599">
        <f t="shared" si="4"/>
        <v>220200120</v>
      </c>
      <c r="O14" s="599"/>
    </row>
    <row r="15" spans="2:29">
      <c r="B15" s="594"/>
      <c r="C15" s="594"/>
      <c r="D15" s="594"/>
      <c r="E15" s="599">
        <v>1</v>
      </c>
      <c r="F15" s="600">
        <v>1.05</v>
      </c>
      <c r="G15" s="600">
        <v>1.05</v>
      </c>
      <c r="H15" s="600">
        <v>1.05</v>
      </c>
      <c r="I15" s="600">
        <v>1.05</v>
      </c>
      <c r="J15" s="600">
        <v>1.05</v>
      </c>
      <c r="K15" s="600">
        <v>1.05</v>
      </c>
      <c r="L15" s="600">
        <v>1.05</v>
      </c>
      <c r="M15" s="600">
        <v>1.05</v>
      </c>
      <c r="N15" s="600">
        <v>1.05</v>
      </c>
      <c r="O15" s="599"/>
    </row>
    <row r="16" spans="2:29">
      <c r="B16" s="594"/>
      <c r="C16" s="594"/>
      <c r="D16" s="594"/>
      <c r="E16" s="599"/>
      <c r="F16" s="600"/>
      <c r="G16" s="600"/>
      <c r="H16" s="600"/>
      <c r="I16" s="600"/>
      <c r="J16" s="600"/>
      <c r="K16" s="600"/>
      <c r="L16" s="600"/>
      <c r="M16" s="600"/>
      <c r="N16" s="600"/>
      <c r="O16" s="599"/>
    </row>
    <row r="17" spans="2:29">
      <c r="B17" s="517" t="s">
        <v>862</v>
      </c>
      <c r="C17" s="517"/>
      <c r="D17" s="517"/>
      <c r="E17" s="597">
        <f>SUM(E18:E21)</f>
        <v>485520830.64907503</v>
      </c>
      <c r="F17" s="597">
        <f t="shared" ref="F17:N17" si="5">SUM(F18:F21)</f>
        <v>509796872.18152869</v>
      </c>
      <c r="G17" s="597">
        <f t="shared" si="5"/>
        <v>554920159.37888646</v>
      </c>
      <c r="H17" s="597">
        <f t="shared" si="5"/>
        <v>565286086.44783068</v>
      </c>
      <c r="I17" s="597">
        <f t="shared" si="5"/>
        <v>576170309.87022221</v>
      </c>
      <c r="J17" s="597">
        <f t="shared" si="5"/>
        <v>587598744.46373343</v>
      </c>
      <c r="K17" s="597">
        <f t="shared" si="5"/>
        <v>599598600.78692019</v>
      </c>
      <c r="L17" s="597">
        <f t="shared" si="5"/>
        <v>612198449.92626607</v>
      </c>
      <c r="M17" s="597">
        <f t="shared" si="5"/>
        <v>625428291.52257931</v>
      </c>
      <c r="N17" s="597">
        <f t="shared" si="5"/>
        <v>639319625.19870842</v>
      </c>
      <c r="O17" s="599"/>
    </row>
    <row r="18" spans="2:29">
      <c r="B18" s="594" t="s">
        <v>45</v>
      </c>
      <c r="C18" s="594"/>
      <c r="D18" s="594"/>
      <c r="E18" s="599">
        <f>E8*35%</f>
        <v>261434293.42642498</v>
      </c>
      <c r="F18" s="599">
        <f t="shared" ref="F18:N18" si="6">F8*35%</f>
        <v>274506008.09774619</v>
      </c>
      <c r="G18" s="599">
        <f t="shared" si="6"/>
        <v>298803162.7424773</v>
      </c>
      <c r="H18" s="599">
        <f t="shared" si="6"/>
        <v>304384815.77960116</v>
      </c>
      <c r="I18" s="599">
        <f t="shared" si="6"/>
        <v>310245551.4685812</v>
      </c>
      <c r="J18" s="599">
        <f t="shared" si="6"/>
        <v>316399323.94201028</v>
      </c>
      <c r="K18" s="599">
        <f t="shared" si="6"/>
        <v>322860785.03911084</v>
      </c>
      <c r="L18" s="599">
        <f t="shared" si="6"/>
        <v>329645319.19106632</v>
      </c>
      <c r="M18" s="599">
        <f t="shared" si="6"/>
        <v>336769080.05061966</v>
      </c>
      <c r="N18" s="599">
        <f t="shared" si="6"/>
        <v>344249028.95315063</v>
      </c>
      <c r="O18" s="599"/>
    </row>
    <row r="19" spans="2:29">
      <c r="B19" s="594" t="s">
        <v>563</v>
      </c>
      <c r="C19" s="594"/>
      <c r="D19" s="594"/>
      <c r="E19" s="599">
        <f>E8*7%</f>
        <v>52286858.685285009</v>
      </c>
      <c r="F19" s="599">
        <f t="shared" ref="F19:N19" si="7">F8*7%</f>
        <v>54901201.619549252</v>
      </c>
      <c r="G19" s="599">
        <f t="shared" si="7"/>
        <v>59760632.548495471</v>
      </c>
      <c r="H19" s="599">
        <f t="shared" si="7"/>
        <v>60876963.155920237</v>
      </c>
      <c r="I19" s="599">
        <f t="shared" si="7"/>
        <v>62049110.293716252</v>
      </c>
      <c r="J19" s="599">
        <f t="shared" si="7"/>
        <v>63279864.788402066</v>
      </c>
      <c r="K19" s="599">
        <f t="shared" si="7"/>
        <v>64572157.007822171</v>
      </c>
      <c r="L19" s="599">
        <f t="shared" si="7"/>
        <v>65929063.83821328</v>
      </c>
      <c r="M19" s="599">
        <f t="shared" si="7"/>
        <v>67353816.010123938</v>
      </c>
      <c r="N19" s="599">
        <f t="shared" si="7"/>
        <v>68849805.790630147</v>
      </c>
      <c r="O19" s="599"/>
    </row>
    <row r="20" spans="2:29">
      <c r="B20" s="594" t="s">
        <v>863</v>
      </c>
      <c r="C20" s="594"/>
      <c r="D20" s="594"/>
      <c r="E20" s="599">
        <f>E8*11%</f>
        <v>82165063.648304999</v>
      </c>
      <c r="F20" s="599">
        <f t="shared" ref="F20:N20" si="8">F8*11%</f>
        <v>86273316.830720246</v>
      </c>
      <c r="G20" s="599">
        <f t="shared" si="8"/>
        <v>93909565.433350012</v>
      </c>
      <c r="H20" s="599">
        <f t="shared" si="8"/>
        <v>95663799.245017514</v>
      </c>
      <c r="I20" s="599">
        <f t="shared" si="8"/>
        <v>97505744.747268394</v>
      </c>
      <c r="J20" s="599">
        <f t="shared" si="8"/>
        <v>99439787.524631813</v>
      </c>
      <c r="K20" s="599">
        <f t="shared" si="8"/>
        <v>101470532.4408634</v>
      </c>
      <c r="L20" s="599">
        <f t="shared" si="8"/>
        <v>103602814.60290657</v>
      </c>
      <c r="M20" s="599">
        <f t="shared" si="8"/>
        <v>105841710.8730519</v>
      </c>
      <c r="N20" s="599">
        <f t="shared" si="8"/>
        <v>108192551.9567045</v>
      </c>
      <c r="O20" s="599"/>
    </row>
    <row r="21" spans="2:29">
      <c r="B21" s="594" t="s">
        <v>156</v>
      </c>
      <c r="C21" s="594"/>
      <c r="D21" s="594"/>
      <c r="E21" s="599">
        <f>E8*12%</f>
        <v>89634614.889059991</v>
      </c>
      <c r="F21" s="599">
        <f t="shared" ref="F21:M21" si="9">F8*12%</f>
        <v>94116345.633512989</v>
      </c>
      <c r="G21" s="599">
        <f t="shared" si="9"/>
        <v>102446798.65456365</v>
      </c>
      <c r="H21" s="599">
        <f t="shared" si="9"/>
        <v>104360508.26729183</v>
      </c>
      <c r="I21" s="599">
        <f t="shared" si="9"/>
        <v>106369903.36065643</v>
      </c>
      <c r="J21" s="599">
        <f t="shared" si="9"/>
        <v>108479768.20868924</v>
      </c>
      <c r="K21" s="599">
        <f t="shared" si="9"/>
        <v>110695126.29912372</v>
      </c>
      <c r="L21" s="599">
        <f t="shared" si="9"/>
        <v>113021252.29407988</v>
      </c>
      <c r="M21" s="599">
        <f t="shared" si="9"/>
        <v>115463684.58878388</v>
      </c>
      <c r="N21" s="599">
        <f>N8*12%</f>
        <v>118028238.49822308</v>
      </c>
      <c r="O21" s="599"/>
    </row>
    <row r="22" spans="2:29">
      <c r="B22" s="517" t="s">
        <v>864</v>
      </c>
      <c r="C22" s="517"/>
      <c r="D22" s="517">
        <f>-'[1]Фин показатели'!B4</f>
        <v>-3040764000</v>
      </c>
      <c r="E22" s="597">
        <f>E8-E17</f>
        <v>261434293.42642498</v>
      </c>
      <c r="F22" s="597">
        <f t="shared" ref="F22:N22" si="10">F8-F17</f>
        <v>274506008.09774625</v>
      </c>
      <c r="G22" s="597">
        <f t="shared" si="10"/>
        <v>298803162.7424773</v>
      </c>
      <c r="H22" s="597">
        <f t="shared" si="10"/>
        <v>304384815.77960122</v>
      </c>
      <c r="I22" s="597">
        <f t="shared" si="10"/>
        <v>310245551.46858132</v>
      </c>
      <c r="J22" s="597">
        <f t="shared" si="10"/>
        <v>316399323.94201028</v>
      </c>
      <c r="K22" s="597">
        <f t="shared" si="10"/>
        <v>322860785.03911078</v>
      </c>
      <c r="L22" s="597">
        <f t="shared" si="10"/>
        <v>329645319.19106638</v>
      </c>
      <c r="M22" s="597">
        <f t="shared" si="10"/>
        <v>336769080.05061972</v>
      </c>
      <c r="N22" s="597">
        <f t="shared" si="10"/>
        <v>344249028.95315063</v>
      </c>
      <c r="O22" s="599">
        <f t="shared" ref="O22:AC22" si="11">N22*1.04</f>
        <v>358018990.11127669</v>
      </c>
      <c r="P22" s="599">
        <f t="shared" si="11"/>
        <v>372339749.71572775</v>
      </c>
      <c r="Q22" s="599">
        <f t="shared" si="11"/>
        <v>387233339.70435685</v>
      </c>
      <c r="R22" s="599">
        <f t="shared" si="11"/>
        <v>402722673.29253113</v>
      </c>
      <c r="S22" s="599">
        <f t="shared" si="11"/>
        <v>418831580.22423238</v>
      </c>
      <c r="T22" s="599">
        <f t="shared" si="11"/>
        <v>435584843.43320167</v>
      </c>
      <c r="U22" s="599">
        <f t="shared" si="11"/>
        <v>453008237.17052972</v>
      </c>
      <c r="V22" s="599">
        <f t="shared" si="11"/>
        <v>471128566.65735096</v>
      </c>
      <c r="W22" s="599">
        <f t="shared" si="11"/>
        <v>489973709.323645</v>
      </c>
      <c r="X22" s="599">
        <f t="shared" si="11"/>
        <v>509572657.69659084</v>
      </c>
      <c r="Y22" s="599">
        <f t="shared" si="11"/>
        <v>529955564.00445449</v>
      </c>
      <c r="Z22" s="599">
        <f t="shared" si="11"/>
        <v>551153786.56463265</v>
      </c>
      <c r="AA22" s="599">
        <f t="shared" si="11"/>
        <v>573199938.02721798</v>
      </c>
      <c r="AB22" s="599">
        <f t="shared" si="11"/>
        <v>596127935.5483067</v>
      </c>
      <c r="AC22" s="599">
        <f t="shared" si="11"/>
        <v>619973052.97023904</v>
      </c>
    </row>
    <row r="23" spans="2:29">
      <c r="B23" s="517" t="s">
        <v>865</v>
      </c>
      <c r="C23" s="517"/>
      <c r="D23" s="517"/>
      <c r="E23" s="677">
        <f>E22/E8</f>
        <v>0.35</v>
      </c>
      <c r="F23" s="677">
        <f t="shared" ref="F23:N23" si="12">F22/F8</f>
        <v>0.35000000000000003</v>
      </c>
      <c r="G23" s="677">
        <f t="shared" si="12"/>
        <v>0.35</v>
      </c>
      <c r="H23" s="677">
        <f t="shared" si="12"/>
        <v>0.35000000000000009</v>
      </c>
      <c r="I23" s="677">
        <f t="shared" si="12"/>
        <v>0.35000000000000009</v>
      </c>
      <c r="J23" s="677">
        <f t="shared" si="12"/>
        <v>0.35</v>
      </c>
      <c r="K23" s="677">
        <f t="shared" si="12"/>
        <v>0.34999999999999992</v>
      </c>
      <c r="L23" s="677">
        <f t="shared" si="12"/>
        <v>0.35000000000000003</v>
      </c>
      <c r="M23" s="677">
        <f t="shared" si="12"/>
        <v>0.35000000000000009</v>
      </c>
      <c r="N23" s="677">
        <f t="shared" si="12"/>
        <v>0.35</v>
      </c>
      <c r="O23" s="599"/>
    </row>
    <row r="24" spans="2:29" ht="16.5" customHeight="1">
      <c r="B24" s="798" t="s">
        <v>866</v>
      </c>
      <c r="C24" s="798"/>
      <c r="D24" s="798"/>
      <c r="E24" s="798"/>
      <c r="F24" s="798"/>
      <c r="G24" s="798"/>
      <c r="H24" s="798"/>
      <c r="I24" s="798"/>
      <c r="J24" s="798"/>
      <c r="K24" s="798"/>
      <c r="L24" s="798"/>
      <c r="M24" s="798"/>
      <c r="N24" s="798"/>
      <c r="O24" s="599"/>
    </row>
    <row r="25" spans="2:29">
      <c r="B25" s="594" t="s">
        <v>348</v>
      </c>
      <c r="C25" s="594"/>
      <c r="D25" s="594"/>
      <c r="E25" s="596">
        <v>0.55000000000000004</v>
      </c>
      <c r="F25" s="596">
        <v>0.55000000000000004</v>
      </c>
      <c r="G25" s="596">
        <v>0.55000000000000004</v>
      </c>
      <c r="H25" s="596">
        <v>0.55000000000000004</v>
      </c>
      <c r="I25" s="596">
        <v>0.57999999999999996</v>
      </c>
      <c r="J25" s="596">
        <v>0.57999999999999996</v>
      </c>
      <c r="K25" s="596">
        <v>0.57999999999999996</v>
      </c>
      <c r="L25" s="596">
        <v>0.57999999999999996</v>
      </c>
      <c r="M25" s="596">
        <v>0.57999999999999996</v>
      </c>
      <c r="N25" s="596">
        <v>0.57999999999999996</v>
      </c>
      <c r="O25" s="599"/>
    </row>
    <row r="26" spans="2:29">
      <c r="B26" s="594" t="s">
        <v>320</v>
      </c>
      <c r="C26" s="594"/>
      <c r="D26" s="594"/>
      <c r="E26" s="599">
        <f>SUM([1]Инфраструктура!$B$68:$B$71)*17000*E15*365*E25</f>
        <v>109208000.00000001</v>
      </c>
      <c r="F26" s="599">
        <f>SUM([1]Инфраструктура!$B$68:$B$71)*17000*F15*365*F25</f>
        <v>114668400.00000001</v>
      </c>
      <c r="G26" s="599">
        <f>SUM([1]Инфраструктура!$B$68:$B$71)*17000*G15*365*G25</f>
        <v>114668400.00000001</v>
      </c>
      <c r="H26" s="599">
        <f>SUM([1]Инфраструктура!$B$68:$B$71)*17000*H15*365*H25</f>
        <v>114668400.00000001</v>
      </c>
      <c r="I26" s="599">
        <f>SUM([1]Инфраструктура!$B$68:$B$71)*17000*I15*365*I25</f>
        <v>120923039.99999999</v>
      </c>
      <c r="J26" s="599">
        <f>SUM([1]Инфраструктура!$B$68:$B$71)*17000*J15*365*J25</f>
        <v>120923039.99999999</v>
      </c>
      <c r="K26" s="599">
        <f>SUM([1]Инфраструктура!$B$68:$B$71)*17000*K15*365*K25</f>
        <v>120923039.99999999</v>
      </c>
      <c r="L26" s="599">
        <f>SUM([1]Инфраструктура!$B$68:$B$71)*17000*L15*365*L25</f>
        <v>120923039.99999999</v>
      </c>
      <c r="M26" s="599">
        <f>SUM([1]Инфраструктура!$B$68:$B$71)*17000*M15*365*M25</f>
        <v>120923039.99999999</v>
      </c>
      <c r="N26" s="599">
        <f>SUM([1]Инфраструктура!$B$68:$B$71)*17000*N15*365*N25</f>
        <v>120923039.99999999</v>
      </c>
      <c r="O26" s="599"/>
    </row>
    <row r="27" spans="2:29">
      <c r="B27" s="594" t="s">
        <v>861</v>
      </c>
      <c r="C27" s="594"/>
      <c r="D27" s="594"/>
      <c r="E27" s="599">
        <f>E26*0.8</f>
        <v>87366400.000000015</v>
      </c>
      <c r="F27" s="599">
        <f t="shared" ref="F27:N27" si="13">F26*0.8</f>
        <v>91734720.000000015</v>
      </c>
      <c r="G27" s="599">
        <f t="shared" si="13"/>
        <v>91734720.000000015</v>
      </c>
      <c r="H27" s="599">
        <f t="shared" si="13"/>
        <v>91734720.000000015</v>
      </c>
      <c r="I27" s="599">
        <f t="shared" si="13"/>
        <v>96738432</v>
      </c>
      <c r="J27" s="599">
        <f t="shared" si="13"/>
        <v>96738432</v>
      </c>
      <c r="K27" s="599">
        <f t="shared" si="13"/>
        <v>96738432</v>
      </c>
      <c r="L27" s="599">
        <f t="shared" si="13"/>
        <v>96738432</v>
      </c>
      <c r="M27" s="599">
        <f t="shared" si="13"/>
        <v>96738432</v>
      </c>
      <c r="N27" s="599">
        <f t="shared" si="13"/>
        <v>96738432</v>
      </c>
      <c r="O27" s="599"/>
    </row>
    <row r="28" spans="2:29" s="601" customFormat="1">
      <c r="B28" s="517" t="s">
        <v>857</v>
      </c>
      <c r="C28" s="517"/>
      <c r="D28" s="517"/>
      <c r="E28" s="597">
        <f>SUM(E26:E27)</f>
        <v>196574400.00000003</v>
      </c>
      <c r="F28" s="597">
        <f t="shared" ref="F28:N28" si="14">SUM(F26:F27)</f>
        <v>206403120.00000003</v>
      </c>
      <c r="G28" s="597">
        <f t="shared" si="14"/>
        <v>206403120.00000003</v>
      </c>
      <c r="H28" s="597">
        <f t="shared" si="14"/>
        <v>206403120.00000003</v>
      </c>
      <c r="I28" s="597">
        <f t="shared" si="14"/>
        <v>217661472</v>
      </c>
      <c r="J28" s="597">
        <f t="shared" si="14"/>
        <v>217661472</v>
      </c>
      <c r="K28" s="597">
        <f t="shared" si="14"/>
        <v>217661472</v>
      </c>
      <c r="L28" s="597">
        <f t="shared" si="14"/>
        <v>217661472</v>
      </c>
      <c r="M28" s="597">
        <f t="shared" si="14"/>
        <v>217661472</v>
      </c>
      <c r="N28" s="597">
        <f t="shared" si="14"/>
        <v>217661472</v>
      </c>
      <c r="O28" s="599"/>
    </row>
    <row r="29" spans="2:29"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9"/>
    </row>
    <row r="30" spans="2:29">
      <c r="B30" s="517" t="s">
        <v>867</v>
      </c>
      <c r="C30" s="594"/>
      <c r="D30" s="594"/>
      <c r="E30" s="599">
        <f>SUM(E31:E34)</f>
        <v>101563440.00000001</v>
      </c>
      <c r="F30" s="599">
        <f t="shared" ref="F30:N30" si="15">SUM(F31:F34)</f>
        <v>106641612.00000001</v>
      </c>
      <c r="G30" s="599">
        <f t="shared" si="15"/>
        <v>106641612.00000001</v>
      </c>
      <c r="H30" s="599">
        <f t="shared" si="15"/>
        <v>106641612.00000001</v>
      </c>
      <c r="I30" s="599">
        <f t="shared" si="15"/>
        <v>112458427.2</v>
      </c>
      <c r="J30" s="599">
        <f t="shared" si="15"/>
        <v>112458427.2</v>
      </c>
      <c r="K30" s="599">
        <f t="shared" si="15"/>
        <v>112458427.2</v>
      </c>
      <c r="L30" s="599">
        <f t="shared" si="15"/>
        <v>112458427.2</v>
      </c>
      <c r="M30" s="599">
        <f t="shared" si="15"/>
        <v>112458427.2</v>
      </c>
      <c r="N30" s="599">
        <f t="shared" si="15"/>
        <v>112458427.2</v>
      </c>
      <c r="O30" s="599"/>
    </row>
    <row r="31" spans="2:29">
      <c r="B31" s="594" t="s">
        <v>45</v>
      </c>
      <c r="C31" s="594"/>
      <c r="D31" s="594"/>
      <c r="E31" s="599">
        <f>E28*30%</f>
        <v>58972320.000000007</v>
      </c>
      <c r="F31" s="599">
        <f t="shared" ref="F31:N31" si="16">F28*30%</f>
        <v>61920936.000000007</v>
      </c>
      <c r="G31" s="599">
        <f t="shared" si="16"/>
        <v>61920936.000000007</v>
      </c>
      <c r="H31" s="599">
        <f t="shared" si="16"/>
        <v>61920936.000000007</v>
      </c>
      <c r="I31" s="599">
        <f t="shared" si="16"/>
        <v>65298441.599999994</v>
      </c>
      <c r="J31" s="599">
        <f t="shared" si="16"/>
        <v>65298441.599999994</v>
      </c>
      <c r="K31" s="599">
        <f t="shared" si="16"/>
        <v>65298441.599999994</v>
      </c>
      <c r="L31" s="599">
        <f t="shared" si="16"/>
        <v>65298441.599999994</v>
      </c>
      <c r="M31" s="599">
        <f t="shared" si="16"/>
        <v>65298441.599999994</v>
      </c>
      <c r="N31" s="599">
        <f t="shared" si="16"/>
        <v>65298441.599999994</v>
      </c>
      <c r="O31" s="599"/>
    </row>
    <row r="32" spans="2:29">
      <c r="B32" s="594" t="s">
        <v>563</v>
      </c>
      <c r="C32" s="594"/>
      <c r="D32" s="594"/>
      <c r="E32" s="599">
        <f>E28*7%</f>
        <v>13760208.000000004</v>
      </c>
      <c r="F32" s="599">
        <f t="shared" ref="F32:N32" si="17">F28*7%</f>
        <v>14448218.400000004</v>
      </c>
      <c r="G32" s="599">
        <f t="shared" si="17"/>
        <v>14448218.400000004</v>
      </c>
      <c r="H32" s="599">
        <f t="shared" si="17"/>
        <v>14448218.400000004</v>
      </c>
      <c r="I32" s="599">
        <f t="shared" si="17"/>
        <v>15236303.040000001</v>
      </c>
      <c r="J32" s="599">
        <f t="shared" si="17"/>
        <v>15236303.040000001</v>
      </c>
      <c r="K32" s="599">
        <f t="shared" si="17"/>
        <v>15236303.040000001</v>
      </c>
      <c r="L32" s="599">
        <f t="shared" si="17"/>
        <v>15236303.040000001</v>
      </c>
      <c r="M32" s="599">
        <f t="shared" si="17"/>
        <v>15236303.040000001</v>
      </c>
      <c r="N32" s="599">
        <f t="shared" si="17"/>
        <v>15236303.040000001</v>
      </c>
      <c r="O32" s="599"/>
    </row>
    <row r="33" spans="2:29">
      <c r="B33" s="594" t="s">
        <v>863</v>
      </c>
      <c r="C33" s="594"/>
      <c r="D33" s="594"/>
      <c r="E33" s="599">
        <f>E27*15%</f>
        <v>13104960.000000002</v>
      </c>
      <c r="F33" s="599">
        <f t="shared" ref="F33:N33" si="18">F27*15%</f>
        <v>13760208.000000002</v>
      </c>
      <c r="G33" s="599">
        <f t="shared" si="18"/>
        <v>13760208.000000002</v>
      </c>
      <c r="H33" s="599">
        <f t="shared" si="18"/>
        <v>13760208.000000002</v>
      </c>
      <c r="I33" s="599">
        <f t="shared" si="18"/>
        <v>14510764.799999999</v>
      </c>
      <c r="J33" s="599">
        <f t="shared" si="18"/>
        <v>14510764.799999999</v>
      </c>
      <c r="K33" s="599">
        <f t="shared" si="18"/>
        <v>14510764.799999999</v>
      </c>
      <c r="L33" s="599">
        <f t="shared" si="18"/>
        <v>14510764.799999999</v>
      </c>
      <c r="M33" s="599">
        <f t="shared" si="18"/>
        <v>14510764.799999999</v>
      </c>
      <c r="N33" s="599">
        <f t="shared" si="18"/>
        <v>14510764.799999999</v>
      </c>
      <c r="O33" s="599"/>
    </row>
    <row r="34" spans="2:29">
      <c r="B34" s="594" t="s">
        <v>156</v>
      </c>
      <c r="C34" s="594"/>
      <c r="D34" s="594"/>
      <c r="E34" s="599">
        <f>E28*8%</f>
        <v>15725952.000000002</v>
      </c>
      <c r="F34" s="599">
        <f t="shared" ref="F34:N34" si="19">F28*8%</f>
        <v>16512249.600000003</v>
      </c>
      <c r="G34" s="599">
        <f t="shared" si="19"/>
        <v>16512249.600000003</v>
      </c>
      <c r="H34" s="599">
        <f t="shared" si="19"/>
        <v>16512249.600000003</v>
      </c>
      <c r="I34" s="599">
        <f t="shared" si="19"/>
        <v>17412917.760000002</v>
      </c>
      <c r="J34" s="599">
        <f t="shared" si="19"/>
        <v>17412917.760000002</v>
      </c>
      <c r="K34" s="599">
        <f t="shared" si="19"/>
        <v>17412917.760000002</v>
      </c>
      <c r="L34" s="599">
        <f t="shared" si="19"/>
        <v>17412917.760000002</v>
      </c>
      <c r="M34" s="599">
        <f t="shared" si="19"/>
        <v>17412917.760000002</v>
      </c>
      <c r="N34" s="599">
        <f t="shared" si="19"/>
        <v>17412917.760000002</v>
      </c>
      <c r="O34" s="599"/>
    </row>
    <row r="35" spans="2:29">
      <c r="B35" s="517" t="s">
        <v>864</v>
      </c>
      <c r="C35" s="594"/>
      <c r="D35" s="594">
        <f>-'[1]Фин показатели'!B19</f>
        <v>-948037500</v>
      </c>
      <c r="E35" s="599">
        <f>E28-E30</f>
        <v>95010960.000000015</v>
      </c>
      <c r="F35" s="599">
        <f t="shared" ref="F35:N35" si="20">F28-F30</f>
        <v>99761508.000000015</v>
      </c>
      <c r="G35" s="599">
        <f t="shared" si="20"/>
        <v>99761508.000000015</v>
      </c>
      <c r="H35" s="599">
        <f t="shared" si="20"/>
        <v>99761508.000000015</v>
      </c>
      <c r="I35" s="599">
        <f t="shared" si="20"/>
        <v>105203044.8</v>
      </c>
      <c r="J35" s="599">
        <f t="shared" si="20"/>
        <v>105203044.8</v>
      </c>
      <c r="K35" s="599">
        <f t="shared" si="20"/>
        <v>105203044.8</v>
      </c>
      <c r="L35" s="599">
        <f t="shared" si="20"/>
        <v>105203044.8</v>
      </c>
      <c r="M35" s="599">
        <f t="shared" si="20"/>
        <v>105203044.8</v>
      </c>
      <c r="N35" s="599">
        <f t="shared" si="20"/>
        <v>105203044.8</v>
      </c>
      <c r="O35" s="599">
        <f t="shared" ref="O35:AC36" si="21">N35*1.04</f>
        <v>109411166.59200001</v>
      </c>
      <c r="P35" s="599">
        <f t="shared" si="21"/>
        <v>113787613.25568001</v>
      </c>
      <c r="Q35" s="599">
        <f t="shared" si="21"/>
        <v>118339117.78590721</v>
      </c>
      <c r="R35" s="599">
        <f t="shared" si="21"/>
        <v>123072682.4973435</v>
      </c>
      <c r="S35" s="599">
        <f t="shared" si="21"/>
        <v>127995589.79723723</v>
      </c>
      <c r="T35" s="599">
        <f t="shared" si="21"/>
        <v>133115413.38912673</v>
      </c>
      <c r="U35" s="599">
        <f t="shared" si="21"/>
        <v>138440029.9246918</v>
      </c>
      <c r="V35" s="599">
        <f t="shared" si="21"/>
        <v>143977631.12167948</v>
      </c>
      <c r="W35" s="599">
        <f t="shared" si="21"/>
        <v>149736736.36654666</v>
      </c>
      <c r="X35" s="599">
        <f t="shared" si="21"/>
        <v>155726205.82120854</v>
      </c>
      <c r="Y35" s="599">
        <f t="shared" si="21"/>
        <v>161955254.05405688</v>
      </c>
      <c r="Z35" s="599">
        <f t="shared" si="21"/>
        <v>168433464.21621916</v>
      </c>
      <c r="AA35" s="599">
        <f t="shared" si="21"/>
        <v>175170802.78486794</v>
      </c>
      <c r="AB35" s="599">
        <f t="shared" si="21"/>
        <v>182177634.89626268</v>
      </c>
      <c r="AC35" s="599">
        <f t="shared" si="21"/>
        <v>189464740.29211318</v>
      </c>
    </row>
    <row r="36" spans="2:29">
      <c r="B36" s="517" t="s">
        <v>865</v>
      </c>
      <c r="C36" s="594"/>
      <c r="D36" s="594"/>
      <c r="E36" s="676">
        <f>E35/E28</f>
        <v>0.48333333333333334</v>
      </c>
      <c r="F36" s="676">
        <f t="shared" ref="F36:N36" si="22">F35/F28</f>
        <v>0.48333333333333334</v>
      </c>
      <c r="G36" s="676">
        <f t="shared" si="22"/>
        <v>0.48333333333333334</v>
      </c>
      <c r="H36" s="676">
        <f t="shared" si="22"/>
        <v>0.48333333333333334</v>
      </c>
      <c r="I36" s="676">
        <f t="shared" si="22"/>
        <v>0.48333333333333334</v>
      </c>
      <c r="J36" s="676">
        <f t="shared" si="22"/>
        <v>0.48333333333333334</v>
      </c>
      <c r="K36" s="676">
        <f t="shared" si="22"/>
        <v>0.48333333333333334</v>
      </c>
      <c r="L36" s="676">
        <f t="shared" si="22"/>
        <v>0.48333333333333334</v>
      </c>
      <c r="M36" s="676">
        <f t="shared" si="22"/>
        <v>0.48333333333333334</v>
      </c>
      <c r="N36" s="676">
        <f t="shared" si="22"/>
        <v>0.48333333333333334</v>
      </c>
      <c r="O36" s="599">
        <f t="shared" si="21"/>
        <v>0.50266666666666671</v>
      </c>
    </row>
    <row r="37" spans="2:29">
      <c r="B37" s="594"/>
      <c r="C37" s="594"/>
      <c r="D37" s="594"/>
      <c r="E37" s="594"/>
      <c r="F37" s="594"/>
      <c r="G37" s="594"/>
      <c r="H37" s="594"/>
      <c r="I37" s="594"/>
      <c r="J37" s="594"/>
      <c r="K37" s="594"/>
      <c r="L37" s="594"/>
      <c r="M37" s="594"/>
      <c r="N37" s="594"/>
      <c r="O37" s="599"/>
    </row>
    <row r="38" spans="2:29">
      <c r="B38" s="798" t="s">
        <v>797</v>
      </c>
      <c r="C38" s="798"/>
      <c r="D38" s="798"/>
      <c r="E38" s="798"/>
      <c r="F38" s="798"/>
      <c r="G38" s="798"/>
      <c r="H38" s="798"/>
      <c r="I38" s="798"/>
      <c r="J38" s="798"/>
      <c r="K38" s="798"/>
      <c r="L38" s="798"/>
      <c r="M38" s="798"/>
      <c r="N38" s="798"/>
      <c r="O38" s="599"/>
    </row>
    <row r="39" spans="2:29">
      <c r="B39" s="594" t="s">
        <v>320</v>
      </c>
      <c r="C39" s="594"/>
      <c r="D39" s="594"/>
      <c r="E39" s="599">
        <f>SUM([1]Инфраструктура!B126:B132)*5500*365*45%</f>
        <v>45168750</v>
      </c>
      <c r="F39" s="599">
        <f>E39+E39*4%</f>
        <v>46975500</v>
      </c>
      <c r="G39" s="599">
        <f t="shared" ref="G39:N41" si="23">F39+F39*4%</f>
        <v>48854520</v>
      </c>
      <c r="H39" s="599">
        <f t="shared" si="23"/>
        <v>50808700.799999997</v>
      </c>
      <c r="I39" s="599">
        <f t="shared" si="23"/>
        <v>52841048.831999995</v>
      </c>
      <c r="J39" s="599">
        <f t="shared" si="23"/>
        <v>54954690.785279997</v>
      </c>
      <c r="K39" s="599">
        <f t="shared" si="23"/>
        <v>57152878.416691199</v>
      </c>
      <c r="L39" s="599">
        <f t="shared" si="23"/>
        <v>59438993.553358845</v>
      </c>
      <c r="M39" s="599">
        <f t="shared" si="23"/>
        <v>61816553.2954932</v>
      </c>
      <c r="N39" s="599">
        <f t="shared" si="23"/>
        <v>64289215.427312925</v>
      </c>
      <c r="O39" s="599"/>
    </row>
    <row r="40" spans="2:29" ht="28">
      <c r="B40" s="594" t="s">
        <v>868</v>
      </c>
      <c r="C40" s="594"/>
      <c r="D40" s="594"/>
      <c r="E40" s="594">
        <v>1500</v>
      </c>
      <c r="F40" s="594">
        <f>E40+E40*4%</f>
        <v>1560</v>
      </c>
      <c r="G40" s="594">
        <f t="shared" si="23"/>
        <v>1622.4</v>
      </c>
      <c r="H40" s="594">
        <f t="shared" si="23"/>
        <v>1687.296</v>
      </c>
      <c r="I40" s="594">
        <f t="shared" si="23"/>
        <v>1754.78784</v>
      </c>
      <c r="J40" s="594">
        <f t="shared" si="23"/>
        <v>1824.9793536</v>
      </c>
      <c r="K40" s="594">
        <f t="shared" si="23"/>
        <v>1897.9785277440001</v>
      </c>
      <c r="L40" s="594">
        <f t="shared" si="23"/>
        <v>1973.89766885376</v>
      </c>
      <c r="M40" s="594">
        <f t="shared" si="23"/>
        <v>2052.8535756079104</v>
      </c>
      <c r="N40" s="594">
        <f t="shared" si="23"/>
        <v>2134.9677186322269</v>
      </c>
      <c r="O40" s="599"/>
    </row>
    <row r="41" spans="2:29">
      <c r="B41" s="594" t="s">
        <v>869</v>
      </c>
      <c r="C41" s="594"/>
      <c r="D41" s="594"/>
      <c r="E41" s="602">
        <f>350*365*0.45</f>
        <v>57487.5</v>
      </c>
      <c r="F41" s="602">
        <f>E41+E41*4%</f>
        <v>59787</v>
      </c>
      <c r="G41" s="602">
        <f t="shared" si="23"/>
        <v>62178.48</v>
      </c>
      <c r="H41" s="602">
        <f t="shared" si="23"/>
        <v>64665.619200000001</v>
      </c>
      <c r="I41" s="602">
        <f t="shared" si="23"/>
        <v>67252.243967999995</v>
      </c>
      <c r="J41" s="602">
        <f t="shared" si="23"/>
        <v>69942.333726719997</v>
      </c>
      <c r="K41" s="602">
        <f t="shared" si="23"/>
        <v>72740.027075788792</v>
      </c>
      <c r="L41" s="602">
        <f t="shared" si="23"/>
        <v>75649.628158820342</v>
      </c>
      <c r="M41" s="602">
        <f t="shared" si="23"/>
        <v>78675.613285173153</v>
      </c>
      <c r="N41" s="602">
        <f t="shared" si="23"/>
        <v>81822.637816580085</v>
      </c>
      <c r="O41" s="599"/>
    </row>
    <row r="42" spans="2:29">
      <c r="B42" s="594" t="s">
        <v>870</v>
      </c>
      <c r="C42" s="594"/>
      <c r="D42" s="594"/>
      <c r="E42" s="599">
        <f>E41*E40</f>
        <v>86231250</v>
      </c>
      <c r="F42" s="599">
        <f t="shared" ref="F42:N42" si="24">F41*F40</f>
        <v>93267720</v>
      </c>
      <c r="G42" s="599">
        <f t="shared" si="24"/>
        <v>100878365.95200001</v>
      </c>
      <c r="H42" s="599">
        <f t="shared" si="24"/>
        <v>109110040.61368321</v>
      </c>
      <c r="I42" s="599">
        <f t="shared" si="24"/>
        <v>118013419.92775974</v>
      </c>
      <c r="J42" s="599">
        <f t="shared" si="24"/>
        <v>127643314.99386494</v>
      </c>
      <c r="K42" s="599">
        <f t="shared" si="24"/>
        <v>138059009.49736431</v>
      </c>
      <c r="L42" s="599">
        <f t="shared" si="24"/>
        <v>149324624.67234924</v>
      </c>
      <c r="M42" s="599">
        <f t="shared" si="24"/>
        <v>161509514.04561293</v>
      </c>
      <c r="N42" s="599">
        <f t="shared" si="24"/>
        <v>174688690.39173496</v>
      </c>
      <c r="O42" s="599"/>
    </row>
    <row r="43" spans="2:29" s="601" customFormat="1">
      <c r="B43" s="517" t="s">
        <v>857</v>
      </c>
      <c r="C43" s="517"/>
      <c r="D43" s="517"/>
      <c r="E43" s="597">
        <f>E39+E42</f>
        <v>131400000</v>
      </c>
      <c r="F43" s="597">
        <f t="shared" ref="F43:N43" si="25">F39+F42</f>
        <v>140243220</v>
      </c>
      <c r="G43" s="597">
        <f t="shared" si="25"/>
        <v>149732885.95200002</v>
      </c>
      <c r="H43" s="597">
        <f t="shared" si="25"/>
        <v>159918741.41368321</v>
      </c>
      <c r="I43" s="597">
        <f t="shared" si="25"/>
        <v>170854468.75975972</v>
      </c>
      <c r="J43" s="597">
        <f t="shared" si="25"/>
        <v>182598005.77914494</v>
      </c>
      <c r="K43" s="597">
        <f t="shared" si="25"/>
        <v>195211887.91405553</v>
      </c>
      <c r="L43" s="597">
        <f t="shared" si="25"/>
        <v>208763618.2257081</v>
      </c>
      <c r="M43" s="597">
        <f t="shared" si="25"/>
        <v>223326067.34110612</v>
      </c>
      <c r="N43" s="597">
        <f t="shared" si="25"/>
        <v>238977905.81904787</v>
      </c>
      <c r="O43" s="599"/>
    </row>
    <row r="44" spans="2:29">
      <c r="B44" s="594"/>
      <c r="C44" s="594"/>
      <c r="D44" s="594"/>
      <c r="E44" s="594"/>
      <c r="F44" s="594"/>
      <c r="G44" s="594"/>
      <c r="H44" s="594"/>
      <c r="I44" s="594"/>
      <c r="J44" s="594"/>
      <c r="K44" s="594"/>
      <c r="L44" s="594"/>
      <c r="M44" s="594"/>
      <c r="N44" s="594"/>
      <c r="O44" s="599"/>
    </row>
    <row r="45" spans="2:29">
      <c r="B45" s="517" t="s">
        <v>867</v>
      </c>
      <c r="C45" s="594"/>
      <c r="D45" s="594"/>
      <c r="E45" s="597">
        <f>SUM(E46:E50)</f>
        <v>75062250</v>
      </c>
      <c r="F45" s="597">
        <f t="shared" ref="F45:N45" si="26">SUM(F46:F50)</f>
        <v>80360560.800000012</v>
      </c>
      <c r="G45" s="597">
        <f t="shared" si="26"/>
        <v>86058143.009280011</v>
      </c>
      <c r="H45" s="597">
        <f t="shared" si="26"/>
        <v>92186254.344757259</v>
      </c>
      <c r="I45" s="597">
        <f t="shared" si="26"/>
        <v>98778650.23984623</v>
      </c>
      <c r="J45" s="597">
        <f t="shared" si="26"/>
        <v>105871785.54159677</v>
      </c>
      <c r="K45" s="597">
        <f t="shared" si="26"/>
        <v>113505032.58165729</v>
      </c>
      <c r="L45" s="597">
        <f t="shared" si="26"/>
        <v>121720916.95378143</v>
      </c>
      <c r="M45" s="597">
        <f t="shared" si="26"/>
        <v>130565372.43920927</v>
      </c>
      <c r="N45" s="597">
        <f t="shared" si="26"/>
        <v>140088016.63872805</v>
      </c>
      <c r="O45" s="599"/>
    </row>
    <row r="46" spans="2:29">
      <c r="B46" s="594" t="s">
        <v>871</v>
      </c>
      <c r="C46" s="594"/>
      <c r="D46" s="594"/>
      <c r="E46" s="599">
        <f>E39*30%</f>
        <v>13550625</v>
      </c>
      <c r="F46" s="599">
        <f t="shared" ref="F46:N46" si="27">F39*30%</f>
        <v>14092650</v>
      </c>
      <c r="G46" s="599">
        <f t="shared" si="27"/>
        <v>14656356</v>
      </c>
      <c r="H46" s="599">
        <f t="shared" si="27"/>
        <v>15242610.239999998</v>
      </c>
      <c r="I46" s="599">
        <f t="shared" si="27"/>
        <v>15852314.649599997</v>
      </c>
      <c r="J46" s="599">
        <f t="shared" si="27"/>
        <v>16486407.235583998</v>
      </c>
      <c r="K46" s="599">
        <f t="shared" si="27"/>
        <v>17145863.52500736</v>
      </c>
      <c r="L46" s="599">
        <f t="shared" si="27"/>
        <v>17831698.066007651</v>
      </c>
      <c r="M46" s="599">
        <f t="shared" si="27"/>
        <v>18544965.98864796</v>
      </c>
      <c r="N46" s="599">
        <f t="shared" si="27"/>
        <v>19286764.628193878</v>
      </c>
      <c r="O46" s="599"/>
    </row>
    <row r="47" spans="2:29">
      <c r="B47" s="594" t="s">
        <v>872</v>
      </c>
      <c r="C47" s="594"/>
      <c r="D47" s="594"/>
      <c r="E47" s="599">
        <f>E42*35%</f>
        <v>30180937.499999996</v>
      </c>
      <c r="F47" s="599">
        <f t="shared" ref="F47:N47" si="28">F42*35%</f>
        <v>32643701.999999996</v>
      </c>
      <c r="G47" s="599">
        <f t="shared" si="28"/>
        <v>35307428.0832</v>
      </c>
      <c r="H47" s="599">
        <f t="shared" si="28"/>
        <v>38188514.214789122</v>
      </c>
      <c r="I47" s="599">
        <f t="shared" si="28"/>
        <v>41304696.974715903</v>
      </c>
      <c r="J47" s="599">
        <f t="shared" si="28"/>
        <v>44675160.247852728</v>
      </c>
      <c r="K47" s="599">
        <f t="shared" si="28"/>
        <v>48320653.324077509</v>
      </c>
      <c r="L47" s="599">
        <f t="shared" si="28"/>
        <v>52263618.635322236</v>
      </c>
      <c r="M47" s="599">
        <f t="shared" si="28"/>
        <v>56528329.915964521</v>
      </c>
      <c r="N47" s="599">
        <f t="shared" si="28"/>
        <v>61141041.637107231</v>
      </c>
      <c r="O47" s="599"/>
    </row>
    <row r="48" spans="2:29">
      <c r="B48" s="594" t="s">
        <v>563</v>
      </c>
      <c r="C48" s="594"/>
      <c r="D48" s="594"/>
      <c r="E48" s="599">
        <f>E43*7%</f>
        <v>9198000</v>
      </c>
      <c r="F48" s="599">
        <f t="shared" ref="F48:N48" si="29">F43*7%</f>
        <v>9817025.4000000004</v>
      </c>
      <c r="G48" s="599">
        <f t="shared" si="29"/>
        <v>10481302.016640002</v>
      </c>
      <c r="H48" s="599">
        <f t="shared" si="29"/>
        <v>11194311.898957826</v>
      </c>
      <c r="I48" s="599">
        <f t="shared" si="29"/>
        <v>11959812.813183181</v>
      </c>
      <c r="J48" s="599">
        <f t="shared" si="29"/>
        <v>12781860.404540148</v>
      </c>
      <c r="K48" s="599">
        <f t="shared" si="29"/>
        <v>13664832.153983887</v>
      </c>
      <c r="L48" s="599">
        <f t="shared" si="29"/>
        <v>14613453.275799569</v>
      </c>
      <c r="M48" s="599">
        <f t="shared" si="29"/>
        <v>15632824.71387743</v>
      </c>
      <c r="N48" s="599">
        <f t="shared" si="29"/>
        <v>16728453.407333352</v>
      </c>
      <c r="O48" s="599"/>
    </row>
    <row r="49" spans="2:29">
      <c r="B49" s="594" t="s">
        <v>863</v>
      </c>
      <c r="C49" s="594"/>
      <c r="D49" s="594"/>
      <c r="E49" s="599">
        <f>E42*15%</f>
        <v>12934687.5</v>
      </c>
      <c r="F49" s="599">
        <f t="shared" ref="F49:N49" si="30">F42*15%</f>
        <v>13990158</v>
      </c>
      <c r="G49" s="599">
        <f t="shared" si="30"/>
        <v>15131754.8928</v>
      </c>
      <c r="H49" s="599">
        <f t="shared" si="30"/>
        <v>16366506.09205248</v>
      </c>
      <c r="I49" s="599">
        <f t="shared" si="30"/>
        <v>17702012.989163961</v>
      </c>
      <c r="J49" s="599">
        <f t="shared" si="30"/>
        <v>19146497.249079742</v>
      </c>
      <c r="K49" s="599">
        <f t="shared" si="30"/>
        <v>20708851.424604647</v>
      </c>
      <c r="L49" s="599">
        <f t="shared" si="30"/>
        <v>22398693.700852387</v>
      </c>
      <c r="M49" s="599">
        <f t="shared" si="30"/>
        <v>24226427.10684194</v>
      </c>
      <c r="N49" s="599">
        <f t="shared" si="30"/>
        <v>26203303.558760244</v>
      </c>
      <c r="O49" s="599"/>
    </row>
    <row r="50" spans="2:29">
      <c r="B50" s="594" t="s">
        <v>156</v>
      </c>
      <c r="C50" s="594"/>
      <c r="D50" s="594"/>
      <c r="E50" s="599">
        <f>E43*7%</f>
        <v>9198000</v>
      </c>
      <c r="F50" s="599">
        <f t="shared" ref="F50:N50" si="31">F43*7%</f>
        <v>9817025.4000000004</v>
      </c>
      <c r="G50" s="599">
        <f t="shared" si="31"/>
        <v>10481302.016640002</v>
      </c>
      <c r="H50" s="599">
        <f t="shared" si="31"/>
        <v>11194311.898957826</v>
      </c>
      <c r="I50" s="599">
        <f t="shared" si="31"/>
        <v>11959812.813183181</v>
      </c>
      <c r="J50" s="599">
        <f t="shared" si="31"/>
        <v>12781860.404540148</v>
      </c>
      <c r="K50" s="599">
        <f t="shared" si="31"/>
        <v>13664832.153983887</v>
      </c>
      <c r="L50" s="599">
        <f t="shared" si="31"/>
        <v>14613453.275799569</v>
      </c>
      <c r="M50" s="599">
        <f t="shared" si="31"/>
        <v>15632824.71387743</v>
      </c>
      <c r="N50" s="599">
        <f t="shared" si="31"/>
        <v>16728453.407333352</v>
      </c>
      <c r="O50" s="599"/>
    </row>
    <row r="51" spans="2:29">
      <c r="B51" s="517" t="s">
        <v>864</v>
      </c>
      <c r="C51" s="594"/>
      <c r="D51" s="594">
        <f>-'[1]Фин показатели'!B20</f>
        <v>-727650000</v>
      </c>
      <c r="E51" s="597">
        <f>E43-E45</f>
        <v>56337750</v>
      </c>
      <c r="F51" s="597">
        <f t="shared" ref="F51:N51" si="32">F43-F45</f>
        <v>59882659.199999988</v>
      </c>
      <c r="G51" s="597">
        <f t="shared" si="32"/>
        <v>63674742.942720011</v>
      </c>
      <c r="H51" s="597">
        <f t="shared" si="32"/>
        <v>67732487.068925947</v>
      </c>
      <c r="I51" s="597">
        <f t="shared" si="32"/>
        <v>72075818.519913495</v>
      </c>
      <c r="J51" s="597">
        <f t="shared" si="32"/>
        <v>76726220.237548172</v>
      </c>
      <c r="K51" s="597">
        <f t="shared" si="32"/>
        <v>81706855.332398236</v>
      </c>
      <c r="L51" s="597">
        <f t="shared" si="32"/>
        <v>87042701.271926671</v>
      </c>
      <c r="M51" s="597">
        <f t="shared" si="32"/>
        <v>92760694.901896849</v>
      </c>
      <c r="N51" s="597">
        <f t="shared" si="32"/>
        <v>98889889.180319816</v>
      </c>
      <c r="O51" s="599">
        <f t="shared" ref="O51:AC51" si="33">N51*1.04</f>
        <v>102845484.74753261</v>
      </c>
      <c r="P51" s="599">
        <f t="shared" si="33"/>
        <v>106959304.13743392</v>
      </c>
      <c r="Q51" s="599">
        <f t="shared" si="33"/>
        <v>111237676.30293128</v>
      </c>
      <c r="R51" s="599">
        <f t="shared" si="33"/>
        <v>115687183.35504854</v>
      </c>
      <c r="S51" s="599">
        <f t="shared" si="33"/>
        <v>120314670.68925048</v>
      </c>
      <c r="T51" s="599">
        <f t="shared" si="33"/>
        <v>125127257.51682051</v>
      </c>
      <c r="U51" s="599">
        <f t="shared" si="33"/>
        <v>130132347.81749333</v>
      </c>
      <c r="V51" s="599">
        <f t="shared" si="33"/>
        <v>135337641.73019308</v>
      </c>
      <c r="W51" s="599">
        <f t="shared" si="33"/>
        <v>140751147.3994008</v>
      </c>
      <c r="X51" s="599">
        <f t="shared" si="33"/>
        <v>146381193.29537684</v>
      </c>
      <c r="Y51" s="599">
        <f t="shared" si="33"/>
        <v>152236441.02719191</v>
      </c>
      <c r="Z51" s="599">
        <f t="shared" si="33"/>
        <v>158325898.66827959</v>
      </c>
      <c r="AA51" s="599">
        <f t="shared" si="33"/>
        <v>164658934.61501077</v>
      </c>
      <c r="AB51" s="599">
        <f t="shared" si="33"/>
        <v>171245291.9996112</v>
      </c>
      <c r="AC51" s="599">
        <f t="shared" si="33"/>
        <v>178095103.67959565</v>
      </c>
    </row>
    <row r="52" spans="2:29">
      <c r="B52" s="517" t="s">
        <v>865</v>
      </c>
      <c r="C52" s="594"/>
      <c r="D52" s="594"/>
      <c r="E52" s="676">
        <f>E51/E43</f>
        <v>0.42875000000000002</v>
      </c>
      <c r="F52" s="676">
        <f t="shared" ref="F52:N52" si="34">F51/F43</f>
        <v>0.42699147381242381</v>
      </c>
      <c r="G52" s="676">
        <f t="shared" si="34"/>
        <v>0.42525556451995633</v>
      </c>
      <c r="H52" s="676">
        <f t="shared" si="34"/>
        <v>0.4235431474145564</v>
      </c>
      <c r="I52" s="676">
        <f t="shared" si="34"/>
        <v>0.42185503863677143</v>
      </c>
      <c r="J52" s="676">
        <f t="shared" si="34"/>
        <v>0.42019199448623606</v>
      </c>
      <c r="K52" s="676">
        <f t="shared" si="34"/>
        <v>0.41855471101417091</v>
      </c>
      <c r="L52" s="676">
        <f t="shared" si="34"/>
        <v>0.41694382388898371</v>
      </c>
      <c r="M52" s="676">
        <f t="shared" si="34"/>
        <v>0.41535990852431498</v>
      </c>
      <c r="N52" s="676">
        <f t="shared" si="34"/>
        <v>0.41380348045730403</v>
      </c>
    </row>
  </sheetData>
  <mergeCells count="3">
    <mergeCell ref="B6:N6"/>
    <mergeCell ref="B24:N24"/>
    <mergeCell ref="B38:N3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rgb="FF007A37"/>
  </sheetPr>
  <dimension ref="A2:E229"/>
  <sheetViews>
    <sheetView workbookViewId="0">
      <pane ySplit="2" topLeftCell="A3" activePane="bottomLeft" state="frozen"/>
      <selection pane="bottomLeft" activeCell="A2" sqref="A2:D204"/>
    </sheetView>
  </sheetViews>
  <sheetFormatPr defaultColWidth="9.1796875" defaultRowHeight="12.5"/>
  <cols>
    <col min="1" max="1" width="32.453125" style="484" customWidth="1"/>
    <col min="2" max="2" width="11" style="472" customWidth="1"/>
    <col min="3" max="3" width="15.54296875" style="472" customWidth="1"/>
    <col min="4" max="4" width="18.1796875" style="472" customWidth="1"/>
    <col min="5" max="5" width="45.453125" style="472" customWidth="1"/>
    <col min="6" max="16384" width="9.1796875" style="472"/>
  </cols>
  <sheetData>
    <row r="2" spans="1:5" ht="57" customHeight="1">
      <c r="A2" s="469" t="s">
        <v>638</v>
      </c>
      <c r="B2" s="470" t="s">
        <v>639</v>
      </c>
      <c r="C2" s="470" t="s">
        <v>787</v>
      </c>
      <c r="D2" s="470" t="s">
        <v>788</v>
      </c>
    </row>
    <row r="3" spans="1:5" s="471" customFormat="1" ht="17.5">
      <c r="A3" s="800" t="s">
        <v>640</v>
      </c>
      <c r="B3" s="800"/>
      <c r="C3" s="800"/>
      <c r="D3" s="800"/>
    </row>
    <row r="4" spans="1:5">
      <c r="A4" s="608" t="s">
        <v>641</v>
      </c>
      <c r="B4" s="604">
        <v>1</v>
      </c>
      <c r="C4" s="604">
        <v>120</v>
      </c>
      <c r="D4" s="605">
        <f>C4*B4</f>
        <v>120</v>
      </c>
    </row>
    <row r="5" spans="1:5">
      <c r="A5" s="609"/>
      <c r="B5" s="604"/>
      <c r="C5" s="604"/>
      <c r="D5" s="604"/>
    </row>
    <row r="6" spans="1:5" ht="25">
      <c r="A6" s="608" t="s">
        <v>772</v>
      </c>
      <c r="B6" s="604"/>
      <c r="C6" s="604"/>
      <c r="D6" s="605">
        <v>4800</v>
      </c>
    </row>
    <row r="7" spans="1:5">
      <c r="A7" s="610" t="s">
        <v>80</v>
      </c>
      <c r="B7" s="604">
        <f>SUM(B8:B13)</f>
        <v>120</v>
      </c>
      <c r="C7" s="604"/>
      <c r="D7" s="604"/>
    </row>
    <row r="8" spans="1:5">
      <c r="A8" s="611" t="s">
        <v>642</v>
      </c>
      <c r="B8" s="604">
        <v>13</v>
      </c>
      <c r="C8" s="604">
        <v>24</v>
      </c>
      <c r="D8" s="604">
        <f>C8*B8</f>
        <v>312</v>
      </c>
    </row>
    <row r="9" spans="1:5">
      <c r="A9" s="611" t="s">
        <v>402</v>
      </c>
      <c r="B9" s="604">
        <v>2</v>
      </c>
      <c r="C9" s="604"/>
      <c r="D9" s="604"/>
    </row>
    <row r="10" spans="1:5">
      <c r="A10" s="611" t="s">
        <v>643</v>
      </c>
      <c r="B10" s="604">
        <v>65</v>
      </c>
      <c r="C10" s="604">
        <v>28</v>
      </c>
      <c r="D10" s="604">
        <f t="shared" ref="D10:D13" si="0">C10*B10</f>
        <v>1820</v>
      </c>
    </row>
    <row r="11" spans="1:5">
      <c r="A11" s="611" t="s">
        <v>644</v>
      </c>
      <c r="B11" s="604">
        <v>30</v>
      </c>
      <c r="C11" s="604">
        <v>35</v>
      </c>
      <c r="D11" s="604">
        <f t="shared" si="0"/>
        <v>1050</v>
      </c>
    </row>
    <row r="12" spans="1:5">
      <c r="A12" s="611" t="s">
        <v>645</v>
      </c>
      <c r="B12" s="604">
        <v>9</v>
      </c>
      <c r="C12" s="604">
        <v>45</v>
      </c>
      <c r="D12" s="604">
        <f t="shared" si="0"/>
        <v>405</v>
      </c>
    </row>
    <row r="13" spans="1:5">
      <c r="A13" s="611" t="s">
        <v>646</v>
      </c>
      <c r="B13" s="604">
        <v>1</v>
      </c>
      <c r="C13" s="604">
        <v>75</v>
      </c>
      <c r="D13" s="604">
        <f t="shared" si="0"/>
        <v>75</v>
      </c>
    </row>
    <row r="14" spans="1:5">
      <c r="A14" s="609"/>
      <c r="B14" s="604"/>
      <c r="C14" s="604"/>
      <c r="D14" s="604"/>
    </row>
    <row r="15" spans="1:5">
      <c r="A15" s="608" t="s">
        <v>806</v>
      </c>
      <c r="B15" s="604"/>
      <c r="C15" s="604"/>
      <c r="D15" s="605">
        <f>SUM(D16:D32)</f>
        <v>646</v>
      </c>
      <c r="E15" s="472" t="s">
        <v>386</v>
      </c>
    </row>
    <row r="16" spans="1:5">
      <c r="A16" s="611" t="s">
        <v>647</v>
      </c>
      <c r="B16" s="604">
        <v>1</v>
      </c>
      <c r="C16" s="604">
        <v>30</v>
      </c>
      <c r="D16" s="604">
        <f>C16*B16</f>
        <v>30</v>
      </c>
    </row>
    <row r="17" spans="1:4" ht="25">
      <c r="A17" s="612" t="s">
        <v>808</v>
      </c>
      <c r="B17" s="604"/>
      <c r="C17" s="604"/>
      <c r="D17" s="604"/>
    </row>
    <row r="18" spans="1:4">
      <c r="A18" s="613" t="s">
        <v>561</v>
      </c>
      <c r="B18" s="604">
        <v>1</v>
      </c>
      <c r="C18" s="604">
        <v>160</v>
      </c>
      <c r="D18" s="604">
        <f t="shared" ref="D18:D32" si="1">C18*B18</f>
        <v>160</v>
      </c>
    </row>
    <row r="19" spans="1:4">
      <c r="A19" s="613" t="s">
        <v>648</v>
      </c>
      <c r="B19" s="604">
        <v>1</v>
      </c>
      <c r="C19" s="604">
        <v>30</v>
      </c>
      <c r="D19" s="604">
        <f t="shared" si="1"/>
        <v>30</v>
      </c>
    </row>
    <row r="20" spans="1:4">
      <c r="A20" s="613" t="s">
        <v>651</v>
      </c>
      <c r="B20" s="604">
        <v>1</v>
      </c>
      <c r="C20" s="604">
        <v>25</v>
      </c>
      <c r="D20" s="604">
        <f t="shared" ref="D20:D25" si="2">C20*B20</f>
        <v>25</v>
      </c>
    </row>
    <row r="21" spans="1:4">
      <c r="A21" s="613" t="s">
        <v>652</v>
      </c>
      <c r="B21" s="604">
        <v>1</v>
      </c>
      <c r="C21" s="604">
        <v>10</v>
      </c>
      <c r="D21" s="604">
        <f t="shared" si="2"/>
        <v>10</v>
      </c>
    </row>
    <row r="22" spans="1:4">
      <c r="A22" s="613" t="s">
        <v>321</v>
      </c>
      <c r="B22" s="604">
        <v>1</v>
      </c>
      <c r="C22" s="604">
        <v>30</v>
      </c>
      <c r="D22" s="604">
        <f t="shared" si="2"/>
        <v>30</v>
      </c>
    </row>
    <row r="23" spans="1:4">
      <c r="A23" s="613" t="s">
        <v>650</v>
      </c>
      <c r="B23" s="604">
        <v>1</v>
      </c>
      <c r="C23" s="604">
        <v>25</v>
      </c>
      <c r="D23" s="604">
        <f t="shared" si="2"/>
        <v>25</v>
      </c>
    </row>
    <row r="24" spans="1:4">
      <c r="A24" s="613" t="s">
        <v>654</v>
      </c>
      <c r="B24" s="604">
        <v>1</v>
      </c>
      <c r="C24" s="604">
        <v>15</v>
      </c>
      <c r="D24" s="604">
        <f t="shared" si="2"/>
        <v>15</v>
      </c>
    </row>
    <row r="25" spans="1:4">
      <c r="A25" s="613" t="s">
        <v>655</v>
      </c>
      <c r="B25" s="604">
        <v>1</v>
      </c>
      <c r="C25" s="604">
        <v>30</v>
      </c>
      <c r="D25" s="604">
        <f t="shared" si="2"/>
        <v>30</v>
      </c>
    </row>
    <row r="26" spans="1:4" ht="25">
      <c r="A26" s="612" t="s">
        <v>809</v>
      </c>
      <c r="B26" s="604"/>
      <c r="C26" s="604"/>
      <c r="D26" s="604"/>
    </row>
    <row r="27" spans="1:4">
      <c r="A27" s="613" t="s">
        <v>810</v>
      </c>
      <c r="B27" s="614">
        <v>4</v>
      </c>
      <c r="C27" s="604">
        <v>18</v>
      </c>
      <c r="D27" s="604">
        <f>C27*B27</f>
        <v>72</v>
      </c>
    </row>
    <row r="28" spans="1:4">
      <c r="A28" s="613" t="s">
        <v>811</v>
      </c>
      <c r="B28" s="604">
        <v>3</v>
      </c>
      <c r="C28" s="604">
        <v>18</v>
      </c>
      <c r="D28" s="604">
        <f>C28*B28</f>
        <v>54</v>
      </c>
    </row>
    <row r="29" spans="1:4">
      <c r="A29" s="613" t="s">
        <v>649</v>
      </c>
      <c r="B29" s="604">
        <v>1</v>
      </c>
      <c r="C29" s="604">
        <v>20</v>
      </c>
      <c r="D29" s="604">
        <f t="shared" si="1"/>
        <v>20</v>
      </c>
    </row>
    <row r="30" spans="1:4">
      <c r="A30" s="613" t="s">
        <v>653</v>
      </c>
      <c r="B30" s="604">
        <v>1</v>
      </c>
      <c r="C30" s="604">
        <v>20</v>
      </c>
      <c r="D30" s="604">
        <f t="shared" si="1"/>
        <v>20</v>
      </c>
    </row>
    <row r="31" spans="1:4">
      <c r="A31" s="611" t="s">
        <v>657</v>
      </c>
      <c r="B31" s="604"/>
      <c r="C31" s="604">
        <v>45</v>
      </c>
      <c r="D31" s="604">
        <v>45</v>
      </c>
    </row>
    <row r="32" spans="1:4">
      <c r="A32" s="611" t="s">
        <v>658</v>
      </c>
      <c r="B32" s="604">
        <v>2</v>
      </c>
      <c r="C32" s="604">
        <v>40</v>
      </c>
      <c r="D32" s="604">
        <f t="shared" si="1"/>
        <v>80</v>
      </c>
    </row>
    <row r="33" spans="1:4">
      <c r="A33" s="609"/>
      <c r="B33" s="604"/>
      <c r="C33" s="604"/>
      <c r="D33" s="604"/>
    </row>
    <row r="34" spans="1:4" ht="37.5">
      <c r="A34" s="608" t="s">
        <v>732</v>
      </c>
      <c r="B34" s="604">
        <v>80</v>
      </c>
      <c r="C34" s="604">
        <v>560</v>
      </c>
      <c r="D34" s="605">
        <f>C34</f>
        <v>560</v>
      </c>
    </row>
    <row r="35" spans="1:4" ht="25">
      <c r="A35" s="608" t="s">
        <v>733</v>
      </c>
      <c r="B35" s="604">
        <v>25</v>
      </c>
      <c r="C35" s="604">
        <v>100</v>
      </c>
      <c r="D35" s="605">
        <f t="shared" ref="D35:D39" si="3">C35</f>
        <v>100</v>
      </c>
    </row>
    <row r="36" spans="1:4">
      <c r="A36" s="608" t="s">
        <v>734</v>
      </c>
      <c r="B36" s="604">
        <v>25</v>
      </c>
      <c r="C36" s="604">
        <v>80</v>
      </c>
      <c r="D36" s="605">
        <f t="shared" si="3"/>
        <v>80</v>
      </c>
    </row>
    <row r="37" spans="1:4">
      <c r="A37" s="608" t="s">
        <v>735</v>
      </c>
      <c r="B37" s="604"/>
      <c r="C37" s="604">
        <v>250</v>
      </c>
      <c r="D37" s="605">
        <f t="shared" si="3"/>
        <v>250</v>
      </c>
    </row>
    <row r="38" spans="1:4" ht="25">
      <c r="A38" s="608" t="s">
        <v>736</v>
      </c>
      <c r="B38" s="604"/>
      <c r="C38" s="604">
        <v>120</v>
      </c>
      <c r="D38" s="605">
        <f t="shared" si="3"/>
        <v>120</v>
      </c>
    </row>
    <row r="39" spans="1:4">
      <c r="A39" s="608" t="s">
        <v>750</v>
      </c>
      <c r="B39" s="604"/>
      <c r="C39" s="604">
        <v>160</v>
      </c>
      <c r="D39" s="605">
        <f t="shared" si="3"/>
        <v>160</v>
      </c>
    </row>
    <row r="40" spans="1:4">
      <c r="A40" s="608"/>
      <c r="B40" s="604"/>
      <c r="C40" s="604"/>
      <c r="D40" s="605"/>
    </row>
    <row r="41" spans="1:4" ht="15">
      <c r="A41" s="615" t="s">
        <v>659</v>
      </c>
      <c r="B41" s="616"/>
      <c r="C41" s="616"/>
      <c r="D41" s="607">
        <f>D4+D6+D15+SUM(D34:D39)</f>
        <v>6836</v>
      </c>
    </row>
    <row r="42" spans="1:4">
      <c r="A42" s="609"/>
      <c r="B42" s="604"/>
      <c r="C42" s="604"/>
      <c r="D42" s="604"/>
    </row>
    <row r="43" spans="1:4">
      <c r="A43" s="608" t="s">
        <v>660</v>
      </c>
      <c r="B43" s="604"/>
      <c r="C43" s="604"/>
      <c r="D43" s="604"/>
    </row>
    <row r="44" spans="1:4" ht="25">
      <c r="A44" s="611" t="s">
        <v>737</v>
      </c>
      <c r="B44" s="604">
        <v>1</v>
      </c>
      <c r="C44" s="604">
        <v>80</v>
      </c>
      <c r="D44" s="604">
        <f>C44*B44</f>
        <v>80</v>
      </c>
    </row>
    <row r="45" spans="1:4">
      <c r="A45" s="611" t="s">
        <v>738</v>
      </c>
      <c r="B45" s="604">
        <v>1</v>
      </c>
      <c r="C45" s="604">
        <v>40</v>
      </c>
      <c r="D45" s="604">
        <f t="shared" ref="D45:D47" si="4">C45*B45</f>
        <v>40</v>
      </c>
    </row>
    <row r="46" spans="1:4" ht="25">
      <c r="A46" s="611" t="s">
        <v>739</v>
      </c>
      <c r="B46" s="604">
        <v>1</v>
      </c>
      <c r="C46" s="604">
        <f>90*18</f>
        <v>1620</v>
      </c>
      <c r="D46" s="604">
        <f t="shared" si="4"/>
        <v>1620</v>
      </c>
    </row>
    <row r="47" spans="1:4">
      <c r="A47" s="611" t="s">
        <v>661</v>
      </c>
      <c r="B47" s="604">
        <v>1</v>
      </c>
      <c r="C47" s="604">
        <f>20*18</f>
        <v>360</v>
      </c>
      <c r="D47" s="604">
        <f t="shared" si="4"/>
        <v>360</v>
      </c>
    </row>
    <row r="48" spans="1:4" ht="25">
      <c r="A48" s="611" t="s">
        <v>662</v>
      </c>
      <c r="B48" s="604"/>
      <c r="C48" s="604"/>
      <c r="D48" s="604"/>
    </row>
    <row r="49" spans="1:4">
      <c r="A49" s="609"/>
      <c r="B49" s="604"/>
      <c r="C49" s="604"/>
      <c r="D49" s="604"/>
    </row>
    <row r="50" spans="1:4">
      <c r="A50" s="617"/>
      <c r="B50" s="614"/>
      <c r="C50" s="614"/>
      <c r="D50" s="614"/>
    </row>
    <row r="51" spans="1:4" s="483" customFormat="1" ht="14">
      <c r="A51" s="618" t="s">
        <v>717</v>
      </c>
      <c r="B51" s="619"/>
      <c r="C51" s="619"/>
      <c r="D51" s="619">
        <f>D41*150000*1.6</f>
        <v>1640640000</v>
      </c>
    </row>
    <row r="52" spans="1:4">
      <c r="A52" s="617"/>
      <c r="B52" s="614"/>
      <c r="C52" s="614"/>
      <c r="D52" s="614"/>
    </row>
    <row r="53" spans="1:4" ht="17.5">
      <c r="A53" s="799" t="s">
        <v>914</v>
      </c>
      <c r="B53" s="799"/>
      <c r="C53" s="799"/>
      <c r="D53" s="799"/>
    </row>
    <row r="54" spans="1:4">
      <c r="A54" s="609"/>
      <c r="B54" s="604"/>
      <c r="C54" s="604"/>
      <c r="D54" s="604"/>
    </row>
    <row r="55" spans="1:4" ht="25">
      <c r="A55" s="608" t="s">
        <v>786</v>
      </c>
      <c r="B55" s="605">
        <f>SUM(B56:B62)</f>
        <v>122</v>
      </c>
      <c r="C55" s="604"/>
      <c r="D55" s="604">
        <v>4632</v>
      </c>
    </row>
    <row r="56" spans="1:4">
      <c r="A56" s="613" t="s">
        <v>779</v>
      </c>
      <c r="B56" s="604">
        <v>8</v>
      </c>
      <c r="C56" s="604"/>
      <c r="D56" s="604"/>
    </row>
    <row r="57" spans="1:4">
      <c r="A57" s="613" t="s">
        <v>780</v>
      </c>
      <c r="B57" s="604">
        <v>85</v>
      </c>
      <c r="C57" s="604"/>
      <c r="D57" s="604"/>
    </row>
    <row r="58" spans="1:4">
      <c r="A58" s="613" t="s">
        <v>781</v>
      </c>
      <c r="B58" s="604">
        <v>9</v>
      </c>
      <c r="C58" s="604"/>
      <c r="D58" s="604"/>
    </row>
    <row r="59" spans="1:4">
      <c r="A59" s="613" t="s">
        <v>782</v>
      </c>
      <c r="B59" s="604">
        <v>8</v>
      </c>
      <c r="C59" s="604"/>
      <c r="D59" s="604"/>
    </row>
    <row r="60" spans="1:4">
      <c r="A60" s="613" t="s">
        <v>783</v>
      </c>
      <c r="B60" s="604">
        <v>8</v>
      </c>
      <c r="C60" s="604"/>
      <c r="D60" s="604"/>
    </row>
    <row r="61" spans="1:4">
      <c r="A61" s="613" t="s">
        <v>784</v>
      </c>
      <c r="B61" s="604">
        <v>3</v>
      </c>
      <c r="C61" s="604"/>
      <c r="D61" s="604"/>
    </row>
    <row r="62" spans="1:4">
      <c r="A62" s="613" t="s">
        <v>785</v>
      </c>
      <c r="B62" s="604">
        <v>1</v>
      </c>
      <c r="C62" s="604"/>
      <c r="D62" s="604"/>
    </row>
    <row r="63" spans="1:4" ht="25">
      <c r="A63" s="608" t="s">
        <v>882</v>
      </c>
      <c r="B63" s="604"/>
      <c r="C63" s="604"/>
      <c r="D63" s="604"/>
    </row>
    <row r="64" spans="1:4">
      <c r="A64" s="613" t="s">
        <v>880</v>
      </c>
      <c r="B64" s="604"/>
      <c r="C64" s="604"/>
      <c r="D64" s="604">
        <v>911</v>
      </c>
    </row>
    <row r="65" spans="1:4">
      <c r="A65" s="613" t="s">
        <v>883</v>
      </c>
      <c r="B65" s="604"/>
      <c r="C65" s="604"/>
      <c r="D65" s="604">
        <v>2811</v>
      </c>
    </row>
    <row r="66" spans="1:4">
      <c r="A66" s="613" t="s">
        <v>884</v>
      </c>
      <c r="B66" s="604"/>
      <c r="C66" s="604"/>
      <c r="D66" s="604">
        <v>2229</v>
      </c>
    </row>
    <row r="67" spans="1:4">
      <c r="A67" s="613" t="s">
        <v>885</v>
      </c>
      <c r="B67" s="604"/>
      <c r="C67" s="604"/>
      <c r="D67" s="604">
        <v>152</v>
      </c>
    </row>
    <row r="68" spans="1:4">
      <c r="A68" s="613" t="s">
        <v>881</v>
      </c>
      <c r="B68" s="604"/>
      <c r="C68" s="604"/>
      <c r="D68" s="604">
        <v>593</v>
      </c>
    </row>
    <row r="69" spans="1:4">
      <c r="A69" s="613"/>
      <c r="B69" s="604"/>
      <c r="C69" s="604"/>
      <c r="D69" s="604"/>
    </row>
    <row r="70" spans="1:4" ht="25">
      <c r="A70" s="608" t="s">
        <v>917</v>
      </c>
      <c r="B70" s="604"/>
      <c r="C70" s="604"/>
      <c r="D70" s="604"/>
    </row>
    <row r="71" spans="1:4">
      <c r="A71" s="613" t="s">
        <v>915</v>
      </c>
      <c r="B71" s="604"/>
      <c r="C71" s="604"/>
      <c r="D71" s="604">
        <v>1500</v>
      </c>
    </row>
    <row r="72" spans="1:4">
      <c r="A72" s="613" t="s">
        <v>916</v>
      </c>
      <c r="B72" s="604"/>
      <c r="C72" s="604"/>
      <c r="D72" s="604">
        <v>2500</v>
      </c>
    </row>
    <row r="73" spans="1:4">
      <c r="A73" s="609"/>
      <c r="B73" s="604"/>
      <c r="C73" s="604"/>
      <c r="D73" s="604"/>
    </row>
    <row r="74" spans="1:4" ht="25">
      <c r="A74" s="608" t="s">
        <v>740</v>
      </c>
      <c r="B74" s="604"/>
      <c r="C74" s="604"/>
      <c r="D74" s="605">
        <f>SUM(D75:D88)</f>
        <v>2504</v>
      </c>
    </row>
    <row r="75" spans="1:4">
      <c r="A75" s="613" t="s">
        <v>663</v>
      </c>
      <c r="B75" s="604">
        <v>1</v>
      </c>
      <c r="C75" s="604">
        <v>60</v>
      </c>
      <c r="D75" s="604">
        <f>C75*B75</f>
        <v>60</v>
      </c>
    </row>
    <row r="76" spans="1:4">
      <c r="A76" s="613" t="s">
        <v>664</v>
      </c>
      <c r="B76" s="604">
        <v>1</v>
      </c>
      <c r="C76" s="604">
        <v>350</v>
      </c>
      <c r="D76" s="604">
        <f t="shared" ref="D76:D88" si="5">C76*B76</f>
        <v>350</v>
      </c>
    </row>
    <row r="77" spans="1:4">
      <c r="A77" s="613" t="s">
        <v>665</v>
      </c>
      <c r="B77" s="604">
        <v>1</v>
      </c>
      <c r="C77" s="604">
        <v>40</v>
      </c>
      <c r="D77" s="604">
        <f t="shared" si="5"/>
        <v>40</v>
      </c>
    </row>
    <row r="78" spans="1:4">
      <c r="A78" s="613" t="s">
        <v>666</v>
      </c>
      <c r="B78" s="604">
        <v>1</v>
      </c>
      <c r="C78" s="604">
        <v>140</v>
      </c>
      <c r="D78" s="604">
        <f t="shared" si="5"/>
        <v>140</v>
      </c>
    </row>
    <row r="79" spans="1:4">
      <c r="A79" s="613" t="s">
        <v>667</v>
      </c>
      <c r="B79" s="604">
        <v>1</v>
      </c>
      <c r="C79" s="604">
        <v>190</v>
      </c>
      <c r="D79" s="604">
        <f t="shared" si="5"/>
        <v>190</v>
      </c>
    </row>
    <row r="80" spans="1:4">
      <c r="A80" s="613" t="s">
        <v>668</v>
      </c>
      <c r="B80" s="604">
        <v>1</v>
      </c>
      <c r="C80" s="604">
        <v>200</v>
      </c>
      <c r="D80" s="604">
        <f t="shared" si="5"/>
        <v>200</v>
      </c>
    </row>
    <row r="81" spans="1:4">
      <c r="A81" s="613" t="s">
        <v>669</v>
      </c>
      <c r="B81" s="604">
        <v>1</v>
      </c>
      <c r="C81" s="604">
        <v>290</v>
      </c>
      <c r="D81" s="604">
        <f t="shared" si="5"/>
        <v>290</v>
      </c>
    </row>
    <row r="82" spans="1:4">
      <c r="A82" s="613" t="s">
        <v>656</v>
      </c>
      <c r="B82" s="604">
        <v>8</v>
      </c>
      <c r="C82" s="604">
        <v>18</v>
      </c>
      <c r="D82" s="604">
        <f t="shared" si="5"/>
        <v>144</v>
      </c>
    </row>
    <row r="83" spans="1:4">
      <c r="A83" s="613" t="s">
        <v>655</v>
      </c>
      <c r="B83" s="604">
        <v>1</v>
      </c>
      <c r="C83" s="604">
        <v>30</v>
      </c>
      <c r="D83" s="604">
        <f t="shared" si="5"/>
        <v>30</v>
      </c>
    </row>
    <row r="84" spans="1:4">
      <c r="A84" s="613" t="s">
        <v>670</v>
      </c>
      <c r="B84" s="604">
        <v>1</v>
      </c>
      <c r="C84" s="604">
        <v>100</v>
      </c>
      <c r="D84" s="604">
        <f t="shared" si="5"/>
        <v>100</v>
      </c>
    </row>
    <row r="85" spans="1:4">
      <c r="A85" s="613" t="s">
        <v>658</v>
      </c>
      <c r="B85" s="604">
        <v>2</v>
      </c>
      <c r="C85" s="604">
        <v>130</v>
      </c>
      <c r="D85" s="604">
        <f t="shared" si="5"/>
        <v>260</v>
      </c>
    </row>
    <row r="86" spans="1:4">
      <c r="A86" s="613" t="s">
        <v>657</v>
      </c>
      <c r="B86" s="604">
        <v>1</v>
      </c>
      <c r="C86" s="604">
        <v>250</v>
      </c>
      <c r="D86" s="604">
        <f t="shared" si="5"/>
        <v>250</v>
      </c>
    </row>
    <row r="87" spans="1:4">
      <c r="A87" s="613" t="s">
        <v>671</v>
      </c>
      <c r="B87" s="604">
        <v>1</v>
      </c>
      <c r="C87" s="604">
        <v>280</v>
      </c>
      <c r="D87" s="604">
        <f t="shared" si="5"/>
        <v>280</v>
      </c>
    </row>
    <row r="88" spans="1:4">
      <c r="A88" s="613" t="s">
        <v>672</v>
      </c>
      <c r="B88" s="604">
        <v>1</v>
      </c>
      <c r="C88" s="604">
        <v>170</v>
      </c>
      <c r="D88" s="604">
        <f t="shared" si="5"/>
        <v>170</v>
      </c>
    </row>
    <row r="89" spans="1:4">
      <c r="A89" s="609"/>
      <c r="B89" s="604"/>
      <c r="C89" s="604"/>
      <c r="D89" s="604"/>
    </row>
    <row r="90" spans="1:4" ht="37.5">
      <c r="A90" s="615" t="s">
        <v>886</v>
      </c>
      <c r="B90" s="616"/>
      <c r="C90" s="616"/>
      <c r="D90" s="607">
        <f>SUM(D75:D88)</f>
        <v>2504</v>
      </c>
    </row>
    <row r="91" spans="1:4">
      <c r="A91" s="609"/>
      <c r="B91" s="604"/>
      <c r="C91" s="604"/>
      <c r="D91" s="604"/>
    </row>
    <row r="92" spans="1:4" ht="37.5">
      <c r="A92" s="615" t="s">
        <v>887</v>
      </c>
      <c r="B92" s="616"/>
      <c r="C92" s="616"/>
      <c r="D92" s="607">
        <f>D90*160000*1.6</f>
        <v>641024000</v>
      </c>
    </row>
    <row r="93" spans="1:4" ht="15">
      <c r="A93" s="608"/>
      <c r="B93" s="604"/>
      <c r="C93" s="604"/>
      <c r="D93" s="606"/>
    </row>
    <row r="94" spans="1:4" ht="25">
      <c r="A94" s="615" t="s">
        <v>888</v>
      </c>
      <c r="B94" s="616"/>
      <c r="C94" s="616"/>
      <c r="D94" s="607">
        <f>B223</f>
        <v>431000000</v>
      </c>
    </row>
    <row r="95" spans="1:4" ht="15">
      <c r="A95" s="608"/>
      <c r="B95" s="604"/>
      <c r="C95" s="604"/>
      <c r="D95" s="606"/>
    </row>
    <row r="96" spans="1:4" ht="37.5">
      <c r="A96" s="615" t="s">
        <v>918</v>
      </c>
      <c r="B96" s="616"/>
      <c r="C96" s="616"/>
      <c r="D96" s="607">
        <f>B229</f>
        <v>590000000</v>
      </c>
    </row>
    <row r="97" spans="1:4" ht="15">
      <c r="A97" s="608"/>
      <c r="B97" s="604"/>
      <c r="C97" s="604"/>
      <c r="D97" s="606"/>
    </row>
    <row r="98" spans="1:4" ht="15">
      <c r="A98" s="608"/>
      <c r="B98" s="604"/>
      <c r="C98" s="604"/>
      <c r="D98" s="606"/>
    </row>
    <row r="99" spans="1:4" ht="15">
      <c r="A99" s="608"/>
      <c r="B99" s="604"/>
      <c r="C99" s="604"/>
      <c r="D99" s="606"/>
    </row>
    <row r="100" spans="1:4" ht="17.5">
      <c r="A100" s="799" t="s">
        <v>673</v>
      </c>
      <c r="B100" s="799"/>
      <c r="C100" s="799"/>
      <c r="D100" s="799"/>
    </row>
    <row r="101" spans="1:4">
      <c r="A101" s="609"/>
      <c r="B101" s="604"/>
      <c r="C101" s="604"/>
      <c r="D101" s="604"/>
    </row>
    <row r="102" spans="1:4">
      <c r="A102" s="608" t="s">
        <v>741</v>
      </c>
      <c r="B102" s="604">
        <v>1</v>
      </c>
      <c r="C102" s="604">
        <v>100</v>
      </c>
      <c r="D102" s="605">
        <f>B102*C102</f>
        <v>100</v>
      </c>
    </row>
    <row r="103" spans="1:4" ht="19.5" customHeight="1">
      <c r="A103" s="608" t="s">
        <v>771</v>
      </c>
      <c r="B103" s="605">
        <f>SUM(B104:B107)</f>
        <v>32</v>
      </c>
      <c r="C103" s="604"/>
      <c r="D103" s="605">
        <f>SUM(D104:D107)</f>
        <v>2612</v>
      </c>
    </row>
    <row r="104" spans="1:4" ht="25">
      <c r="A104" s="611" t="s">
        <v>742</v>
      </c>
      <c r="B104" s="604">
        <v>12</v>
      </c>
      <c r="C104" s="604">
        <v>54</v>
      </c>
      <c r="D104" s="604">
        <f t="shared" ref="D104:D107" si="6">B104*C104</f>
        <v>648</v>
      </c>
    </row>
    <row r="105" spans="1:4" ht="25">
      <c r="A105" s="611" t="s">
        <v>743</v>
      </c>
      <c r="B105" s="604">
        <v>8</v>
      </c>
      <c r="C105" s="604">
        <v>67</v>
      </c>
      <c r="D105" s="604">
        <f t="shared" si="6"/>
        <v>536</v>
      </c>
    </row>
    <row r="106" spans="1:4" ht="25">
      <c r="A106" s="611" t="s">
        <v>744</v>
      </c>
      <c r="B106" s="604">
        <v>6</v>
      </c>
      <c r="C106" s="604">
        <v>108</v>
      </c>
      <c r="D106" s="604">
        <f t="shared" si="6"/>
        <v>648</v>
      </c>
    </row>
    <row r="107" spans="1:4" ht="25">
      <c r="A107" s="611" t="s">
        <v>745</v>
      </c>
      <c r="B107" s="604">
        <v>6</v>
      </c>
      <c r="C107" s="604">
        <v>130</v>
      </c>
      <c r="D107" s="604">
        <f t="shared" si="6"/>
        <v>780</v>
      </c>
    </row>
    <row r="108" spans="1:4">
      <c r="A108" s="611"/>
      <c r="B108" s="604"/>
      <c r="C108" s="604"/>
      <c r="D108" s="604"/>
    </row>
    <row r="109" spans="1:4" ht="25">
      <c r="A109" s="608" t="s">
        <v>746</v>
      </c>
      <c r="B109" s="604">
        <v>80</v>
      </c>
      <c r="C109" s="604">
        <v>560</v>
      </c>
      <c r="D109" s="605">
        <f>C109</f>
        <v>560</v>
      </c>
    </row>
    <row r="110" spans="1:4" ht="25">
      <c r="A110" s="608" t="s">
        <v>747</v>
      </c>
      <c r="B110" s="604">
        <v>60</v>
      </c>
      <c r="C110" s="604">
        <v>180</v>
      </c>
      <c r="D110" s="605">
        <f>C110</f>
        <v>180</v>
      </c>
    </row>
    <row r="111" spans="1:4">
      <c r="A111" s="608"/>
      <c r="B111" s="604"/>
      <c r="C111" s="604"/>
      <c r="D111" s="604"/>
    </row>
    <row r="112" spans="1:4" ht="25">
      <c r="A112" s="608" t="s">
        <v>748</v>
      </c>
      <c r="B112" s="604"/>
      <c r="C112" s="604"/>
      <c r="D112" s="605">
        <f>SUM(D114:D127)</f>
        <v>1296</v>
      </c>
    </row>
    <row r="113" spans="1:4">
      <c r="A113" s="621" t="s">
        <v>814</v>
      </c>
      <c r="B113" s="604"/>
      <c r="C113" s="604"/>
      <c r="D113" s="605"/>
    </row>
    <row r="114" spans="1:4">
      <c r="A114" s="613" t="s">
        <v>663</v>
      </c>
      <c r="B114" s="604">
        <v>1</v>
      </c>
      <c r="C114" s="604">
        <v>30</v>
      </c>
      <c r="D114" s="604">
        <f>C114*B114</f>
        <v>30</v>
      </c>
    </row>
    <row r="115" spans="1:4">
      <c r="A115" s="613" t="s">
        <v>658</v>
      </c>
      <c r="B115" s="604">
        <v>2</v>
      </c>
      <c r="C115" s="604">
        <v>40</v>
      </c>
      <c r="D115" s="604">
        <f t="shared" ref="D115:D139" si="7">C115*B115</f>
        <v>80</v>
      </c>
    </row>
    <row r="116" spans="1:4">
      <c r="A116" s="613" t="s">
        <v>674</v>
      </c>
      <c r="B116" s="604">
        <v>1</v>
      </c>
      <c r="C116" s="604">
        <v>200</v>
      </c>
      <c r="D116" s="604">
        <f t="shared" si="7"/>
        <v>200</v>
      </c>
    </row>
    <row r="117" spans="1:4">
      <c r="A117" s="613" t="s">
        <v>675</v>
      </c>
      <c r="B117" s="604">
        <v>1</v>
      </c>
      <c r="C117" s="604">
        <v>30</v>
      </c>
      <c r="D117" s="604">
        <f t="shared" si="7"/>
        <v>30</v>
      </c>
    </row>
    <row r="118" spans="1:4">
      <c r="A118" s="613" t="s">
        <v>676</v>
      </c>
      <c r="B118" s="604">
        <v>1</v>
      </c>
      <c r="C118" s="604">
        <v>110</v>
      </c>
      <c r="D118" s="604">
        <f t="shared" si="7"/>
        <v>110</v>
      </c>
    </row>
    <row r="119" spans="1:4">
      <c r="A119" s="613" t="s">
        <v>677</v>
      </c>
      <c r="B119" s="604">
        <v>1</v>
      </c>
      <c r="C119" s="604">
        <v>50</v>
      </c>
      <c r="D119" s="604">
        <f t="shared" si="7"/>
        <v>50</v>
      </c>
    </row>
    <row r="120" spans="1:4">
      <c r="A120" s="613" t="s">
        <v>667</v>
      </c>
      <c r="B120" s="604">
        <v>1</v>
      </c>
      <c r="C120" s="604">
        <v>170</v>
      </c>
      <c r="D120" s="604">
        <f t="shared" si="7"/>
        <v>170</v>
      </c>
    </row>
    <row r="121" spans="1:4">
      <c r="A121" s="613" t="s">
        <v>678</v>
      </c>
      <c r="B121" s="604">
        <v>1</v>
      </c>
      <c r="C121" s="604">
        <v>70</v>
      </c>
      <c r="D121" s="604">
        <f t="shared" si="7"/>
        <v>70</v>
      </c>
    </row>
    <row r="122" spans="1:4">
      <c r="A122" s="613" t="s">
        <v>679</v>
      </c>
      <c r="B122" s="604">
        <v>1</v>
      </c>
      <c r="C122" s="604">
        <v>30</v>
      </c>
      <c r="D122" s="604">
        <f>C122*B122</f>
        <v>30</v>
      </c>
    </row>
    <row r="123" spans="1:4">
      <c r="A123" s="613" t="s">
        <v>670</v>
      </c>
      <c r="B123" s="604">
        <v>1</v>
      </c>
      <c r="C123" s="604">
        <v>60</v>
      </c>
      <c r="D123" s="604">
        <f>C123*B123</f>
        <v>60</v>
      </c>
    </row>
    <row r="124" spans="1:4">
      <c r="A124" s="613" t="s">
        <v>322</v>
      </c>
      <c r="B124" s="604">
        <v>1</v>
      </c>
      <c r="C124" s="604">
        <v>100</v>
      </c>
      <c r="D124" s="604">
        <f>C124*B124</f>
        <v>100</v>
      </c>
    </row>
    <row r="125" spans="1:4">
      <c r="A125" s="613" t="s">
        <v>680</v>
      </c>
      <c r="B125" s="604">
        <v>1</v>
      </c>
      <c r="C125" s="604">
        <v>80</v>
      </c>
      <c r="D125" s="604">
        <f>C125*B125</f>
        <v>80</v>
      </c>
    </row>
    <row r="126" spans="1:4">
      <c r="A126" s="621" t="s">
        <v>656</v>
      </c>
      <c r="B126" s="604">
        <v>7</v>
      </c>
      <c r="C126" s="604">
        <v>18</v>
      </c>
      <c r="D126" s="604">
        <f t="shared" si="7"/>
        <v>126</v>
      </c>
    </row>
    <row r="127" spans="1:4">
      <c r="A127" s="611" t="s">
        <v>657</v>
      </c>
      <c r="B127" s="604">
        <v>1</v>
      </c>
      <c r="C127" s="604">
        <v>160</v>
      </c>
      <c r="D127" s="604">
        <f t="shared" si="7"/>
        <v>160</v>
      </c>
    </row>
    <row r="128" spans="1:4">
      <c r="A128" s="622"/>
      <c r="B128" s="604"/>
      <c r="C128" s="604"/>
      <c r="D128" s="604"/>
    </row>
    <row r="129" spans="1:4" ht="25">
      <c r="A129" s="608" t="s">
        <v>749</v>
      </c>
      <c r="B129" s="604">
        <v>1</v>
      </c>
      <c r="C129" s="604">
        <v>60</v>
      </c>
      <c r="D129" s="605">
        <f t="shared" si="7"/>
        <v>60</v>
      </c>
    </row>
    <row r="130" spans="1:4" ht="25">
      <c r="A130" s="608" t="s">
        <v>751</v>
      </c>
      <c r="B130" s="604">
        <v>110</v>
      </c>
      <c r="C130" s="604">
        <v>260</v>
      </c>
      <c r="D130" s="605">
        <f>C130</f>
        <v>260</v>
      </c>
    </row>
    <row r="131" spans="1:4" ht="25">
      <c r="A131" s="608" t="s">
        <v>752</v>
      </c>
      <c r="B131" s="604">
        <v>25</v>
      </c>
      <c r="C131" s="604">
        <v>80</v>
      </c>
      <c r="D131" s="605">
        <f>C131</f>
        <v>80</v>
      </c>
    </row>
    <row r="132" spans="1:4">
      <c r="A132" s="608" t="s">
        <v>753</v>
      </c>
      <c r="B132" s="604">
        <v>1</v>
      </c>
      <c r="C132" s="604">
        <v>60</v>
      </c>
      <c r="D132" s="605">
        <f>C132*B132</f>
        <v>60</v>
      </c>
    </row>
    <row r="133" spans="1:4">
      <c r="A133" s="611"/>
      <c r="B133" s="604"/>
      <c r="C133" s="604"/>
      <c r="D133" s="604"/>
    </row>
    <row r="134" spans="1:4" ht="25">
      <c r="A134" s="608" t="s">
        <v>754</v>
      </c>
      <c r="B134" s="604"/>
      <c r="C134" s="604"/>
      <c r="D134" s="605">
        <f>SUM(D135:D139)</f>
        <v>410</v>
      </c>
    </row>
    <row r="135" spans="1:4">
      <c r="A135" s="611" t="s">
        <v>681</v>
      </c>
      <c r="B135" s="604">
        <v>1</v>
      </c>
      <c r="C135" s="604">
        <v>120</v>
      </c>
      <c r="D135" s="604">
        <f t="shared" si="7"/>
        <v>120</v>
      </c>
    </row>
    <row r="136" spans="1:4">
      <c r="A136" s="611" t="s">
        <v>682</v>
      </c>
      <c r="B136" s="604">
        <v>1</v>
      </c>
      <c r="C136" s="604">
        <v>180</v>
      </c>
      <c r="D136" s="604">
        <f t="shared" si="7"/>
        <v>180</v>
      </c>
    </row>
    <row r="137" spans="1:4">
      <c r="A137" s="611" t="s">
        <v>683</v>
      </c>
      <c r="B137" s="604">
        <v>1</v>
      </c>
      <c r="C137" s="604">
        <v>30</v>
      </c>
      <c r="D137" s="604">
        <f t="shared" si="7"/>
        <v>30</v>
      </c>
    </row>
    <row r="138" spans="1:4">
      <c r="A138" s="611" t="s">
        <v>684</v>
      </c>
      <c r="B138" s="604">
        <v>1</v>
      </c>
      <c r="C138" s="604">
        <v>20</v>
      </c>
      <c r="D138" s="604">
        <f t="shared" si="7"/>
        <v>20</v>
      </c>
    </row>
    <row r="139" spans="1:4">
      <c r="A139" s="611" t="s">
        <v>685</v>
      </c>
      <c r="B139" s="604">
        <v>1</v>
      </c>
      <c r="C139" s="604">
        <v>60</v>
      </c>
      <c r="D139" s="604">
        <f t="shared" si="7"/>
        <v>60</v>
      </c>
    </row>
    <row r="140" spans="1:4">
      <c r="A140" s="609"/>
      <c r="B140" s="604"/>
      <c r="C140" s="604"/>
      <c r="D140" s="604"/>
    </row>
    <row r="141" spans="1:4" ht="15">
      <c r="A141" s="615" t="s">
        <v>659</v>
      </c>
      <c r="B141" s="616"/>
      <c r="C141" s="616"/>
      <c r="D141" s="607">
        <f>SUM(D102,D103,D109,D110,D112,D129:D134)</f>
        <v>5618</v>
      </c>
    </row>
    <row r="142" spans="1:4" ht="15">
      <c r="A142" s="608"/>
      <c r="B142" s="604"/>
      <c r="C142" s="604"/>
      <c r="D142" s="606"/>
    </row>
    <row r="143" spans="1:4" ht="15">
      <c r="A143" s="615" t="s">
        <v>889</v>
      </c>
      <c r="B143" s="616"/>
      <c r="C143" s="616"/>
      <c r="D143" s="607">
        <f>D141*135000*1.25</f>
        <v>948037500</v>
      </c>
    </row>
    <row r="144" spans="1:4" ht="15">
      <c r="A144" s="609"/>
      <c r="B144" s="604"/>
      <c r="C144" s="604"/>
      <c r="D144" s="606"/>
    </row>
    <row r="145" spans="1:4" ht="24.65" customHeight="1">
      <c r="A145" s="608" t="s">
        <v>893</v>
      </c>
      <c r="B145" s="604"/>
      <c r="C145" s="604"/>
      <c r="D145" s="604"/>
    </row>
    <row r="146" spans="1:4" ht="25">
      <c r="A146" s="611" t="s">
        <v>755</v>
      </c>
      <c r="B146" s="604">
        <v>1</v>
      </c>
      <c r="C146" s="604">
        <v>80</v>
      </c>
      <c r="D146" s="604">
        <f>C146*B146</f>
        <v>80</v>
      </c>
    </row>
    <row r="147" spans="1:4">
      <c r="A147" s="611" t="s">
        <v>686</v>
      </c>
      <c r="B147" s="604">
        <v>1</v>
      </c>
      <c r="C147" s="604">
        <v>400</v>
      </c>
      <c r="D147" s="604">
        <f t="shared" ref="D147:D151" si="8">C147*B147</f>
        <v>400</v>
      </c>
    </row>
    <row r="148" spans="1:4" ht="25">
      <c r="A148" s="611" t="s">
        <v>756</v>
      </c>
      <c r="B148" s="604">
        <v>2</v>
      </c>
      <c r="C148" s="604">
        <v>432</v>
      </c>
      <c r="D148" s="604">
        <f t="shared" si="8"/>
        <v>864</v>
      </c>
    </row>
    <row r="149" spans="1:4" ht="25">
      <c r="A149" s="611" t="s">
        <v>757</v>
      </c>
      <c r="B149" s="604">
        <v>1</v>
      </c>
      <c r="C149" s="604">
        <v>65</v>
      </c>
      <c r="D149" s="604">
        <f t="shared" si="8"/>
        <v>65</v>
      </c>
    </row>
    <row r="150" spans="1:4" ht="25">
      <c r="A150" s="611" t="s">
        <v>758</v>
      </c>
      <c r="B150" s="604">
        <v>1</v>
      </c>
      <c r="C150" s="604">
        <v>35</v>
      </c>
      <c r="D150" s="604">
        <f t="shared" si="8"/>
        <v>35</v>
      </c>
    </row>
    <row r="151" spans="1:4">
      <c r="A151" s="611" t="s">
        <v>759</v>
      </c>
      <c r="B151" s="604">
        <v>1</v>
      </c>
      <c r="C151" s="604">
        <v>60</v>
      </c>
      <c r="D151" s="604">
        <f t="shared" si="8"/>
        <v>60</v>
      </c>
    </row>
    <row r="152" spans="1:4" ht="25">
      <c r="A152" s="609" t="s">
        <v>760</v>
      </c>
      <c r="B152" s="604">
        <v>1</v>
      </c>
      <c r="C152" s="604">
        <v>80</v>
      </c>
      <c r="D152" s="604">
        <f t="shared" ref="D152:D155" si="9">B152*C152</f>
        <v>80</v>
      </c>
    </row>
    <row r="153" spans="1:4">
      <c r="A153" s="609" t="s">
        <v>687</v>
      </c>
      <c r="B153" s="604"/>
      <c r="C153" s="604"/>
      <c r="D153" s="604"/>
    </row>
    <row r="154" spans="1:4">
      <c r="A154" s="609" t="s">
        <v>761</v>
      </c>
      <c r="B154" s="604"/>
      <c r="C154" s="604"/>
      <c r="D154" s="604"/>
    </row>
    <row r="155" spans="1:4">
      <c r="A155" s="609" t="s">
        <v>762</v>
      </c>
      <c r="B155" s="604">
        <v>1</v>
      </c>
      <c r="C155" s="604">
        <v>24</v>
      </c>
      <c r="D155" s="604">
        <f t="shared" si="9"/>
        <v>24</v>
      </c>
    </row>
    <row r="156" spans="1:4" ht="25">
      <c r="A156" s="609" t="s">
        <v>763</v>
      </c>
      <c r="B156" s="604">
        <v>1</v>
      </c>
      <c r="C156" s="604">
        <f>18*70</f>
        <v>1260</v>
      </c>
      <c r="D156" s="604">
        <f>B156*C156</f>
        <v>1260</v>
      </c>
    </row>
    <row r="157" spans="1:4" ht="25">
      <c r="A157" s="609" t="s">
        <v>800</v>
      </c>
      <c r="B157" s="604">
        <v>1</v>
      </c>
      <c r="C157" s="604">
        <f>18*20</f>
        <v>360</v>
      </c>
      <c r="D157" s="604">
        <f>B157*C157</f>
        <v>360</v>
      </c>
    </row>
    <row r="158" spans="1:4">
      <c r="A158" s="609"/>
      <c r="B158" s="604"/>
      <c r="C158" s="604"/>
      <c r="D158" s="604"/>
    </row>
    <row r="159" spans="1:4" ht="17.5">
      <c r="A159" s="799" t="s">
        <v>688</v>
      </c>
      <c r="B159" s="799"/>
      <c r="C159" s="799"/>
      <c r="D159" s="799"/>
    </row>
    <row r="160" spans="1:4">
      <c r="A160" s="609"/>
      <c r="B160" s="604"/>
      <c r="C160" s="604"/>
      <c r="D160" s="604"/>
    </row>
    <row r="161" spans="1:4">
      <c r="A161" s="608" t="s">
        <v>689</v>
      </c>
      <c r="B161" s="604"/>
      <c r="C161" s="604"/>
      <c r="D161" s="604"/>
    </row>
    <row r="162" spans="1:4" ht="25">
      <c r="A162" s="610" t="s">
        <v>766</v>
      </c>
      <c r="B162" s="605">
        <f>SUM(B163:B165)</f>
        <v>40</v>
      </c>
      <c r="C162" s="604"/>
      <c r="D162" s="605">
        <v>1200</v>
      </c>
    </row>
    <row r="163" spans="1:4">
      <c r="A163" s="611" t="s">
        <v>690</v>
      </c>
      <c r="B163" s="604">
        <v>21</v>
      </c>
      <c r="C163" s="604">
        <v>18</v>
      </c>
      <c r="D163" s="604">
        <f>C163*B163</f>
        <v>378</v>
      </c>
    </row>
    <row r="164" spans="1:4">
      <c r="A164" s="611" t="s">
        <v>691</v>
      </c>
      <c r="B164" s="604">
        <v>11</v>
      </c>
      <c r="C164" s="604">
        <v>24</v>
      </c>
      <c r="D164" s="604">
        <f t="shared" ref="D164:D169" si="10">C164*B164</f>
        <v>264</v>
      </c>
    </row>
    <row r="165" spans="1:4">
      <c r="A165" s="611" t="s">
        <v>692</v>
      </c>
      <c r="B165" s="604">
        <v>8</v>
      </c>
      <c r="C165" s="604">
        <v>16</v>
      </c>
      <c r="D165" s="604">
        <f t="shared" si="10"/>
        <v>128</v>
      </c>
    </row>
    <row r="166" spans="1:4">
      <c r="A166" s="609"/>
      <c r="B166" s="604"/>
      <c r="C166" s="604"/>
      <c r="D166" s="604"/>
    </row>
    <row r="167" spans="1:4" ht="25">
      <c r="A167" s="610" t="s">
        <v>765</v>
      </c>
      <c r="B167" s="605">
        <f>SUM(B168:B169)</f>
        <v>10</v>
      </c>
      <c r="C167" s="604" t="s">
        <v>693</v>
      </c>
      <c r="D167" s="604"/>
    </row>
    <row r="168" spans="1:4">
      <c r="A168" s="611" t="s">
        <v>802</v>
      </c>
      <c r="B168" s="604">
        <v>5</v>
      </c>
      <c r="C168" s="604">
        <v>25</v>
      </c>
      <c r="D168" s="604">
        <f t="shared" si="10"/>
        <v>125</v>
      </c>
    </row>
    <row r="169" spans="1:4">
      <c r="A169" s="611" t="s">
        <v>803</v>
      </c>
      <c r="B169" s="604">
        <v>5</v>
      </c>
      <c r="C169" s="604">
        <v>35</v>
      </c>
      <c r="D169" s="604">
        <f t="shared" si="10"/>
        <v>175</v>
      </c>
    </row>
    <row r="170" spans="1:4">
      <c r="A170" s="611"/>
      <c r="B170" s="604"/>
      <c r="C170" s="604"/>
      <c r="D170" s="604"/>
    </row>
    <row r="171" spans="1:4" ht="25">
      <c r="A171" s="610" t="s">
        <v>764</v>
      </c>
      <c r="B171" s="604"/>
      <c r="C171" s="604">
        <f>B172*1.7</f>
        <v>42.5</v>
      </c>
      <c r="D171" s="605">
        <f>SUM(D172:D175)</f>
        <v>292.5</v>
      </c>
    </row>
    <row r="172" spans="1:4">
      <c r="A172" s="611" t="s">
        <v>694</v>
      </c>
      <c r="B172" s="604">
        <v>25</v>
      </c>
      <c r="C172" s="614"/>
      <c r="D172" s="604">
        <f>C171</f>
        <v>42.5</v>
      </c>
    </row>
    <row r="173" spans="1:4">
      <c r="A173" s="611" t="s">
        <v>695</v>
      </c>
      <c r="B173" s="604">
        <v>50</v>
      </c>
      <c r="C173" s="604">
        <f>B173*2</f>
        <v>100</v>
      </c>
      <c r="D173" s="604">
        <f t="shared" ref="D173:D177" si="11">C173</f>
        <v>100</v>
      </c>
    </row>
    <row r="174" spans="1:4">
      <c r="A174" s="611" t="s">
        <v>696</v>
      </c>
      <c r="B174" s="604">
        <v>50</v>
      </c>
      <c r="C174" s="604">
        <f>B174*2</f>
        <v>100</v>
      </c>
      <c r="D174" s="604">
        <f t="shared" si="11"/>
        <v>100</v>
      </c>
    </row>
    <row r="175" spans="1:4">
      <c r="A175" s="611" t="s">
        <v>697</v>
      </c>
      <c r="B175" s="604">
        <v>1</v>
      </c>
      <c r="C175" s="604">
        <v>50</v>
      </c>
      <c r="D175" s="604">
        <f t="shared" si="11"/>
        <v>50</v>
      </c>
    </row>
    <row r="176" spans="1:4">
      <c r="A176" s="604"/>
      <c r="B176" s="604"/>
      <c r="C176" s="604"/>
      <c r="D176" s="604"/>
    </row>
    <row r="177" spans="1:4">
      <c r="A177" s="625" t="s">
        <v>767</v>
      </c>
      <c r="B177" s="605">
        <v>1</v>
      </c>
      <c r="C177" s="605">
        <v>120</v>
      </c>
      <c r="D177" s="605">
        <f t="shared" si="11"/>
        <v>120</v>
      </c>
    </row>
    <row r="178" spans="1:4">
      <c r="A178" s="609"/>
      <c r="B178" s="604"/>
      <c r="C178" s="604"/>
      <c r="D178" s="604"/>
    </row>
    <row r="179" spans="1:4" ht="25">
      <c r="A179" s="608" t="s">
        <v>768</v>
      </c>
      <c r="B179" s="604"/>
      <c r="C179" s="604"/>
      <c r="D179" s="605">
        <f>SUM(D180:D184)</f>
        <v>1360</v>
      </c>
    </row>
    <row r="180" spans="1:4">
      <c r="A180" s="611" t="s">
        <v>698</v>
      </c>
      <c r="B180" s="604">
        <v>4</v>
      </c>
      <c r="C180" s="604">
        <v>45</v>
      </c>
      <c r="D180" s="604">
        <f>C180*B180</f>
        <v>180</v>
      </c>
    </row>
    <row r="181" spans="1:4">
      <c r="A181" s="611" t="s">
        <v>699</v>
      </c>
      <c r="B181" s="604">
        <v>1</v>
      </c>
      <c r="C181" s="604">
        <v>120</v>
      </c>
      <c r="D181" s="604">
        <f>C181*B181</f>
        <v>120</v>
      </c>
    </row>
    <row r="182" spans="1:4" ht="25">
      <c r="A182" s="611" t="s">
        <v>700</v>
      </c>
      <c r="B182" s="604">
        <v>1</v>
      </c>
      <c r="C182" s="604">
        <v>600</v>
      </c>
      <c r="D182" s="604">
        <f>C182*B182</f>
        <v>600</v>
      </c>
    </row>
    <row r="183" spans="1:4" ht="25">
      <c r="A183" s="611" t="s">
        <v>701</v>
      </c>
      <c r="B183" s="604">
        <v>1</v>
      </c>
      <c r="C183" s="604">
        <v>400</v>
      </c>
      <c r="D183" s="604">
        <f>C183*B183</f>
        <v>400</v>
      </c>
    </row>
    <row r="184" spans="1:4">
      <c r="A184" s="611" t="s">
        <v>702</v>
      </c>
      <c r="B184" s="604">
        <v>1</v>
      </c>
      <c r="C184" s="604">
        <v>60</v>
      </c>
      <c r="D184" s="604">
        <f>C184*B184</f>
        <v>60</v>
      </c>
    </row>
    <row r="185" spans="1:4">
      <c r="A185" s="609"/>
      <c r="B185" s="604"/>
      <c r="C185" s="604"/>
      <c r="D185" s="604"/>
    </row>
    <row r="186" spans="1:4" ht="25">
      <c r="A186" s="608" t="s">
        <v>769</v>
      </c>
      <c r="B186" s="604"/>
      <c r="C186" s="604"/>
      <c r="D186" s="605">
        <f>SUM(D187:D190)</f>
        <v>860</v>
      </c>
    </row>
    <row r="187" spans="1:4">
      <c r="A187" s="611" t="s">
        <v>703</v>
      </c>
      <c r="B187" s="604">
        <v>1</v>
      </c>
      <c r="C187" s="604">
        <v>350</v>
      </c>
      <c r="D187" s="604">
        <f>C187*B187</f>
        <v>350</v>
      </c>
    </row>
    <row r="188" spans="1:4">
      <c r="A188" s="611" t="s">
        <v>704</v>
      </c>
      <c r="B188" s="604">
        <v>4</v>
      </c>
      <c r="C188" s="604">
        <v>70</v>
      </c>
      <c r="D188" s="604">
        <f>C188*B188</f>
        <v>280</v>
      </c>
    </row>
    <row r="189" spans="1:4" ht="25">
      <c r="A189" s="611" t="s">
        <v>705</v>
      </c>
      <c r="B189" s="604">
        <v>1</v>
      </c>
      <c r="C189" s="604">
        <v>150</v>
      </c>
      <c r="D189" s="604">
        <f>C189*B189</f>
        <v>150</v>
      </c>
    </row>
    <row r="190" spans="1:4">
      <c r="A190" s="611" t="s">
        <v>706</v>
      </c>
      <c r="B190" s="604">
        <v>2</v>
      </c>
      <c r="C190" s="604">
        <v>40</v>
      </c>
      <c r="D190" s="604">
        <f>C190*B190</f>
        <v>80</v>
      </c>
    </row>
    <row r="191" spans="1:4">
      <c r="A191" s="611"/>
      <c r="B191" s="604"/>
      <c r="C191" s="604"/>
      <c r="D191" s="604"/>
    </row>
    <row r="192" spans="1:4" ht="28">
      <c r="A192" s="624" t="s">
        <v>890</v>
      </c>
      <c r="B192" s="604"/>
      <c r="C192" s="604"/>
      <c r="D192" s="606">
        <f>SUM(D162,D171,D177,D179,D186)</f>
        <v>3832.5</v>
      </c>
    </row>
    <row r="193" spans="1:4">
      <c r="A193" s="604"/>
      <c r="B193" s="604"/>
      <c r="C193" s="604"/>
      <c r="D193" s="604"/>
    </row>
    <row r="194" spans="1:4" ht="25">
      <c r="A194" s="608" t="s">
        <v>770</v>
      </c>
      <c r="B194" s="604"/>
      <c r="C194" s="604"/>
      <c r="D194" s="604"/>
    </row>
    <row r="195" spans="1:4">
      <c r="A195" s="611" t="s">
        <v>707</v>
      </c>
      <c r="B195" s="604"/>
      <c r="C195" s="604"/>
      <c r="D195" s="604"/>
    </row>
    <row r="196" spans="1:4">
      <c r="A196" s="611" t="s">
        <v>708</v>
      </c>
      <c r="B196" s="604"/>
      <c r="C196" s="604"/>
      <c r="D196" s="604"/>
    </row>
    <row r="197" spans="1:4">
      <c r="A197" s="611" t="s">
        <v>709</v>
      </c>
      <c r="B197" s="604"/>
      <c r="C197" s="604"/>
      <c r="D197" s="604"/>
    </row>
    <row r="198" spans="1:4">
      <c r="A198" s="611" t="s">
        <v>710</v>
      </c>
      <c r="B198" s="604"/>
      <c r="C198" s="604"/>
      <c r="D198" s="604"/>
    </row>
    <row r="199" spans="1:4">
      <c r="A199" s="611" t="s">
        <v>711</v>
      </c>
      <c r="B199" s="604"/>
      <c r="C199" s="604"/>
      <c r="D199" s="604"/>
    </row>
    <row r="200" spans="1:4">
      <c r="A200" s="611" t="s">
        <v>712</v>
      </c>
      <c r="B200" s="604"/>
      <c r="C200" s="623"/>
      <c r="D200" s="604"/>
    </row>
    <row r="201" spans="1:4">
      <c r="A201" s="611" t="s">
        <v>713</v>
      </c>
      <c r="B201" s="623"/>
      <c r="C201" s="604"/>
      <c r="D201" s="604"/>
    </row>
    <row r="202" spans="1:4">
      <c r="A202" s="611" t="s">
        <v>714</v>
      </c>
      <c r="B202" s="604"/>
      <c r="C202" s="604"/>
      <c r="D202" s="604"/>
    </row>
    <row r="203" spans="1:4">
      <c r="A203" s="611" t="s">
        <v>715</v>
      </c>
      <c r="B203" s="604"/>
      <c r="C203" s="604"/>
      <c r="D203" s="604"/>
    </row>
    <row r="204" spans="1:4">
      <c r="A204" s="611" t="s">
        <v>716</v>
      </c>
      <c r="B204" s="604"/>
      <c r="C204" s="604"/>
      <c r="D204" s="604"/>
    </row>
    <row r="206" spans="1:4" ht="30">
      <c r="A206" s="626" t="s">
        <v>891</v>
      </c>
      <c r="B206" s="627"/>
      <c r="C206" s="627"/>
      <c r="D206" s="607">
        <f>D192*145000*1.31</f>
        <v>727983375</v>
      </c>
    </row>
    <row r="209" spans="1:4" ht="18" customHeight="1">
      <c r="A209" s="626" t="s">
        <v>892</v>
      </c>
      <c r="B209" s="627"/>
      <c r="C209" s="627"/>
      <c r="D209" s="628">
        <f>SUM(D51,D92,D94,D143,D206)</f>
        <v>4388684875</v>
      </c>
    </row>
    <row r="215" spans="1:4" ht="25">
      <c r="A215" s="469" t="s">
        <v>919</v>
      </c>
      <c r="B215" s="470" t="s">
        <v>920</v>
      </c>
    </row>
    <row r="216" spans="1:4">
      <c r="A216" s="673"/>
      <c r="B216" s="674"/>
    </row>
    <row r="217" spans="1:4" ht="25">
      <c r="A217" s="609" t="str">
        <f>A55</f>
        <v>Действующий номерной фонд санатория</v>
      </c>
      <c r="B217" s="609">
        <v>180000000</v>
      </c>
    </row>
    <row r="218" spans="1:4">
      <c r="A218" s="609" t="s">
        <v>880</v>
      </c>
      <c r="B218" s="609">
        <v>135000000</v>
      </c>
    </row>
    <row r="219" spans="1:4">
      <c r="A219" s="609" t="s">
        <v>921</v>
      </c>
      <c r="B219" s="609">
        <v>25000000</v>
      </c>
    </row>
    <row r="220" spans="1:4">
      <c r="A220" s="609" t="s">
        <v>922</v>
      </c>
      <c r="B220" s="609">
        <v>35000000</v>
      </c>
    </row>
    <row r="221" spans="1:4">
      <c r="A221" s="609" t="s">
        <v>923</v>
      </c>
      <c r="B221" s="609">
        <v>21000000</v>
      </c>
    </row>
    <row r="222" spans="1:4">
      <c r="A222" s="609" t="str">
        <f>A68</f>
        <v>Прачечная</v>
      </c>
      <c r="B222" s="609">
        <v>35000000</v>
      </c>
    </row>
    <row r="223" spans="1:4">
      <c r="A223" s="608" t="s">
        <v>924</v>
      </c>
      <c r="B223" s="608">
        <f>SUM(B217:B222)</f>
        <v>431000000</v>
      </c>
    </row>
    <row r="224" spans="1:4">
      <c r="A224" s="609"/>
      <c r="B224" s="609"/>
    </row>
    <row r="225" spans="1:2">
      <c r="A225" s="609"/>
      <c r="B225" s="609"/>
    </row>
    <row r="226" spans="1:2" ht="25">
      <c r="A226" s="609" t="str">
        <f>A70</f>
        <v>Создаваемые служебные объекты</v>
      </c>
      <c r="B226" s="674"/>
    </row>
    <row r="227" spans="1:2">
      <c r="A227" s="609" t="str">
        <f>A71</f>
        <v>Общежитие</v>
      </c>
      <c r="B227" s="609">
        <v>150000000</v>
      </c>
    </row>
    <row r="228" spans="1:2">
      <c r="A228" s="609" t="str">
        <f>A72</f>
        <v>Жилой дом для врачей</v>
      </c>
      <c r="B228" s="609">
        <v>440000000</v>
      </c>
    </row>
    <row r="229" spans="1:2" ht="25">
      <c r="A229" s="675" t="s">
        <v>925</v>
      </c>
      <c r="B229" s="620">
        <f>SUM(B227:B228)</f>
        <v>590000000</v>
      </c>
    </row>
  </sheetData>
  <mergeCells count="4">
    <mergeCell ref="A159:D159"/>
    <mergeCell ref="A3:D3"/>
    <mergeCell ref="A53:D53"/>
    <mergeCell ref="A100:D100"/>
  </mergeCells>
  <pageMargins left="0.7" right="0.7" top="0.75" bottom="0.75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/>
  <dimension ref="A1:M84"/>
  <sheetViews>
    <sheetView topLeftCell="B1" workbookViewId="0">
      <selection activeCell="D16" sqref="D16"/>
    </sheetView>
  </sheetViews>
  <sheetFormatPr defaultColWidth="14.453125" defaultRowHeight="12.5"/>
  <cols>
    <col min="1" max="1" width="6.7265625" style="530" customWidth="1"/>
    <col min="2" max="2" width="42.453125" style="530" customWidth="1"/>
    <col min="3" max="3" width="19.1796875" style="530" customWidth="1"/>
    <col min="4" max="4" width="13.26953125" style="530" customWidth="1"/>
    <col min="5" max="5" width="10.7265625" style="530" customWidth="1"/>
    <col min="6" max="6" width="22.81640625" style="530" customWidth="1"/>
    <col min="7" max="7" width="9.1796875" style="530" customWidth="1"/>
    <col min="8" max="8" width="15.1796875" style="530" customWidth="1"/>
    <col min="9" max="9" width="7" style="530" customWidth="1"/>
    <col min="10" max="10" width="20.26953125" style="530" customWidth="1"/>
    <col min="11" max="11" width="15" style="530" bestFit="1" customWidth="1"/>
    <col min="12" max="12" width="18.26953125" style="530" bestFit="1" customWidth="1"/>
    <col min="13" max="13" width="16.54296875" style="530" bestFit="1" customWidth="1"/>
    <col min="14" max="16384" width="14.453125" style="530"/>
  </cols>
  <sheetData>
    <row r="1" spans="1:13" ht="14.5">
      <c r="A1" s="159"/>
      <c r="B1" s="159"/>
      <c r="C1" s="159"/>
      <c r="D1" s="159"/>
      <c r="E1" s="159"/>
      <c r="F1" s="159"/>
      <c r="G1" s="159"/>
      <c r="H1" s="159"/>
      <c r="I1" s="159"/>
      <c r="J1" s="450"/>
      <c r="K1" s="666"/>
      <c r="L1" s="667"/>
      <c r="M1" s="667"/>
    </row>
    <row r="2" spans="1:13" ht="27" customHeight="1">
      <c r="A2" s="161"/>
      <c r="B2" s="160" t="s">
        <v>311</v>
      </c>
      <c r="C2" s="160" t="s">
        <v>312</v>
      </c>
      <c r="D2" s="160" t="s">
        <v>313</v>
      </c>
      <c r="E2" s="161" t="s">
        <v>314</v>
      </c>
      <c r="F2" s="161" t="s">
        <v>894</v>
      </c>
      <c r="G2" s="159"/>
      <c r="H2" s="159"/>
      <c r="I2" s="159"/>
      <c r="J2" s="450"/>
      <c r="K2" s="666"/>
    </row>
    <row r="3" spans="1:13" ht="21" customHeight="1">
      <c r="A3" s="161" t="s">
        <v>315</v>
      </c>
      <c r="B3" s="671" t="s">
        <v>1097</v>
      </c>
      <c r="C3" s="739">
        <f>SUM(C4,C8)</f>
        <v>5501374875</v>
      </c>
      <c r="D3" s="672"/>
      <c r="E3" s="161"/>
      <c r="F3" s="161"/>
      <c r="G3" s="159"/>
      <c r="H3" s="159"/>
      <c r="I3" s="159"/>
      <c r="J3" s="450"/>
      <c r="K3" s="666"/>
    </row>
    <row r="4" spans="1:13" ht="26">
      <c r="B4" s="670" t="str">
        <f>'график квартальный'!B1</f>
        <v>Этап 1. Создание санаторно-курортного комплекса Борисовский с Эко-вилладж</v>
      </c>
      <c r="C4" s="738">
        <f>'график квартальный'!C37</f>
        <v>4773391500</v>
      </c>
      <c r="D4" s="668">
        <v>1</v>
      </c>
    </row>
    <row r="5" spans="1:13" ht="14.5">
      <c r="A5" s="164" t="s">
        <v>316</v>
      </c>
      <c r="B5" s="669" t="s">
        <v>317</v>
      </c>
      <c r="C5" s="162">
        <f>$C$4*D5</f>
        <v>954678300</v>
      </c>
      <c r="D5" s="165">
        <v>0.2</v>
      </c>
      <c r="E5" s="161"/>
      <c r="F5" s="161"/>
      <c r="G5" s="159"/>
      <c r="H5" s="159"/>
      <c r="I5" s="159"/>
      <c r="J5" s="159"/>
    </row>
    <row r="6" spans="1:13" ht="14.5">
      <c r="A6" s="164" t="s">
        <v>318</v>
      </c>
      <c r="B6" s="669" t="s">
        <v>319</v>
      </c>
      <c r="C6" s="162">
        <f>$C$4*D6</f>
        <v>3818713200</v>
      </c>
      <c r="D6" s="165">
        <f>D4-D5</f>
        <v>0.8</v>
      </c>
      <c r="E6" s="166">
        <v>0.15</v>
      </c>
      <c r="F6" s="166">
        <f>3%+30%*E6</f>
        <v>7.4999999999999997E-2</v>
      </c>
      <c r="G6" s="159"/>
      <c r="H6" s="159"/>
      <c r="I6" s="159"/>
      <c r="J6" s="159"/>
    </row>
    <row r="7" spans="1:13" ht="14.5">
      <c r="A7" s="159"/>
      <c r="B7" s="159"/>
      <c r="C7" s="159"/>
      <c r="D7" s="159"/>
      <c r="E7" s="159"/>
      <c r="F7" s="159"/>
      <c r="G7" s="159"/>
      <c r="H7" s="159"/>
      <c r="I7" s="159"/>
      <c r="J7" s="159"/>
    </row>
    <row r="8" spans="1:13" ht="13">
      <c r="B8" s="670" t="str">
        <f>'график квартальный'!B65</f>
        <v>Этап 2. Создание Этно-деревни</v>
      </c>
      <c r="C8" s="738">
        <f>'график квартальный'!C65</f>
        <v>727983375</v>
      </c>
      <c r="D8" s="668">
        <v>1</v>
      </c>
    </row>
    <row r="9" spans="1:13" ht="14.5">
      <c r="A9" s="159"/>
      <c r="B9" s="669" t="s">
        <v>317</v>
      </c>
      <c r="C9" s="162">
        <f>$C$8*D9</f>
        <v>145596675</v>
      </c>
      <c r="D9" s="165">
        <v>0.2</v>
      </c>
      <c r="E9" s="159"/>
      <c r="F9" s="159"/>
      <c r="G9" s="159"/>
      <c r="H9" s="159"/>
      <c r="I9" s="159"/>
      <c r="J9" s="159"/>
    </row>
    <row r="10" spans="1:13" ht="14.5">
      <c r="A10" s="159"/>
      <c r="B10" s="669" t="s">
        <v>319</v>
      </c>
      <c r="C10" s="162">
        <f>$C$8*D10</f>
        <v>582386700</v>
      </c>
      <c r="D10" s="165">
        <f>D8-D9</f>
        <v>0.8</v>
      </c>
      <c r="E10" s="159"/>
      <c r="F10" s="159"/>
      <c r="G10" s="159"/>
      <c r="H10" s="159"/>
      <c r="I10" s="159"/>
      <c r="J10" s="159"/>
    </row>
    <row r="11" spans="1:13" ht="14.5">
      <c r="A11" s="159"/>
      <c r="B11" s="159"/>
      <c r="C11" s="159"/>
      <c r="D11" s="159"/>
      <c r="E11" s="159"/>
      <c r="F11" s="159"/>
      <c r="G11" s="159"/>
      <c r="H11" s="159"/>
      <c r="I11" s="159"/>
      <c r="J11" s="159"/>
    </row>
    <row r="12" spans="1:13" ht="14.5">
      <c r="A12" s="159"/>
      <c r="B12" s="159"/>
      <c r="C12" s="159"/>
      <c r="D12" s="159"/>
      <c r="E12" s="159"/>
      <c r="F12" s="159"/>
      <c r="G12" s="159"/>
      <c r="H12" s="159"/>
      <c r="I12" s="159"/>
      <c r="J12" s="159"/>
    </row>
    <row r="13" spans="1:13" ht="14.5">
      <c r="A13" s="159"/>
      <c r="B13" s="159"/>
      <c r="C13" s="159">
        <f>C4/120*100</f>
        <v>3977826250</v>
      </c>
      <c r="D13" s="159"/>
      <c r="E13" s="159"/>
      <c r="F13" s="159"/>
      <c r="G13" s="159"/>
      <c r="H13" s="159"/>
      <c r="I13" s="159"/>
      <c r="J13" s="159"/>
    </row>
    <row r="14" spans="1:13" ht="14.5">
      <c r="A14" s="159"/>
      <c r="B14" s="159"/>
      <c r="C14" s="159"/>
      <c r="D14" s="159"/>
      <c r="E14" s="159"/>
      <c r="F14" s="159"/>
      <c r="G14" s="159"/>
      <c r="H14" s="159"/>
      <c r="I14" s="159"/>
      <c r="J14" s="159"/>
    </row>
    <row r="15" spans="1:13" ht="14.5">
      <c r="A15" s="159"/>
      <c r="B15" s="159"/>
      <c r="C15" s="159"/>
      <c r="D15" s="159"/>
      <c r="E15" s="159"/>
      <c r="F15" s="159"/>
      <c r="G15" s="159"/>
      <c r="H15" s="159"/>
      <c r="I15" s="159"/>
      <c r="J15" s="159"/>
    </row>
    <row r="16" spans="1:13" ht="14.5">
      <c r="A16" s="159"/>
      <c r="B16" s="159"/>
      <c r="C16" s="159">
        <v>3344840000</v>
      </c>
      <c r="D16" s="159">
        <f>C16/C13</f>
        <v>0.84087131759462852</v>
      </c>
      <c r="E16" s="159"/>
      <c r="F16" s="159"/>
      <c r="G16" s="159"/>
      <c r="H16" s="159"/>
      <c r="I16" s="159"/>
      <c r="J16" s="159"/>
    </row>
    <row r="17" spans="1:10" ht="14.5">
      <c r="A17" s="159"/>
      <c r="B17" s="159"/>
      <c r="C17" s="159"/>
      <c r="D17" s="159"/>
      <c r="E17" s="159"/>
      <c r="F17" s="159"/>
      <c r="G17" s="159"/>
      <c r="H17" s="159"/>
      <c r="I17" s="159"/>
      <c r="J17" s="159"/>
    </row>
    <row r="18" spans="1:10" ht="14.5">
      <c r="A18" s="159"/>
      <c r="B18" s="159"/>
      <c r="C18" s="159"/>
      <c r="D18" s="159"/>
      <c r="E18" s="159"/>
      <c r="F18" s="159"/>
      <c r="G18" s="159"/>
      <c r="H18" s="159"/>
      <c r="I18" s="159"/>
      <c r="J18" s="159"/>
    </row>
    <row r="19" spans="1:10" ht="14.5">
      <c r="A19" s="159"/>
      <c r="B19" s="159"/>
      <c r="C19" s="159"/>
      <c r="D19" s="159"/>
      <c r="E19" s="159"/>
      <c r="F19" s="159"/>
      <c r="G19" s="159"/>
      <c r="H19" s="159"/>
      <c r="I19" s="159"/>
      <c r="J19" s="159"/>
    </row>
    <row r="20" spans="1:10" ht="14.5">
      <c r="A20" s="159"/>
      <c r="B20" s="159"/>
      <c r="C20" s="159"/>
      <c r="D20" s="159"/>
      <c r="E20" s="159"/>
      <c r="F20" s="159"/>
      <c r="G20" s="159"/>
      <c r="H20" s="159"/>
      <c r="I20" s="159"/>
      <c r="J20" s="159"/>
    </row>
    <row r="21" spans="1:10" ht="14.5">
      <c r="A21" s="159"/>
      <c r="B21" s="159"/>
      <c r="C21" s="159"/>
      <c r="D21" s="159"/>
      <c r="E21" s="159"/>
      <c r="F21" s="159"/>
      <c r="G21" s="159"/>
      <c r="H21" s="159"/>
      <c r="I21" s="159"/>
      <c r="J21" s="159"/>
    </row>
    <row r="22" spans="1:10" ht="14.5">
      <c r="A22" s="159"/>
      <c r="B22" s="159"/>
      <c r="C22" s="159"/>
      <c r="D22" s="159"/>
      <c r="E22" s="159"/>
      <c r="F22" s="159"/>
      <c r="G22" s="159"/>
      <c r="H22" s="159"/>
      <c r="I22" s="159"/>
      <c r="J22" s="159"/>
    </row>
    <row r="23" spans="1:10" ht="14.5">
      <c r="A23" s="159"/>
      <c r="B23" s="159"/>
      <c r="C23" s="159"/>
      <c r="D23" s="159"/>
      <c r="E23" s="159"/>
      <c r="F23" s="159"/>
      <c r="G23" s="159"/>
      <c r="H23" s="159"/>
      <c r="I23" s="159"/>
      <c r="J23" s="159"/>
    </row>
    <row r="24" spans="1:10" ht="14.5">
      <c r="A24" s="159"/>
      <c r="B24" s="159"/>
      <c r="C24" s="159"/>
      <c r="D24" s="159"/>
      <c r="E24" s="159"/>
      <c r="F24" s="159"/>
      <c r="G24" s="159"/>
      <c r="H24" s="159"/>
      <c r="I24" s="159"/>
      <c r="J24" s="159"/>
    </row>
    <row r="25" spans="1:10" ht="14.5">
      <c r="A25" s="159"/>
      <c r="B25" s="159"/>
      <c r="C25" s="159"/>
      <c r="D25" s="159"/>
      <c r="E25" s="159"/>
      <c r="F25" s="159"/>
      <c r="G25" s="159"/>
      <c r="H25" s="159"/>
      <c r="I25" s="159"/>
      <c r="J25" s="159"/>
    </row>
    <row r="26" spans="1:10" ht="14.5">
      <c r="A26" s="159"/>
      <c r="B26" s="159"/>
      <c r="C26" s="159"/>
      <c r="D26" s="159"/>
      <c r="E26" s="159"/>
      <c r="F26" s="159"/>
      <c r="G26" s="159"/>
      <c r="H26" s="159"/>
      <c r="I26" s="159"/>
      <c r="J26" s="159"/>
    </row>
    <row r="27" spans="1:10" ht="14.5">
      <c r="A27" s="159"/>
      <c r="B27" s="159"/>
      <c r="C27" s="159"/>
      <c r="D27" s="159"/>
      <c r="E27" s="159"/>
      <c r="F27" s="159"/>
      <c r="G27" s="159"/>
      <c r="H27" s="159"/>
      <c r="I27" s="159"/>
      <c r="J27" s="159"/>
    </row>
    <row r="28" spans="1:10" ht="14.5">
      <c r="A28" s="159"/>
      <c r="B28" s="159"/>
      <c r="C28" s="159"/>
      <c r="D28" s="159"/>
      <c r="E28" s="159"/>
      <c r="F28" s="159"/>
      <c r="G28" s="159"/>
      <c r="H28" s="159"/>
      <c r="I28" s="159"/>
      <c r="J28" s="159"/>
    </row>
    <row r="29" spans="1:10" ht="14.5">
      <c r="A29" s="159"/>
      <c r="B29" s="159"/>
      <c r="C29" s="159"/>
      <c r="D29" s="159"/>
      <c r="E29" s="159"/>
      <c r="F29" s="159"/>
      <c r="G29" s="159"/>
      <c r="H29" s="159"/>
      <c r="I29" s="159"/>
      <c r="J29" s="159"/>
    </row>
    <row r="30" spans="1:10" ht="14.5">
      <c r="A30" s="159"/>
      <c r="B30" s="159"/>
      <c r="C30" s="159"/>
      <c r="D30" s="159"/>
      <c r="E30" s="159"/>
      <c r="F30" s="159"/>
      <c r="G30" s="159"/>
      <c r="H30" s="159"/>
      <c r="I30" s="159"/>
      <c r="J30" s="159"/>
    </row>
    <row r="31" spans="1:10" ht="14.5">
      <c r="A31" s="159"/>
      <c r="B31" s="159"/>
      <c r="C31" s="159"/>
      <c r="D31" s="159"/>
      <c r="E31" s="159"/>
      <c r="F31" s="159"/>
      <c r="G31" s="159"/>
      <c r="H31" s="159"/>
      <c r="I31" s="159"/>
      <c r="J31" s="159"/>
    </row>
    <row r="32" spans="1:10" ht="14.5">
      <c r="A32" s="159"/>
      <c r="B32" s="159"/>
      <c r="C32" s="159"/>
      <c r="D32" s="159"/>
      <c r="E32" s="159"/>
      <c r="F32" s="159"/>
      <c r="G32" s="159"/>
      <c r="H32" s="159"/>
      <c r="I32" s="159"/>
      <c r="J32" s="159"/>
    </row>
    <row r="33" spans="1:10" ht="14.5">
      <c r="A33" s="159"/>
      <c r="B33" s="159"/>
      <c r="C33" s="159"/>
      <c r="D33" s="159"/>
      <c r="E33" s="159"/>
      <c r="F33" s="159"/>
      <c r="G33" s="159"/>
      <c r="H33" s="159"/>
      <c r="I33" s="159"/>
      <c r="J33" s="159"/>
    </row>
    <row r="34" spans="1:10" ht="14.5">
      <c r="A34" s="159"/>
      <c r="B34" s="159"/>
      <c r="C34" s="159"/>
      <c r="D34" s="159"/>
      <c r="E34" s="159"/>
      <c r="F34" s="159"/>
      <c r="G34" s="159"/>
      <c r="H34" s="159"/>
      <c r="I34" s="159"/>
      <c r="J34" s="159"/>
    </row>
    <row r="35" spans="1:10" ht="14.5">
      <c r="A35" s="159"/>
      <c r="B35" s="159"/>
      <c r="C35" s="159"/>
      <c r="D35" s="159"/>
      <c r="E35" s="159"/>
      <c r="F35" s="159"/>
      <c r="G35" s="159"/>
      <c r="H35" s="159"/>
      <c r="I35" s="159"/>
      <c r="J35" s="159"/>
    </row>
    <row r="36" spans="1:10" ht="14.5">
      <c r="A36" s="159"/>
      <c r="B36" s="159"/>
      <c r="C36" s="159"/>
      <c r="D36" s="159"/>
      <c r="E36" s="159"/>
      <c r="F36" s="159"/>
      <c r="G36" s="159"/>
      <c r="H36" s="159"/>
      <c r="I36" s="159"/>
      <c r="J36" s="159"/>
    </row>
    <row r="37" spans="1:10" ht="14.5">
      <c r="A37" s="159"/>
      <c r="B37" s="159"/>
      <c r="C37" s="159"/>
      <c r="D37" s="159"/>
      <c r="E37" s="159"/>
      <c r="F37" s="159"/>
      <c r="G37" s="159"/>
      <c r="H37" s="159"/>
      <c r="I37" s="159"/>
      <c r="J37" s="159"/>
    </row>
    <row r="38" spans="1:10" ht="14.5">
      <c r="A38" s="159"/>
      <c r="B38" s="159"/>
      <c r="C38" s="159"/>
      <c r="D38" s="159"/>
      <c r="E38" s="159"/>
      <c r="F38" s="159"/>
      <c r="G38" s="159"/>
      <c r="H38" s="159"/>
      <c r="I38" s="159"/>
      <c r="J38" s="159"/>
    </row>
    <row r="39" spans="1:10" ht="14.5">
      <c r="A39" s="159"/>
      <c r="B39" s="159"/>
      <c r="C39" s="159"/>
      <c r="D39" s="159"/>
      <c r="E39" s="159"/>
      <c r="F39" s="159"/>
      <c r="G39" s="159"/>
      <c r="H39" s="159"/>
      <c r="I39" s="159"/>
      <c r="J39" s="159"/>
    </row>
    <row r="40" spans="1:10" ht="14.5">
      <c r="A40" s="159"/>
      <c r="B40" s="159"/>
      <c r="C40" s="159"/>
      <c r="D40" s="159"/>
      <c r="E40" s="159"/>
      <c r="F40" s="159"/>
      <c r="G40" s="159"/>
      <c r="H40" s="159"/>
      <c r="I40" s="159"/>
      <c r="J40" s="159"/>
    </row>
    <row r="41" spans="1:10" ht="14.5">
      <c r="A41" s="159"/>
      <c r="B41" s="159"/>
      <c r="C41" s="159"/>
      <c r="D41" s="159"/>
      <c r="E41" s="159"/>
      <c r="F41" s="159"/>
      <c r="G41" s="159"/>
      <c r="H41" s="159"/>
      <c r="I41" s="159"/>
      <c r="J41" s="159"/>
    </row>
    <row r="42" spans="1:10" ht="14.5">
      <c r="A42" s="159"/>
      <c r="B42" s="159"/>
      <c r="C42" s="159"/>
      <c r="D42" s="159"/>
      <c r="E42" s="159"/>
      <c r="F42" s="159"/>
      <c r="G42" s="159"/>
      <c r="H42" s="159"/>
      <c r="I42" s="159"/>
      <c r="J42" s="159"/>
    </row>
    <row r="43" spans="1:10" ht="14.5">
      <c r="A43" s="159"/>
      <c r="B43" s="159"/>
      <c r="C43" s="159"/>
      <c r="D43" s="159"/>
      <c r="E43" s="159"/>
      <c r="F43" s="159"/>
      <c r="G43" s="159"/>
      <c r="H43" s="159"/>
      <c r="I43" s="159"/>
      <c r="J43" s="159"/>
    </row>
    <row r="44" spans="1:10" ht="14.5">
      <c r="A44" s="159"/>
      <c r="B44" s="159"/>
      <c r="C44" s="159"/>
      <c r="D44" s="159"/>
      <c r="E44" s="159"/>
      <c r="F44" s="159"/>
      <c r="G44" s="159"/>
      <c r="H44" s="159"/>
      <c r="I44" s="159"/>
      <c r="J44" s="159"/>
    </row>
    <row r="45" spans="1:10" ht="14.5">
      <c r="A45" s="159"/>
      <c r="B45" s="159"/>
      <c r="C45" s="159"/>
      <c r="D45" s="159"/>
      <c r="E45" s="159"/>
      <c r="F45" s="159"/>
      <c r="G45" s="159"/>
      <c r="H45" s="159"/>
      <c r="I45" s="159"/>
      <c r="J45" s="159"/>
    </row>
    <row r="46" spans="1:10" ht="14.5">
      <c r="A46" s="159"/>
      <c r="B46" s="159"/>
      <c r="C46" s="159"/>
      <c r="D46" s="159"/>
      <c r="E46" s="159"/>
      <c r="F46" s="159"/>
      <c r="G46" s="159"/>
      <c r="H46" s="159"/>
      <c r="I46" s="159"/>
      <c r="J46" s="159"/>
    </row>
    <row r="47" spans="1:10" ht="14.5">
      <c r="A47" s="159"/>
      <c r="B47" s="159"/>
      <c r="C47" s="159"/>
      <c r="D47" s="159"/>
      <c r="E47" s="159"/>
      <c r="F47" s="159"/>
      <c r="G47" s="159"/>
      <c r="H47" s="159"/>
      <c r="I47" s="159"/>
      <c r="J47" s="159"/>
    </row>
    <row r="48" spans="1:10" ht="14.5">
      <c r="A48" s="159"/>
      <c r="B48" s="159"/>
      <c r="C48" s="159"/>
      <c r="D48" s="159"/>
      <c r="E48" s="159"/>
      <c r="F48" s="159"/>
      <c r="G48" s="159"/>
      <c r="H48" s="159"/>
      <c r="I48" s="159"/>
      <c r="J48" s="159"/>
    </row>
    <row r="49" spans="1:10" ht="14.5">
      <c r="A49" s="159"/>
      <c r="B49" s="159"/>
      <c r="C49" s="159"/>
      <c r="D49" s="159"/>
      <c r="E49" s="159"/>
      <c r="F49" s="159"/>
      <c r="G49" s="159"/>
      <c r="H49" s="159"/>
      <c r="I49" s="159"/>
      <c r="J49" s="159"/>
    </row>
    <row r="50" spans="1:10" ht="14.5">
      <c r="A50" s="159"/>
      <c r="B50" s="159"/>
      <c r="C50" s="159"/>
      <c r="D50" s="159"/>
      <c r="E50" s="159"/>
      <c r="F50" s="159"/>
      <c r="G50" s="159"/>
      <c r="H50" s="159"/>
      <c r="I50" s="159"/>
      <c r="J50" s="159"/>
    </row>
    <row r="51" spans="1:10" ht="14.5">
      <c r="A51" s="159"/>
      <c r="B51" s="159"/>
      <c r="C51" s="159"/>
      <c r="D51" s="159"/>
      <c r="E51" s="159"/>
      <c r="F51" s="159"/>
      <c r="G51" s="159"/>
      <c r="H51" s="159"/>
      <c r="I51" s="159"/>
      <c r="J51" s="159"/>
    </row>
    <row r="52" spans="1:10" ht="14.5">
      <c r="A52" s="159"/>
      <c r="B52" s="159"/>
      <c r="C52" s="159"/>
      <c r="D52" s="159"/>
      <c r="E52" s="159"/>
      <c r="F52" s="159"/>
      <c r="G52" s="159"/>
      <c r="H52" s="159"/>
      <c r="I52" s="159"/>
      <c r="J52" s="159"/>
    </row>
    <row r="53" spans="1:10" ht="14.5">
      <c r="A53" s="159"/>
      <c r="B53" s="159"/>
      <c r="C53" s="159"/>
      <c r="D53" s="159"/>
      <c r="E53" s="159"/>
      <c r="F53" s="159"/>
      <c r="G53" s="159"/>
      <c r="H53" s="159"/>
      <c r="I53" s="159"/>
      <c r="J53" s="159"/>
    </row>
    <row r="54" spans="1:10" ht="14.5">
      <c r="A54" s="159"/>
      <c r="B54" s="159"/>
      <c r="C54" s="159"/>
      <c r="D54" s="159"/>
      <c r="E54" s="159"/>
      <c r="F54" s="159"/>
      <c r="G54" s="159"/>
      <c r="H54" s="159"/>
      <c r="I54" s="159"/>
      <c r="J54" s="159"/>
    </row>
    <row r="55" spans="1:10" ht="14.5">
      <c r="A55" s="159"/>
      <c r="B55" s="159"/>
      <c r="C55" s="159"/>
      <c r="D55" s="159"/>
      <c r="E55" s="159"/>
      <c r="F55" s="159"/>
      <c r="G55" s="159"/>
      <c r="H55" s="159"/>
      <c r="I55" s="159"/>
      <c r="J55" s="159"/>
    </row>
    <row r="56" spans="1:10" ht="14.5">
      <c r="A56" s="159"/>
      <c r="B56" s="159"/>
      <c r="C56" s="159"/>
      <c r="D56" s="159"/>
      <c r="E56" s="159"/>
      <c r="F56" s="159"/>
      <c r="G56" s="159"/>
      <c r="H56" s="159"/>
      <c r="I56" s="159"/>
      <c r="J56" s="159"/>
    </row>
    <row r="57" spans="1:10" ht="14.5">
      <c r="A57" s="159"/>
      <c r="B57" s="159"/>
      <c r="C57" s="159"/>
      <c r="D57" s="159"/>
      <c r="E57" s="159"/>
      <c r="F57" s="159"/>
      <c r="G57" s="159"/>
      <c r="H57" s="159"/>
      <c r="I57" s="159"/>
      <c r="J57" s="159"/>
    </row>
    <row r="58" spans="1:10" ht="14.5">
      <c r="A58" s="159"/>
      <c r="B58" s="159"/>
      <c r="C58" s="159"/>
      <c r="D58" s="159"/>
      <c r="E58" s="159"/>
      <c r="F58" s="159"/>
      <c r="G58" s="159"/>
      <c r="H58" s="159"/>
      <c r="I58" s="159"/>
      <c r="J58" s="159"/>
    </row>
    <row r="59" spans="1:10" ht="14.5">
      <c r="A59" s="159"/>
      <c r="B59" s="159"/>
      <c r="C59" s="159"/>
      <c r="D59" s="159"/>
      <c r="E59" s="159"/>
      <c r="F59" s="159"/>
      <c r="G59" s="159"/>
      <c r="H59" s="159"/>
      <c r="I59" s="159"/>
      <c r="J59" s="159"/>
    </row>
    <row r="60" spans="1:10" ht="14.5">
      <c r="A60" s="159"/>
      <c r="B60" s="159"/>
      <c r="C60" s="159"/>
      <c r="D60" s="159"/>
      <c r="E60" s="159"/>
      <c r="F60" s="159"/>
      <c r="G60" s="159"/>
      <c r="H60" s="159"/>
      <c r="I60" s="159"/>
      <c r="J60" s="159"/>
    </row>
    <row r="61" spans="1:10" ht="14.5">
      <c r="A61" s="159"/>
      <c r="B61" s="159"/>
      <c r="C61" s="159"/>
      <c r="D61" s="159"/>
      <c r="E61" s="159"/>
      <c r="F61" s="159"/>
      <c r="G61" s="159"/>
      <c r="H61" s="159"/>
      <c r="I61" s="159"/>
      <c r="J61" s="159"/>
    </row>
    <row r="62" spans="1:10" ht="14.5">
      <c r="A62" s="159"/>
      <c r="B62" s="159"/>
      <c r="C62" s="159"/>
      <c r="D62" s="159"/>
      <c r="E62" s="159"/>
      <c r="F62" s="159"/>
      <c r="G62" s="159"/>
      <c r="H62" s="159"/>
      <c r="I62" s="159"/>
      <c r="J62" s="159"/>
    </row>
    <row r="63" spans="1:10" ht="14.5">
      <c r="A63" s="159"/>
      <c r="B63" s="159"/>
      <c r="C63" s="159"/>
      <c r="D63" s="159"/>
      <c r="E63" s="159"/>
      <c r="F63" s="159"/>
      <c r="G63" s="159"/>
      <c r="H63" s="159"/>
      <c r="I63" s="159"/>
      <c r="J63" s="159"/>
    </row>
    <row r="64" spans="1:10" ht="14.5">
      <c r="A64" s="159"/>
      <c r="B64" s="159"/>
      <c r="C64" s="159"/>
      <c r="D64" s="159"/>
      <c r="E64" s="159"/>
      <c r="F64" s="159"/>
      <c r="G64" s="159"/>
      <c r="H64" s="159"/>
      <c r="I64" s="159"/>
      <c r="J64" s="159"/>
    </row>
    <row r="65" spans="1:10" ht="14.5">
      <c r="A65" s="159"/>
      <c r="B65" s="159"/>
      <c r="C65" s="159"/>
      <c r="D65" s="159"/>
      <c r="E65" s="159"/>
      <c r="F65" s="159"/>
      <c r="G65" s="159"/>
      <c r="H65" s="159"/>
      <c r="I65" s="159"/>
      <c r="J65" s="159"/>
    </row>
    <row r="66" spans="1:10" ht="14.5">
      <c r="A66" s="159"/>
      <c r="B66" s="159"/>
      <c r="C66" s="159"/>
      <c r="D66" s="159"/>
      <c r="E66" s="159"/>
      <c r="F66" s="159"/>
      <c r="G66" s="159"/>
      <c r="H66" s="159"/>
      <c r="I66" s="159"/>
      <c r="J66" s="159"/>
    </row>
    <row r="67" spans="1:10" ht="14.5">
      <c r="A67" s="159"/>
      <c r="B67" s="159"/>
      <c r="C67" s="159"/>
      <c r="D67" s="159"/>
      <c r="E67" s="159"/>
      <c r="F67" s="159"/>
      <c r="G67" s="159"/>
      <c r="H67" s="159"/>
      <c r="I67" s="159"/>
      <c r="J67" s="159"/>
    </row>
    <row r="68" spans="1:10" ht="14.5">
      <c r="A68" s="159"/>
      <c r="B68" s="159"/>
      <c r="C68" s="159"/>
      <c r="D68" s="159"/>
      <c r="E68" s="159"/>
      <c r="F68" s="159"/>
      <c r="G68" s="159"/>
      <c r="H68" s="159"/>
      <c r="I68" s="159"/>
      <c r="J68" s="159"/>
    </row>
    <row r="69" spans="1:10" ht="14.5">
      <c r="A69" s="159"/>
      <c r="B69" s="159"/>
      <c r="C69" s="159"/>
      <c r="D69" s="159"/>
      <c r="E69" s="159"/>
      <c r="F69" s="159"/>
      <c r="G69" s="159"/>
      <c r="H69" s="159"/>
      <c r="I69" s="159"/>
      <c r="J69" s="159"/>
    </row>
    <row r="70" spans="1:10" ht="14.5">
      <c r="A70" s="159"/>
      <c r="B70" s="159"/>
      <c r="C70" s="159"/>
      <c r="D70" s="159"/>
      <c r="E70" s="159"/>
      <c r="F70" s="159"/>
      <c r="G70" s="159"/>
      <c r="H70" s="159"/>
      <c r="I70" s="159"/>
      <c r="J70" s="159"/>
    </row>
    <row r="71" spans="1:10" ht="14.5">
      <c r="A71" s="159"/>
      <c r="B71" s="159"/>
      <c r="C71" s="159"/>
      <c r="D71" s="159"/>
      <c r="E71" s="159"/>
      <c r="F71" s="159"/>
      <c r="G71" s="159"/>
      <c r="H71" s="159"/>
      <c r="I71" s="159"/>
      <c r="J71" s="159"/>
    </row>
    <row r="72" spans="1:10" ht="14.5">
      <c r="A72" s="159"/>
      <c r="B72" s="159"/>
      <c r="C72" s="159"/>
      <c r="D72" s="159"/>
      <c r="E72" s="159"/>
      <c r="F72" s="159"/>
      <c r="G72" s="159"/>
      <c r="H72" s="159"/>
      <c r="I72" s="159"/>
      <c r="J72" s="159"/>
    </row>
    <row r="73" spans="1:10" ht="14.5">
      <c r="A73" s="159"/>
      <c r="B73" s="159"/>
      <c r="C73" s="159"/>
      <c r="D73" s="159"/>
      <c r="E73" s="159"/>
      <c r="F73" s="159"/>
      <c r="G73" s="159"/>
      <c r="H73" s="159"/>
      <c r="I73" s="159"/>
      <c r="J73" s="159"/>
    </row>
    <row r="74" spans="1:10" ht="14.5">
      <c r="A74" s="159"/>
      <c r="B74" s="159"/>
      <c r="C74" s="159"/>
      <c r="D74" s="159"/>
      <c r="E74" s="159"/>
      <c r="F74" s="159"/>
      <c r="G74" s="159"/>
      <c r="H74" s="159"/>
      <c r="I74" s="159"/>
      <c r="J74" s="159"/>
    </row>
    <row r="75" spans="1:10" ht="14.5">
      <c r="A75" s="159"/>
      <c r="B75" s="159"/>
      <c r="C75" s="159"/>
      <c r="D75" s="159"/>
      <c r="E75" s="159"/>
      <c r="F75" s="159"/>
      <c r="G75" s="159"/>
      <c r="H75" s="159"/>
      <c r="I75" s="159"/>
      <c r="J75" s="159"/>
    </row>
    <row r="76" spans="1:10" ht="14.5">
      <c r="A76" s="159"/>
      <c r="B76" s="159"/>
      <c r="C76" s="159"/>
      <c r="D76" s="159"/>
      <c r="E76" s="159"/>
      <c r="F76" s="159"/>
      <c r="G76" s="159"/>
      <c r="H76" s="159"/>
      <c r="I76" s="159"/>
      <c r="J76" s="159"/>
    </row>
    <row r="77" spans="1:10" ht="14.5">
      <c r="A77" s="159"/>
      <c r="B77" s="159"/>
      <c r="C77" s="159"/>
      <c r="D77" s="159"/>
      <c r="E77" s="159"/>
      <c r="F77" s="159"/>
      <c r="G77" s="159"/>
      <c r="H77" s="159"/>
      <c r="I77" s="159"/>
      <c r="J77" s="159"/>
    </row>
    <row r="78" spans="1:10" ht="14.5">
      <c r="A78" s="159"/>
      <c r="B78" s="159"/>
      <c r="C78" s="159"/>
      <c r="D78" s="159"/>
      <c r="E78" s="159"/>
      <c r="F78" s="159"/>
      <c r="G78" s="159"/>
      <c r="H78" s="159"/>
      <c r="I78" s="159"/>
      <c r="J78" s="159"/>
    </row>
    <row r="79" spans="1:10" ht="14.5">
      <c r="A79" s="159"/>
      <c r="B79" s="159"/>
      <c r="C79" s="159"/>
      <c r="D79" s="159"/>
      <c r="E79" s="159"/>
      <c r="F79" s="159"/>
      <c r="G79" s="159"/>
      <c r="H79" s="159"/>
      <c r="I79" s="159"/>
      <c r="J79" s="159"/>
    </row>
    <row r="80" spans="1:10" ht="14.5">
      <c r="A80" s="159"/>
      <c r="B80" s="159"/>
      <c r="C80" s="159"/>
      <c r="D80" s="159"/>
      <c r="E80" s="159"/>
      <c r="F80" s="159"/>
      <c r="G80" s="159"/>
      <c r="H80" s="159"/>
      <c r="I80" s="159"/>
      <c r="J80" s="159"/>
    </row>
    <row r="81" spans="1:10" ht="14.5">
      <c r="A81" s="159"/>
      <c r="B81" s="159"/>
      <c r="C81" s="159"/>
      <c r="D81" s="159"/>
      <c r="E81" s="159"/>
      <c r="F81" s="159"/>
      <c r="G81" s="159"/>
      <c r="H81" s="159"/>
      <c r="I81" s="159"/>
      <c r="J81" s="159"/>
    </row>
    <row r="82" spans="1:10" ht="14.5">
      <c r="A82" s="159"/>
      <c r="B82" s="159"/>
      <c r="C82" s="159"/>
      <c r="D82" s="159"/>
      <c r="E82" s="159"/>
      <c r="F82" s="159"/>
      <c r="G82" s="159"/>
      <c r="H82" s="159"/>
      <c r="I82" s="159"/>
      <c r="J82" s="159"/>
    </row>
    <row r="83" spans="1:10" ht="14.5">
      <c r="A83" s="159"/>
      <c r="B83" s="159"/>
      <c r="C83" s="159"/>
      <c r="D83" s="159"/>
      <c r="E83" s="159"/>
      <c r="F83" s="159"/>
      <c r="G83" s="159"/>
      <c r="H83" s="159"/>
      <c r="I83" s="159"/>
      <c r="J83" s="159"/>
    </row>
    <row r="84" spans="1:10" ht="14.5">
      <c r="A84" s="159"/>
      <c r="B84" s="159"/>
      <c r="C84" s="159"/>
      <c r="D84" s="159"/>
      <c r="E84" s="159"/>
      <c r="F84" s="159"/>
      <c r="G84" s="159"/>
      <c r="H84" s="159"/>
      <c r="I84" s="159"/>
      <c r="J84" s="159"/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pageSetUpPr fitToPage="1"/>
  </sheetPr>
  <dimension ref="A1:V141"/>
  <sheetViews>
    <sheetView zoomScale="70" zoomScaleNormal="7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L60" sqref="L60"/>
    </sheetView>
  </sheetViews>
  <sheetFormatPr defaultColWidth="8.7265625" defaultRowHeight="15.5"/>
  <cols>
    <col min="1" max="1" width="4.81640625" style="678" customWidth="1"/>
    <col min="2" max="2" width="29.26953125" style="681" customWidth="1"/>
    <col min="3" max="3" width="15.81640625" style="681" customWidth="1"/>
    <col min="4" max="4" width="14.90625" style="682" customWidth="1"/>
    <col min="5" max="5" width="14.90625" style="681" customWidth="1"/>
    <col min="6" max="6" width="10.7265625" style="681" bestFit="1" customWidth="1"/>
    <col min="7" max="10" width="13.1796875" style="681" bestFit="1" customWidth="1"/>
    <col min="11" max="22" width="14.453125" style="681" bestFit="1" customWidth="1"/>
    <col min="23" max="16384" width="8.7265625" style="681"/>
  </cols>
  <sheetData>
    <row r="1" spans="1:22" ht="77.150000000000006" customHeight="1">
      <c r="B1" s="679" t="s">
        <v>904</v>
      </c>
      <c r="C1" s="680"/>
      <c r="D1" s="680"/>
    </row>
    <row r="3" spans="1:22">
      <c r="A3" s="802"/>
      <c r="B3" s="805" t="s">
        <v>323</v>
      </c>
      <c r="C3" s="804" t="s">
        <v>383</v>
      </c>
      <c r="D3" s="804" t="s">
        <v>934</v>
      </c>
      <c r="E3" s="648">
        <v>2023</v>
      </c>
      <c r="F3" s="801">
        <v>2024</v>
      </c>
      <c r="G3" s="801"/>
      <c r="H3" s="801"/>
      <c r="I3" s="801"/>
      <c r="J3" s="801">
        <v>2025</v>
      </c>
      <c r="K3" s="801"/>
      <c r="L3" s="801"/>
      <c r="M3" s="801"/>
      <c r="N3" s="801">
        <v>2026</v>
      </c>
      <c r="O3" s="801"/>
      <c r="P3" s="801"/>
      <c r="Q3" s="801"/>
      <c r="R3" s="801">
        <v>2027</v>
      </c>
      <c r="S3" s="801"/>
      <c r="T3" s="801"/>
      <c r="U3" s="801"/>
      <c r="V3" s="648">
        <v>2028</v>
      </c>
    </row>
    <row r="4" spans="1:22" ht="69" customHeight="1">
      <c r="A4" s="803"/>
      <c r="B4" s="805"/>
      <c r="C4" s="804"/>
      <c r="D4" s="804"/>
      <c r="E4" s="649" t="s">
        <v>896</v>
      </c>
      <c r="F4" s="649" t="s">
        <v>897</v>
      </c>
      <c r="G4" s="649" t="s">
        <v>898</v>
      </c>
      <c r="H4" s="649" t="s">
        <v>895</v>
      </c>
      <c r="I4" s="649" t="s">
        <v>896</v>
      </c>
      <c r="J4" s="649" t="s">
        <v>897</v>
      </c>
      <c r="K4" s="649" t="s">
        <v>898</v>
      </c>
      <c r="L4" s="649" t="s">
        <v>895</v>
      </c>
      <c r="M4" s="649" t="s">
        <v>896</v>
      </c>
      <c r="N4" s="649" t="s">
        <v>897</v>
      </c>
      <c r="O4" s="649" t="s">
        <v>898</v>
      </c>
      <c r="P4" s="649" t="s">
        <v>895</v>
      </c>
      <c r="Q4" s="649" t="s">
        <v>896</v>
      </c>
      <c r="R4" s="649" t="s">
        <v>897</v>
      </c>
      <c r="S4" s="649" t="s">
        <v>898</v>
      </c>
      <c r="T4" s="649" t="s">
        <v>895</v>
      </c>
      <c r="U4" s="649" t="s">
        <v>896</v>
      </c>
      <c r="V4" s="649" t="s">
        <v>897</v>
      </c>
    </row>
    <row r="5" spans="1:22" s="660" customFormat="1" ht="77.5">
      <c r="A5" s="634">
        <v>1</v>
      </c>
      <c r="B5" s="650" t="s">
        <v>899</v>
      </c>
      <c r="C5" s="651">
        <f>SUM(C39:C41)</f>
        <v>95000000</v>
      </c>
      <c r="D5" s="652"/>
      <c r="E5" s="653">
        <v>3490000</v>
      </c>
      <c r="F5" s="640"/>
      <c r="G5" s="653">
        <f>SUM($C$39:$C$41)/4</f>
        <v>23750000</v>
      </c>
      <c r="H5" s="653">
        <f t="shared" ref="H5:I5" si="0">SUM($C$39:$C$41)/4</f>
        <v>23750000</v>
      </c>
      <c r="I5" s="653">
        <f t="shared" si="0"/>
        <v>23750000</v>
      </c>
      <c r="J5" s="653">
        <f>C5-E5-G5-H5-I5</f>
        <v>20260000</v>
      </c>
      <c r="K5" s="640"/>
      <c r="L5" s="651"/>
      <c r="M5" s="651"/>
      <c r="N5" s="651"/>
      <c r="O5" s="651"/>
      <c r="P5" s="651"/>
      <c r="Q5" s="651"/>
      <c r="R5" s="651"/>
      <c r="S5" s="651"/>
      <c r="T5" s="651"/>
      <c r="U5" s="651"/>
      <c r="V5" s="651"/>
    </row>
    <row r="6" spans="1:22" s="633" customFormat="1">
      <c r="A6" s="629">
        <v>2</v>
      </c>
      <c r="B6" s="630" t="s">
        <v>324</v>
      </c>
      <c r="C6" s="631">
        <f>SUM(C7:C9)</f>
        <v>1912815675</v>
      </c>
      <c r="D6" s="632">
        <v>0.45</v>
      </c>
      <c r="E6" s="631">
        <f>SUM(E7:E9)</f>
        <v>0</v>
      </c>
      <c r="F6" s="631">
        <f t="shared" ref="F6:U6" si="1">SUM(F7:F9)</f>
        <v>0</v>
      </c>
      <c r="G6" s="631">
        <f t="shared" si="1"/>
        <v>0</v>
      </c>
      <c r="H6" s="631">
        <f t="shared" si="1"/>
        <v>0</v>
      </c>
      <c r="I6" s="631">
        <f t="shared" si="1"/>
        <v>0</v>
      </c>
      <c r="J6" s="631">
        <f t="shared" si="1"/>
        <v>0</v>
      </c>
      <c r="K6" s="631">
        <f t="shared" si="1"/>
        <v>238728262.5</v>
      </c>
      <c r="L6" s="631">
        <f t="shared" si="1"/>
        <v>275642662.5</v>
      </c>
      <c r="M6" s="631">
        <f t="shared" si="1"/>
        <v>232980975</v>
      </c>
      <c r="N6" s="631">
        <f t="shared" si="1"/>
        <v>232980975</v>
      </c>
      <c r="O6" s="631">
        <f t="shared" si="1"/>
        <v>110743200</v>
      </c>
      <c r="P6" s="631">
        <f t="shared" si="1"/>
        <v>73828800</v>
      </c>
      <c r="Q6" s="631">
        <f t="shared" si="1"/>
        <v>186977700</v>
      </c>
      <c r="R6" s="631">
        <f t="shared" si="1"/>
        <v>186977700</v>
      </c>
      <c r="S6" s="631">
        <f t="shared" si="1"/>
        <v>149582160</v>
      </c>
      <c r="T6" s="631">
        <f t="shared" si="1"/>
        <v>149582160</v>
      </c>
      <c r="U6" s="631">
        <f t="shared" si="1"/>
        <v>74791080</v>
      </c>
      <c r="V6" s="631">
        <f t="shared" ref="V6" si="2">SUM(V7:V9)</f>
        <v>0</v>
      </c>
    </row>
    <row r="7" spans="1:22" s="660" customFormat="1" ht="31">
      <c r="A7" s="634"/>
      <c r="B7" s="654" t="str">
        <f>B47</f>
        <v>Гостиничный комплекс 4* "У Бювета"</v>
      </c>
      <c r="C7" s="655">
        <f>C47*$D$6</f>
        <v>738288000</v>
      </c>
      <c r="D7" s="652"/>
      <c r="E7" s="651"/>
      <c r="F7" s="651"/>
      <c r="G7" s="651"/>
      <c r="H7" s="651"/>
      <c r="I7" s="651"/>
      <c r="J7" s="640"/>
      <c r="K7" s="656">
        <f t="shared" ref="K7:P7" si="3">$C$7*E93</f>
        <v>110743200</v>
      </c>
      <c r="L7" s="656">
        <f t="shared" si="3"/>
        <v>147657600</v>
      </c>
      <c r="M7" s="656">
        <f t="shared" si="3"/>
        <v>147657600</v>
      </c>
      <c r="N7" s="656">
        <f t="shared" si="3"/>
        <v>147657600</v>
      </c>
      <c r="O7" s="656">
        <f t="shared" si="3"/>
        <v>110743200</v>
      </c>
      <c r="P7" s="656">
        <f t="shared" si="3"/>
        <v>73828800</v>
      </c>
      <c r="Q7" s="655"/>
      <c r="R7" s="655"/>
      <c r="S7" s="655"/>
      <c r="T7" s="655"/>
      <c r="U7" s="651"/>
      <c r="V7" s="651"/>
    </row>
    <row r="8" spans="1:22" s="660" customFormat="1" ht="62">
      <c r="A8" s="634"/>
      <c r="B8" s="654" t="str">
        <f t="shared" ref="B8:B9" si="4">B48</f>
        <v>Действующий корпус санатория с новым бальнеологическим комплексом</v>
      </c>
      <c r="C8" s="655">
        <f>C48*$D$6</f>
        <v>747910800</v>
      </c>
      <c r="D8" s="652"/>
      <c r="E8" s="651"/>
      <c r="F8" s="651"/>
      <c r="G8" s="651"/>
      <c r="H8" s="651"/>
      <c r="I8" s="651"/>
      <c r="J8" s="640"/>
      <c r="K8" s="655"/>
      <c r="L8" s="655"/>
      <c r="M8" s="655"/>
      <c r="N8" s="655"/>
      <c r="O8" s="655"/>
      <c r="P8" s="655"/>
      <c r="Q8" s="657">
        <f>$C$8*E94</f>
        <v>186977700</v>
      </c>
      <c r="R8" s="657">
        <f>$C$8*F94</f>
        <v>186977700</v>
      </c>
      <c r="S8" s="657">
        <f>$C$8*G94</f>
        <v>149582160</v>
      </c>
      <c r="T8" s="657">
        <f>$C$8*H94</f>
        <v>149582160</v>
      </c>
      <c r="U8" s="657">
        <f>$C$8*I94</f>
        <v>74791080</v>
      </c>
      <c r="V8" s="651"/>
    </row>
    <row r="9" spans="1:22" s="660" customFormat="1" ht="21.65" customHeight="1">
      <c r="A9" s="634"/>
      <c r="B9" s="654" t="str">
        <f t="shared" si="4"/>
        <v>Эко-вилладж 4*</v>
      </c>
      <c r="C9" s="655">
        <f>C49*$D$6</f>
        <v>426616875</v>
      </c>
      <c r="D9" s="652"/>
      <c r="E9" s="651"/>
      <c r="F9" s="651"/>
      <c r="G9" s="651"/>
      <c r="H9" s="651"/>
      <c r="I9" s="651"/>
      <c r="J9" s="640"/>
      <c r="K9" s="658">
        <f>$C$9*E95</f>
        <v>127985062.5</v>
      </c>
      <c r="L9" s="658">
        <f>$C$9*F95</f>
        <v>127985062.5</v>
      </c>
      <c r="M9" s="658">
        <f>$C$9*G95</f>
        <v>85323375</v>
      </c>
      <c r="N9" s="658">
        <f>$C$9*H95</f>
        <v>85323375</v>
      </c>
      <c r="O9" s="655"/>
      <c r="P9" s="655"/>
      <c r="Q9" s="655"/>
      <c r="R9" s="655"/>
      <c r="S9" s="655"/>
      <c r="T9" s="655"/>
      <c r="U9" s="651"/>
      <c r="V9" s="651"/>
    </row>
    <row r="10" spans="1:22" s="633" customFormat="1" ht="31">
      <c r="A10" s="629">
        <v>3</v>
      </c>
      <c r="B10" s="630" t="s">
        <v>900</v>
      </c>
      <c r="C10" s="631">
        <f>SUM(C11:C13)</f>
        <v>1275210450</v>
      </c>
      <c r="D10" s="632">
        <v>0.3</v>
      </c>
      <c r="E10" s="631">
        <f>SUM(E11:E13)</f>
        <v>0</v>
      </c>
      <c r="F10" s="631">
        <f t="shared" ref="F10:V10" si="5">SUM(F11:F13)</f>
        <v>0</v>
      </c>
      <c r="G10" s="631">
        <f t="shared" si="5"/>
        <v>0</v>
      </c>
      <c r="H10" s="631">
        <f t="shared" si="5"/>
        <v>0</v>
      </c>
      <c r="I10" s="631">
        <f t="shared" si="5"/>
        <v>0</v>
      </c>
      <c r="J10" s="631">
        <f t="shared" si="5"/>
        <v>0</v>
      </c>
      <c r="K10" s="631">
        <f t="shared" si="5"/>
        <v>0</v>
      </c>
      <c r="L10" s="631">
        <f t="shared" si="5"/>
        <v>0</v>
      </c>
      <c r="M10" s="631">
        <f t="shared" si="5"/>
        <v>71102812.5</v>
      </c>
      <c r="N10" s="631">
        <f t="shared" si="5"/>
        <v>85323375</v>
      </c>
      <c r="O10" s="631">
        <f t="shared" si="5"/>
        <v>226423462.5</v>
      </c>
      <c r="P10" s="631">
        <f t="shared" si="5"/>
        <v>196876800</v>
      </c>
      <c r="Q10" s="631">
        <f t="shared" si="5"/>
        <v>196876800</v>
      </c>
      <c r="R10" s="631">
        <f t="shared" si="5"/>
        <v>0</v>
      </c>
      <c r="S10" s="631">
        <f t="shared" si="5"/>
        <v>74791080</v>
      </c>
      <c r="T10" s="631">
        <f t="shared" si="5"/>
        <v>149582160</v>
      </c>
      <c r="U10" s="631">
        <f t="shared" si="5"/>
        <v>149582160</v>
      </c>
      <c r="V10" s="631">
        <f t="shared" si="5"/>
        <v>124651800</v>
      </c>
    </row>
    <row r="11" spans="1:22" s="660" customFormat="1" ht="31">
      <c r="A11" s="634"/>
      <c r="B11" s="654" t="str">
        <f>B7</f>
        <v>Гостиничный комплекс 4* "У Бювета"</v>
      </c>
      <c r="C11" s="655">
        <f>C47*$D$10</f>
        <v>492192000</v>
      </c>
      <c r="D11" s="652"/>
      <c r="E11" s="659"/>
      <c r="F11" s="659"/>
      <c r="G11" s="659"/>
      <c r="H11" s="659"/>
      <c r="I11" s="659"/>
      <c r="J11" s="659"/>
      <c r="K11" s="659"/>
      <c r="L11" s="640"/>
      <c r="M11" s="651"/>
      <c r="N11" s="651"/>
      <c r="O11" s="656">
        <f>$C$11*E98</f>
        <v>98438400</v>
      </c>
      <c r="P11" s="656">
        <f>$C$11*F98</f>
        <v>196876800</v>
      </c>
      <c r="Q11" s="656">
        <f>$C$11*G98</f>
        <v>196876800</v>
      </c>
      <c r="R11" s="640"/>
      <c r="S11" s="640"/>
      <c r="T11" s="640"/>
      <c r="U11" s="640"/>
      <c r="V11" s="640"/>
    </row>
    <row r="12" spans="1:22" s="660" customFormat="1" ht="62">
      <c r="A12" s="634"/>
      <c r="B12" s="654" t="str">
        <f t="shared" ref="B12:B13" si="6">B8</f>
        <v>Действующий корпус санатория с новым бальнеологическим комплексом</v>
      </c>
      <c r="C12" s="655">
        <f>C48*$D$10</f>
        <v>498607200</v>
      </c>
      <c r="D12" s="652"/>
      <c r="E12" s="659"/>
      <c r="F12" s="659"/>
      <c r="G12" s="659"/>
      <c r="H12" s="659"/>
      <c r="I12" s="659"/>
      <c r="J12" s="659"/>
      <c r="K12" s="659"/>
      <c r="L12" s="640"/>
      <c r="M12" s="651"/>
      <c r="N12" s="651"/>
      <c r="O12" s="651"/>
      <c r="P12" s="651"/>
      <c r="Q12" s="651"/>
      <c r="R12" s="640"/>
      <c r="S12" s="657">
        <f>$C$12*E99</f>
        <v>74791080</v>
      </c>
      <c r="T12" s="657">
        <f>$C$12*F99</f>
        <v>149582160</v>
      </c>
      <c r="U12" s="657">
        <f>$C$12*G99</f>
        <v>149582160</v>
      </c>
      <c r="V12" s="657">
        <f>$C$12*H99</f>
        <v>124651800</v>
      </c>
    </row>
    <row r="13" spans="1:22" s="660" customFormat="1" ht="27" customHeight="1">
      <c r="A13" s="634"/>
      <c r="B13" s="654" t="str">
        <f t="shared" si="6"/>
        <v>Эко-вилладж 4*</v>
      </c>
      <c r="C13" s="655">
        <f>C49*$D$10</f>
        <v>284411250</v>
      </c>
      <c r="D13" s="652"/>
      <c r="E13" s="659"/>
      <c r="F13" s="659"/>
      <c r="G13" s="659"/>
      <c r="H13" s="659"/>
      <c r="I13" s="659"/>
      <c r="J13" s="659"/>
      <c r="K13" s="659"/>
      <c r="L13" s="640"/>
      <c r="M13" s="658">
        <f>$C$13*E100</f>
        <v>71102812.5</v>
      </c>
      <c r="N13" s="658">
        <f>$C$13*F100</f>
        <v>85323375</v>
      </c>
      <c r="O13" s="658">
        <f>$C$13*G100</f>
        <v>127985062.5</v>
      </c>
      <c r="P13" s="651"/>
      <c r="Q13" s="651"/>
      <c r="R13" s="640"/>
      <c r="S13" s="640"/>
      <c r="T13" s="640"/>
      <c r="U13" s="640"/>
      <c r="V13" s="640"/>
    </row>
    <row r="14" spans="1:22" s="660" customFormat="1">
      <c r="A14" s="634"/>
      <c r="B14" s="661"/>
      <c r="C14" s="651"/>
      <c r="D14" s="652"/>
      <c r="E14" s="659"/>
      <c r="F14" s="659"/>
      <c r="G14" s="659"/>
      <c r="H14" s="659"/>
      <c r="I14" s="659"/>
      <c r="J14" s="659"/>
      <c r="K14" s="659"/>
      <c r="L14" s="651"/>
      <c r="M14" s="651"/>
      <c r="N14" s="651"/>
      <c r="O14" s="651"/>
      <c r="P14" s="651"/>
      <c r="Q14" s="640"/>
      <c r="R14" s="640"/>
      <c r="S14" s="640"/>
      <c r="T14" s="640"/>
      <c r="U14" s="640"/>
      <c r="V14" s="640"/>
    </row>
    <row r="15" spans="1:22" s="633" customFormat="1">
      <c r="A15" s="629">
        <v>4</v>
      </c>
      <c r="B15" s="630" t="s">
        <v>901</v>
      </c>
      <c r="C15" s="631">
        <f>SUM(C16:C18)</f>
        <v>1062675375</v>
      </c>
      <c r="D15" s="632">
        <v>0.25</v>
      </c>
      <c r="E15" s="631">
        <f>SUM(E16:E18)</f>
        <v>0</v>
      </c>
      <c r="F15" s="631">
        <f t="shared" ref="F15:V15" si="7">SUM(F16:F18)</f>
        <v>0</v>
      </c>
      <c r="G15" s="631">
        <f t="shared" si="7"/>
        <v>0</v>
      </c>
      <c r="H15" s="631">
        <f t="shared" si="7"/>
        <v>0</v>
      </c>
      <c r="I15" s="631">
        <f t="shared" si="7"/>
        <v>0</v>
      </c>
      <c r="J15" s="631">
        <f t="shared" si="7"/>
        <v>0</v>
      </c>
      <c r="K15" s="631">
        <f t="shared" si="7"/>
        <v>0</v>
      </c>
      <c r="L15" s="631">
        <f t="shared" si="7"/>
        <v>0</v>
      </c>
      <c r="M15" s="631">
        <f t="shared" si="7"/>
        <v>0</v>
      </c>
      <c r="N15" s="631">
        <f t="shared" si="7"/>
        <v>0</v>
      </c>
      <c r="O15" s="631">
        <f t="shared" si="7"/>
        <v>82953281.25</v>
      </c>
      <c r="P15" s="631">
        <f t="shared" si="7"/>
        <v>154056093.75</v>
      </c>
      <c r="Q15" s="631">
        <f t="shared" si="7"/>
        <v>82032000</v>
      </c>
      <c r="R15" s="631">
        <f t="shared" si="7"/>
        <v>143556000</v>
      </c>
      <c r="S15" s="631">
        <f t="shared" si="7"/>
        <v>184572000</v>
      </c>
      <c r="T15" s="631">
        <f t="shared" si="7"/>
        <v>83101200</v>
      </c>
      <c r="U15" s="631">
        <f t="shared" si="7"/>
        <v>145427100</v>
      </c>
      <c r="V15" s="631">
        <f t="shared" si="7"/>
        <v>186977700</v>
      </c>
    </row>
    <row r="16" spans="1:22" s="660" customFormat="1" ht="31">
      <c r="A16" s="634"/>
      <c r="B16" s="654" t="str">
        <f>B11</f>
        <v>Гостиничный комплекс 4* "У Бювета"</v>
      </c>
      <c r="C16" s="655">
        <f>C47*$D$15</f>
        <v>410160000</v>
      </c>
      <c r="D16" s="652"/>
      <c r="E16" s="651"/>
      <c r="F16" s="651"/>
      <c r="G16" s="651"/>
      <c r="H16" s="651"/>
      <c r="I16" s="651"/>
      <c r="J16" s="651"/>
      <c r="K16" s="651"/>
      <c r="L16" s="651"/>
      <c r="M16" s="651"/>
      <c r="N16" s="640"/>
      <c r="O16" s="651"/>
      <c r="P16" s="651"/>
      <c r="Q16" s="656">
        <f>$C$16*E103</f>
        <v>82032000</v>
      </c>
      <c r="R16" s="656">
        <f>$C$16*F103</f>
        <v>143556000</v>
      </c>
      <c r="S16" s="656">
        <f>$C$16*G103</f>
        <v>184572000</v>
      </c>
      <c r="T16" s="640"/>
      <c r="U16" s="640"/>
      <c r="V16" s="640"/>
    </row>
    <row r="17" spans="1:22" s="660" customFormat="1" ht="62">
      <c r="A17" s="634"/>
      <c r="B17" s="654" t="str">
        <f t="shared" ref="B17:B18" si="8">B12</f>
        <v>Действующий корпус санатория с новым бальнеологическим комплексом</v>
      </c>
      <c r="C17" s="655">
        <f>C48*$D$15</f>
        <v>415506000</v>
      </c>
      <c r="D17" s="652"/>
      <c r="E17" s="651"/>
      <c r="F17" s="651"/>
      <c r="G17" s="651"/>
      <c r="H17" s="651"/>
      <c r="I17" s="651"/>
      <c r="J17" s="651"/>
      <c r="K17" s="651"/>
      <c r="L17" s="651"/>
      <c r="M17" s="651"/>
      <c r="N17" s="640"/>
      <c r="O17" s="651"/>
      <c r="P17" s="651"/>
      <c r="Q17" s="651"/>
      <c r="R17" s="651"/>
      <c r="S17" s="640"/>
      <c r="T17" s="657">
        <f>$C$17*E104</f>
        <v>83101200</v>
      </c>
      <c r="U17" s="657">
        <f>$C$17*F104</f>
        <v>145427100</v>
      </c>
      <c r="V17" s="657">
        <f>$C$17*G104</f>
        <v>186977700</v>
      </c>
    </row>
    <row r="18" spans="1:22" s="660" customFormat="1" ht="24.65" customHeight="1">
      <c r="A18" s="634"/>
      <c r="B18" s="654" t="str">
        <f t="shared" si="8"/>
        <v>Эко-вилладж 4*</v>
      </c>
      <c r="C18" s="655">
        <f>C49*$D$15</f>
        <v>237009375</v>
      </c>
      <c r="D18" s="662"/>
      <c r="E18" s="651"/>
      <c r="F18" s="651"/>
      <c r="G18" s="651"/>
      <c r="H18" s="651"/>
      <c r="I18" s="651"/>
      <c r="J18" s="651"/>
      <c r="K18" s="651"/>
      <c r="L18" s="651"/>
      <c r="M18" s="651"/>
      <c r="N18" s="640"/>
      <c r="O18" s="658">
        <f>$C$18*E105</f>
        <v>82953281.25</v>
      </c>
      <c r="P18" s="658">
        <f>$C$18*F105</f>
        <v>154056093.75</v>
      </c>
      <c r="Q18" s="651"/>
      <c r="R18" s="651"/>
      <c r="S18" s="651"/>
      <c r="T18" s="640"/>
      <c r="U18" s="640"/>
      <c r="V18" s="640"/>
    </row>
    <row r="19" spans="1:22" s="633" customFormat="1" ht="31">
      <c r="A19" s="629">
        <v>5</v>
      </c>
      <c r="B19" s="630" t="s">
        <v>935</v>
      </c>
      <c r="C19" s="631">
        <f>SUM(C20:C22)</f>
        <v>214000000</v>
      </c>
      <c r="D19" s="632"/>
      <c r="E19" s="631">
        <f>SUM(E20:E22)</f>
        <v>0</v>
      </c>
      <c r="F19" s="631">
        <f t="shared" ref="F19:V19" si="9">SUM(F20:F22)</f>
        <v>0</v>
      </c>
      <c r="G19" s="631">
        <f t="shared" si="9"/>
        <v>0</v>
      </c>
      <c r="H19" s="631">
        <f t="shared" si="9"/>
        <v>0</v>
      </c>
      <c r="I19" s="631">
        <f t="shared" si="9"/>
        <v>0</v>
      </c>
      <c r="J19" s="631">
        <f t="shared" si="9"/>
        <v>0</v>
      </c>
      <c r="K19" s="631">
        <f t="shared" si="9"/>
        <v>21400000</v>
      </c>
      <c r="L19" s="631">
        <f t="shared" si="9"/>
        <v>0</v>
      </c>
      <c r="M19" s="631">
        <f t="shared" si="9"/>
        <v>0</v>
      </c>
      <c r="N19" s="631">
        <f t="shared" si="9"/>
        <v>32100000</v>
      </c>
      <c r="O19" s="631">
        <f t="shared" si="9"/>
        <v>32100000</v>
      </c>
      <c r="P19" s="631">
        <f t="shared" si="9"/>
        <v>42800000</v>
      </c>
      <c r="Q19" s="631">
        <f t="shared" si="9"/>
        <v>0</v>
      </c>
      <c r="R19" s="631">
        <f t="shared" si="9"/>
        <v>42800000</v>
      </c>
      <c r="S19" s="631">
        <f t="shared" si="9"/>
        <v>42800000</v>
      </c>
      <c r="T19" s="631">
        <f t="shared" si="9"/>
        <v>0</v>
      </c>
      <c r="U19" s="631">
        <f t="shared" si="9"/>
        <v>0</v>
      </c>
      <c r="V19" s="631">
        <f t="shared" si="9"/>
        <v>0</v>
      </c>
    </row>
    <row r="20" spans="1:22" s="660" customFormat="1" ht="32.5" customHeight="1">
      <c r="A20" s="634"/>
      <c r="B20" s="654" t="str">
        <f>B16</f>
        <v>Гостиничный комплекс 4* "У Бювета"</v>
      </c>
      <c r="C20" s="655">
        <f>C51+C43</f>
        <v>107000000</v>
      </c>
      <c r="D20" s="662"/>
      <c r="E20" s="651"/>
      <c r="F20" s="651"/>
      <c r="G20" s="651"/>
      <c r="H20" s="651"/>
      <c r="I20" s="651"/>
      <c r="J20" s="651"/>
      <c r="K20" s="656">
        <f>C20*20%</f>
        <v>21400000</v>
      </c>
      <c r="L20" s="651"/>
      <c r="M20" s="651"/>
      <c r="N20" s="640"/>
      <c r="O20" s="640"/>
      <c r="P20" s="640"/>
      <c r="Q20" s="640"/>
      <c r="R20" s="656">
        <f>$C$20*40%</f>
        <v>42800000</v>
      </c>
      <c r="S20" s="656">
        <f>$C$20*40%</f>
        <v>42800000</v>
      </c>
      <c r="T20" s="640"/>
      <c r="U20" s="640"/>
      <c r="V20" s="640"/>
    </row>
    <row r="21" spans="1:22" s="660" customFormat="1" ht="30.65" customHeight="1">
      <c r="A21" s="634"/>
      <c r="B21" s="654" t="str">
        <f t="shared" ref="B21:B22" si="10">B17</f>
        <v>Действующий корпус санатория с новым бальнеологическим комплексом</v>
      </c>
      <c r="C21" s="655">
        <f t="shared" ref="C21:C22" si="11">C52+C44</f>
        <v>0</v>
      </c>
      <c r="D21" s="662"/>
      <c r="E21" s="651"/>
      <c r="F21" s="651"/>
      <c r="G21" s="651"/>
      <c r="H21" s="651"/>
      <c r="I21" s="651"/>
      <c r="J21" s="651"/>
      <c r="K21" s="651"/>
      <c r="L21" s="651"/>
      <c r="M21" s="651"/>
      <c r="N21" s="640"/>
      <c r="O21" s="640"/>
      <c r="P21" s="640"/>
      <c r="Q21" s="640"/>
      <c r="R21" s="651"/>
      <c r="S21" s="651"/>
      <c r="T21" s="640"/>
      <c r="U21" s="640"/>
      <c r="V21" s="640"/>
    </row>
    <row r="22" spans="1:22" s="660" customFormat="1" ht="31.5" customHeight="1">
      <c r="A22" s="634"/>
      <c r="B22" s="654" t="str">
        <f t="shared" si="10"/>
        <v>Эко-вилладж 4*</v>
      </c>
      <c r="C22" s="655">
        <f t="shared" si="11"/>
        <v>107000000</v>
      </c>
      <c r="D22" s="662"/>
      <c r="E22" s="651"/>
      <c r="F22" s="651"/>
      <c r="G22" s="651"/>
      <c r="H22" s="651"/>
      <c r="I22" s="651"/>
      <c r="J22" s="651"/>
      <c r="K22" s="651"/>
      <c r="L22" s="651"/>
      <c r="M22" s="651"/>
      <c r="N22" s="658">
        <f>$C$22*30%</f>
        <v>32100000</v>
      </c>
      <c r="O22" s="658">
        <f>$C$22*30%</f>
        <v>32100000</v>
      </c>
      <c r="P22" s="658">
        <f>$C$22*40%</f>
        <v>42800000</v>
      </c>
      <c r="Q22" s="640"/>
      <c r="R22" s="651"/>
      <c r="S22" s="651"/>
      <c r="T22" s="640"/>
      <c r="U22" s="640"/>
      <c r="V22" s="640"/>
    </row>
    <row r="23" spans="1:22" s="633" customFormat="1">
      <c r="A23" s="629">
        <v>6</v>
      </c>
      <c r="B23" s="630" t="s">
        <v>902</v>
      </c>
      <c r="C23" s="631">
        <f>SUM(C24:C26)</f>
        <v>101000000</v>
      </c>
      <c r="D23" s="632"/>
      <c r="E23" s="631">
        <f>SUM(E24:E26)</f>
        <v>0</v>
      </c>
      <c r="F23" s="631">
        <f t="shared" ref="F23:V23" si="12">SUM(F24:F26)</f>
        <v>0</v>
      </c>
      <c r="G23" s="631">
        <f t="shared" si="12"/>
        <v>0</v>
      </c>
      <c r="H23" s="631">
        <f t="shared" si="12"/>
        <v>0</v>
      </c>
      <c r="I23" s="631">
        <f t="shared" si="12"/>
        <v>0</v>
      </c>
      <c r="J23" s="631">
        <f t="shared" si="12"/>
        <v>0</v>
      </c>
      <c r="K23" s="631">
        <f t="shared" si="12"/>
        <v>0</v>
      </c>
      <c r="L23" s="631">
        <f t="shared" si="12"/>
        <v>0</v>
      </c>
      <c r="M23" s="631">
        <f t="shared" si="12"/>
        <v>0</v>
      </c>
      <c r="N23" s="631">
        <f t="shared" si="12"/>
        <v>0</v>
      </c>
      <c r="O23" s="631">
        <f t="shared" si="12"/>
        <v>0</v>
      </c>
      <c r="P23" s="631">
        <f t="shared" si="12"/>
        <v>13300000</v>
      </c>
      <c r="Q23" s="631">
        <f t="shared" si="12"/>
        <v>24700000</v>
      </c>
      <c r="R23" s="631">
        <f t="shared" si="12"/>
        <v>5700000</v>
      </c>
      <c r="S23" s="631">
        <f t="shared" si="12"/>
        <v>13300000</v>
      </c>
      <c r="T23" s="631">
        <f t="shared" si="12"/>
        <v>19000000</v>
      </c>
      <c r="U23" s="631">
        <f t="shared" si="12"/>
        <v>8750000</v>
      </c>
      <c r="V23" s="631">
        <f t="shared" si="12"/>
        <v>16250000</v>
      </c>
    </row>
    <row r="24" spans="1:22" s="660" customFormat="1" ht="31">
      <c r="A24" s="634"/>
      <c r="B24" s="654" t="str">
        <f>B16</f>
        <v>Гостиничный комплекс 4* "У Бювета"</v>
      </c>
      <c r="C24" s="655">
        <f>C59</f>
        <v>38000000</v>
      </c>
      <c r="D24" s="652"/>
      <c r="E24" s="651"/>
      <c r="F24" s="651"/>
      <c r="G24" s="651"/>
      <c r="H24" s="651"/>
      <c r="I24" s="651"/>
      <c r="J24" s="651"/>
      <c r="K24" s="651"/>
      <c r="L24" s="651"/>
      <c r="M24" s="651"/>
      <c r="N24" s="651"/>
      <c r="O24" s="640"/>
      <c r="P24" s="651"/>
      <c r="Q24" s="651"/>
      <c r="R24" s="656">
        <f>$C$24*E108</f>
        <v>5700000</v>
      </c>
      <c r="S24" s="656">
        <f>$C$24*F108</f>
        <v>13300000</v>
      </c>
      <c r="T24" s="656">
        <f>$C$24*G108</f>
        <v>19000000</v>
      </c>
      <c r="U24" s="651"/>
      <c r="V24" s="651"/>
    </row>
    <row r="25" spans="1:22" s="660" customFormat="1" ht="62">
      <c r="A25" s="634"/>
      <c r="B25" s="654" t="str">
        <f>B17</f>
        <v>Действующий корпус санатория с новым бальнеологическим комплексом</v>
      </c>
      <c r="C25" s="655">
        <f t="shared" ref="C25:C26" si="13">C60</f>
        <v>25000000</v>
      </c>
      <c r="D25" s="652"/>
      <c r="E25" s="651"/>
      <c r="F25" s="651"/>
      <c r="G25" s="651"/>
      <c r="H25" s="651"/>
      <c r="I25" s="651"/>
      <c r="J25" s="651"/>
      <c r="K25" s="651"/>
      <c r="L25" s="651"/>
      <c r="M25" s="651"/>
      <c r="N25" s="651"/>
      <c r="O25" s="640"/>
      <c r="P25" s="651"/>
      <c r="Q25" s="651"/>
      <c r="R25" s="651"/>
      <c r="S25" s="651"/>
      <c r="T25" s="640"/>
      <c r="U25" s="657">
        <f>$C$25*E109</f>
        <v>8750000</v>
      </c>
      <c r="V25" s="657">
        <f>$C$25*F109</f>
        <v>16250000</v>
      </c>
    </row>
    <row r="26" spans="1:22" s="660" customFormat="1" ht="23.15" customHeight="1">
      <c r="A26" s="634"/>
      <c r="B26" s="654" t="str">
        <f>B18</f>
        <v>Эко-вилладж 4*</v>
      </c>
      <c r="C26" s="655">
        <f t="shared" si="13"/>
        <v>38000000</v>
      </c>
      <c r="D26" s="652"/>
      <c r="E26" s="651"/>
      <c r="F26" s="651"/>
      <c r="G26" s="651"/>
      <c r="H26" s="651"/>
      <c r="I26" s="651"/>
      <c r="J26" s="651"/>
      <c r="K26" s="651"/>
      <c r="L26" s="651"/>
      <c r="M26" s="651"/>
      <c r="N26" s="651"/>
      <c r="O26" s="640"/>
      <c r="P26" s="658">
        <f>$C$26*E110</f>
        <v>13300000</v>
      </c>
      <c r="Q26" s="658">
        <f>$C$26*F110</f>
        <v>24700000</v>
      </c>
      <c r="R26" s="651"/>
      <c r="S26" s="651"/>
      <c r="T26" s="651"/>
      <c r="U26" s="651"/>
      <c r="V26" s="651"/>
    </row>
    <row r="27" spans="1:22" s="633" customFormat="1" ht="31">
      <c r="A27" s="629">
        <v>7</v>
      </c>
      <c r="B27" s="630" t="s">
        <v>931</v>
      </c>
      <c r="C27" s="631">
        <f>SUM(C28:C30)</f>
        <v>9650000</v>
      </c>
      <c r="D27" s="773"/>
      <c r="E27" s="774">
        <f>SUM(E28:E30)</f>
        <v>0</v>
      </c>
      <c r="F27" s="774">
        <f t="shared" ref="F27:V27" si="14">SUM(F28:F30)</f>
        <v>0</v>
      </c>
      <c r="G27" s="774">
        <f t="shared" si="14"/>
        <v>0</v>
      </c>
      <c r="H27" s="774">
        <f t="shared" si="14"/>
        <v>0</v>
      </c>
      <c r="I27" s="774">
        <f t="shared" si="14"/>
        <v>0</v>
      </c>
      <c r="J27" s="774">
        <f t="shared" si="14"/>
        <v>0</v>
      </c>
      <c r="K27" s="774">
        <f t="shared" si="14"/>
        <v>800000</v>
      </c>
      <c r="L27" s="774">
        <f t="shared" si="14"/>
        <v>800000</v>
      </c>
      <c r="M27" s="774">
        <f t="shared" si="14"/>
        <v>800000</v>
      </c>
      <c r="N27" s="774">
        <f t="shared" si="14"/>
        <v>800000</v>
      </c>
      <c r="O27" s="774">
        <f t="shared" si="14"/>
        <v>800000</v>
      </c>
      <c r="P27" s="774">
        <f t="shared" si="14"/>
        <v>800000</v>
      </c>
      <c r="Q27" s="774">
        <f t="shared" si="14"/>
        <v>1250000</v>
      </c>
      <c r="R27" s="774">
        <f t="shared" si="14"/>
        <v>900000</v>
      </c>
      <c r="S27" s="774">
        <f t="shared" si="14"/>
        <v>900000</v>
      </c>
      <c r="T27" s="774">
        <f t="shared" si="14"/>
        <v>900000</v>
      </c>
      <c r="U27" s="774">
        <f t="shared" si="14"/>
        <v>450000</v>
      </c>
      <c r="V27" s="774">
        <f t="shared" si="14"/>
        <v>450000</v>
      </c>
    </row>
    <row r="28" spans="1:22" s="660" customFormat="1" ht="31">
      <c r="A28" s="634"/>
      <c r="B28" s="654" t="str">
        <f>B24</f>
        <v>Гостиничный комплекс 4* "У Бювета"</v>
      </c>
      <c r="C28" s="655">
        <f>C55</f>
        <v>4500000</v>
      </c>
      <c r="D28" s="652"/>
      <c r="E28" s="663"/>
      <c r="F28" s="659"/>
      <c r="G28" s="659"/>
      <c r="H28" s="659"/>
      <c r="I28" s="659"/>
      <c r="J28" s="640"/>
      <c r="K28" s="656">
        <f>$C$28/10</f>
        <v>450000</v>
      </c>
      <c r="L28" s="656">
        <f t="shared" ref="L28:T28" si="15">$C$28/10</f>
        <v>450000</v>
      </c>
      <c r="M28" s="656">
        <f t="shared" si="15"/>
        <v>450000</v>
      </c>
      <c r="N28" s="656">
        <f t="shared" si="15"/>
        <v>450000</v>
      </c>
      <c r="O28" s="656">
        <f t="shared" si="15"/>
        <v>450000</v>
      </c>
      <c r="P28" s="656">
        <f t="shared" si="15"/>
        <v>450000</v>
      </c>
      <c r="Q28" s="656">
        <f t="shared" si="15"/>
        <v>450000</v>
      </c>
      <c r="R28" s="656">
        <f t="shared" si="15"/>
        <v>450000</v>
      </c>
      <c r="S28" s="656">
        <f t="shared" si="15"/>
        <v>450000</v>
      </c>
      <c r="T28" s="656">
        <f t="shared" si="15"/>
        <v>450000</v>
      </c>
      <c r="U28" s="659"/>
      <c r="V28" s="659"/>
    </row>
    <row r="29" spans="1:22" s="660" customFormat="1" ht="62">
      <c r="A29" s="634"/>
      <c r="B29" s="654" t="str">
        <f>B25</f>
        <v>Действующий корпус санатория с новым бальнеологическим комплексом</v>
      </c>
      <c r="C29" s="655">
        <f t="shared" ref="C29:C30" si="16">C56</f>
        <v>2700000</v>
      </c>
      <c r="D29" s="652"/>
      <c r="E29" s="663"/>
      <c r="F29" s="659"/>
      <c r="G29" s="659"/>
      <c r="H29" s="659"/>
      <c r="I29" s="659"/>
      <c r="J29" s="640"/>
      <c r="K29" s="659"/>
      <c r="L29" s="659"/>
      <c r="M29" s="659"/>
      <c r="N29" s="659"/>
      <c r="O29" s="659"/>
      <c r="P29" s="659"/>
      <c r="Q29" s="657">
        <f>$C$29/6</f>
        <v>450000</v>
      </c>
      <c r="R29" s="657">
        <f t="shared" ref="R29:V29" si="17">$C$29/6</f>
        <v>450000</v>
      </c>
      <c r="S29" s="657">
        <f t="shared" si="17"/>
        <v>450000</v>
      </c>
      <c r="T29" s="657">
        <f t="shared" si="17"/>
        <v>450000</v>
      </c>
      <c r="U29" s="657">
        <f t="shared" si="17"/>
        <v>450000</v>
      </c>
      <c r="V29" s="657">
        <f t="shared" si="17"/>
        <v>450000</v>
      </c>
    </row>
    <row r="30" spans="1:22" s="660" customFormat="1" ht="25.5" customHeight="1">
      <c r="A30" s="634"/>
      <c r="B30" s="654" t="str">
        <f>B26</f>
        <v>Эко-вилладж 4*</v>
      </c>
      <c r="C30" s="655">
        <f t="shared" si="16"/>
        <v>2450000</v>
      </c>
      <c r="D30" s="652"/>
      <c r="E30" s="663"/>
      <c r="F30" s="659"/>
      <c r="G30" s="659"/>
      <c r="H30" s="659"/>
      <c r="I30" s="659"/>
      <c r="J30" s="640"/>
      <c r="K30" s="658">
        <f>$C$30/7</f>
        <v>350000</v>
      </c>
      <c r="L30" s="658">
        <f t="shared" ref="L30:Q30" si="18">$C$30/7</f>
        <v>350000</v>
      </c>
      <c r="M30" s="658">
        <f t="shared" si="18"/>
        <v>350000</v>
      </c>
      <c r="N30" s="658">
        <f t="shared" si="18"/>
        <v>350000</v>
      </c>
      <c r="O30" s="658">
        <f t="shared" si="18"/>
        <v>350000</v>
      </c>
      <c r="P30" s="658">
        <f t="shared" si="18"/>
        <v>350000</v>
      </c>
      <c r="Q30" s="658">
        <f t="shared" si="18"/>
        <v>350000</v>
      </c>
      <c r="R30" s="659"/>
      <c r="S30" s="659"/>
      <c r="T30" s="659"/>
      <c r="U30" s="659"/>
      <c r="V30" s="659"/>
    </row>
    <row r="31" spans="1:22" s="633" customFormat="1" ht="35.15" customHeight="1">
      <c r="A31" s="629">
        <v>8</v>
      </c>
      <c r="B31" s="630" t="s">
        <v>903</v>
      </c>
      <c r="C31" s="631">
        <f>C62</f>
        <v>103040000</v>
      </c>
      <c r="D31" s="773"/>
      <c r="E31" s="774"/>
      <c r="F31" s="774"/>
      <c r="G31" s="774"/>
      <c r="H31" s="774"/>
      <c r="I31" s="774"/>
      <c r="J31" s="774">
        <f>$C$31/12</f>
        <v>8586666.666666666</v>
      </c>
      <c r="K31" s="774">
        <f t="shared" ref="K31:U31" si="19">$C$31/12</f>
        <v>8586666.666666666</v>
      </c>
      <c r="L31" s="774">
        <f t="shared" si="19"/>
        <v>8586666.666666666</v>
      </c>
      <c r="M31" s="774">
        <f t="shared" si="19"/>
        <v>8586666.666666666</v>
      </c>
      <c r="N31" s="774">
        <f t="shared" si="19"/>
        <v>8586666.666666666</v>
      </c>
      <c r="O31" s="774">
        <f t="shared" si="19"/>
        <v>8586666.666666666</v>
      </c>
      <c r="P31" s="774">
        <f t="shared" si="19"/>
        <v>8586666.666666666</v>
      </c>
      <c r="Q31" s="774">
        <f t="shared" si="19"/>
        <v>8586666.666666666</v>
      </c>
      <c r="R31" s="774">
        <f t="shared" si="19"/>
        <v>8586666.666666666</v>
      </c>
      <c r="S31" s="774">
        <f t="shared" si="19"/>
        <v>8586666.666666666</v>
      </c>
      <c r="T31" s="774">
        <f t="shared" si="19"/>
        <v>8586666.666666666</v>
      </c>
      <c r="U31" s="774">
        <f t="shared" si="19"/>
        <v>8586666.666666666</v>
      </c>
      <c r="V31" s="774"/>
    </row>
    <row r="32" spans="1:22" s="633" customFormat="1" ht="29.15" customHeight="1">
      <c r="A32" s="629"/>
      <c r="B32" s="630" t="s">
        <v>383</v>
      </c>
      <c r="C32" s="631">
        <f>SUM(C5,C6,C10,C15,C19,C23,C27,C31)</f>
        <v>4773391500</v>
      </c>
      <c r="D32" s="631"/>
      <c r="E32" s="631">
        <f t="shared" ref="E32:V32" si="20">SUM(E5,E6,E10,E15,E19,E23,E27,E31)</f>
        <v>3490000</v>
      </c>
      <c r="F32" s="631">
        <f t="shared" si="20"/>
        <v>0</v>
      </c>
      <c r="G32" s="631">
        <f t="shared" si="20"/>
        <v>23750000</v>
      </c>
      <c r="H32" s="631">
        <f t="shared" si="20"/>
        <v>23750000</v>
      </c>
      <c r="I32" s="631">
        <f t="shared" si="20"/>
        <v>23750000</v>
      </c>
      <c r="J32" s="631">
        <f t="shared" si="20"/>
        <v>28846666.666666664</v>
      </c>
      <c r="K32" s="631">
        <f t="shared" si="20"/>
        <v>269514929.16666669</v>
      </c>
      <c r="L32" s="631">
        <f t="shared" si="20"/>
        <v>285029329.16666669</v>
      </c>
      <c r="M32" s="631">
        <f t="shared" si="20"/>
        <v>313470454.16666669</v>
      </c>
      <c r="N32" s="631">
        <f t="shared" si="20"/>
        <v>359791016.66666669</v>
      </c>
      <c r="O32" s="631">
        <f t="shared" si="20"/>
        <v>461606610.41666669</v>
      </c>
      <c r="P32" s="631">
        <f t="shared" si="20"/>
        <v>490248360.41666669</v>
      </c>
      <c r="Q32" s="631">
        <f t="shared" si="20"/>
        <v>500423166.66666669</v>
      </c>
      <c r="R32" s="631">
        <f t="shared" si="20"/>
        <v>388520366.66666669</v>
      </c>
      <c r="S32" s="631">
        <f t="shared" si="20"/>
        <v>474531906.66666669</v>
      </c>
      <c r="T32" s="631">
        <f t="shared" si="20"/>
        <v>410752186.66666669</v>
      </c>
      <c r="U32" s="631">
        <f t="shared" si="20"/>
        <v>387587006.66666669</v>
      </c>
      <c r="V32" s="631">
        <f t="shared" si="20"/>
        <v>328329500</v>
      </c>
    </row>
    <row r="35" spans="2:5">
      <c r="C35" s="684"/>
    </row>
    <row r="36" spans="2:5" ht="31">
      <c r="B36" s="683" t="s">
        <v>933</v>
      </c>
      <c r="C36" s="695"/>
      <c r="D36" s="682" t="s">
        <v>1120</v>
      </c>
      <c r="E36" s="681" t="s">
        <v>1121</v>
      </c>
    </row>
    <row r="37" spans="2:5">
      <c r="B37" s="690" t="s">
        <v>905</v>
      </c>
      <c r="C37" s="641">
        <f>SUM(C39:C62)</f>
        <v>4773391500</v>
      </c>
      <c r="D37" s="641">
        <f>C37*0.8</f>
        <v>3818713200</v>
      </c>
      <c r="E37" s="641">
        <f>C37*0.2</f>
        <v>954678300</v>
      </c>
    </row>
    <row r="38" spans="2:5">
      <c r="B38" s="689" t="s">
        <v>926</v>
      </c>
      <c r="C38" s="641"/>
    </row>
    <row r="39" spans="2:5" ht="31">
      <c r="B39" s="694" t="str">
        <f>B28</f>
        <v>Гостиничный комплекс 4* "У Бювета"</v>
      </c>
      <c r="C39" s="636">
        <v>45000000</v>
      </c>
      <c r="E39" s="778">
        <f>C39</f>
        <v>45000000</v>
      </c>
    </row>
    <row r="40" spans="2:5" ht="62">
      <c r="B40" s="694" t="str">
        <f>B29</f>
        <v>Действующий корпус санатория с новым бальнеологическим комплексом</v>
      </c>
      <c r="C40" s="636">
        <v>25000000</v>
      </c>
      <c r="E40" s="778">
        <f t="shared" ref="E40:E45" si="21">C40</f>
        <v>25000000</v>
      </c>
    </row>
    <row r="41" spans="2:5">
      <c r="B41" s="694" t="str">
        <f>B30</f>
        <v>Эко-вилладж 4*</v>
      </c>
      <c r="C41" s="636">
        <v>25000000</v>
      </c>
      <c r="E41" s="778">
        <f t="shared" si="21"/>
        <v>25000000</v>
      </c>
    </row>
    <row r="42" spans="2:5">
      <c r="B42" s="689" t="s">
        <v>930</v>
      </c>
      <c r="C42" s="641"/>
      <c r="E42" s="778"/>
    </row>
    <row r="43" spans="2:5" ht="31">
      <c r="B43" s="694" t="str">
        <f>B39</f>
        <v>Гостиничный комплекс 4* "У Бювета"</v>
      </c>
      <c r="C43" s="636">
        <v>52000000</v>
      </c>
      <c r="E43" s="778">
        <f t="shared" si="21"/>
        <v>52000000</v>
      </c>
    </row>
    <row r="44" spans="2:5" ht="62">
      <c r="B44" s="694" t="str">
        <f t="shared" ref="B44:B45" si="22">B40</f>
        <v>Действующий корпус санатория с новым бальнеологическим комплексом</v>
      </c>
      <c r="C44" s="636"/>
      <c r="E44" s="778"/>
    </row>
    <row r="45" spans="2:5">
      <c r="B45" s="694" t="str">
        <f t="shared" si="22"/>
        <v>Эко-вилладж 4*</v>
      </c>
      <c r="C45" s="636">
        <v>52000000</v>
      </c>
      <c r="E45" s="778">
        <f t="shared" si="21"/>
        <v>52000000</v>
      </c>
    </row>
    <row r="46" spans="2:5">
      <c r="B46" s="688" t="s">
        <v>927</v>
      </c>
      <c r="C46" s="641"/>
    </row>
    <row r="47" spans="2:5" ht="31">
      <c r="B47" s="691" t="str">
        <f>'Итого выручка 1 этапа'!A3</f>
        <v>Гостиничный комплекс 4* "У Бювета"</v>
      </c>
      <c r="C47" s="636">
        <f>Инфраструктура!D51</f>
        <v>1640640000</v>
      </c>
      <c r="D47" s="695">
        <f>C47-E47</f>
        <v>884961700</v>
      </c>
      <c r="E47" s="778">
        <f>E37-SUM(E39:E45)</f>
        <v>755678300</v>
      </c>
    </row>
    <row r="48" spans="2:5" ht="62">
      <c r="B48" s="691" t="str">
        <f>'Итого выручка 1 этапа'!A11</f>
        <v>Действующий корпус санатория с новым бальнеологическим комплексом</v>
      </c>
      <c r="C48" s="636">
        <f>Инфраструктура!D92+Инфраструктура!D94+Инфраструктура!D96</f>
        <v>1662024000</v>
      </c>
      <c r="D48" s="695">
        <f>C48</f>
        <v>1662024000</v>
      </c>
    </row>
    <row r="49" spans="2:4">
      <c r="B49" s="691" t="str">
        <f>'Итого выручка 1 этапа'!A17</f>
        <v>Эко-вилладж 4*</v>
      </c>
      <c r="C49" s="636">
        <f>Инфраструктура!D143</f>
        <v>948037500</v>
      </c>
      <c r="D49" s="695">
        <f t="shared" ref="D49:D62" si="23">C49</f>
        <v>948037500</v>
      </c>
    </row>
    <row r="50" spans="2:4">
      <c r="B50" s="692" t="s">
        <v>928</v>
      </c>
      <c r="C50" s="635"/>
      <c r="D50" s="695"/>
    </row>
    <row r="51" spans="2:4" ht="31">
      <c r="B51" s="691" t="str">
        <f>B47</f>
        <v>Гостиничный комплекс 4* "У Бювета"</v>
      </c>
      <c r="C51" s="636">
        <v>55000000</v>
      </c>
      <c r="D51" s="695">
        <f t="shared" si="23"/>
        <v>55000000</v>
      </c>
    </row>
    <row r="52" spans="2:4" ht="62">
      <c r="B52" s="691" t="str">
        <f t="shared" ref="B52:B53" si="24">B48</f>
        <v>Действующий корпус санатория с новым бальнеологическим комплексом</v>
      </c>
      <c r="C52" s="636"/>
      <c r="D52" s="695"/>
    </row>
    <row r="53" spans="2:4">
      <c r="B53" s="691" t="str">
        <f t="shared" si="24"/>
        <v>Эко-вилладж 4*</v>
      </c>
      <c r="C53" s="636">
        <v>55000000</v>
      </c>
      <c r="D53" s="695">
        <f t="shared" si="23"/>
        <v>55000000</v>
      </c>
    </row>
    <row r="54" spans="2:4">
      <c r="B54" s="693" t="s">
        <v>929</v>
      </c>
      <c r="C54" s="636"/>
      <c r="D54" s="695"/>
    </row>
    <row r="55" spans="2:4" ht="31">
      <c r="B55" s="691" t="str">
        <f>B51</f>
        <v>Гостиничный комплекс 4* "У Бювета"</v>
      </c>
      <c r="C55" s="636">
        <v>4500000</v>
      </c>
      <c r="D55" s="695">
        <f t="shared" si="23"/>
        <v>4500000</v>
      </c>
    </row>
    <row r="56" spans="2:4" ht="62">
      <c r="B56" s="691" t="str">
        <f t="shared" ref="B56:B57" si="25">B52</f>
        <v>Действующий корпус санатория с новым бальнеологическим комплексом</v>
      </c>
      <c r="C56" s="636">
        <f>450000*6</f>
        <v>2700000</v>
      </c>
      <c r="D56" s="695">
        <f t="shared" si="23"/>
        <v>2700000</v>
      </c>
    </row>
    <row r="57" spans="2:4">
      <c r="B57" s="691" t="str">
        <f t="shared" si="25"/>
        <v>Эко-вилладж 4*</v>
      </c>
      <c r="C57" s="636">
        <f>350000*7</f>
        <v>2450000</v>
      </c>
      <c r="D57" s="695">
        <f t="shared" si="23"/>
        <v>2450000</v>
      </c>
    </row>
    <row r="58" spans="2:4">
      <c r="B58" s="693" t="s">
        <v>902</v>
      </c>
      <c r="C58" s="636"/>
      <c r="D58" s="695"/>
    </row>
    <row r="59" spans="2:4" ht="31">
      <c r="B59" s="691" t="str">
        <f>B55</f>
        <v>Гостиничный комплекс 4* "У Бювета"</v>
      </c>
      <c r="C59" s="636">
        <v>38000000</v>
      </c>
      <c r="D59" s="695">
        <f t="shared" si="23"/>
        <v>38000000</v>
      </c>
    </row>
    <row r="60" spans="2:4" ht="62">
      <c r="B60" s="691" t="str">
        <f t="shared" ref="B60:B61" si="26">B56</f>
        <v>Действующий корпус санатория с новым бальнеологическим комплексом</v>
      </c>
      <c r="C60" s="636">
        <v>25000000</v>
      </c>
      <c r="D60" s="695">
        <f t="shared" si="23"/>
        <v>25000000</v>
      </c>
    </row>
    <row r="61" spans="2:4">
      <c r="B61" s="691" t="str">
        <f t="shared" si="26"/>
        <v>Эко-вилладж 4*</v>
      </c>
      <c r="C61" s="636">
        <v>38000000</v>
      </c>
      <c r="D61" s="695">
        <f t="shared" si="23"/>
        <v>38000000</v>
      </c>
    </row>
    <row r="62" spans="2:4">
      <c r="B62" s="779" t="s">
        <v>932</v>
      </c>
      <c r="C62" s="636">
        <f>5152000000*2%</f>
        <v>103040000</v>
      </c>
      <c r="D62" s="695">
        <f t="shared" si="23"/>
        <v>103040000</v>
      </c>
    </row>
    <row r="65" spans="2:16" ht="31">
      <c r="B65" s="680" t="s">
        <v>912</v>
      </c>
      <c r="C65" s="641">
        <f>Инфраструктура!D206</f>
        <v>727983375</v>
      </c>
      <c r="D65" s="680"/>
    </row>
    <row r="66" spans="2:16">
      <c r="B66" s="686"/>
      <c r="C66" s="686"/>
      <c r="D66" s="686"/>
      <c r="E66" s="806">
        <v>2028</v>
      </c>
      <c r="F66" s="809"/>
      <c r="G66" s="808"/>
      <c r="H66" s="806">
        <v>2029</v>
      </c>
      <c r="I66" s="807"/>
      <c r="J66" s="807"/>
      <c r="K66" s="808"/>
      <c r="L66" s="806">
        <v>2030</v>
      </c>
      <c r="M66" s="807"/>
      <c r="N66" s="807"/>
      <c r="O66" s="808"/>
      <c r="P66" s="634">
        <v>2031</v>
      </c>
    </row>
    <row r="67" spans="2:16">
      <c r="B67" s="634"/>
      <c r="C67" s="634"/>
      <c r="D67" s="634"/>
      <c r="E67" s="640" t="s">
        <v>898</v>
      </c>
      <c r="F67" s="640" t="s">
        <v>895</v>
      </c>
      <c r="G67" s="640" t="s">
        <v>896</v>
      </c>
      <c r="H67" s="640" t="s">
        <v>897</v>
      </c>
      <c r="I67" s="640" t="s">
        <v>898</v>
      </c>
      <c r="J67" s="640" t="s">
        <v>895</v>
      </c>
      <c r="K67" s="640" t="s">
        <v>896</v>
      </c>
      <c r="L67" s="640" t="s">
        <v>897</v>
      </c>
      <c r="M67" s="640" t="s">
        <v>898</v>
      </c>
      <c r="N67" s="640" t="s">
        <v>895</v>
      </c>
      <c r="O67" s="640" t="s">
        <v>896</v>
      </c>
      <c r="P67" s="640" t="s">
        <v>897</v>
      </c>
    </row>
    <row r="68" spans="2:16">
      <c r="B68" s="664" t="str">
        <f>B3</f>
        <v>Наименование работ</v>
      </c>
      <c r="C68" s="664" t="str">
        <f>C3</f>
        <v>ИТОГО</v>
      </c>
      <c r="D68" s="664" t="str">
        <f>D3</f>
        <v>% от СМР</v>
      </c>
      <c r="E68" s="635"/>
      <c r="F68" s="635"/>
      <c r="G68" s="635"/>
      <c r="H68" s="635"/>
      <c r="I68" s="635"/>
      <c r="J68" s="635"/>
      <c r="K68" s="635"/>
      <c r="L68" s="635"/>
      <c r="M68" s="635"/>
      <c r="N68" s="635"/>
      <c r="O68" s="635"/>
      <c r="P68" s="635"/>
    </row>
    <row r="69" spans="2:16">
      <c r="B69" s="635" t="s">
        <v>913</v>
      </c>
      <c r="C69" s="636">
        <f t="shared" ref="C69:C75" si="27">$C$77*D69</f>
        <v>72798337.5</v>
      </c>
      <c r="D69" s="637">
        <v>0.1</v>
      </c>
      <c r="E69" s="665">
        <f>$C$69/3</f>
        <v>24266112.5</v>
      </c>
      <c r="F69" s="665">
        <f>$C$69/3</f>
        <v>24266112.5</v>
      </c>
      <c r="G69" s="665">
        <f>$C$69/3</f>
        <v>24266112.5</v>
      </c>
      <c r="H69" s="635"/>
      <c r="I69" s="635"/>
      <c r="J69" s="635"/>
      <c r="K69" s="635"/>
      <c r="L69" s="635"/>
      <c r="M69" s="635"/>
      <c r="N69" s="635"/>
      <c r="O69" s="635"/>
      <c r="P69" s="635"/>
    </row>
    <row r="70" spans="2:16">
      <c r="B70" s="635" t="str">
        <f>B6</f>
        <v>Общестроительные работы</v>
      </c>
      <c r="C70" s="636">
        <f t="shared" si="27"/>
        <v>254794181.24999997</v>
      </c>
      <c r="D70" s="637">
        <v>0.35</v>
      </c>
      <c r="E70" s="635"/>
      <c r="F70" s="635"/>
      <c r="G70" s="635"/>
      <c r="H70" s="665">
        <f t="shared" ref="H70:M70" si="28">$C$70*E96</f>
        <v>38219127.187499993</v>
      </c>
      <c r="I70" s="665">
        <f t="shared" si="28"/>
        <v>50958836.25</v>
      </c>
      <c r="J70" s="665">
        <f t="shared" si="28"/>
        <v>50958836.25</v>
      </c>
      <c r="K70" s="665">
        <f t="shared" si="28"/>
        <v>50958836.25</v>
      </c>
      <c r="L70" s="665">
        <f t="shared" si="28"/>
        <v>38219127.187499993</v>
      </c>
      <c r="M70" s="665">
        <f t="shared" si="28"/>
        <v>25479418.125</v>
      </c>
      <c r="N70" s="635"/>
      <c r="O70" s="635"/>
      <c r="P70" s="635"/>
    </row>
    <row r="71" spans="2:16" ht="31">
      <c r="B71" s="635" t="str">
        <f>B10</f>
        <v>Отделочные работы (полы, стены, потолок)</v>
      </c>
      <c r="C71" s="636">
        <f t="shared" si="27"/>
        <v>145596675</v>
      </c>
      <c r="D71" s="637">
        <v>0.2</v>
      </c>
      <c r="E71" s="635"/>
      <c r="F71" s="635"/>
      <c r="G71" s="635"/>
      <c r="H71" s="635"/>
      <c r="I71" s="635"/>
      <c r="J71" s="635"/>
      <c r="K71" s="635"/>
      <c r="L71" s="665">
        <f>$C$71*E101</f>
        <v>36399168.75</v>
      </c>
      <c r="M71" s="665">
        <f>$C$71*F101</f>
        <v>43679002.5</v>
      </c>
      <c r="N71" s="665">
        <f>$C$71*G101</f>
        <v>65518503.75</v>
      </c>
      <c r="O71" s="635"/>
      <c r="P71" s="635"/>
    </row>
    <row r="72" spans="2:16">
      <c r="B72" s="635" t="str">
        <f>B15</f>
        <v>Оснащение и комплектация</v>
      </c>
      <c r="C72" s="636">
        <f t="shared" si="27"/>
        <v>211115178.75</v>
      </c>
      <c r="D72" s="637">
        <v>0.28999999999999998</v>
      </c>
      <c r="E72" s="635"/>
      <c r="F72" s="635"/>
      <c r="G72" s="635"/>
      <c r="H72" s="635"/>
      <c r="I72" s="635"/>
      <c r="J72" s="635"/>
      <c r="K72" s="635"/>
      <c r="L72" s="635"/>
      <c r="M72" s="635"/>
      <c r="N72" s="665">
        <f>$C$72*E106</f>
        <v>73890312.5625</v>
      </c>
      <c r="O72" s="665">
        <f>$C$72*F106</f>
        <v>137224866.1875</v>
      </c>
      <c r="P72" s="635"/>
    </row>
    <row r="73" spans="2:16">
      <c r="B73" s="635" t="str">
        <f>B23</f>
        <v>Подготовка к открытию</v>
      </c>
      <c r="C73" s="636">
        <f t="shared" si="27"/>
        <v>21839501.25</v>
      </c>
      <c r="D73" s="637">
        <v>0.03</v>
      </c>
      <c r="E73" s="635"/>
      <c r="F73" s="635"/>
      <c r="G73" s="635"/>
      <c r="H73" s="635"/>
      <c r="I73" s="635"/>
      <c r="J73" s="635"/>
      <c r="K73" s="635"/>
      <c r="L73" s="635"/>
      <c r="M73" s="635"/>
      <c r="N73" s="635"/>
      <c r="O73" s="665">
        <f>$C$73*E111</f>
        <v>7643825.4374999991</v>
      </c>
      <c r="P73" s="665">
        <f>$C$73*F111</f>
        <v>14195675.8125</v>
      </c>
    </row>
    <row r="74" spans="2:16" ht="31">
      <c r="B74" s="635" t="str">
        <f>B27</f>
        <v>Затраты на Техническое сопровождение</v>
      </c>
      <c r="C74" s="636">
        <f t="shared" si="27"/>
        <v>7279833.75</v>
      </c>
      <c r="D74" s="637">
        <v>0.01</v>
      </c>
      <c r="E74" s="635"/>
      <c r="F74" s="635"/>
      <c r="G74" s="635"/>
      <c r="H74" s="665">
        <f t="shared" ref="H74:P74" si="29">$C$74/9</f>
        <v>808870.41666666663</v>
      </c>
      <c r="I74" s="665">
        <f t="shared" si="29"/>
        <v>808870.41666666663</v>
      </c>
      <c r="J74" s="665">
        <f t="shared" si="29"/>
        <v>808870.41666666663</v>
      </c>
      <c r="K74" s="665">
        <f t="shared" si="29"/>
        <v>808870.41666666663</v>
      </c>
      <c r="L74" s="665">
        <f t="shared" si="29"/>
        <v>808870.41666666663</v>
      </c>
      <c r="M74" s="665">
        <f t="shared" si="29"/>
        <v>808870.41666666663</v>
      </c>
      <c r="N74" s="665">
        <f t="shared" si="29"/>
        <v>808870.41666666663</v>
      </c>
      <c r="O74" s="665">
        <f t="shared" si="29"/>
        <v>808870.41666666663</v>
      </c>
      <c r="P74" s="665">
        <f t="shared" si="29"/>
        <v>808870.41666666663</v>
      </c>
    </row>
    <row r="75" spans="2:16" ht="31">
      <c r="B75" s="635" t="str">
        <f>B31</f>
        <v>Прочие непредвиденные расходы</v>
      </c>
      <c r="C75" s="636">
        <f t="shared" si="27"/>
        <v>14559667.5</v>
      </c>
      <c r="D75" s="638">
        <v>0.02</v>
      </c>
      <c r="E75" s="635"/>
      <c r="F75" s="635"/>
      <c r="G75" s="635"/>
      <c r="H75" s="665">
        <f t="shared" ref="H75:P75" si="30">$C$75/9</f>
        <v>1617740.8333333333</v>
      </c>
      <c r="I75" s="665">
        <f t="shared" si="30"/>
        <v>1617740.8333333333</v>
      </c>
      <c r="J75" s="665">
        <f t="shared" si="30"/>
        <v>1617740.8333333333</v>
      </c>
      <c r="K75" s="665">
        <f t="shared" si="30"/>
        <v>1617740.8333333333</v>
      </c>
      <c r="L75" s="665">
        <f t="shared" si="30"/>
        <v>1617740.8333333333</v>
      </c>
      <c r="M75" s="665">
        <f t="shared" si="30"/>
        <v>1617740.8333333333</v>
      </c>
      <c r="N75" s="665">
        <f t="shared" si="30"/>
        <v>1617740.8333333333</v>
      </c>
      <c r="O75" s="665">
        <f t="shared" si="30"/>
        <v>1617740.8333333333</v>
      </c>
      <c r="P75" s="665">
        <f t="shared" si="30"/>
        <v>1617740.8333333333</v>
      </c>
    </row>
    <row r="76" spans="2:16">
      <c r="B76" s="635"/>
      <c r="C76" s="635"/>
      <c r="D76" s="639"/>
      <c r="E76" s="635"/>
      <c r="F76" s="635"/>
      <c r="G76" s="635"/>
      <c r="H76" s="635"/>
      <c r="I76" s="635"/>
      <c r="J76" s="635"/>
      <c r="K76" s="635"/>
      <c r="L76" s="635"/>
      <c r="M76" s="635"/>
      <c r="N76" s="635"/>
      <c r="O76" s="635"/>
      <c r="P76" s="635"/>
    </row>
    <row r="77" spans="2:16">
      <c r="B77" s="640" t="s">
        <v>383</v>
      </c>
      <c r="C77" s="641">
        <f>Инфраструктура!D206</f>
        <v>727983375</v>
      </c>
      <c r="D77" s="642">
        <f t="shared" ref="D77:P77" si="31">SUM(D69:D75)</f>
        <v>1</v>
      </c>
      <c r="E77" s="641">
        <f t="shared" si="31"/>
        <v>24266112.5</v>
      </c>
      <c r="F77" s="641">
        <f t="shared" si="31"/>
        <v>24266112.5</v>
      </c>
      <c r="G77" s="641">
        <f t="shared" si="31"/>
        <v>24266112.5</v>
      </c>
      <c r="H77" s="641">
        <f t="shared" si="31"/>
        <v>40645738.437499993</v>
      </c>
      <c r="I77" s="641">
        <f t="shared" si="31"/>
        <v>53385447.5</v>
      </c>
      <c r="J77" s="641">
        <f t="shared" si="31"/>
        <v>53385447.5</v>
      </c>
      <c r="K77" s="641">
        <f t="shared" si="31"/>
        <v>53385447.5</v>
      </c>
      <c r="L77" s="641">
        <f t="shared" si="31"/>
        <v>77044907.1875</v>
      </c>
      <c r="M77" s="641">
        <f t="shared" si="31"/>
        <v>71585031.875</v>
      </c>
      <c r="N77" s="641">
        <f t="shared" si="31"/>
        <v>141835427.5625</v>
      </c>
      <c r="O77" s="641">
        <f t="shared" si="31"/>
        <v>147295302.875</v>
      </c>
      <c r="P77" s="641">
        <f t="shared" si="31"/>
        <v>16622287.0625</v>
      </c>
    </row>
    <row r="91" spans="2:11">
      <c r="B91" s="635"/>
      <c r="C91" s="635"/>
      <c r="D91" s="639"/>
      <c r="E91" s="635" t="s">
        <v>906</v>
      </c>
      <c r="F91" s="635" t="s">
        <v>907</v>
      </c>
      <c r="G91" s="635" t="s">
        <v>908</v>
      </c>
      <c r="H91" s="635" t="s">
        <v>909</v>
      </c>
      <c r="I91" s="635" t="s">
        <v>910</v>
      </c>
      <c r="J91" s="635" t="s">
        <v>911</v>
      </c>
      <c r="K91" s="635" t="s">
        <v>383</v>
      </c>
    </row>
    <row r="92" spans="2:11">
      <c r="B92" s="640" t="str">
        <f>B6</f>
        <v>Общестроительные работы</v>
      </c>
      <c r="C92" s="635"/>
      <c r="D92" s="639"/>
      <c r="E92" s="635"/>
      <c r="F92" s="635"/>
      <c r="G92" s="635"/>
      <c r="H92" s="635"/>
      <c r="I92" s="635"/>
      <c r="J92" s="635"/>
      <c r="K92" s="635"/>
    </row>
    <row r="93" spans="2:11" ht="31">
      <c r="B93" s="643" t="str">
        <f>B98</f>
        <v>Гостиничный комплекс 4* "У Бювета"</v>
      </c>
      <c r="C93" s="635"/>
      <c r="D93" s="639"/>
      <c r="E93" s="644">
        <v>0.15</v>
      </c>
      <c r="F93" s="644">
        <v>0.2</v>
      </c>
      <c r="G93" s="644">
        <v>0.2</v>
      </c>
      <c r="H93" s="644">
        <v>0.2</v>
      </c>
      <c r="I93" s="644">
        <v>0.15</v>
      </c>
      <c r="J93" s="644">
        <v>0.1</v>
      </c>
      <c r="K93" s="644">
        <f>SUM(E93:J93)</f>
        <v>1</v>
      </c>
    </row>
    <row r="94" spans="2:11" ht="62">
      <c r="B94" s="643" t="str">
        <f t="shared" ref="B94:B95" si="32">B99</f>
        <v>Действующий корпус санатория с новым бальнеологическим комплексом</v>
      </c>
      <c r="C94" s="635"/>
      <c r="D94" s="639"/>
      <c r="E94" s="644">
        <v>0.25</v>
      </c>
      <c r="F94" s="644">
        <v>0.25</v>
      </c>
      <c r="G94" s="644">
        <v>0.2</v>
      </c>
      <c r="H94" s="644">
        <v>0.2</v>
      </c>
      <c r="I94" s="644">
        <v>0.1</v>
      </c>
      <c r="J94" s="644"/>
      <c r="K94" s="644">
        <f t="shared" ref="K94:K110" si="33">SUM(E94:J94)</f>
        <v>0.99999999999999989</v>
      </c>
    </row>
    <row r="95" spans="2:11">
      <c r="B95" s="643" t="str">
        <f t="shared" si="32"/>
        <v>Эко-вилладж 4*</v>
      </c>
      <c r="C95" s="635"/>
      <c r="D95" s="639"/>
      <c r="E95" s="644">
        <v>0.3</v>
      </c>
      <c r="F95" s="644">
        <v>0.3</v>
      </c>
      <c r="G95" s="644">
        <v>0.2</v>
      </c>
      <c r="H95" s="644">
        <v>0.2</v>
      </c>
      <c r="I95" s="644"/>
      <c r="J95" s="644"/>
      <c r="K95" s="644">
        <f t="shared" si="33"/>
        <v>1</v>
      </c>
    </row>
    <row r="96" spans="2:11">
      <c r="B96" s="643" t="e">
        <f>#REF!</f>
        <v>#REF!</v>
      </c>
      <c r="C96" s="635"/>
      <c r="D96" s="639"/>
      <c r="E96" s="644">
        <f>E93</f>
        <v>0.15</v>
      </c>
      <c r="F96" s="644">
        <f t="shared" ref="F96:I96" si="34">F93</f>
        <v>0.2</v>
      </c>
      <c r="G96" s="644">
        <f t="shared" si="34"/>
        <v>0.2</v>
      </c>
      <c r="H96" s="644">
        <f t="shared" si="34"/>
        <v>0.2</v>
      </c>
      <c r="I96" s="644">
        <f t="shared" si="34"/>
        <v>0.15</v>
      </c>
      <c r="J96" s="644">
        <f>J93</f>
        <v>0.1</v>
      </c>
      <c r="K96" s="644"/>
    </row>
    <row r="97" spans="1:11" ht="31">
      <c r="B97" s="640" t="str">
        <f>B10</f>
        <v>Отделочные работы (полы, стены, потолок)</v>
      </c>
      <c r="C97" s="635"/>
      <c r="D97" s="639"/>
      <c r="E97" s="635"/>
      <c r="F97" s="635"/>
      <c r="G97" s="635"/>
      <c r="H97" s="635"/>
      <c r="I97" s="635"/>
      <c r="J97" s="635"/>
      <c r="K97" s="644">
        <f t="shared" si="33"/>
        <v>0</v>
      </c>
    </row>
    <row r="98" spans="1:11" ht="31">
      <c r="B98" s="643" t="str">
        <f>B7</f>
        <v>Гостиничный комплекс 4* "У Бювета"</v>
      </c>
      <c r="C98" s="635"/>
      <c r="D98" s="639"/>
      <c r="E98" s="644">
        <v>0.2</v>
      </c>
      <c r="F98" s="644">
        <v>0.4</v>
      </c>
      <c r="G98" s="644">
        <v>0.4</v>
      </c>
      <c r="H98" s="644"/>
      <c r="I98" s="635"/>
      <c r="J98" s="635"/>
      <c r="K98" s="644">
        <f t="shared" si="33"/>
        <v>1</v>
      </c>
    </row>
    <row r="99" spans="1:11" ht="62">
      <c r="B99" s="643" t="str">
        <f>B8</f>
        <v>Действующий корпус санатория с новым бальнеологическим комплексом</v>
      </c>
      <c r="C99" s="635"/>
      <c r="D99" s="639"/>
      <c r="E99" s="644">
        <v>0.15</v>
      </c>
      <c r="F99" s="644">
        <v>0.3</v>
      </c>
      <c r="G99" s="644">
        <v>0.3</v>
      </c>
      <c r="H99" s="645">
        <v>0.25</v>
      </c>
      <c r="I99" s="635"/>
      <c r="J99" s="635"/>
      <c r="K99" s="644">
        <f t="shared" si="33"/>
        <v>1</v>
      </c>
    </row>
    <row r="100" spans="1:11">
      <c r="B100" s="643" t="str">
        <f>B9</f>
        <v>Эко-вилладж 4*</v>
      </c>
      <c r="C100" s="635"/>
      <c r="D100" s="639"/>
      <c r="E100" s="644">
        <v>0.25</v>
      </c>
      <c r="F100" s="644">
        <v>0.3</v>
      </c>
      <c r="G100" s="644">
        <v>0.45</v>
      </c>
      <c r="H100" s="635"/>
      <c r="I100" s="635"/>
      <c r="J100" s="635"/>
      <c r="K100" s="644">
        <f t="shared" si="33"/>
        <v>1</v>
      </c>
    </row>
    <row r="101" spans="1:11">
      <c r="B101" s="643" t="e">
        <f>B96</f>
        <v>#REF!</v>
      </c>
      <c r="C101" s="635"/>
      <c r="D101" s="639"/>
      <c r="E101" s="644">
        <f>E100</f>
        <v>0.25</v>
      </c>
      <c r="F101" s="644">
        <f t="shared" ref="F101:H101" si="35">F100</f>
        <v>0.3</v>
      </c>
      <c r="G101" s="644">
        <f t="shared" si="35"/>
        <v>0.45</v>
      </c>
      <c r="H101" s="644">
        <f t="shared" si="35"/>
        <v>0</v>
      </c>
      <c r="I101" s="635"/>
      <c r="J101" s="635"/>
      <c r="K101" s="644"/>
    </row>
    <row r="102" spans="1:11">
      <c r="B102" s="640" t="str">
        <f>B15</f>
        <v>Оснащение и комплектация</v>
      </c>
      <c r="C102" s="635"/>
      <c r="D102" s="639"/>
      <c r="E102" s="635"/>
      <c r="F102" s="635"/>
      <c r="G102" s="635"/>
      <c r="H102" s="635"/>
      <c r="I102" s="635"/>
      <c r="J102" s="635"/>
      <c r="K102" s="644">
        <f t="shared" si="33"/>
        <v>0</v>
      </c>
    </row>
    <row r="103" spans="1:11" ht="31">
      <c r="B103" s="643" t="str">
        <f>B98</f>
        <v>Гостиничный комплекс 4* "У Бювета"</v>
      </c>
      <c r="C103" s="635"/>
      <c r="D103" s="639"/>
      <c r="E103" s="645">
        <v>0.2</v>
      </c>
      <c r="F103" s="645">
        <v>0.35</v>
      </c>
      <c r="G103" s="645">
        <v>0.45</v>
      </c>
      <c r="H103" s="645"/>
      <c r="I103" s="645"/>
      <c r="J103" s="645"/>
      <c r="K103" s="644">
        <f t="shared" si="33"/>
        <v>1</v>
      </c>
    </row>
    <row r="104" spans="1:11" ht="62">
      <c r="B104" s="643" t="str">
        <f t="shared" ref="B104:B105" si="36">B99</f>
        <v>Действующий корпус санатория с новым бальнеологическим комплексом</v>
      </c>
      <c r="C104" s="635"/>
      <c r="D104" s="639"/>
      <c r="E104" s="645">
        <v>0.2</v>
      </c>
      <c r="F104" s="645">
        <v>0.35</v>
      </c>
      <c r="G104" s="645">
        <v>0.45</v>
      </c>
      <c r="H104" s="645"/>
      <c r="I104" s="645"/>
      <c r="J104" s="645"/>
      <c r="K104" s="644">
        <f t="shared" si="33"/>
        <v>1</v>
      </c>
    </row>
    <row r="105" spans="1:11">
      <c r="B105" s="643" t="str">
        <f t="shared" si="36"/>
        <v>Эко-вилладж 4*</v>
      </c>
      <c r="C105" s="635"/>
      <c r="D105" s="639"/>
      <c r="E105" s="645">
        <v>0.35</v>
      </c>
      <c r="F105" s="645">
        <v>0.65</v>
      </c>
      <c r="G105" s="645"/>
      <c r="H105" s="645"/>
      <c r="I105" s="645"/>
      <c r="J105" s="645"/>
      <c r="K105" s="644">
        <f t="shared" si="33"/>
        <v>1</v>
      </c>
    </row>
    <row r="106" spans="1:11">
      <c r="B106" s="643" t="e">
        <f>B96</f>
        <v>#REF!</v>
      </c>
      <c r="C106" s="635"/>
      <c r="D106" s="639"/>
      <c r="E106" s="645">
        <f>E105</f>
        <v>0.35</v>
      </c>
      <c r="F106" s="645">
        <f t="shared" ref="F106" si="37">F105</f>
        <v>0.65</v>
      </c>
      <c r="G106" s="645"/>
      <c r="H106" s="645"/>
      <c r="I106" s="645"/>
      <c r="J106" s="645"/>
      <c r="K106" s="644"/>
    </row>
    <row r="107" spans="1:11" s="660" customFormat="1">
      <c r="A107" s="685"/>
      <c r="B107" s="640" t="str">
        <f>B23</f>
        <v>Подготовка к открытию</v>
      </c>
      <c r="C107" s="640"/>
      <c r="D107" s="646"/>
      <c r="E107" s="647"/>
      <c r="F107" s="647"/>
      <c r="G107" s="647"/>
      <c r="H107" s="647"/>
      <c r="I107" s="647"/>
      <c r="J107" s="647"/>
      <c r="K107" s="644">
        <f t="shared" si="33"/>
        <v>0</v>
      </c>
    </row>
    <row r="108" spans="1:11" ht="31">
      <c r="B108" s="643" t="str">
        <f>B103</f>
        <v>Гостиничный комплекс 4* "У Бювета"</v>
      </c>
      <c r="C108" s="635"/>
      <c r="D108" s="639"/>
      <c r="E108" s="645">
        <v>0.15</v>
      </c>
      <c r="F108" s="645">
        <v>0.35</v>
      </c>
      <c r="G108" s="645">
        <v>0.5</v>
      </c>
      <c r="H108" s="645"/>
      <c r="I108" s="645"/>
      <c r="J108" s="645"/>
      <c r="K108" s="644">
        <f t="shared" si="33"/>
        <v>1</v>
      </c>
    </row>
    <row r="109" spans="1:11" ht="62">
      <c r="B109" s="643" t="str">
        <f t="shared" ref="B109:B110" si="38">B104</f>
        <v>Действующий корпус санатория с новым бальнеологическим комплексом</v>
      </c>
      <c r="C109" s="635"/>
      <c r="D109" s="639"/>
      <c r="E109" s="645">
        <v>0.35</v>
      </c>
      <c r="F109" s="645">
        <v>0.65</v>
      </c>
      <c r="G109" s="645"/>
      <c r="H109" s="645"/>
      <c r="I109" s="645"/>
      <c r="J109" s="645"/>
      <c r="K109" s="644">
        <f t="shared" si="33"/>
        <v>1</v>
      </c>
    </row>
    <row r="110" spans="1:11">
      <c r="B110" s="643" t="str">
        <f t="shared" si="38"/>
        <v>Эко-вилладж 4*</v>
      </c>
      <c r="C110" s="635"/>
      <c r="D110" s="639"/>
      <c r="E110" s="645">
        <v>0.35</v>
      </c>
      <c r="F110" s="645">
        <v>0.65</v>
      </c>
      <c r="G110" s="635"/>
      <c r="H110" s="635"/>
      <c r="I110" s="635"/>
      <c r="J110" s="635"/>
      <c r="K110" s="644">
        <f t="shared" si="33"/>
        <v>1</v>
      </c>
    </row>
    <row r="111" spans="1:11">
      <c r="B111" s="635" t="e">
        <f>B96</f>
        <v>#REF!</v>
      </c>
      <c r="C111" s="635"/>
      <c r="D111" s="639"/>
      <c r="E111" s="644">
        <f>E110</f>
        <v>0.35</v>
      </c>
      <c r="F111" s="644">
        <f>F110</f>
        <v>0.65</v>
      </c>
      <c r="G111" s="644"/>
      <c r="H111" s="635"/>
      <c r="I111" s="635"/>
      <c r="J111" s="635"/>
      <c r="K111" s="635"/>
    </row>
    <row r="113" spans="1:7" ht="41.15" customHeight="1">
      <c r="A113" s="681"/>
      <c r="D113" s="681"/>
    </row>
    <row r="114" spans="1:7">
      <c r="D114" s="681"/>
    </row>
    <row r="115" spans="1:7">
      <c r="D115" s="681"/>
    </row>
    <row r="116" spans="1:7">
      <c r="D116" s="681"/>
    </row>
    <row r="117" spans="1:7" ht="32.15" customHeight="1">
      <c r="A117" s="681">
        <f>A5</f>
        <v>1</v>
      </c>
      <c r="D117" s="681"/>
    </row>
    <row r="118" spans="1:7" ht="33" customHeight="1">
      <c r="D118" s="681"/>
    </row>
    <row r="119" spans="1:7" ht="33" customHeight="1">
      <c r="D119" s="681"/>
    </row>
    <row r="120" spans="1:7" ht="33" customHeight="1">
      <c r="D120" s="681"/>
    </row>
    <row r="121" spans="1:7" ht="33" customHeight="1">
      <c r="D121" s="681"/>
    </row>
    <row r="122" spans="1:7" ht="33" customHeight="1">
      <c r="D122" s="681"/>
    </row>
    <row r="123" spans="1:7" ht="33" customHeight="1">
      <c r="D123" s="681"/>
    </row>
    <row r="124" spans="1:7">
      <c r="D124" s="681"/>
    </row>
    <row r="125" spans="1:7" s="660" customFormat="1">
      <c r="A125" s="685"/>
    </row>
    <row r="126" spans="1:7">
      <c r="G126" s="687"/>
    </row>
    <row r="127" spans="1:7">
      <c r="G127" s="687"/>
    </row>
    <row r="128" spans="1:7">
      <c r="G128" s="687"/>
    </row>
    <row r="130" spans="7:7">
      <c r="G130" s="687"/>
    </row>
    <row r="131" spans="7:7">
      <c r="G131" s="687"/>
    </row>
    <row r="132" spans="7:7">
      <c r="G132" s="687"/>
    </row>
    <row r="133" spans="7:7">
      <c r="G133" s="687"/>
    </row>
    <row r="135" spans="7:7">
      <c r="G135" s="687"/>
    </row>
    <row r="136" spans="7:7">
      <c r="G136" s="687"/>
    </row>
    <row r="137" spans="7:7">
      <c r="G137" s="687"/>
    </row>
    <row r="139" spans="7:7">
      <c r="G139" s="687"/>
    </row>
    <row r="140" spans="7:7">
      <c r="G140" s="687"/>
    </row>
    <row r="141" spans="7:7">
      <c r="G141" s="687"/>
    </row>
  </sheetData>
  <mergeCells count="11">
    <mergeCell ref="L66:O66"/>
    <mergeCell ref="H66:K66"/>
    <mergeCell ref="E66:G66"/>
    <mergeCell ref="R3:U3"/>
    <mergeCell ref="F3:I3"/>
    <mergeCell ref="J3:M3"/>
    <mergeCell ref="N3:Q3"/>
    <mergeCell ref="A3:A4"/>
    <mergeCell ref="C3:C4"/>
    <mergeCell ref="D3:D4"/>
    <mergeCell ref="B3:B4"/>
  </mergeCells>
  <phoneticPr fontId="77" type="noConversion"/>
  <pageMargins left="0.70866141732283472" right="0.70866141732283472" top="0.35433070866141736" bottom="0.74803149606299213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52C06-E8EF-416F-B463-1FA4B7D163D3}">
  <dimension ref="A1:M123"/>
  <sheetViews>
    <sheetView zoomScale="80" zoomScaleNormal="80" workbookViewId="0">
      <pane ySplit="3" topLeftCell="A32" activePane="bottomLeft" state="frozen"/>
      <selection pane="bottomLeft" activeCell="E64" sqref="E64:F64"/>
    </sheetView>
  </sheetViews>
  <sheetFormatPr defaultRowHeight="15.5"/>
  <cols>
    <col min="1" max="1" width="4.81640625" style="678" customWidth="1"/>
    <col min="2" max="2" width="26.54296875" style="681" customWidth="1"/>
    <col min="3" max="3" width="15.81640625" style="681" customWidth="1"/>
    <col min="4" max="4" width="9.54296875" style="682" customWidth="1"/>
    <col min="5" max="5" width="11.90625" customWidth="1"/>
    <col min="6" max="6" width="7.54296875" customWidth="1"/>
    <col min="7" max="7" width="11.54296875" customWidth="1"/>
    <col min="8" max="8" width="7.6328125" customWidth="1"/>
    <col min="9" max="9" width="13.1796875" customWidth="1"/>
    <col min="10" max="10" width="12.1796875" customWidth="1"/>
    <col min="11" max="11" width="14.54296875" customWidth="1"/>
    <col min="12" max="12" width="13.08984375" customWidth="1"/>
    <col min="13" max="13" width="12.7265625" customWidth="1"/>
  </cols>
  <sheetData>
    <row r="1" spans="1:13" ht="62">
      <c r="A1" s="781"/>
      <c r="B1" s="784" t="s">
        <v>904</v>
      </c>
      <c r="C1" s="784"/>
      <c r="D1" s="784"/>
      <c r="E1" s="768"/>
      <c r="F1" s="768"/>
      <c r="G1" s="768"/>
      <c r="H1" s="768"/>
      <c r="I1" s="768"/>
      <c r="J1" s="768"/>
      <c r="K1" s="768"/>
      <c r="L1" s="768"/>
      <c r="M1" s="768"/>
    </row>
    <row r="2" spans="1:13">
      <c r="A2" s="782"/>
      <c r="B2" s="782"/>
      <c r="C2" s="782"/>
      <c r="D2" s="782"/>
      <c r="E2" s="810">
        <v>2023</v>
      </c>
      <c r="F2" s="810"/>
      <c r="G2" s="810">
        <v>2024</v>
      </c>
      <c r="H2" s="810"/>
      <c r="I2" s="810">
        <v>2025</v>
      </c>
      <c r="J2" s="810"/>
      <c r="K2" s="783">
        <v>2026</v>
      </c>
      <c r="L2" s="783">
        <v>2027</v>
      </c>
      <c r="M2" s="783">
        <v>2028</v>
      </c>
    </row>
    <row r="3" spans="1:13" s="424" customFormat="1" ht="16.5" customHeight="1">
      <c r="A3" s="785"/>
      <c r="B3" s="650" t="s">
        <v>323</v>
      </c>
      <c r="C3" s="650" t="s">
        <v>383</v>
      </c>
      <c r="D3" s="650" t="s">
        <v>934</v>
      </c>
      <c r="E3" s="786" t="s">
        <v>1122</v>
      </c>
      <c r="F3" s="786" t="s">
        <v>237</v>
      </c>
      <c r="G3" s="786" t="s">
        <v>1122</v>
      </c>
      <c r="H3" s="786" t="s">
        <v>237</v>
      </c>
      <c r="I3" s="786" t="s">
        <v>1122</v>
      </c>
      <c r="J3" s="786" t="s">
        <v>237</v>
      </c>
      <c r="K3" s="786" t="s">
        <v>237</v>
      </c>
      <c r="L3" s="786" t="s">
        <v>237</v>
      </c>
      <c r="M3" s="786" t="s">
        <v>237</v>
      </c>
    </row>
    <row r="4" spans="1:13" ht="108.5">
      <c r="A4" s="650">
        <v>1</v>
      </c>
      <c r="B4" s="650" t="s">
        <v>899</v>
      </c>
      <c r="C4" s="787">
        <f>SUM(C37:C39)</f>
        <v>95000000</v>
      </c>
      <c r="D4" s="787"/>
      <c r="E4" s="788">
        <f>'график квартальный'!E5</f>
        <v>3490000</v>
      </c>
      <c r="F4" s="788"/>
      <c r="G4" s="788">
        <f>SUM('график квартальный'!G5:I5)</f>
        <v>71250000</v>
      </c>
      <c r="H4" s="788"/>
      <c r="I4" s="788">
        <f>SUM('график квартальный'!J5)</f>
        <v>20260000</v>
      </c>
      <c r="J4" s="788"/>
      <c r="K4" s="788"/>
      <c r="L4" s="788"/>
      <c r="M4" s="788"/>
    </row>
    <row r="5" spans="1:13" s="424" customFormat="1" ht="31">
      <c r="A5" s="630">
        <v>2</v>
      </c>
      <c r="B5" s="630" t="s">
        <v>324</v>
      </c>
      <c r="C5" s="789">
        <f>SUM(C6:C8)</f>
        <v>1912815675</v>
      </c>
      <c r="D5" s="793">
        <v>0.45</v>
      </c>
      <c r="E5" s="790"/>
      <c r="F5" s="790"/>
      <c r="G5" s="790"/>
      <c r="H5" s="790"/>
      <c r="I5" s="790">
        <f t="shared" ref="I5:L5" si="0">SUM(I6:I8)</f>
        <v>747351900</v>
      </c>
      <c r="J5" s="790"/>
      <c r="K5" s="790">
        <f t="shared" si="0"/>
        <v>604530675</v>
      </c>
      <c r="L5" s="790">
        <f t="shared" si="0"/>
        <v>560933100</v>
      </c>
      <c r="M5" s="790"/>
    </row>
    <row r="6" spans="1:13" ht="31">
      <c r="A6" s="650"/>
      <c r="B6" s="782" t="str">
        <f>B45</f>
        <v>Гостиничный комплекс 4* "У Бювета"</v>
      </c>
      <c r="C6" s="791">
        <f>C45*$D$5</f>
        <v>738288000</v>
      </c>
      <c r="D6" s="794"/>
      <c r="E6" s="788"/>
      <c r="F6" s="788"/>
      <c r="G6" s="788"/>
      <c r="H6" s="788"/>
      <c r="I6" s="788">
        <f>SUM('график квартальный'!K7:M7)</f>
        <v>406058400</v>
      </c>
      <c r="J6" s="788"/>
      <c r="K6" s="788">
        <f>SUM('график квартальный'!N7:Q7)</f>
        <v>332229600</v>
      </c>
      <c r="L6" s="788"/>
      <c r="M6" s="788"/>
    </row>
    <row r="7" spans="1:13" ht="62">
      <c r="A7" s="650"/>
      <c r="B7" s="782" t="str">
        <f>B46</f>
        <v>Действующий корпус санатория с новым бальнеологическим комплексом</v>
      </c>
      <c r="C7" s="791">
        <f>C46*$D$5</f>
        <v>747910800</v>
      </c>
      <c r="D7" s="794"/>
      <c r="E7" s="788"/>
      <c r="F7" s="788"/>
      <c r="G7" s="788"/>
      <c r="H7" s="788"/>
      <c r="I7" s="788"/>
      <c r="J7" s="788"/>
      <c r="K7" s="788">
        <f>SUM('график квартальный'!N8:Q8)</f>
        <v>186977700</v>
      </c>
      <c r="L7" s="788">
        <f>SUM('график квартальный'!R8:U8)</f>
        <v>560933100</v>
      </c>
      <c r="M7" s="788"/>
    </row>
    <row r="8" spans="1:13">
      <c r="A8" s="650"/>
      <c r="B8" s="782" t="str">
        <f>B47</f>
        <v>Эко-вилладж 4*</v>
      </c>
      <c r="C8" s="791">
        <f>C47*$D$5</f>
        <v>426616875</v>
      </c>
      <c r="D8" s="794"/>
      <c r="E8" s="788"/>
      <c r="F8" s="788"/>
      <c r="G8" s="788"/>
      <c r="H8" s="788"/>
      <c r="I8" s="788">
        <f>SUM('график квартальный'!K9:M9)</f>
        <v>341293500</v>
      </c>
      <c r="J8" s="788"/>
      <c r="K8" s="788">
        <f>SUM('график квартальный'!N9:Q9)</f>
        <v>85323375</v>
      </c>
      <c r="L8" s="788"/>
      <c r="M8" s="788"/>
    </row>
    <row r="9" spans="1:13" s="424" customFormat="1" ht="31">
      <c r="A9" s="630">
        <v>3</v>
      </c>
      <c r="B9" s="630" t="s">
        <v>900</v>
      </c>
      <c r="C9" s="789">
        <f>SUM(C10:C12)</f>
        <v>1275210450</v>
      </c>
      <c r="D9" s="793">
        <v>0.3</v>
      </c>
      <c r="E9" s="790"/>
      <c r="F9" s="790"/>
      <c r="G9" s="790"/>
      <c r="H9" s="790"/>
      <c r="I9" s="790">
        <f t="shared" ref="I9:M9" si="1">SUM(I10:I12)</f>
        <v>54179733.333333373</v>
      </c>
      <c r="J9" s="790">
        <f t="shared" si="1"/>
        <v>16923079.166666627</v>
      </c>
      <c r="K9" s="790">
        <f t="shared" si="1"/>
        <v>705500437.5</v>
      </c>
      <c r="L9" s="790">
        <f t="shared" si="1"/>
        <v>373955400</v>
      </c>
      <c r="M9" s="790">
        <f t="shared" si="1"/>
        <v>124651800</v>
      </c>
    </row>
    <row r="10" spans="1:13" ht="31">
      <c r="A10" s="650"/>
      <c r="B10" s="782" t="str">
        <f>B6</f>
        <v>Гостиничный комплекс 4* "У Бювета"</v>
      </c>
      <c r="C10" s="791">
        <f>C45*$D$9</f>
        <v>492192000</v>
      </c>
      <c r="D10" s="794"/>
      <c r="E10" s="788"/>
      <c r="F10" s="788"/>
      <c r="G10" s="788"/>
      <c r="H10" s="788"/>
      <c r="I10" s="788"/>
      <c r="J10" s="788"/>
      <c r="K10" s="788">
        <f>SUM('график квартальный'!N11:Q11)</f>
        <v>492192000</v>
      </c>
      <c r="L10" s="788"/>
      <c r="M10" s="788"/>
    </row>
    <row r="11" spans="1:13" ht="62">
      <c r="A11" s="650"/>
      <c r="B11" s="782" t="str">
        <f>B7</f>
        <v>Действующий корпус санатория с новым бальнеологическим комплексом</v>
      </c>
      <c r="C11" s="791">
        <f>C46*$D$9</f>
        <v>498607200</v>
      </c>
      <c r="D11" s="794"/>
      <c r="E11" s="788"/>
      <c r="F11" s="788"/>
      <c r="G11" s="788"/>
      <c r="H11" s="788"/>
      <c r="I11" s="788"/>
      <c r="J11" s="788"/>
      <c r="K11" s="788"/>
      <c r="L11" s="788">
        <f>SUM('график квартальный'!R12:U12)</f>
        <v>373955400</v>
      </c>
      <c r="M11" s="788">
        <f>SUM('график квартальный'!V12)</f>
        <v>124651800</v>
      </c>
    </row>
    <row r="12" spans="1:13">
      <c r="A12" s="650"/>
      <c r="B12" s="782" t="str">
        <f>B8</f>
        <v>Эко-вилладж 4*</v>
      </c>
      <c r="C12" s="791">
        <f>C47*$D$9</f>
        <v>284411250</v>
      </c>
      <c r="D12" s="794"/>
      <c r="E12" s="788"/>
      <c r="F12" s="788"/>
      <c r="G12" s="788"/>
      <c r="H12" s="788"/>
      <c r="I12" s="788">
        <f>'график квартальный'!E37-'График годовой'!E31</f>
        <v>54179733.333333373</v>
      </c>
      <c r="J12" s="788">
        <f>SUM('график квартальный'!M13-'График годовой'!I12)</f>
        <v>16923079.166666627</v>
      </c>
      <c r="K12" s="788">
        <f>SUM('график квартальный'!N13:Q13)</f>
        <v>213308437.5</v>
      </c>
      <c r="L12" s="788"/>
      <c r="M12" s="788"/>
    </row>
    <row r="13" spans="1:13" s="424" customFormat="1">
      <c r="A13" s="630">
        <v>4</v>
      </c>
      <c r="B13" s="630" t="s">
        <v>901</v>
      </c>
      <c r="C13" s="789">
        <f>SUM(C14:C16)</f>
        <v>1062675375</v>
      </c>
      <c r="D13" s="793">
        <v>0.25</v>
      </c>
      <c r="E13" s="790"/>
      <c r="F13" s="790"/>
      <c r="G13" s="790"/>
      <c r="H13" s="790"/>
      <c r="I13" s="790"/>
      <c r="J13" s="790"/>
      <c r="K13" s="790">
        <f t="shared" ref="K13:M13" si="2">SUM(K14:K16)</f>
        <v>319041375</v>
      </c>
      <c r="L13" s="790">
        <f t="shared" si="2"/>
        <v>556656300</v>
      </c>
      <c r="M13" s="790">
        <f t="shared" si="2"/>
        <v>186977700</v>
      </c>
    </row>
    <row r="14" spans="1:13" ht="31">
      <c r="A14" s="650"/>
      <c r="B14" s="782" t="str">
        <f>B10</f>
        <v>Гостиничный комплекс 4* "У Бювета"</v>
      </c>
      <c r="C14" s="791">
        <f>C45*$D$13</f>
        <v>410160000</v>
      </c>
      <c r="D14" s="794"/>
      <c r="E14" s="788"/>
      <c r="F14" s="788"/>
      <c r="G14" s="788"/>
      <c r="H14" s="788"/>
      <c r="I14" s="788"/>
      <c r="J14" s="788"/>
      <c r="K14" s="788">
        <f>SUM('график квартальный'!N16:Q16)</f>
        <v>82032000</v>
      </c>
      <c r="L14" s="788">
        <f>SUM('график квартальный'!R16:U16)</f>
        <v>328128000</v>
      </c>
      <c r="M14" s="788"/>
    </row>
    <row r="15" spans="1:13" ht="62">
      <c r="A15" s="650"/>
      <c r="B15" s="782" t="str">
        <f>B11</f>
        <v>Действующий корпус санатория с новым бальнеологическим комплексом</v>
      </c>
      <c r="C15" s="791">
        <f>C46*$D$13</f>
        <v>415506000</v>
      </c>
      <c r="D15" s="794"/>
      <c r="E15" s="788"/>
      <c r="F15" s="788"/>
      <c r="G15" s="788"/>
      <c r="H15" s="788"/>
      <c r="I15" s="788"/>
      <c r="J15" s="788"/>
      <c r="K15" s="788"/>
      <c r="L15" s="788">
        <f>SUM('график квартальный'!R17:U17)</f>
        <v>228528300</v>
      </c>
      <c r="M15" s="788">
        <f>SUM('график квартальный'!V17)</f>
        <v>186977700</v>
      </c>
    </row>
    <row r="16" spans="1:13">
      <c r="A16" s="650"/>
      <c r="B16" s="782" t="str">
        <f>B12</f>
        <v>Эко-вилладж 4*</v>
      </c>
      <c r="C16" s="791">
        <f>C47*$D$13</f>
        <v>237009375</v>
      </c>
      <c r="D16" s="794"/>
      <c r="E16" s="788"/>
      <c r="F16" s="788"/>
      <c r="G16" s="788"/>
      <c r="H16" s="788"/>
      <c r="I16" s="788"/>
      <c r="J16" s="788"/>
      <c r="K16" s="788">
        <f>SUM('график квартальный'!N18:Q18)</f>
        <v>237009375</v>
      </c>
      <c r="L16" s="788"/>
      <c r="M16" s="788"/>
    </row>
    <row r="17" spans="1:13" s="424" customFormat="1" ht="31">
      <c r="A17" s="630">
        <v>5</v>
      </c>
      <c r="B17" s="630" t="s">
        <v>935</v>
      </c>
      <c r="C17" s="789">
        <f>SUM(C18:C20)</f>
        <v>214000000</v>
      </c>
      <c r="D17" s="793"/>
      <c r="E17" s="790"/>
      <c r="F17" s="790"/>
      <c r="G17" s="790"/>
      <c r="H17" s="790"/>
      <c r="I17" s="790">
        <f t="shared" ref="I17:L17" si="3">SUM(I18:I20)</f>
        <v>21400000</v>
      </c>
      <c r="J17" s="790"/>
      <c r="K17" s="790">
        <f t="shared" si="3"/>
        <v>107000000</v>
      </c>
      <c r="L17" s="790">
        <f t="shared" si="3"/>
        <v>85600000</v>
      </c>
      <c r="M17" s="790"/>
    </row>
    <row r="18" spans="1:13" ht="31">
      <c r="A18" s="650"/>
      <c r="B18" s="782" t="str">
        <f>B14</f>
        <v>Гостиничный комплекс 4* "У Бювета"</v>
      </c>
      <c r="C18" s="791">
        <f>C49+C41</f>
        <v>107000000</v>
      </c>
      <c r="D18" s="794"/>
      <c r="E18" s="788"/>
      <c r="F18" s="788"/>
      <c r="G18" s="788"/>
      <c r="H18" s="788"/>
      <c r="I18" s="788">
        <f>SUM('график квартальный'!J20:M20)</f>
        <v>21400000</v>
      </c>
      <c r="J18" s="788"/>
      <c r="K18" s="788"/>
      <c r="L18" s="788">
        <f>SUM('график квартальный'!R20:U20)</f>
        <v>85600000</v>
      </c>
      <c r="M18" s="788"/>
    </row>
    <row r="19" spans="1:13" ht="62">
      <c r="A19" s="650"/>
      <c r="B19" s="782" t="str">
        <f>B15</f>
        <v>Действующий корпус санатория с новым бальнеологическим комплексом</v>
      </c>
      <c r="C19" s="791">
        <f>C50+C42</f>
        <v>0</v>
      </c>
      <c r="D19" s="794"/>
      <c r="E19" s="788"/>
      <c r="F19" s="788"/>
      <c r="G19" s="788"/>
      <c r="H19" s="788"/>
      <c r="I19" s="788"/>
      <c r="J19" s="788"/>
      <c r="K19" s="788"/>
      <c r="L19" s="788"/>
      <c r="M19" s="788"/>
    </row>
    <row r="20" spans="1:13">
      <c r="A20" s="650"/>
      <c r="B20" s="782" t="str">
        <f>B16</f>
        <v>Эко-вилладж 4*</v>
      </c>
      <c r="C20" s="791">
        <f>C51+C43</f>
        <v>107000000</v>
      </c>
      <c r="D20" s="794"/>
      <c r="E20" s="788"/>
      <c r="F20" s="788"/>
      <c r="G20" s="788"/>
      <c r="H20" s="788"/>
      <c r="I20" s="788"/>
      <c r="J20" s="788"/>
      <c r="K20" s="788">
        <f>SUM('график квартальный'!N22:Q22)</f>
        <v>107000000</v>
      </c>
      <c r="L20" s="788"/>
      <c r="M20" s="788"/>
    </row>
    <row r="21" spans="1:13" s="424" customFormat="1" ht="15" customHeight="1">
      <c r="A21" s="630">
        <v>6</v>
      </c>
      <c r="B21" s="630" t="s">
        <v>902</v>
      </c>
      <c r="C21" s="789">
        <f>SUM(C22:C24)</f>
        <v>101000000</v>
      </c>
      <c r="D21" s="793"/>
      <c r="E21" s="790"/>
      <c r="F21" s="790"/>
      <c r="G21" s="790"/>
      <c r="H21" s="790"/>
      <c r="I21" s="790"/>
      <c r="J21" s="790"/>
      <c r="K21" s="790">
        <f t="shared" ref="K21:M21" si="4">SUM(K22:K24)</f>
        <v>38000000</v>
      </c>
      <c r="L21" s="790">
        <f t="shared" si="4"/>
        <v>46750000</v>
      </c>
      <c r="M21" s="790">
        <f t="shared" si="4"/>
        <v>16250000</v>
      </c>
    </row>
    <row r="22" spans="1:13" ht="31">
      <c r="A22" s="650"/>
      <c r="B22" s="782" t="str">
        <f>B14</f>
        <v>Гостиничный комплекс 4* "У Бювета"</v>
      </c>
      <c r="C22" s="791">
        <f>C57</f>
        <v>38000000</v>
      </c>
      <c r="D22" s="794"/>
      <c r="E22" s="788"/>
      <c r="F22" s="788"/>
      <c r="G22" s="788"/>
      <c r="H22" s="788"/>
      <c r="I22" s="788"/>
      <c r="J22" s="788"/>
      <c r="K22" s="788"/>
      <c r="L22" s="788">
        <f>SUM('график квартальный'!R24:U24)</f>
        <v>38000000</v>
      </c>
      <c r="M22" s="788"/>
    </row>
    <row r="23" spans="1:13" ht="62">
      <c r="A23" s="650"/>
      <c r="B23" s="782" t="str">
        <f>B15</f>
        <v>Действующий корпус санатория с новым бальнеологическим комплексом</v>
      </c>
      <c r="C23" s="791">
        <f>C58</f>
        <v>25000000</v>
      </c>
      <c r="D23" s="794"/>
      <c r="E23" s="788"/>
      <c r="F23" s="788"/>
      <c r="G23" s="788"/>
      <c r="H23" s="788"/>
      <c r="I23" s="788"/>
      <c r="J23" s="788"/>
      <c r="K23" s="788"/>
      <c r="L23" s="788">
        <f>SUM('график квартальный'!R25:U25)</f>
        <v>8750000</v>
      </c>
      <c r="M23" s="788">
        <f>SUM('график квартальный'!V25)</f>
        <v>16250000</v>
      </c>
    </row>
    <row r="24" spans="1:13">
      <c r="A24" s="650"/>
      <c r="B24" s="782" t="str">
        <f>B16</f>
        <v>Эко-вилладж 4*</v>
      </c>
      <c r="C24" s="791">
        <f>C59</f>
        <v>38000000</v>
      </c>
      <c r="D24" s="794"/>
      <c r="E24" s="788"/>
      <c r="F24" s="788"/>
      <c r="G24" s="788"/>
      <c r="H24" s="788"/>
      <c r="I24" s="788"/>
      <c r="J24" s="788"/>
      <c r="K24" s="788">
        <f>SUM('график квартальный'!N26:Q26)</f>
        <v>38000000</v>
      </c>
      <c r="L24" s="788"/>
      <c r="M24" s="788"/>
    </row>
    <row r="25" spans="1:13" s="424" customFormat="1" ht="31">
      <c r="A25" s="630">
        <v>7</v>
      </c>
      <c r="B25" s="630" t="s">
        <v>931</v>
      </c>
      <c r="C25" s="789">
        <f>SUM(C26:C28)</f>
        <v>9650000</v>
      </c>
      <c r="D25" s="793"/>
      <c r="E25" s="790"/>
      <c r="F25" s="790"/>
      <c r="G25" s="790"/>
      <c r="H25" s="790"/>
      <c r="I25" s="790">
        <f t="shared" ref="I25:M25" si="5">SUM(I26:I28)</f>
        <v>2400000</v>
      </c>
      <c r="J25" s="790"/>
      <c r="K25" s="790">
        <f t="shared" si="5"/>
        <v>3650000</v>
      </c>
      <c r="L25" s="790">
        <f t="shared" si="5"/>
        <v>3150000</v>
      </c>
      <c r="M25" s="790">
        <f t="shared" si="5"/>
        <v>450000</v>
      </c>
    </row>
    <row r="26" spans="1:13" ht="31">
      <c r="A26" s="650"/>
      <c r="B26" s="782" t="str">
        <f>B22</f>
        <v>Гостиничный комплекс 4* "У Бювета"</v>
      </c>
      <c r="C26" s="791">
        <f>C53</f>
        <v>4500000</v>
      </c>
      <c r="D26" s="794"/>
      <c r="E26" s="788"/>
      <c r="F26" s="788"/>
      <c r="G26" s="788"/>
      <c r="H26" s="788"/>
      <c r="I26" s="788">
        <f>SUM('график квартальный'!K28:M28)</f>
        <v>1350000</v>
      </c>
      <c r="J26" s="788"/>
      <c r="K26" s="788">
        <f>SUM('график квартальный'!N28:Q28)</f>
        <v>1800000</v>
      </c>
      <c r="L26" s="788">
        <f>SUM('график квартальный'!R28:U28)</f>
        <v>1350000</v>
      </c>
      <c r="M26" s="788"/>
    </row>
    <row r="27" spans="1:13" ht="62">
      <c r="A27" s="650"/>
      <c r="B27" s="782" t="str">
        <f>B23</f>
        <v>Действующий корпус санатория с новым бальнеологическим комплексом</v>
      </c>
      <c r="C27" s="791">
        <f>C54</f>
        <v>2700000</v>
      </c>
      <c r="D27" s="794"/>
      <c r="E27" s="788"/>
      <c r="F27" s="788"/>
      <c r="G27" s="788"/>
      <c r="H27" s="788"/>
      <c r="I27" s="788"/>
      <c r="J27" s="788"/>
      <c r="K27" s="788">
        <f>SUM('график квартальный'!N29:Q29)</f>
        <v>450000</v>
      </c>
      <c r="L27" s="788">
        <f>SUM('график квартальный'!R29:U29)</f>
        <v>1800000</v>
      </c>
      <c r="M27" s="788">
        <f>SUM('график квартальный'!V29)</f>
        <v>450000</v>
      </c>
    </row>
    <row r="28" spans="1:13">
      <c r="A28" s="650"/>
      <c r="B28" s="782" t="str">
        <f>B24</f>
        <v>Эко-вилладж 4*</v>
      </c>
      <c r="C28" s="791">
        <f>C55</f>
        <v>2450000</v>
      </c>
      <c r="D28" s="794"/>
      <c r="E28" s="788"/>
      <c r="F28" s="788"/>
      <c r="G28" s="788"/>
      <c r="H28" s="788"/>
      <c r="I28" s="788">
        <f>SUM('график квартальный'!K30:M30)</f>
        <v>1050000</v>
      </c>
      <c r="J28" s="788"/>
      <c r="K28" s="788">
        <f>SUM('график квартальный'!N30:Q30)</f>
        <v>1400000</v>
      </c>
      <c r="L28" s="788"/>
      <c r="M28" s="788"/>
    </row>
    <row r="29" spans="1:13" ht="31">
      <c r="A29" s="630">
        <v>8</v>
      </c>
      <c r="B29" s="630" t="s">
        <v>903</v>
      </c>
      <c r="C29" s="789">
        <f>C60</f>
        <v>103040000</v>
      </c>
      <c r="D29" s="793"/>
      <c r="E29" s="792"/>
      <c r="F29" s="792"/>
      <c r="G29" s="792"/>
      <c r="H29" s="792"/>
      <c r="I29" s="792">
        <f>SUM('график квартальный'!J31:M31)</f>
        <v>34346666.666666664</v>
      </c>
      <c r="J29" s="792"/>
      <c r="K29" s="792">
        <f>SUM('график квартальный'!J31:M31)</f>
        <v>34346666.666666664</v>
      </c>
      <c r="L29" s="792">
        <f>SUM('график квартальный'!N31:Q31)</f>
        <v>34346666.666666664</v>
      </c>
      <c r="M29" s="792"/>
    </row>
    <row r="30" spans="1:13" s="424" customFormat="1">
      <c r="A30" s="630"/>
      <c r="B30" s="630" t="s">
        <v>383</v>
      </c>
      <c r="C30" s="789">
        <f>SUM(C4,C5,C9,C13,C17,C21,C25,C29)</f>
        <v>4773391500</v>
      </c>
      <c r="D30" s="793"/>
      <c r="E30" s="790">
        <f>SUM(E4,E5,E9,E13,E17,E21,E25,E29)</f>
        <v>3490000</v>
      </c>
      <c r="F30" s="790"/>
      <c r="G30" s="790">
        <f>SUM(G4,G5,G9,G13,G17,G21,G25,G29)</f>
        <v>71250000</v>
      </c>
      <c r="H30" s="790"/>
      <c r="I30" s="790">
        <f>SUM(I4,I5,I9,I13,I17,I21,I25,I29)</f>
        <v>879938300</v>
      </c>
      <c r="J30" s="790">
        <f>SUM(J4,J5,J9,J13,J17,J21,J25,J29)</f>
        <v>16923079.166666627</v>
      </c>
      <c r="K30" s="790">
        <f>SUM(K4,K5,K9,K13,K17,K21,K25,K29)</f>
        <v>1812069154.1666667</v>
      </c>
      <c r="L30" s="790">
        <f>SUM(L4,L5,L9,L13,L17,L21,L25,L29)</f>
        <v>1661391466.6666667</v>
      </c>
      <c r="M30" s="790">
        <f>SUM(M4,M5,M9,M13,M17,M21,M25,M29)</f>
        <v>328329500</v>
      </c>
    </row>
    <row r="31" spans="1:13">
      <c r="E31" s="780">
        <v>900498566.66666663</v>
      </c>
      <c r="F31" s="780"/>
      <c r="G31" s="780"/>
      <c r="H31" s="780"/>
      <c r="I31" s="780"/>
      <c r="J31" s="780"/>
      <c r="K31" s="780"/>
      <c r="L31" s="780"/>
      <c r="M31" s="780"/>
    </row>
    <row r="32" spans="1:13">
      <c r="E32" s="780"/>
      <c r="F32" s="780"/>
      <c r="G32" s="780"/>
      <c r="H32" s="780"/>
      <c r="I32" s="780"/>
      <c r="J32" s="780"/>
      <c r="K32" s="780"/>
      <c r="L32" s="780"/>
      <c r="M32" s="780"/>
    </row>
    <row r="33" spans="2:13" hidden="1">
      <c r="C33" s="684"/>
      <c r="E33" s="780"/>
      <c r="F33" s="780"/>
      <c r="G33" s="780"/>
      <c r="H33" s="780"/>
      <c r="I33" s="780"/>
      <c r="J33" s="780"/>
      <c r="K33" s="780"/>
      <c r="L33" s="780"/>
      <c r="M33" s="780"/>
    </row>
    <row r="34" spans="2:13" ht="31" hidden="1">
      <c r="B34" s="683" t="s">
        <v>933</v>
      </c>
      <c r="C34" s="695"/>
      <c r="D34" s="682" t="s">
        <v>1120</v>
      </c>
      <c r="E34" s="780"/>
      <c r="F34" s="780"/>
      <c r="G34" s="780"/>
      <c r="H34" s="780"/>
      <c r="I34" s="780"/>
      <c r="J34" s="780"/>
      <c r="K34" s="780"/>
      <c r="L34" s="780"/>
      <c r="M34" s="780"/>
    </row>
    <row r="35" spans="2:13" hidden="1">
      <c r="B35" s="690" t="s">
        <v>905</v>
      </c>
      <c r="C35" s="641">
        <f>SUM(C37:C60)</f>
        <v>4773391500</v>
      </c>
      <c r="D35" s="641">
        <f>C35*0.8</f>
        <v>3818713200</v>
      </c>
      <c r="E35" s="780"/>
      <c r="F35" s="780"/>
      <c r="G35" s="780"/>
      <c r="H35" s="780"/>
      <c r="I35" s="780"/>
      <c r="J35" s="780"/>
      <c r="K35" s="780"/>
      <c r="L35" s="780"/>
      <c r="M35" s="780"/>
    </row>
    <row r="36" spans="2:13" hidden="1">
      <c r="B36" s="689" t="s">
        <v>926</v>
      </c>
      <c r="C36" s="641"/>
      <c r="E36" s="780"/>
      <c r="F36" s="780"/>
      <c r="G36" s="780"/>
      <c r="H36" s="780"/>
      <c r="I36" s="780"/>
      <c r="J36" s="780"/>
      <c r="K36" s="780"/>
      <c r="L36" s="780"/>
      <c r="M36" s="780"/>
    </row>
    <row r="37" spans="2:13" ht="31" hidden="1">
      <c r="B37" s="694" t="str">
        <f>B26</f>
        <v>Гостиничный комплекс 4* "У Бювета"</v>
      </c>
      <c r="C37" s="636">
        <v>45000000</v>
      </c>
      <c r="E37" s="780"/>
      <c r="F37" s="780"/>
      <c r="G37" s="780"/>
      <c r="H37" s="780"/>
      <c r="I37" s="780"/>
      <c r="J37" s="780"/>
      <c r="K37" s="780"/>
      <c r="L37" s="780"/>
      <c r="M37" s="780"/>
    </row>
    <row r="38" spans="2:13" ht="62" hidden="1">
      <c r="B38" s="694" t="str">
        <f>B27</f>
        <v>Действующий корпус санатория с новым бальнеологическим комплексом</v>
      </c>
      <c r="C38" s="636">
        <v>25000000</v>
      </c>
      <c r="E38" s="780"/>
      <c r="F38" s="780"/>
      <c r="G38" s="780"/>
      <c r="H38" s="780"/>
      <c r="I38" s="780"/>
      <c r="J38" s="780"/>
      <c r="K38" s="780"/>
      <c r="L38" s="780"/>
      <c r="M38" s="780"/>
    </row>
    <row r="39" spans="2:13" hidden="1">
      <c r="B39" s="694" t="str">
        <f>B28</f>
        <v>Эко-вилладж 4*</v>
      </c>
      <c r="C39" s="636">
        <v>25000000</v>
      </c>
      <c r="E39" s="780"/>
      <c r="F39" s="780"/>
      <c r="G39" s="780"/>
      <c r="H39" s="780"/>
      <c r="I39" s="780"/>
      <c r="J39" s="780"/>
      <c r="K39" s="780"/>
      <c r="L39" s="780"/>
      <c r="M39" s="780"/>
    </row>
    <row r="40" spans="2:13" hidden="1">
      <c r="B40" s="689" t="s">
        <v>930</v>
      </c>
      <c r="C40" s="641"/>
      <c r="E40" s="780"/>
      <c r="F40" s="780"/>
      <c r="G40" s="780"/>
      <c r="H40" s="780"/>
      <c r="I40" s="780"/>
      <c r="J40" s="780"/>
      <c r="K40" s="780"/>
      <c r="L40" s="780"/>
      <c r="M40" s="780"/>
    </row>
    <row r="41" spans="2:13" ht="31" hidden="1">
      <c r="B41" s="694" t="str">
        <f>B37</f>
        <v>Гостиничный комплекс 4* "У Бювета"</v>
      </c>
      <c r="C41" s="636">
        <v>52000000</v>
      </c>
      <c r="E41" s="780"/>
      <c r="F41" s="780"/>
      <c r="G41" s="780"/>
      <c r="H41" s="780"/>
      <c r="I41" s="780"/>
      <c r="J41" s="780"/>
      <c r="K41" s="780"/>
      <c r="L41" s="780"/>
      <c r="M41" s="780"/>
    </row>
    <row r="42" spans="2:13" ht="62" hidden="1">
      <c r="B42" s="694" t="str">
        <f t="shared" ref="B42:B43" si="6">B38</f>
        <v>Действующий корпус санатория с новым бальнеологическим комплексом</v>
      </c>
      <c r="C42" s="636"/>
      <c r="E42" s="780"/>
      <c r="F42" s="780"/>
      <c r="G42" s="780"/>
      <c r="H42" s="780"/>
      <c r="I42" s="780"/>
      <c r="J42" s="780"/>
      <c r="K42" s="780"/>
      <c r="L42" s="780"/>
      <c r="M42" s="780"/>
    </row>
    <row r="43" spans="2:13" hidden="1">
      <c r="B43" s="694" t="str">
        <f t="shared" si="6"/>
        <v>Эко-вилладж 4*</v>
      </c>
      <c r="C43" s="636">
        <v>52000000</v>
      </c>
      <c r="E43" s="780"/>
      <c r="F43" s="780"/>
      <c r="G43" s="780"/>
      <c r="H43" s="780"/>
      <c r="I43" s="780"/>
      <c r="J43" s="780"/>
      <c r="K43" s="780"/>
      <c r="L43" s="780"/>
      <c r="M43" s="780"/>
    </row>
    <row r="44" spans="2:13" ht="31" hidden="1">
      <c r="B44" s="688" t="s">
        <v>927</v>
      </c>
      <c r="C44" s="641"/>
      <c r="E44" s="780"/>
      <c r="F44" s="780"/>
      <c r="G44" s="780"/>
      <c r="H44" s="780"/>
      <c r="I44" s="780"/>
      <c r="J44" s="780"/>
      <c r="K44" s="780"/>
      <c r="L44" s="780"/>
      <c r="M44" s="780"/>
    </row>
    <row r="45" spans="2:13" ht="31" hidden="1">
      <c r="B45" s="691" t="str">
        <f>'Итого выручка 1 этапа'!A3</f>
        <v>Гостиничный комплекс 4* "У Бювета"</v>
      </c>
      <c r="C45" s="636">
        <f>Инфраструктура!D51</f>
        <v>1640640000</v>
      </c>
      <c r="D45" s="695">
        <f>C45-E45</f>
        <v>1640640000</v>
      </c>
      <c r="E45" s="780"/>
      <c r="F45" s="780"/>
      <c r="G45" s="780"/>
      <c r="H45" s="780"/>
      <c r="I45" s="780"/>
      <c r="J45" s="780"/>
      <c r="K45" s="780"/>
      <c r="L45" s="780"/>
      <c r="M45" s="780"/>
    </row>
    <row r="46" spans="2:13" ht="62" hidden="1">
      <c r="B46" s="691" t="str">
        <f>'Итого выручка 1 этапа'!A11</f>
        <v>Действующий корпус санатория с новым бальнеологическим комплексом</v>
      </c>
      <c r="C46" s="636">
        <f>Инфраструктура!D92+Инфраструктура!D94+Инфраструктура!D96</f>
        <v>1662024000</v>
      </c>
      <c r="D46" s="695">
        <f>C46</f>
        <v>1662024000</v>
      </c>
      <c r="E46" s="780"/>
      <c r="F46" s="780"/>
      <c r="G46" s="780"/>
      <c r="H46" s="780"/>
      <c r="I46" s="780"/>
      <c r="J46" s="780"/>
      <c r="K46" s="780"/>
      <c r="L46" s="780"/>
      <c r="M46" s="780"/>
    </row>
    <row r="47" spans="2:13" hidden="1">
      <c r="B47" s="691" t="str">
        <f>'Итого выручка 1 этапа'!A17</f>
        <v>Эко-вилладж 4*</v>
      </c>
      <c r="C47" s="636">
        <f>Инфраструктура!D143</f>
        <v>948037500</v>
      </c>
      <c r="D47" s="695">
        <f t="shared" ref="D47:D60" si="7">C47</f>
        <v>948037500</v>
      </c>
      <c r="E47" s="780"/>
      <c r="F47" s="780"/>
      <c r="G47" s="780"/>
      <c r="H47" s="780"/>
      <c r="I47" s="780"/>
      <c r="J47" s="780"/>
      <c r="K47" s="780"/>
      <c r="L47" s="780"/>
      <c r="M47" s="780"/>
    </row>
    <row r="48" spans="2:13" hidden="1">
      <c r="B48" s="692" t="s">
        <v>928</v>
      </c>
      <c r="C48" s="635"/>
      <c r="D48" s="695"/>
      <c r="E48" s="780"/>
      <c r="F48" s="780"/>
      <c r="G48" s="780"/>
      <c r="H48" s="780"/>
      <c r="I48" s="780"/>
      <c r="J48" s="780"/>
      <c r="K48" s="780"/>
      <c r="L48" s="780"/>
      <c r="M48" s="780"/>
    </row>
    <row r="49" spans="2:13" ht="31" hidden="1">
      <c r="B49" s="691" t="str">
        <f>B45</f>
        <v>Гостиничный комплекс 4* "У Бювета"</v>
      </c>
      <c r="C49" s="636">
        <v>55000000</v>
      </c>
      <c r="D49" s="695">
        <f t="shared" si="7"/>
        <v>55000000</v>
      </c>
      <c r="E49" s="780"/>
      <c r="F49" s="780"/>
      <c r="G49" s="780"/>
      <c r="H49" s="780"/>
      <c r="I49" s="780"/>
      <c r="J49" s="780"/>
      <c r="K49" s="780"/>
      <c r="L49" s="780"/>
      <c r="M49" s="780"/>
    </row>
    <row r="50" spans="2:13" ht="62" hidden="1">
      <c r="B50" s="691" t="str">
        <f t="shared" ref="B50:B51" si="8">B46</f>
        <v>Действующий корпус санатория с новым бальнеологическим комплексом</v>
      </c>
      <c r="C50" s="636"/>
      <c r="D50" s="695"/>
      <c r="E50" s="780"/>
      <c r="F50" s="780"/>
      <c r="G50" s="780"/>
      <c r="H50" s="780"/>
      <c r="I50" s="780"/>
      <c r="J50" s="780"/>
      <c r="K50" s="780"/>
      <c r="L50" s="780"/>
      <c r="M50" s="780"/>
    </row>
    <row r="51" spans="2:13" hidden="1">
      <c r="B51" s="691" t="str">
        <f t="shared" si="8"/>
        <v>Эко-вилладж 4*</v>
      </c>
      <c r="C51" s="636">
        <v>55000000</v>
      </c>
      <c r="D51" s="695">
        <f t="shared" si="7"/>
        <v>55000000</v>
      </c>
      <c r="E51" s="780"/>
      <c r="F51" s="780"/>
      <c r="G51" s="780"/>
      <c r="H51" s="780"/>
      <c r="I51" s="780"/>
      <c r="J51" s="780"/>
      <c r="K51" s="780"/>
      <c r="L51" s="780"/>
      <c r="M51" s="780"/>
    </row>
    <row r="52" spans="2:13" ht="31" hidden="1">
      <c r="B52" s="693" t="s">
        <v>929</v>
      </c>
      <c r="C52" s="636"/>
      <c r="D52" s="695"/>
      <c r="E52" s="780"/>
      <c r="F52" s="780"/>
      <c r="G52" s="780"/>
      <c r="H52" s="780"/>
      <c r="I52" s="780"/>
      <c r="J52" s="780"/>
      <c r="K52" s="780"/>
      <c r="L52" s="780"/>
      <c r="M52" s="780"/>
    </row>
    <row r="53" spans="2:13" ht="31" hidden="1">
      <c r="B53" s="691" t="str">
        <f>B49</f>
        <v>Гостиничный комплекс 4* "У Бювета"</v>
      </c>
      <c r="C53" s="636">
        <v>4500000</v>
      </c>
      <c r="D53" s="695">
        <f t="shared" si="7"/>
        <v>4500000</v>
      </c>
      <c r="E53" s="780"/>
      <c r="F53" s="780"/>
      <c r="G53" s="780"/>
      <c r="H53" s="780"/>
      <c r="I53" s="780"/>
      <c r="J53" s="780"/>
      <c r="K53" s="780"/>
      <c r="L53" s="780"/>
      <c r="M53" s="780"/>
    </row>
    <row r="54" spans="2:13" ht="62" hidden="1">
      <c r="B54" s="691" t="str">
        <f t="shared" ref="B54:B55" si="9">B50</f>
        <v>Действующий корпус санатория с новым бальнеологическим комплексом</v>
      </c>
      <c r="C54" s="636">
        <f>450000*6</f>
        <v>2700000</v>
      </c>
      <c r="D54" s="695">
        <f t="shared" si="7"/>
        <v>2700000</v>
      </c>
      <c r="E54" s="780"/>
      <c r="F54" s="780"/>
      <c r="G54" s="780"/>
      <c r="H54" s="780"/>
      <c r="I54" s="780"/>
      <c r="J54" s="780"/>
      <c r="K54" s="780"/>
      <c r="L54" s="780"/>
      <c r="M54" s="780"/>
    </row>
    <row r="55" spans="2:13" hidden="1">
      <c r="B55" s="691" t="str">
        <f t="shared" si="9"/>
        <v>Эко-вилладж 4*</v>
      </c>
      <c r="C55" s="636">
        <f>350000*7</f>
        <v>2450000</v>
      </c>
      <c r="D55" s="695">
        <f t="shared" si="7"/>
        <v>2450000</v>
      </c>
      <c r="E55" s="780"/>
      <c r="F55" s="780"/>
      <c r="G55" s="780"/>
      <c r="H55" s="780"/>
      <c r="I55" s="780"/>
      <c r="J55" s="780"/>
      <c r="K55" s="780"/>
      <c r="L55" s="780"/>
      <c r="M55" s="780"/>
    </row>
    <row r="56" spans="2:13" hidden="1">
      <c r="B56" s="693" t="s">
        <v>902</v>
      </c>
      <c r="C56" s="636"/>
      <c r="D56" s="695"/>
      <c r="E56" s="780"/>
      <c r="F56" s="780"/>
      <c r="G56" s="780"/>
      <c r="H56" s="780"/>
      <c r="I56" s="780"/>
      <c r="J56" s="780"/>
      <c r="K56" s="780"/>
      <c r="L56" s="780"/>
      <c r="M56" s="780"/>
    </row>
    <row r="57" spans="2:13" ht="31" hidden="1">
      <c r="B57" s="691" t="str">
        <f>B53</f>
        <v>Гостиничный комплекс 4* "У Бювета"</v>
      </c>
      <c r="C57" s="636">
        <v>38000000</v>
      </c>
      <c r="D57" s="695">
        <f t="shared" si="7"/>
        <v>38000000</v>
      </c>
      <c r="E57" s="780"/>
      <c r="F57" s="780"/>
      <c r="G57" s="780"/>
      <c r="H57" s="780"/>
      <c r="I57" s="780"/>
      <c r="J57" s="780"/>
      <c r="K57" s="780"/>
      <c r="L57" s="780"/>
      <c r="M57" s="780"/>
    </row>
    <row r="58" spans="2:13" ht="62" hidden="1">
      <c r="B58" s="691" t="str">
        <f t="shared" ref="B58:B59" si="10">B54</f>
        <v>Действующий корпус санатория с новым бальнеологическим комплексом</v>
      </c>
      <c r="C58" s="636">
        <v>25000000</v>
      </c>
      <c r="D58" s="695">
        <f t="shared" si="7"/>
        <v>25000000</v>
      </c>
      <c r="E58" s="780"/>
      <c r="F58" s="780"/>
      <c r="G58" s="780"/>
      <c r="H58" s="780"/>
      <c r="I58" s="780"/>
      <c r="J58" s="780"/>
      <c r="K58" s="780"/>
      <c r="L58" s="780"/>
      <c r="M58" s="780"/>
    </row>
    <row r="59" spans="2:13" hidden="1">
      <c r="B59" s="691" t="str">
        <f t="shared" si="10"/>
        <v>Эко-вилладж 4*</v>
      </c>
      <c r="C59" s="636">
        <v>38000000</v>
      </c>
      <c r="D59" s="695">
        <f t="shared" si="7"/>
        <v>38000000</v>
      </c>
      <c r="E59" s="780"/>
      <c r="F59" s="780"/>
      <c r="G59" s="780"/>
      <c r="H59" s="780"/>
      <c r="I59" s="780"/>
      <c r="J59" s="780"/>
      <c r="K59" s="780"/>
      <c r="L59" s="780"/>
      <c r="M59" s="780"/>
    </row>
    <row r="60" spans="2:13" hidden="1">
      <c r="B60" s="779" t="s">
        <v>932</v>
      </c>
      <c r="C60" s="636">
        <f>5152000000*2%</f>
        <v>103040000</v>
      </c>
      <c r="D60" s="695">
        <f t="shared" si="7"/>
        <v>103040000</v>
      </c>
    </row>
    <row r="61" spans="2:13" hidden="1"/>
    <row r="63" spans="2:13" ht="31">
      <c r="B63" s="680" t="s">
        <v>912</v>
      </c>
      <c r="C63" s="641">
        <f>Инфраструктура!D206</f>
        <v>727983375</v>
      </c>
      <c r="D63" s="680"/>
    </row>
    <row r="64" spans="2:13">
      <c r="B64" s="686"/>
      <c r="C64" s="686"/>
      <c r="D64" s="686"/>
    </row>
    <row r="65" spans="2:4">
      <c r="B65" s="634"/>
      <c r="C65" s="634"/>
      <c r="D65" s="634"/>
    </row>
    <row r="66" spans="2:4">
      <c r="B66" s="664" t="str">
        <f>B3</f>
        <v>Наименование работ</v>
      </c>
      <c r="C66" s="664" t="str">
        <f>C3</f>
        <v>ИТОГО</v>
      </c>
      <c r="D66" s="664" t="str">
        <f>D3</f>
        <v>% от СМР</v>
      </c>
    </row>
    <row r="67" spans="2:4">
      <c r="B67" s="635" t="s">
        <v>913</v>
      </c>
      <c r="C67" s="636">
        <f t="shared" ref="C67:C73" si="11">$C$75*D67</f>
        <v>72798337.5</v>
      </c>
      <c r="D67" s="637">
        <v>0.1</v>
      </c>
    </row>
    <row r="68" spans="2:4">
      <c r="B68" s="635" t="str">
        <f>B5</f>
        <v>Общестроительные работы</v>
      </c>
      <c r="C68" s="636">
        <f t="shared" si="11"/>
        <v>254794181.24999997</v>
      </c>
      <c r="D68" s="637">
        <v>0.35</v>
      </c>
    </row>
    <row r="69" spans="2:4" ht="31">
      <c r="B69" s="635" t="str">
        <f>B9</f>
        <v>Отделочные работы (полы, стены, потолок)</v>
      </c>
      <c r="C69" s="636">
        <f t="shared" si="11"/>
        <v>145596675</v>
      </c>
      <c r="D69" s="637">
        <v>0.2</v>
      </c>
    </row>
    <row r="70" spans="2:4">
      <c r="B70" s="635" t="str">
        <f>B13</f>
        <v>Оснащение и комплектация</v>
      </c>
      <c r="C70" s="636">
        <f t="shared" si="11"/>
        <v>211115178.75</v>
      </c>
      <c r="D70" s="637">
        <v>0.28999999999999998</v>
      </c>
    </row>
    <row r="71" spans="2:4">
      <c r="B71" s="635" t="str">
        <f>B21</f>
        <v>Подготовка к открытию</v>
      </c>
      <c r="C71" s="636">
        <f t="shared" si="11"/>
        <v>21839501.25</v>
      </c>
      <c r="D71" s="637">
        <v>0.03</v>
      </c>
    </row>
    <row r="72" spans="2:4" ht="31">
      <c r="B72" s="635" t="str">
        <f>B25</f>
        <v>Затраты на Техническое сопровождение</v>
      </c>
      <c r="C72" s="636">
        <f t="shared" si="11"/>
        <v>7279833.75</v>
      </c>
      <c r="D72" s="637">
        <v>0.01</v>
      </c>
    </row>
    <row r="73" spans="2:4" ht="31">
      <c r="B73" s="635" t="str">
        <f>B29</f>
        <v>Прочие непредвиденные расходы</v>
      </c>
      <c r="C73" s="636">
        <f t="shared" si="11"/>
        <v>14559667.5</v>
      </c>
      <c r="D73" s="638">
        <v>0.02</v>
      </c>
    </row>
    <row r="74" spans="2:4">
      <c r="B74" s="635"/>
      <c r="C74" s="635"/>
      <c r="D74" s="639"/>
    </row>
    <row r="75" spans="2:4">
      <c r="B75" s="640" t="s">
        <v>383</v>
      </c>
      <c r="C75" s="641">
        <f>Инфраструктура!D206</f>
        <v>727983375</v>
      </c>
      <c r="D75" s="642">
        <f t="shared" ref="D75" si="12">SUM(D67:D73)</f>
        <v>1</v>
      </c>
    </row>
    <row r="78" spans="2:4" hidden="1"/>
    <row r="79" spans="2:4" hidden="1"/>
    <row r="80" spans="2:4" hidden="1"/>
    <row r="81" spans="2:4" hidden="1"/>
    <row r="82" spans="2:4" hidden="1"/>
    <row r="83" spans="2:4" hidden="1"/>
    <row r="84" spans="2:4" hidden="1"/>
    <row r="85" spans="2:4" hidden="1"/>
    <row r="86" spans="2:4" hidden="1"/>
    <row r="87" spans="2:4" hidden="1"/>
    <row r="88" spans="2:4" hidden="1"/>
    <row r="89" spans="2:4" hidden="1">
      <c r="B89" s="635"/>
      <c r="C89" s="635"/>
      <c r="D89" s="639"/>
    </row>
    <row r="90" spans="2:4" hidden="1">
      <c r="B90" s="640" t="str">
        <f>B5</f>
        <v>Общестроительные работы</v>
      </c>
      <c r="C90" s="635"/>
      <c r="D90" s="639"/>
    </row>
    <row r="91" spans="2:4" ht="31" hidden="1">
      <c r="B91" s="643" t="str">
        <f>B96</f>
        <v>Гостиничный комплекс 4* "У Бювета"</v>
      </c>
      <c r="C91" s="635"/>
      <c r="D91" s="639"/>
    </row>
    <row r="92" spans="2:4" ht="62" hidden="1">
      <c r="B92" s="643" t="str">
        <f t="shared" ref="B92:B93" si="13">B97</f>
        <v>Действующий корпус санатория с новым бальнеологическим комплексом</v>
      </c>
      <c r="C92" s="635"/>
      <c r="D92" s="639"/>
    </row>
    <row r="93" spans="2:4" hidden="1">
      <c r="B93" s="643" t="str">
        <f t="shared" si="13"/>
        <v>Эко-вилладж 4*</v>
      </c>
      <c r="C93" s="635"/>
      <c r="D93" s="639"/>
    </row>
    <row r="94" spans="2:4" hidden="1">
      <c r="B94" s="643" t="e">
        <f>#REF!</f>
        <v>#REF!</v>
      </c>
      <c r="C94" s="635"/>
      <c r="D94" s="639"/>
    </row>
    <row r="95" spans="2:4" ht="31" hidden="1">
      <c r="B95" s="640" t="str">
        <f>B9</f>
        <v>Отделочные работы (полы, стены, потолок)</v>
      </c>
      <c r="C95" s="635"/>
      <c r="D95" s="639"/>
    </row>
    <row r="96" spans="2:4" ht="31" hidden="1">
      <c r="B96" s="643" t="str">
        <f>B6</f>
        <v>Гостиничный комплекс 4* "У Бювета"</v>
      </c>
      <c r="C96" s="635"/>
      <c r="D96" s="639"/>
    </row>
    <row r="97" spans="1:4" ht="62" hidden="1">
      <c r="B97" s="643" t="str">
        <f>B7</f>
        <v>Действующий корпус санатория с новым бальнеологическим комплексом</v>
      </c>
      <c r="C97" s="635"/>
      <c r="D97" s="639"/>
    </row>
    <row r="98" spans="1:4" hidden="1">
      <c r="B98" s="643" t="str">
        <f>B8</f>
        <v>Эко-вилладж 4*</v>
      </c>
      <c r="C98" s="635"/>
      <c r="D98" s="639"/>
    </row>
    <row r="99" spans="1:4" hidden="1">
      <c r="B99" s="643" t="e">
        <f>B94</f>
        <v>#REF!</v>
      </c>
      <c r="C99" s="635"/>
      <c r="D99" s="639"/>
    </row>
    <row r="100" spans="1:4" hidden="1">
      <c r="B100" s="640" t="str">
        <f>B13</f>
        <v>Оснащение и комплектация</v>
      </c>
      <c r="C100" s="635"/>
      <c r="D100" s="639"/>
    </row>
    <row r="101" spans="1:4" ht="31" hidden="1">
      <c r="B101" s="643" t="str">
        <f>B96</f>
        <v>Гостиничный комплекс 4* "У Бювета"</v>
      </c>
      <c r="C101" s="635"/>
      <c r="D101" s="639"/>
    </row>
    <row r="102" spans="1:4" ht="62" hidden="1">
      <c r="B102" s="643" t="str">
        <f t="shared" ref="B102:B103" si="14">B97</f>
        <v>Действующий корпус санатория с новым бальнеологическим комплексом</v>
      </c>
      <c r="C102" s="635"/>
      <c r="D102" s="639"/>
    </row>
    <row r="103" spans="1:4" hidden="1">
      <c r="B103" s="643" t="str">
        <f t="shared" si="14"/>
        <v>Эко-вилладж 4*</v>
      </c>
      <c r="C103" s="635"/>
      <c r="D103" s="639"/>
    </row>
    <row r="104" spans="1:4" hidden="1">
      <c r="B104" s="643" t="e">
        <f>B94</f>
        <v>#REF!</v>
      </c>
      <c r="C104" s="635"/>
      <c r="D104" s="639"/>
    </row>
    <row r="105" spans="1:4" hidden="1">
      <c r="A105" s="685"/>
      <c r="B105" s="640" t="str">
        <f>B21</f>
        <v>Подготовка к открытию</v>
      </c>
      <c r="C105" s="640"/>
      <c r="D105" s="646"/>
    </row>
    <row r="106" spans="1:4" ht="31" hidden="1">
      <c r="B106" s="643" t="str">
        <f>B101</f>
        <v>Гостиничный комплекс 4* "У Бювета"</v>
      </c>
      <c r="C106" s="635"/>
      <c r="D106" s="639"/>
    </row>
    <row r="107" spans="1:4" ht="62" hidden="1">
      <c r="B107" s="643" t="str">
        <f t="shared" ref="B107:B108" si="15">B102</f>
        <v>Действующий корпус санатория с новым бальнеологическим комплексом</v>
      </c>
      <c r="C107" s="635"/>
      <c r="D107" s="639"/>
    </row>
    <row r="108" spans="1:4" hidden="1">
      <c r="B108" s="643" t="str">
        <f t="shared" si="15"/>
        <v>Эко-вилладж 4*</v>
      </c>
      <c r="C108" s="635"/>
      <c r="D108" s="639"/>
    </row>
    <row r="109" spans="1:4" hidden="1">
      <c r="B109" s="635" t="e">
        <f>B94</f>
        <v>#REF!</v>
      </c>
      <c r="C109" s="635"/>
      <c r="D109" s="639"/>
    </row>
    <row r="110" spans="1:4" hidden="1"/>
    <row r="111" spans="1:4" hidden="1">
      <c r="A111" s="681"/>
      <c r="D111" s="681"/>
    </row>
    <row r="112" spans="1:4" hidden="1">
      <c r="D112" s="681"/>
    </row>
    <row r="113" spans="1:4" hidden="1">
      <c r="D113" s="681"/>
    </row>
    <row r="114" spans="1:4" hidden="1">
      <c r="D114" s="681"/>
    </row>
    <row r="115" spans="1:4" hidden="1">
      <c r="A115" s="681">
        <f>A4</f>
        <v>1</v>
      </c>
      <c r="D115" s="681"/>
    </row>
    <row r="116" spans="1:4" hidden="1">
      <c r="D116" s="681"/>
    </row>
    <row r="117" spans="1:4" hidden="1">
      <c r="D117" s="681"/>
    </row>
    <row r="118" spans="1:4" hidden="1">
      <c r="D118" s="681"/>
    </row>
    <row r="119" spans="1:4" hidden="1">
      <c r="D119" s="681"/>
    </row>
    <row r="120" spans="1:4" hidden="1">
      <c r="D120" s="681"/>
    </row>
    <row r="121" spans="1:4" hidden="1">
      <c r="D121" s="681"/>
    </row>
    <row r="122" spans="1:4" hidden="1">
      <c r="D122" s="681"/>
    </row>
    <row r="123" spans="1:4">
      <c r="A123" s="685"/>
      <c r="B123" s="660"/>
      <c r="C123" s="660"/>
      <c r="D123" s="660"/>
    </row>
  </sheetData>
  <mergeCells count="3">
    <mergeCell ref="E2:F2"/>
    <mergeCell ref="G2:H2"/>
    <mergeCell ref="I2:J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007A37"/>
  </sheetPr>
  <dimension ref="A1:O81"/>
  <sheetViews>
    <sheetView topLeftCell="A65" workbookViewId="0">
      <selection activeCell="P23" sqref="P23"/>
    </sheetView>
  </sheetViews>
  <sheetFormatPr defaultColWidth="14.453125" defaultRowHeight="15" customHeight="1"/>
  <cols>
    <col min="1" max="1" width="15.453125" customWidth="1"/>
    <col min="2" max="3" width="10.81640625" customWidth="1"/>
    <col min="4" max="5" width="10.26953125" customWidth="1"/>
    <col min="6" max="10" width="11.26953125" customWidth="1"/>
    <col min="11" max="11" width="10.453125" customWidth="1"/>
    <col min="12" max="12" width="9.453125" customWidth="1"/>
    <col min="13" max="13" width="10.453125" customWidth="1"/>
    <col min="14" max="14" width="13.453125" customWidth="1"/>
  </cols>
  <sheetData>
    <row r="1" spans="1:15" s="740" customFormat="1" ht="15" customHeight="1">
      <c r="A1" s="744" t="s">
        <v>1098</v>
      </c>
    </row>
    <row r="2" spans="1:15" ht="12.5">
      <c r="A2" s="811" t="s">
        <v>387</v>
      </c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813"/>
    </row>
    <row r="3" spans="1:15" ht="14.25" customHeight="1">
      <c r="A3" s="209"/>
      <c r="B3" s="209" t="s">
        <v>370</v>
      </c>
      <c r="C3" s="209" t="s">
        <v>371</v>
      </c>
      <c r="D3" s="209" t="s">
        <v>372</v>
      </c>
      <c r="E3" s="209" t="s">
        <v>373</v>
      </c>
      <c r="F3" s="209" t="s">
        <v>331</v>
      </c>
      <c r="G3" s="209" t="s">
        <v>374</v>
      </c>
      <c r="H3" s="209" t="s">
        <v>375</v>
      </c>
      <c r="I3" s="209" t="s">
        <v>376</v>
      </c>
      <c r="J3" s="209" t="s">
        <v>377</v>
      </c>
      <c r="K3" s="209" t="s">
        <v>378</v>
      </c>
      <c r="L3" s="209" t="s">
        <v>379</v>
      </c>
      <c r="M3" s="209" t="s">
        <v>380</v>
      </c>
      <c r="N3" s="209" t="s">
        <v>388</v>
      </c>
    </row>
    <row r="4" spans="1:15" ht="25.5" customHeight="1">
      <c r="A4" s="210" t="str">
        <f>'Итого выручка 1 этапа'!A3</f>
        <v>Гостиничный комплекс 4* "У Бювета"</v>
      </c>
      <c r="B4" s="211">
        <f>'Итого выручка 1 этапа'!B9</f>
        <v>59474112.731250003</v>
      </c>
      <c r="C4" s="211">
        <f>'Итого выручка 1 этапа'!C9</f>
        <v>30812848.204800002</v>
      </c>
      <c r="D4" s="211">
        <f>'Итого выручка 1 этапа'!D9</f>
        <v>34433087.858100004</v>
      </c>
      <c r="E4" s="211">
        <f>'Итого выручка 1 этапа'!E9</f>
        <v>32932321.784400001</v>
      </c>
      <c r="F4" s="211">
        <f>'Итого выручка 1 этапа'!F9</f>
        <v>54265616.578499995</v>
      </c>
      <c r="G4" s="211">
        <f>'Итого выручка 1 этапа'!G9</f>
        <v>68901202.349999994</v>
      </c>
      <c r="H4" s="211">
        <f>'Итого выручка 1 этапа'!H9</f>
        <v>71883784.094999999</v>
      </c>
      <c r="I4" s="211">
        <f>'Итого выручка 1 этапа'!I9</f>
        <v>66963247.559999995</v>
      </c>
      <c r="J4" s="211">
        <f>'Итого выручка 1 этапа'!J9</f>
        <v>47194227.882450007</v>
      </c>
      <c r="K4" s="211">
        <f>'Итого выручка 1 этапа'!K9</f>
        <v>31306661.219100006</v>
      </c>
      <c r="L4" s="211">
        <f>'Итого выручка 1 этапа'!L9</f>
        <v>27530635.445999995</v>
      </c>
      <c r="M4" s="211">
        <f>'Итого выручка 1 этапа'!M9</f>
        <v>44481507.920850001</v>
      </c>
      <c r="N4" s="212">
        <f t="shared" ref="N4:N9" si="0">SUM(B4:M4)</f>
        <v>570179253.63044989</v>
      </c>
    </row>
    <row r="5" spans="1:15" ht="50.15" customHeight="1">
      <c r="A5" s="210" t="str">
        <f>'Итого выручка 1 этапа'!A11</f>
        <v>Действующий корпус санатория с новым бальнеологическим комплексом</v>
      </c>
      <c r="B5" s="211">
        <f>'Итого выручка 1 этапа'!B15</f>
        <v>13234202.430882353</v>
      </c>
      <c r="C5" s="211">
        <f>'Итого выручка 1 этапа'!C15</f>
        <v>12439382.4</v>
      </c>
      <c r="D5" s="211">
        <f>'Итого выручка 1 этапа'!D15</f>
        <v>13722994.800000001</v>
      </c>
      <c r="E5" s="211">
        <f>'Итого выручка 1 этапа'!E15</f>
        <v>12043818.211764708</v>
      </c>
      <c r="F5" s="211">
        <f>'Итого выручка 1 этапа'!F15</f>
        <v>12351922.268823529</v>
      </c>
      <c r="G5" s="211">
        <f>'Итого выручка 1 этапа'!G15</f>
        <v>14529738.15</v>
      </c>
      <c r="H5" s="211">
        <f>'Итого выручка 1 этапа'!H15</f>
        <v>14998762.754999999</v>
      </c>
      <c r="I5" s="211">
        <f>'Итого выручка 1 этапа'!I15</f>
        <v>11469642.106764706</v>
      </c>
      <c r="J5" s="211">
        <f>'Итого выручка 1 этапа'!J15</f>
        <v>13295124.000000002</v>
      </c>
      <c r="K5" s="211">
        <f>'Итого выручка 1 этапа'!K15</f>
        <v>13238653.807058824</v>
      </c>
      <c r="L5" s="211">
        <f>'Итого выручка 1 этапа'!L15</f>
        <v>12200231.43529412</v>
      </c>
      <c r="M5" s="211">
        <f>'Итого выручка 1 этапа'!M15</f>
        <v>13722994.800000001</v>
      </c>
      <c r="N5" s="212">
        <f t="shared" si="0"/>
        <v>157247467.16558823</v>
      </c>
    </row>
    <row r="6" spans="1:15" ht="12.75" customHeight="1">
      <c r="A6" s="210" t="str">
        <f>'Итого выручка 1 этапа'!A17</f>
        <v>Эко-вилладж 4*</v>
      </c>
      <c r="B6" s="211">
        <f>'Итого выручка 1 этапа'!B21</f>
        <v>31648589.418000001</v>
      </c>
      <c r="C6" s="211">
        <f>'Итого выручка 1 этапа'!C21</f>
        <v>12034192.608000003</v>
      </c>
      <c r="D6" s="211">
        <f>'Итого выручка 1 этапа'!D21</f>
        <v>13564388.256000005</v>
      </c>
      <c r="E6" s="211">
        <f>'Итого выручка 1 этапа'!E21</f>
        <v>14857454.556000002</v>
      </c>
      <c r="F6" s="211">
        <f>'Итого выручка 1 этапа'!F21</f>
        <v>23347794.608400002</v>
      </c>
      <c r="G6" s="211">
        <f>'Итого выручка 1 этапа'!G21</f>
        <v>44159933.100000001</v>
      </c>
      <c r="H6" s="211">
        <f>'Итого выручка 1 этапа'!H21</f>
        <v>46554855.86999999</v>
      </c>
      <c r="I6" s="211">
        <f>'Итого выручка 1 этапа'!I21</f>
        <v>39343659.210000001</v>
      </c>
      <c r="J6" s="211">
        <f>'Итого выручка 1 этапа'!J21</f>
        <v>23390551.824000001</v>
      </c>
      <c r="K6" s="211">
        <f>'Итого выручка 1 этапа'!K21</f>
        <v>10320421.5252</v>
      </c>
      <c r="L6" s="211">
        <f>'Итого выручка 1 этапа'!L21</f>
        <v>10016169.252</v>
      </c>
      <c r="M6" s="211">
        <f>'Итого выручка 1 этапа'!M21</f>
        <v>19236867.114000004</v>
      </c>
      <c r="N6" s="212">
        <f t="shared" si="0"/>
        <v>288474877.34160006</v>
      </c>
    </row>
    <row r="7" spans="1:15" ht="12.75" customHeight="1">
      <c r="A7" s="209" t="s">
        <v>389</v>
      </c>
      <c r="B7" s="183">
        <f t="shared" ref="B7:M7" si="1">SUM(B4:B6)</f>
        <v>104356904.58013235</v>
      </c>
      <c r="C7" s="183">
        <f t="shared" si="1"/>
        <v>55286423.212800004</v>
      </c>
      <c r="D7" s="183">
        <f t="shared" si="1"/>
        <v>61720470.914100014</v>
      </c>
      <c r="E7" s="183">
        <f t="shared" si="1"/>
        <v>59833594.552164711</v>
      </c>
      <c r="F7" s="183">
        <f t="shared" si="1"/>
        <v>89965333.455723524</v>
      </c>
      <c r="G7" s="183">
        <f t="shared" si="1"/>
        <v>127590873.59999999</v>
      </c>
      <c r="H7" s="183">
        <f t="shared" si="1"/>
        <v>133437402.71999998</v>
      </c>
      <c r="I7" s="183">
        <f t="shared" si="1"/>
        <v>117776548.87676471</v>
      </c>
      <c r="J7" s="183">
        <f t="shared" si="1"/>
        <v>83879903.706450015</v>
      </c>
      <c r="K7" s="183">
        <f t="shared" si="1"/>
        <v>54865736.551358834</v>
      </c>
      <c r="L7" s="183">
        <f t="shared" si="1"/>
        <v>49747036.13329412</v>
      </c>
      <c r="M7" s="183">
        <f t="shared" si="1"/>
        <v>77441369.834850013</v>
      </c>
      <c r="N7" s="212">
        <f t="shared" si="0"/>
        <v>1015901598.1376383</v>
      </c>
    </row>
    <row r="8" spans="1:15" ht="12.75" customHeight="1">
      <c r="A8" s="209" t="s">
        <v>19</v>
      </c>
      <c r="B8" s="192">
        <f>'операционные  расходы 1 этап'!B5</f>
        <v>56420331.885162294</v>
      </c>
      <c r="C8" s="192">
        <f>'операционные  расходы 1 этап'!C5</f>
        <v>46613348.799581736</v>
      </c>
      <c r="D8" s="192">
        <f>'операционные  расходы 1 этап'!D5</f>
        <v>46809566.070715487</v>
      </c>
      <c r="E8" s="192">
        <f>'операционные  расходы 1 этап'!E5</f>
        <v>47132474.545730054</v>
      </c>
      <c r="F8" s="192">
        <f>'операционные  расходы 1 этап'!F5</f>
        <v>54393393.988668576</v>
      </c>
      <c r="G8" s="192">
        <f>'операционные  расходы 1 этап'!G5</f>
        <v>60437705.168306023</v>
      </c>
      <c r="H8" s="192">
        <f>'операционные  расходы 1 этап'!H5</f>
        <v>61951854.272010818</v>
      </c>
      <c r="I8" s="192">
        <f>'операционные  расходы 1 этап'!I5</f>
        <v>58854149.941279739</v>
      </c>
      <c r="J8" s="192">
        <f>'операционные  расходы 1 этап'!J5</f>
        <v>52179681.940842316</v>
      </c>
      <c r="K8" s="192">
        <f>'операционные  расходы 1 этап'!K5</f>
        <v>45839522.937022194</v>
      </c>
      <c r="L8" s="192">
        <f>'операционные  расходы 1 этап'!L5</f>
        <v>44732328.109336406</v>
      </c>
      <c r="M8" s="192">
        <f>'операционные  расходы 1 этап'!M5</f>
        <v>51967575.745951071</v>
      </c>
      <c r="N8" s="183">
        <f t="shared" si="0"/>
        <v>627331933.40460682</v>
      </c>
    </row>
    <row r="9" spans="1:15" ht="27" customHeight="1">
      <c r="A9" s="209" t="s">
        <v>390</v>
      </c>
      <c r="B9" s="183">
        <f t="shared" ref="B9:M9" si="2">B7-B8</f>
        <v>47936572.694970056</v>
      </c>
      <c r="C9" s="183">
        <f t="shared" si="2"/>
        <v>8673074.4132182673</v>
      </c>
      <c r="D9" s="183">
        <f t="shared" si="2"/>
        <v>14910904.843384527</v>
      </c>
      <c r="E9" s="183">
        <f t="shared" si="2"/>
        <v>12701120.006434657</v>
      </c>
      <c r="F9" s="183">
        <f t="shared" si="2"/>
        <v>35571939.467054948</v>
      </c>
      <c r="G9" s="183">
        <f t="shared" si="2"/>
        <v>67153168.431693971</v>
      </c>
      <c r="H9" s="183">
        <f t="shared" si="2"/>
        <v>71485548.447989166</v>
      </c>
      <c r="I9" s="183">
        <f t="shared" si="2"/>
        <v>58922398.935484976</v>
      </c>
      <c r="J9" s="183">
        <f t="shared" si="2"/>
        <v>31700221.7656077</v>
      </c>
      <c r="K9" s="183">
        <f t="shared" si="2"/>
        <v>9026213.6143366396</v>
      </c>
      <c r="L9" s="183">
        <f t="shared" si="2"/>
        <v>5014708.0239577144</v>
      </c>
      <c r="M9" s="183">
        <f t="shared" si="2"/>
        <v>25473794.088898942</v>
      </c>
      <c r="N9" s="183">
        <f t="shared" si="0"/>
        <v>388569664.73303157</v>
      </c>
    </row>
    <row r="10" spans="1:15" ht="12.75" customHeight="1">
      <c r="A10" s="209" t="s">
        <v>391</v>
      </c>
      <c r="B10" s="209"/>
      <c r="C10" s="209"/>
      <c r="D10" s="209"/>
      <c r="E10" s="209"/>
      <c r="F10" s="209"/>
      <c r="G10" s="209"/>
      <c r="H10" s="209"/>
      <c r="I10" s="209"/>
      <c r="J10" s="209"/>
      <c r="K10" s="209"/>
      <c r="L10" s="209"/>
      <c r="M10" s="209"/>
      <c r="N10" s="213">
        <f>N9/N7</f>
        <v>0.38248750218068522</v>
      </c>
    </row>
    <row r="11" spans="1:15" ht="12.75" customHeight="1">
      <c r="A11" s="209" t="s">
        <v>365</v>
      </c>
      <c r="B11" s="183">
        <f>'операционные  расходы 1 этап'!B33</f>
        <v>1043569.0458013235</v>
      </c>
      <c r="C11" s="183">
        <f>'операционные  расходы 1 этап'!C33</f>
        <v>552864.232128</v>
      </c>
      <c r="D11" s="183">
        <f>'операционные  расходы 1 этап'!D33</f>
        <v>5736667.0928910011</v>
      </c>
      <c r="E11" s="183">
        <f>'операционные  расходы 1 этап'!E33</f>
        <v>598335.94552164711</v>
      </c>
      <c r="F11" s="183">
        <f>'операционные  расходы 1 этап'!F33</f>
        <v>899653.33455723524</v>
      </c>
      <c r="G11" s="183">
        <f>'операционные  расходы 1 этап'!G33</f>
        <v>6395371.1197500005</v>
      </c>
      <c r="H11" s="183">
        <f>'операционные  расходы 1 этап'!H33</f>
        <v>1334374.0271999999</v>
      </c>
      <c r="I11" s="183">
        <f>'операционные  расходы 1 этап'!I33</f>
        <v>1177765.4887676472</v>
      </c>
      <c r="J11" s="183">
        <f>'операционные  расходы 1 этап'!J33</f>
        <v>5958261.4208145011</v>
      </c>
      <c r="K11" s="183">
        <f>'операционные  расходы 1 этап'!K33</f>
        <v>548657.3655135883</v>
      </c>
      <c r="L11" s="183">
        <f>'операционные  расходы 1 этап'!L33</f>
        <v>497470.36133294122</v>
      </c>
      <c r="M11" s="183">
        <f>'операционные  расходы 1 этап'!M33</f>
        <v>5893876.0820985008</v>
      </c>
      <c r="N11" s="183">
        <f t="shared" ref="N11:N13" si="3">SUM(B11:M11)</f>
        <v>30636865.516376384</v>
      </c>
    </row>
    <row r="12" spans="1:15" ht="12.75" customHeight="1">
      <c r="A12" s="209" t="s">
        <v>634</v>
      </c>
      <c r="B12" s="183">
        <f>B9*8%</f>
        <v>3834925.8155976045</v>
      </c>
      <c r="C12" s="183">
        <f t="shared" ref="C12:M12" si="4">C9*8%</f>
        <v>693845.95305746142</v>
      </c>
      <c r="D12" s="183">
        <f t="shared" si="4"/>
        <v>1192872.3874707622</v>
      </c>
      <c r="E12" s="183">
        <f t="shared" si="4"/>
        <v>1016089.6005147726</v>
      </c>
      <c r="F12" s="183">
        <f t="shared" si="4"/>
        <v>2845755.1573643959</v>
      </c>
      <c r="G12" s="183">
        <f t="shared" si="4"/>
        <v>5372253.4745355174</v>
      </c>
      <c r="H12" s="183">
        <f t="shared" si="4"/>
        <v>5718843.8758391337</v>
      </c>
      <c r="I12" s="183">
        <f t="shared" si="4"/>
        <v>4713791.9148387983</v>
      </c>
      <c r="J12" s="183">
        <f t="shared" si="4"/>
        <v>2536017.741248616</v>
      </c>
      <c r="K12" s="183">
        <f t="shared" si="4"/>
        <v>722097.08914693119</v>
      </c>
      <c r="L12" s="183">
        <f t="shared" si="4"/>
        <v>401176.64191661717</v>
      </c>
      <c r="M12" s="183">
        <f t="shared" si="4"/>
        <v>2037903.5271119154</v>
      </c>
      <c r="N12" s="183">
        <f t="shared" si="3"/>
        <v>31085573.178642523</v>
      </c>
    </row>
    <row r="13" spans="1:15" ht="12.75" customHeight="1">
      <c r="A13" s="209" t="s">
        <v>160</v>
      </c>
      <c r="B13" s="183">
        <f>B7-B8-B11-B12</f>
        <v>43058077.833571129</v>
      </c>
      <c r="C13" s="183">
        <f t="shared" ref="C13:M13" si="5">C7-C8-C11-C12</f>
        <v>7426364.228032806</v>
      </c>
      <c r="D13" s="183">
        <f t="shared" si="5"/>
        <v>7981365.3630227642</v>
      </c>
      <c r="E13" s="183">
        <f t="shared" si="5"/>
        <v>11086694.460398236</v>
      </c>
      <c r="F13" s="183">
        <f t="shared" si="5"/>
        <v>31826530.975133318</v>
      </c>
      <c r="G13" s="183">
        <f t="shared" si="5"/>
        <v>55385543.837408453</v>
      </c>
      <c r="H13" s="183">
        <f t="shared" si="5"/>
        <v>64432330.544950031</v>
      </c>
      <c r="I13" s="183">
        <f t="shared" si="5"/>
        <v>53030841.531878531</v>
      </c>
      <c r="J13" s="183">
        <f t="shared" si="5"/>
        <v>23205942.603544585</v>
      </c>
      <c r="K13" s="183">
        <f t="shared" si="5"/>
        <v>7755459.1596761197</v>
      </c>
      <c r="L13" s="183">
        <f t="shared" si="5"/>
        <v>4116061.0207081563</v>
      </c>
      <c r="M13" s="183">
        <f t="shared" si="5"/>
        <v>17542014.479688529</v>
      </c>
      <c r="N13" s="183">
        <f t="shared" si="3"/>
        <v>326847226.03801262</v>
      </c>
      <c r="O13" s="747"/>
    </row>
    <row r="14" spans="1:15" ht="12.75" customHeight="1">
      <c r="A14" s="209" t="s">
        <v>392</v>
      </c>
      <c r="B14" s="209"/>
      <c r="C14" s="209"/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13">
        <f>N13/N7</f>
        <v>0.32173118600973999</v>
      </c>
    </row>
    <row r="15" spans="1:15" ht="12.75" customHeight="1">
      <c r="A15" s="203"/>
      <c r="B15" s="203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</row>
    <row r="16" spans="1:15" ht="12.75" customHeight="1">
      <c r="A16" s="203"/>
      <c r="B16" s="203"/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</row>
    <row r="17" spans="1:14" ht="12.75" customHeight="1">
      <c r="A17" s="203"/>
      <c r="B17" s="203"/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</row>
    <row r="18" spans="1:14" ht="16.5" customHeight="1">
      <c r="A18" s="811" t="s">
        <v>393</v>
      </c>
      <c r="B18" s="812"/>
      <c r="C18" s="812"/>
      <c r="D18" s="812"/>
      <c r="E18" s="812"/>
      <c r="F18" s="812"/>
      <c r="G18" s="812"/>
      <c r="H18" s="812"/>
      <c r="I18" s="812"/>
      <c r="J18" s="812"/>
      <c r="K18" s="812"/>
      <c r="L18" s="812"/>
      <c r="M18" s="812"/>
      <c r="N18" s="813"/>
    </row>
    <row r="19" spans="1:14" ht="12.75" customHeight="1">
      <c r="A19" s="209"/>
      <c r="B19" s="209" t="s">
        <v>370</v>
      </c>
      <c r="C19" s="209" t="s">
        <v>371</v>
      </c>
      <c r="D19" s="209" t="s">
        <v>372</v>
      </c>
      <c r="E19" s="209" t="s">
        <v>373</v>
      </c>
      <c r="F19" s="209" t="s">
        <v>331</v>
      </c>
      <c r="G19" s="209" t="s">
        <v>374</v>
      </c>
      <c r="H19" s="209" t="s">
        <v>375</v>
      </c>
      <c r="I19" s="209" t="s">
        <v>376</v>
      </c>
      <c r="J19" s="209" t="s">
        <v>377</v>
      </c>
      <c r="K19" s="209" t="s">
        <v>378</v>
      </c>
      <c r="L19" s="209" t="s">
        <v>379</v>
      </c>
      <c r="M19" s="209" t="s">
        <v>380</v>
      </c>
      <c r="N19" s="209" t="s">
        <v>388</v>
      </c>
    </row>
    <row r="20" spans="1:14" ht="21" customHeight="1">
      <c r="A20" s="210" t="str">
        <f>A4</f>
        <v>Гостиничный комплекс 4* "У Бювета"</v>
      </c>
      <c r="B20" s="211">
        <f>'Итого выручка 1 этапа'!B32</f>
        <v>62447818.367812499</v>
      </c>
      <c r="C20" s="211">
        <f>'Итого выручка 1 этапа'!C32</f>
        <v>32353490.615040004</v>
      </c>
      <c r="D20" s="211">
        <f>'Итого выручка 1 этапа'!D32</f>
        <v>36154742.251005001</v>
      </c>
      <c r="E20" s="211">
        <f>'Итого выручка 1 этапа'!E32</f>
        <v>34578937.873620003</v>
      </c>
      <c r="F20" s="211">
        <f>'Итого выручка 1 этапа'!F32</f>
        <v>56978897.407424994</v>
      </c>
      <c r="G20" s="211">
        <f>'Итого выручка 1 этапа'!G32</f>
        <v>72346262.467500001</v>
      </c>
      <c r="H20" s="211">
        <f>'Итого выручка 1 этапа'!H32</f>
        <v>75477973.29975</v>
      </c>
      <c r="I20" s="211">
        <f>'Итого выручка 1 этапа'!I32</f>
        <v>70311409.937999994</v>
      </c>
      <c r="J20" s="211">
        <f>'Итого выручка 1 этапа'!J32</f>
        <v>49553939.276572496</v>
      </c>
      <c r="K20" s="211">
        <f>'Итого выручка 1 этапа'!K32</f>
        <v>32871994.280055001</v>
      </c>
      <c r="L20" s="211">
        <f>'Итого выручка 1 этапа'!L32</f>
        <v>28907167.218299996</v>
      </c>
      <c r="M20" s="211">
        <f>'Итого выручка 1 этапа'!M32</f>
        <v>46705583.316892505</v>
      </c>
      <c r="N20" s="212">
        <f t="shared" ref="N20:N25" si="6">SUM(B20:M20)</f>
        <v>598688216.3119725</v>
      </c>
    </row>
    <row r="21" spans="1:14" ht="31" customHeight="1">
      <c r="A21" s="210" t="str">
        <f t="shared" ref="A21:A22" si="7">A5</f>
        <v>Действующий корпус санатория с новым бальнеологическим комплексом</v>
      </c>
      <c r="B21" s="211">
        <f>'Итого выручка 1 этапа'!B38</f>
        <v>14145920.188649999</v>
      </c>
      <c r="C21" s="211">
        <f>'Итого выручка 1 этапа'!C38</f>
        <v>13294007.6976</v>
      </c>
      <c r="D21" s="211">
        <f>'Итого выручка 1 этапа'!D38</f>
        <v>14666728.165199999</v>
      </c>
      <c r="E21" s="211">
        <f>'Итого выручка 1 этапа'!E38</f>
        <v>12871822.4712</v>
      </c>
      <c r="F21" s="211">
        <f>'Итого выручка 1 этапа'!F38</f>
        <v>13202858.842740001</v>
      </c>
      <c r="G21" s="211">
        <f>'Итого выручка 1 этапа'!G38</f>
        <v>15530426.9811</v>
      </c>
      <c r="H21" s="211">
        <f>'Итого выручка 1 этапа'!H38</f>
        <v>16032042.880469998</v>
      </c>
      <c r="I21" s="211">
        <f>'Итого выручка 1 этапа'!I38</f>
        <v>12259797.496830003</v>
      </c>
      <c r="J21" s="211">
        <f>'Итого выручка 1 этапа'!J38</f>
        <v>14209154.676000003</v>
      </c>
      <c r="K21" s="211">
        <f>'Итого выручка 1 этапа'!K38</f>
        <v>14149078.935839999</v>
      </c>
      <c r="L21" s="211">
        <f>'Итого выручка 1 этапа'!L38</f>
        <v>13038988.996800004</v>
      </c>
      <c r="M21" s="211">
        <f>'Итого выручка 1 этапа'!M38</f>
        <v>14666728.165199999</v>
      </c>
      <c r="N21" s="212">
        <f t="shared" si="6"/>
        <v>168067555.49763</v>
      </c>
    </row>
    <row r="22" spans="1:14" ht="12.75" customHeight="1">
      <c r="A22" s="210" t="str">
        <f t="shared" si="7"/>
        <v>Эко-вилладж 4*</v>
      </c>
      <c r="B22" s="211">
        <f>'Итого выручка 1 этапа'!B44</f>
        <v>33066334.440400004</v>
      </c>
      <c r="C22" s="211">
        <f>'Итого выручка 1 этапа'!C44</f>
        <v>12570446.852800002</v>
      </c>
      <c r="D22" s="211">
        <f>'Итого выручка 1 этапа'!D44</f>
        <v>14169342.265600003</v>
      </c>
      <c r="E22" s="211">
        <f>'Итого выручка 1 этапа'!E44</f>
        <v>15521669.249400001</v>
      </c>
      <c r="F22" s="211">
        <f>'Итого выручка 1 этапа'!F44</f>
        <v>24385807.678220004</v>
      </c>
      <c r="G22" s="211">
        <f>'Итого выручка 1 этапа'!G44</f>
        <v>46130839.935000002</v>
      </c>
      <c r="H22" s="211">
        <f>'Итого выручка 1 этапа'!H44</f>
        <v>48637605.849499993</v>
      </c>
      <c r="I22" s="211">
        <f>'Итого выручка 1 этапа'!I44</f>
        <v>41094672.0405</v>
      </c>
      <c r="J22" s="211">
        <f>'Итого выручка 1 этапа'!J44</f>
        <v>24424310.627100002</v>
      </c>
      <c r="K22" s="211">
        <f>'Итого выручка 1 этапа'!K44</f>
        <v>10782097.89566</v>
      </c>
      <c r="L22" s="211">
        <f>'Итого выручка 1 этапа'!L44</f>
        <v>10464260.095799999</v>
      </c>
      <c r="M22" s="211">
        <f>'Итого выручка 1 этапа'!M44</f>
        <v>20106036.243000004</v>
      </c>
      <c r="N22" s="212">
        <f t="shared" si="6"/>
        <v>301353423.17298001</v>
      </c>
    </row>
    <row r="23" spans="1:14" ht="12.75" customHeight="1">
      <c r="A23" s="209" t="s">
        <v>389</v>
      </c>
      <c r="B23" s="214">
        <f t="shared" ref="B23:M23" si="8">SUM(B20:B22)</f>
        <v>109660072.9968625</v>
      </c>
      <c r="C23" s="214">
        <f t="shared" si="8"/>
        <v>58217945.165440008</v>
      </c>
      <c r="D23" s="214">
        <f t="shared" si="8"/>
        <v>64990812.681805007</v>
      </c>
      <c r="E23" s="214">
        <f t="shared" si="8"/>
        <v>62972429.594220012</v>
      </c>
      <c r="F23" s="214">
        <f t="shared" si="8"/>
        <v>94567563.928385004</v>
      </c>
      <c r="G23" s="214">
        <f t="shared" si="8"/>
        <v>134007529.3836</v>
      </c>
      <c r="H23" s="214">
        <f t="shared" si="8"/>
        <v>140147622.02971998</v>
      </c>
      <c r="I23" s="214">
        <f t="shared" si="8"/>
        <v>123665879.47533</v>
      </c>
      <c r="J23" s="214">
        <f t="shared" si="8"/>
        <v>88187404.5796725</v>
      </c>
      <c r="K23" s="214">
        <f t="shared" si="8"/>
        <v>57803171.111554995</v>
      </c>
      <c r="L23" s="214">
        <f t="shared" si="8"/>
        <v>52410416.310899995</v>
      </c>
      <c r="M23" s="214">
        <f t="shared" si="8"/>
        <v>81478347.7250925</v>
      </c>
      <c r="N23" s="212">
        <f t="shared" si="6"/>
        <v>1068109194.9825824</v>
      </c>
    </row>
    <row r="24" spans="1:14" ht="12.75" customHeight="1">
      <c r="A24" s="209" t="s">
        <v>19</v>
      </c>
      <c r="B24" s="215">
        <f>B8*1.08</f>
        <v>60933958.435975283</v>
      </c>
      <c r="C24" s="215">
        <f t="shared" ref="C24:M24" si="9">C8*1.08</f>
        <v>50342416.703548275</v>
      </c>
      <c r="D24" s="215">
        <f t="shared" si="9"/>
        <v>50554331.356372729</v>
      </c>
      <c r="E24" s="215">
        <f t="shared" si="9"/>
        <v>50903072.509388462</v>
      </c>
      <c r="F24" s="215">
        <f t="shared" si="9"/>
        <v>58744865.507762067</v>
      </c>
      <c r="G24" s="215">
        <f t="shared" si="9"/>
        <v>65272721.581770509</v>
      </c>
      <c r="H24" s="215">
        <f t="shared" si="9"/>
        <v>66908002.613771684</v>
      </c>
      <c r="I24" s="215">
        <f t="shared" si="9"/>
        <v>63562481.936582126</v>
      </c>
      <c r="J24" s="215">
        <f t="shared" si="9"/>
        <v>56354056.496109702</v>
      </c>
      <c r="K24" s="215">
        <f t="shared" si="9"/>
        <v>49506684.771983974</v>
      </c>
      <c r="L24" s="215">
        <f t="shared" si="9"/>
        <v>48310914.358083323</v>
      </c>
      <c r="M24" s="215">
        <f t="shared" si="9"/>
        <v>56124981.80562716</v>
      </c>
      <c r="N24" s="183">
        <f t="shared" si="6"/>
        <v>677518488.07697523</v>
      </c>
    </row>
    <row r="25" spans="1:14" ht="27" customHeight="1">
      <c r="A25" s="209" t="s">
        <v>390</v>
      </c>
      <c r="B25" s="214">
        <f t="shared" ref="B25:M25" si="10">B23-B24</f>
        <v>48726114.560887218</v>
      </c>
      <c r="C25" s="214">
        <f t="shared" si="10"/>
        <v>7875528.4618917331</v>
      </c>
      <c r="D25" s="214">
        <f t="shared" si="10"/>
        <v>14436481.325432278</v>
      </c>
      <c r="E25" s="214">
        <f t="shared" si="10"/>
        <v>12069357.084831551</v>
      </c>
      <c r="F25" s="214">
        <f t="shared" si="10"/>
        <v>35822698.420622937</v>
      </c>
      <c r="G25" s="214">
        <f t="shared" si="10"/>
        <v>68734807.801829487</v>
      </c>
      <c r="H25" s="214">
        <f t="shared" si="10"/>
        <v>73239619.415948302</v>
      </c>
      <c r="I25" s="214">
        <f t="shared" si="10"/>
        <v>60103397.538747869</v>
      </c>
      <c r="J25" s="214">
        <f t="shared" si="10"/>
        <v>31833348.083562799</v>
      </c>
      <c r="K25" s="214">
        <f t="shared" si="10"/>
        <v>8296486.3395710215</v>
      </c>
      <c r="L25" s="214">
        <f t="shared" si="10"/>
        <v>4099501.9528166726</v>
      </c>
      <c r="M25" s="214">
        <f t="shared" si="10"/>
        <v>25353365.919465341</v>
      </c>
      <c r="N25" s="183">
        <f t="shared" si="6"/>
        <v>390590706.90560716</v>
      </c>
    </row>
    <row r="26" spans="1:14" ht="12.75" customHeight="1">
      <c r="A26" s="209" t="s">
        <v>391</v>
      </c>
      <c r="B26" s="214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3">
        <f>N25/N23</f>
        <v>0.36568424721030185</v>
      </c>
    </row>
    <row r="27" spans="1:14" ht="12.75" customHeight="1">
      <c r="A27" s="209" t="s">
        <v>365</v>
      </c>
      <c r="B27" s="214">
        <f>B11*1.08</f>
        <v>1127054.5694654295</v>
      </c>
      <c r="C27" s="214">
        <f t="shared" ref="C27:M27" si="11">C11*1.08</f>
        <v>597093.37069824</v>
      </c>
      <c r="D27" s="214">
        <f t="shared" si="11"/>
        <v>6195600.4603222813</v>
      </c>
      <c r="E27" s="214">
        <f t="shared" si="11"/>
        <v>646202.82116337889</v>
      </c>
      <c r="F27" s="214">
        <f t="shared" si="11"/>
        <v>971625.60132181412</v>
      </c>
      <c r="G27" s="214">
        <f t="shared" si="11"/>
        <v>6907000.8093300015</v>
      </c>
      <c r="H27" s="214">
        <f t="shared" si="11"/>
        <v>1441123.9493760001</v>
      </c>
      <c r="I27" s="214">
        <f t="shared" si="11"/>
        <v>1271986.727869059</v>
      </c>
      <c r="J27" s="214">
        <f t="shared" si="11"/>
        <v>6434922.3344796617</v>
      </c>
      <c r="K27" s="214">
        <f t="shared" si="11"/>
        <v>592549.95475467539</v>
      </c>
      <c r="L27" s="214">
        <f t="shared" si="11"/>
        <v>537267.99023957655</v>
      </c>
      <c r="M27" s="214">
        <f t="shared" si="11"/>
        <v>6365386.1686663814</v>
      </c>
      <c r="N27" s="183">
        <f t="shared" ref="N27:N28" si="12">SUM(B27:M27)</f>
        <v>33087814.757686503</v>
      </c>
    </row>
    <row r="28" spans="1:14" ht="12.75" customHeight="1">
      <c r="A28" s="209" t="s">
        <v>160</v>
      </c>
      <c r="B28" s="214">
        <f t="shared" ref="B28:M28" si="13">B23-B24-B27</f>
        <v>47599059.991421789</v>
      </c>
      <c r="C28" s="214">
        <f t="shared" si="13"/>
        <v>7278435.0911934935</v>
      </c>
      <c r="D28" s="214">
        <f t="shared" si="13"/>
        <v>8240880.8651099969</v>
      </c>
      <c r="E28" s="214">
        <f t="shared" si="13"/>
        <v>11423154.263668172</v>
      </c>
      <c r="F28" s="214">
        <f t="shared" si="13"/>
        <v>34851072.819301121</v>
      </c>
      <c r="G28" s="214">
        <f t="shared" si="13"/>
        <v>61827806.992499486</v>
      </c>
      <c r="H28" s="214">
        <f t="shared" si="13"/>
        <v>71798495.4665723</v>
      </c>
      <c r="I28" s="214">
        <f t="shared" si="13"/>
        <v>58831410.810878813</v>
      </c>
      <c r="J28" s="214">
        <f t="shared" si="13"/>
        <v>25398425.749083139</v>
      </c>
      <c r="K28" s="214">
        <f t="shared" si="13"/>
        <v>7703936.3848163458</v>
      </c>
      <c r="L28" s="214">
        <f t="shared" si="13"/>
        <v>3562233.9625770962</v>
      </c>
      <c r="M28" s="214">
        <f t="shared" si="13"/>
        <v>18987979.750798959</v>
      </c>
      <c r="N28" s="183">
        <f t="shared" si="12"/>
        <v>357502892.14792073</v>
      </c>
    </row>
    <row r="29" spans="1:14" ht="12.75" customHeight="1">
      <c r="A29" s="209" t="s">
        <v>392</v>
      </c>
      <c r="B29" s="214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3">
        <f>N28/N23</f>
        <v>0.33470631451099014</v>
      </c>
    </row>
    <row r="30" spans="1:14" ht="12.75" customHeight="1">
      <c r="A30" s="203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</row>
    <row r="31" spans="1:14" ht="12.75" customHeight="1">
      <c r="A31" s="203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</row>
    <row r="32" spans="1:14" ht="16.5" customHeight="1">
      <c r="A32" s="811" t="s">
        <v>394</v>
      </c>
      <c r="B32" s="812"/>
      <c r="C32" s="812"/>
      <c r="D32" s="812"/>
      <c r="E32" s="812"/>
      <c r="F32" s="812"/>
      <c r="G32" s="812"/>
      <c r="H32" s="812"/>
      <c r="I32" s="812"/>
      <c r="J32" s="812"/>
      <c r="K32" s="812"/>
      <c r="L32" s="812"/>
      <c r="M32" s="812"/>
      <c r="N32" s="813"/>
    </row>
    <row r="33" spans="1:15" ht="12.75" customHeight="1">
      <c r="A33" s="209"/>
      <c r="B33" s="209" t="s">
        <v>370</v>
      </c>
      <c r="C33" s="209" t="s">
        <v>371</v>
      </c>
      <c r="D33" s="209" t="s">
        <v>372</v>
      </c>
      <c r="E33" s="209" t="s">
        <v>373</v>
      </c>
      <c r="F33" s="209" t="s">
        <v>331</v>
      </c>
      <c r="G33" s="209" t="s">
        <v>374</v>
      </c>
      <c r="H33" s="209" t="s">
        <v>375</v>
      </c>
      <c r="I33" s="209" t="s">
        <v>376</v>
      </c>
      <c r="J33" s="209" t="s">
        <v>377</v>
      </c>
      <c r="K33" s="209" t="s">
        <v>378</v>
      </c>
      <c r="L33" s="209" t="s">
        <v>379</v>
      </c>
      <c r="M33" s="209" t="s">
        <v>380</v>
      </c>
      <c r="N33" s="209" t="s">
        <v>388</v>
      </c>
    </row>
    <row r="34" spans="1:15" ht="12.75" customHeight="1">
      <c r="A34" s="210" t="str">
        <f>A20</f>
        <v>Гостиничный комплекс 4* "У Бювета"</v>
      </c>
      <c r="B34" s="211">
        <f>'Итого выручка 1 этапа'!B55</f>
        <v>68680251.220957026</v>
      </c>
      <c r="C34" s="211">
        <f>'Итого выручка 1 этапа'!C55</f>
        <v>35614483.138647005</v>
      </c>
      <c r="D34" s="211">
        <f>'Итого выручка 1 этапа'!D55</f>
        <v>39794598.778185569</v>
      </c>
      <c r="E34" s="211">
        <f>'Итого выручка 1 этапа'!E55</f>
        <v>38065187.513634756</v>
      </c>
      <c r="F34" s="211">
        <f>'Итого выручка 1 этапа'!F55</f>
        <v>62779896.173747808</v>
      </c>
      <c r="G34" s="211">
        <f>'Итого выручка 1 этапа'!G55</f>
        <v>79707814.717781246</v>
      </c>
      <c r="H34" s="211">
        <f>'Итого выручка 1 этапа'!H55</f>
        <v>83120919.062540621</v>
      </c>
      <c r="I34" s="211">
        <f>'Итого выручка 1 этапа'!I55</f>
        <v>77468436.526950002</v>
      </c>
      <c r="J34" s="211">
        <f>'Итого выручка 1 этапа'!J55</f>
        <v>54652629.599518776</v>
      </c>
      <c r="K34" s="211">
        <f>'Итого выручка 1 этапа'!K55</f>
        <v>36169470.493116193</v>
      </c>
      <c r="L34" s="211">
        <f>'Итого выручка 1 этапа'!L55</f>
        <v>31809639.718158752</v>
      </c>
      <c r="M34" s="211">
        <f>'Итого выручка 1 этапа'!M55</f>
        <v>51378125.938238531</v>
      </c>
      <c r="N34" s="212">
        <f t="shared" ref="N34:N38" si="14">SUM(B34:M34)</f>
        <v>659241452.88147616</v>
      </c>
    </row>
    <row r="35" spans="1:15" ht="12.75" customHeight="1">
      <c r="A35" s="210" t="str">
        <f t="shared" ref="A35:A36" si="15">A21</f>
        <v>Действующий корпус санатория с новым бальнеологическим комплексом</v>
      </c>
      <c r="B35" s="211">
        <f>'Итого выручка 1 этапа'!B61</f>
        <v>14858269.18260934</v>
      </c>
      <c r="C35" s="211">
        <f>'Итого выручка 1 этапа'!C61</f>
        <v>13963410.371111039</v>
      </c>
      <c r="D35" s="211">
        <f>'Итого выручка 1 этапа'!D61</f>
        <v>15405270.67873008</v>
      </c>
      <c r="E35" s="211">
        <f>'Итого выручка 1 этапа'!E61</f>
        <v>13519977.580784248</v>
      </c>
      <c r="F35" s="211">
        <f>'Итого выручка 1 этапа'!F61</f>
        <v>13867717.90376872</v>
      </c>
      <c r="G35" s="211">
        <f>'Итого выручка 1 этапа'!G61</f>
        <v>16312490.31318444</v>
      </c>
      <c r="H35" s="211">
        <f>'Итого выручка 1 этапа'!H61</f>
        <v>16839371.740290586</v>
      </c>
      <c r="I35" s="211">
        <f>'Итого выручка 1 этапа'!I61</f>
        <v>12877166.624928098</v>
      </c>
      <c r="J35" s="211">
        <f>'Итого выручка 1 этапа'!J61</f>
        <v>14924650.576190403</v>
      </c>
      <c r="K35" s="211">
        <f>'Итого выручка 1 этапа'!K61</f>
        <v>14861555.243010197</v>
      </c>
      <c r="L35" s="211">
        <f>'Итого выручка 1 этапа'!L61</f>
        <v>13695561.705210015</v>
      </c>
      <c r="M35" s="211">
        <f>'Итого выручка 1 этапа'!M61</f>
        <v>15405270.67873008</v>
      </c>
      <c r="N35" s="212">
        <f t="shared" si="14"/>
        <v>176530712.59854722</v>
      </c>
    </row>
    <row r="36" spans="1:15" ht="12.75" customHeight="1">
      <c r="A36" s="210" t="str">
        <f t="shared" si="15"/>
        <v>Эко-вилладж 4*</v>
      </c>
      <c r="B36" s="211">
        <f>'Итого выручка 1 этапа'!B67</f>
        <v>34548379.335980006</v>
      </c>
      <c r="C36" s="211">
        <f>'Итого выручка 1 этапа'!C67</f>
        <v>13130895.594416004</v>
      </c>
      <c r="D36" s="211">
        <f>'Итого выручка 1 этапа'!D67</f>
        <v>14801613.359552005</v>
      </c>
      <c r="E36" s="211">
        <f>'Итого выручка 1 этапа'!E67</f>
        <v>16215948.356094001</v>
      </c>
      <c r="F36" s="211">
        <f>'Итого выручка 1 этапа'!F67</f>
        <v>25470546.335107006</v>
      </c>
      <c r="G36" s="211">
        <f>'Итого выручка 1 этапа'!G67</f>
        <v>48190808.51895</v>
      </c>
      <c r="H36" s="211">
        <f>'Итого выручка 1 этапа'!H67</f>
        <v>50814693.615414999</v>
      </c>
      <c r="I36" s="211">
        <f>'Итого выручка 1 этапа'!I67</f>
        <v>42924588.707325004</v>
      </c>
      <c r="J36" s="211">
        <f>'Итого выручка 1 этапа'!J67</f>
        <v>25504326.618831005</v>
      </c>
      <c r="K36" s="211">
        <f>'Итого выручка 1 этапа'!K67</f>
        <v>11264684.296411002</v>
      </c>
      <c r="L36" s="211">
        <f>'Итого выручка 1 этапа'!L67</f>
        <v>10932646.777038001</v>
      </c>
      <c r="M36" s="211">
        <f>'Итого выручка 1 этапа'!M67</f>
        <v>21014956.859382004</v>
      </c>
      <c r="N36" s="212">
        <f t="shared" si="14"/>
        <v>314814088.37450099</v>
      </c>
    </row>
    <row r="37" spans="1:15" ht="12.75" customHeight="1">
      <c r="A37" s="209" t="s">
        <v>389</v>
      </c>
      <c r="B37" s="214">
        <f t="shared" ref="B37:M37" si="16">SUM(B34:B36)</f>
        <v>118086899.73954636</v>
      </c>
      <c r="C37" s="214">
        <f t="shared" si="16"/>
        <v>62708789.104174048</v>
      </c>
      <c r="D37" s="214">
        <f t="shared" si="16"/>
        <v>70001482.816467658</v>
      </c>
      <c r="E37" s="214">
        <f t="shared" si="16"/>
        <v>67801113.450513005</v>
      </c>
      <c r="F37" s="214">
        <f t="shared" si="16"/>
        <v>102118160.41262352</v>
      </c>
      <c r="G37" s="214">
        <f t="shared" si="16"/>
        <v>144211113.54991567</v>
      </c>
      <c r="H37" s="214">
        <f t="shared" si="16"/>
        <v>150774984.41824621</v>
      </c>
      <c r="I37" s="214">
        <f t="shared" si="16"/>
        <v>133270191.8592031</v>
      </c>
      <c r="J37" s="214">
        <f t="shared" si="16"/>
        <v>95081606.794540182</v>
      </c>
      <c r="K37" s="214">
        <f t="shared" si="16"/>
        <v>62295710.032537393</v>
      </c>
      <c r="L37" s="214">
        <f t="shared" si="16"/>
        <v>56437848.200406767</v>
      </c>
      <c r="M37" s="214">
        <f t="shared" si="16"/>
        <v>87798353.476350605</v>
      </c>
      <c r="N37" s="212">
        <f t="shared" si="14"/>
        <v>1150586253.8545246</v>
      </c>
    </row>
    <row r="38" spans="1:15" ht="12.75" customHeight="1">
      <c r="A38" s="209" t="s">
        <v>19</v>
      </c>
      <c r="B38" s="215">
        <f>B24*1.05</f>
        <v>63980656.357774049</v>
      </c>
      <c r="C38" s="215">
        <f t="shared" ref="C38:M38" si="17">C24*1.05</f>
        <v>52859537.538725689</v>
      </c>
      <c r="D38" s="215">
        <f t="shared" si="17"/>
        <v>53082047.924191371</v>
      </c>
      <c r="E38" s="215">
        <f t="shared" si="17"/>
        <v>53448226.134857886</v>
      </c>
      <c r="F38" s="215">
        <f t="shared" si="17"/>
        <v>61682108.783150174</v>
      </c>
      <c r="G38" s="215">
        <f t="shared" si="17"/>
        <v>68536357.660859033</v>
      </c>
      <c r="H38" s="215">
        <f t="shared" si="17"/>
        <v>70253402.74446027</v>
      </c>
      <c r="I38" s="215">
        <f t="shared" si="17"/>
        <v>66740606.033411235</v>
      </c>
      <c r="J38" s="215">
        <f t="shared" si="17"/>
        <v>59171759.320915192</v>
      </c>
      <c r="K38" s="215">
        <f t="shared" si="17"/>
        <v>51982019.010583177</v>
      </c>
      <c r="L38" s="215">
        <f t="shared" si="17"/>
        <v>50726460.075987488</v>
      </c>
      <c r="M38" s="215">
        <f t="shared" si="17"/>
        <v>58931230.89590852</v>
      </c>
      <c r="N38" s="183">
        <f t="shared" si="14"/>
        <v>711394412.48082411</v>
      </c>
    </row>
    <row r="39" spans="1:15" ht="12.75" customHeight="1">
      <c r="A39" s="216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183"/>
    </row>
    <row r="40" spans="1:15" ht="27" customHeight="1">
      <c r="A40" s="209" t="s">
        <v>390</v>
      </c>
      <c r="B40" s="214">
        <f t="shared" ref="B40:M40" si="18">B37-B38</f>
        <v>54106243.38177231</v>
      </c>
      <c r="C40" s="214">
        <f t="shared" si="18"/>
        <v>9849251.5654483587</v>
      </c>
      <c r="D40" s="214">
        <f t="shared" si="18"/>
        <v>16919434.892276287</v>
      </c>
      <c r="E40" s="214">
        <f t="shared" si="18"/>
        <v>14352887.31565512</v>
      </c>
      <c r="F40" s="214">
        <f t="shared" si="18"/>
        <v>40436051.629473351</v>
      </c>
      <c r="G40" s="214">
        <f t="shared" si="18"/>
        <v>75674755.889056638</v>
      </c>
      <c r="H40" s="214">
        <f t="shared" si="18"/>
        <v>80521581.67378594</v>
      </c>
      <c r="I40" s="214">
        <f t="shared" si="18"/>
        <v>66529585.825791866</v>
      </c>
      <c r="J40" s="214">
        <f t="shared" si="18"/>
        <v>35909847.473624989</v>
      </c>
      <c r="K40" s="214">
        <f t="shared" si="18"/>
        <v>10313691.021954216</v>
      </c>
      <c r="L40" s="214">
        <f t="shared" si="18"/>
        <v>5711388.1244192794</v>
      </c>
      <c r="M40" s="214">
        <f t="shared" si="18"/>
        <v>28867122.580442086</v>
      </c>
      <c r="N40" s="183">
        <f>SUM(B40:M40)</f>
        <v>439191841.37370044</v>
      </c>
    </row>
    <row r="41" spans="1:15" ht="12.75" customHeight="1">
      <c r="A41" s="209" t="s">
        <v>391</v>
      </c>
      <c r="B41" s="214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3">
        <f>N40/N37</f>
        <v>0.38171135792938998</v>
      </c>
    </row>
    <row r="42" spans="1:15" ht="12.75" customHeight="1">
      <c r="A42" s="209" t="s">
        <v>365</v>
      </c>
      <c r="B42" s="214">
        <f>B27*1.05</f>
        <v>1183407.297938701</v>
      </c>
      <c r="C42" s="214">
        <f t="shared" ref="C42:M42" si="19">C27*1.05</f>
        <v>626948.03923315206</v>
      </c>
      <c r="D42" s="214">
        <f t="shared" si="19"/>
        <v>6505380.4833383961</v>
      </c>
      <c r="E42" s="214">
        <f t="shared" si="19"/>
        <v>678512.96222154784</v>
      </c>
      <c r="F42" s="214">
        <f t="shared" si="19"/>
        <v>1020206.8813879049</v>
      </c>
      <c r="G42" s="214">
        <f t="shared" si="19"/>
        <v>7252350.8497965019</v>
      </c>
      <c r="H42" s="214">
        <f t="shared" si="19"/>
        <v>1513180.1468448001</v>
      </c>
      <c r="I42" s="214">
        <f t="shared" si="19"/>
        <v>1335586.0642625119</v>
      </c>
      <c r="J42" s="214">
        <f t="shared" si="19"/>
        <v>6756668.4512036452</v>
      </c>
      <c r="K42" s="214">
        <f t="shared" si="19"/>
        <v>622177.45249240915</v>
      </c>
      <c r="L42" s="214">
        <f t="shared" si="19"/>
        <v>564131.3897515554</v>
      </c>
      <c r="M42" s="214">
        <f t="shared" si="19"/>
        <v>6683655.4770997008</v>
      </c>
      <c r="N42" s="183">
        <f t="shared" ref="N42:N43" si="20">SUM(B42:M42)</f>
        <v>34742205.495570824</v>
      </c>
    </row>
    <row r="43" spans="1:15" ht="12.75" customHeight="1">
      <c r="A43" s="209" t="s">
        <v>160</v>
      </c>
      <c r="B43" s="214">
        <f t="shared" ref="B43:M43" si="21">B37-B38-B42</f>
        <v>52922836.083833605</v>
      </c>
      <c r="C43" s="214">
        <f t="shared" si="21"/>
        <v>9222303.5262152068</v>
      </c>
      <c r="D43" s="214">
        <f t="shared" si="21"/>
        <v>10414054.40893789</v>
      </c>
      <c r="E43" s="214">
        <f t="shared" si="21"/>
        <v>13674374.353433572</v>
      </c>
      <c r="F43" s="214">
        <f t="shared" si="21"/>
        <v>39415844.748085447</v>
      </c>
      <c r="G43" s="214">
        <f t="shared" si="21"/>
        <v>68422405.039260134</v>
      </c>
      <c r="H43" s="214">
        <f t="shared" si="21"/>
        <v>79008401.526941136</v>
      </c>
      <c r="I43" s="214">
        <f t="shared" si="21"/>
        <v>65193999.761529356</v>
      </c>
      <c r="J43" s="214">
        <f t="shared" si="21"/>
        <v>29153179.022421345</v>
      </c>
      <c r="K43" s="214">
        <f t="shared" si="21"/>
        <v>9691513.5694618076</v>
      </c>
      <c r="L43" s="214">
        <f t="shared" si="21"/>
        <v>5147256.734667724</v>
      </c>
      <c r="M43" s="214">
        <f t="shared" si="21"/>
        <v>22183467.103342384</v>
      </c>
      <c r="N43" s="183">
        <f t="shared" si="20"/>
        <v>404449635.8781296</v>
      </c>
      <c r="O43" s="748"/>
    </row>
    <row r="44" spans="1:15" ht="12.75" customHeight="1">
      <c r="A44" s="209" t="s">
        <v>392</v>
      </c>
      <c r="B44" s="214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3">
        <f>N43/N37</f>
        <v>0.35151613755440064</v>
      </c>
    </row>
    <row r="45" spans="1:15" ht="12.7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</row>
    <row r="46" spans="1:15" ht="12.75" customHeight="1">
      <c r="A46" s="203"/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</row>
    <row r="47" spans="1:15" s="740" customFormat="1" ht="28" customHeight="1">
      <c r="A47" s="745" t="s">
        <v>1113</v>
      </c>
    </row>
    <row r="48" spans="1:15" ht="12.5">
      <c r="A48" s="811" t="s">
        <v>387</v>
      </c>
      <c r="B48" s="812"/>
      <c r="C48" s="812"/>
      <c r="D48" s="812"/>
      <c r="E48" s="812"/>
      <c r="F48" s="812"/>
      <c r="G48" s="812"/>
      <c r="H48" s="812"/>
      <c r="I48" s="812"/>
      <c r="J48" s="812"/>
      <c r="K48" s="812"/>
      <c r="L48" s="812"/>
      <c r="M48" s="812"/>
      <c r="N48" s="813"/>
    </row>
    <row r="49" spans="1:15" ht="14.25" customHeight="1">
      <c r="A49" s="209"/>
      <c r="B49" s="209" t="s">
        <v>370</v>
      </c>
      <c r="C49" s="209" t="s">
        <v>371</v>
      </c>
      <c r="D49" s="209" t="s">
        <v>372</v>
      </c>
      <c r="E49" s="209" t="s">
        <v>373</v>
      </c>
      <c r="F49" s="209" t="s">
        <v>331</v>
      </c>
      <c r="G49" s="209" t="s">
        <v>374</v>
      </c>
      <c r="H49" s="209" t="s">
        <v>375</v>
      </c>
      <c r="I49" s="209" t="s">
        <v>376</v>
      </c>
      <c r="J49" s="209" t="s">
        <v>377</v>
      </c>
      <c r="K49" s="209" t="s">
        <v>378</v>
      </c>
      <c r="L49" s="209" t="s">
        <v>379</v>
      </c>
      <c r="M49" s="209" t="s">
        <v>380</v>
      </c>
      <c r="N49" s="209" t="s">
        <v>388</v>
      </c>
    </row>
    <row r="50" spans="1:15" ht="12.75" customHeight="1">
      <c r="A50" s="209" t="s">
        <v>389</v>
      </c>
      <c r="B50" s="183">
        <f>'Итого выручка 2 этапа '!B7</f>
        <v>18830988.002499998</v>
      </c>
      <c r="C50" s="183">
        <f>'Итого выручка 2 этапа '!C7</f>
        <v>6086600.9249999998</v>
      </c>
      <c r="D50" s="183">
        <f>'Итого выручка 2 этапа '!D7</f>
        <v>7201281.7328124996</v>
      </c>
      <c r="E50" s="183">
        <f>'Итого выручка 2 этапа '!E7</f>
        <v>8674150.1624999996</v>
      </c>
      <c r="F50" s="183">
        <f>'Итого выручка 2 этапа '!F7</f>
        <v>15927225.340624999</v>
      </c>
      <c r="G50" s="183">
        <f>'Итого выручка 2 этапа '!G7</f>
        <v>22796003.53125</v>
      </c>
      <c r="H50" s="183">
        <f>'Итого выручка 2 этапа '!H7</f>
        <v>25765007.815625004</v>
      </c>
      <c r="I50" s="183">
        <f>'Итого выручка 2 этапа '!I7</f>
        <v>23310961.46125</v>
      </c>
      <c r="J50" s="183">
        <f>'Итого выручка 2 этапа '!J7</f>
        <v>14957807.3671875</v>
      </c>
      <c r="K50" s="183">
        <f>'Итого выручка 2 этапа '!K7</f>
        <v>6469409.3109374996</v>
      </c>
      <c r="L50" s="183">
        <f>'Итого выручка 2 этапа '!L7</f>
        <v>6264461.203125</v>
      </c>
      <c r="M50" s="183">
        <f>'Итого выручка 2 этапа '!M7</f>
        <v>13403256.303749999</v>
      </c>
      <c r="N50" s="212">
        <f t="shared" ref="N50:N52" si="22">SUM(B50:M50)</f>
        <v>169687153.15656251</v>
      </c>
    </row>
    <row r="51" spans="1:15" ht="12.75" customHeight="1">
      <c r="A51" s="209" t="s">
        <v>19</v>
      </c>
      <c r="B51" s="192">
        <f>'операционные расходы 2 этап'!B5</f>
        <v>9954656.4078384489</v>
      </c>
      <c r="C51" s="192">
        <f>'операционные расходы 2 этап'!C5</f>
        <v>7914654.0294508729</v>
      </c>
      <c r="D51" s="192">
        <f>'операционные расходы 2 этап'!D5</f>
        <v>8013493.2112837005</v>
      </c>
      <c r="E51" s="192">
        <f>'операционные расходы 2 этап'!E5</f>
        <v>8391755.1933023985</v>
      </c>
      <c r="F51" s="192">
        <f>'операционные расходы 2 этап'!F5</f>
        <v>9561269.7475182936</v>
      </c>
      <c r="G51" s="192">
        <f>'операционные расходы 2 этап'!G5</f>
        <v>10652214.727932613</v>
      </c>
      <c r="H51" s="192">
        <f>'операционные расходы 2 этап'!H5</f>
        <v>11235126.04763177</v>
      </c>
      <c r="I51" s="192">
        <f>'операционные расходы 2 этап'!I5</f>
        <v>10906290.979545131</v>
      </c>
      <c r="J51" s="192">
        <f>'операционные расходы 2 этап'!J5</f>
        <v>9701123.4828474112</v>
      </c>
      <c r="K51" s="192">
        <f>'операционные расходы 2 этап'!K5</f>
        <v>8436846.1421714276</v>
      </c>
      <c r="L51" s="192">
        <f>'операционные расходы 2 этап'!L5</f>
        <v>7008138.5422651516</v>
      </c>
      <c r="M51" s="192">
        <f>'операционные расходы 2 этап'!M5</f>
        <v>8315034.9289638586</v>
      </c>
      <c r="N51" s="183">
        <f t="shared" si="22"/>
        <v>110090603.44075106</v>
      </c>
    </row>
    <row r="52" spans="1:15" ht="27" customHeight="1">
      <c r="A52" s="209" t="s">
        <v>390</v>
      </c>
      <c r="B52" s="183">
        <f t="shared" ref="B52:M52" si="23">B50-B51</f>
        <v>8876331.5946615487</v>
      </c>
      <c r="C52" s="183">
        <f t="shared" si="23"/>
        <v>-1828053.1044508731</v>
      </c>
      <c r="D52" s="183">
        <f t="shared" si="23"/>
        <v>-812211.47847120091</v>
      </c>
      <c r="E52" s="183">
        <f t="shared" si="23"/>
        <v>282394.96919760108</v>
      </c>
      <c r="F52" s="183">
        <f t="shared" si="23"/>
        <v>6365955.5931067057</v>
      </c>
      <c r="G52" s="183">
        <f t="shared" si="23"/>
        <v>12143788.803317387</v>
      </c>
      <c r="H52" s="183">
        <f t="shared" si="23"/>
        <v>14529881.767993234</v>
      </c>
      <c r="I52" s="183">
        <f t="shared" si="23"/>
        <v>12404670.481704868</v>
      </c>
      <c r="J52" s="183">
        <f t="shared" si="23"/>
        <v>5256683.8843400888</v>
      </c>
      <c r="K52" s="183">
        <f t="shared" si="23"/>
        <v>-1967436.831233928</v>
      </c>
      <c r="L52" s="183">
        <f t="shared" si="23"/>
        <v>-743677.33914015163</v>
      </c>
      <c r="M52" s="183">
        <f t="shared" si="23"/>
        <v>5088221.3747861404</v>
      </c>
      <c r="N52" s="183">
        <f t="shared" si="22"/>
        <v>59596549.715811417</v>
      </c>
    </row>
    <row r="53" spans="1:15" ht="12.75" customHeight="1">
      <c r="A53" s="209" t="s">
        <v>391</v>
      </c>
      <c r="B53" s="209"/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13">
        <f>N52/N50</f>
        <v>0.35121427053952886</v>
      </c>
    </row>
    <row r="54" spans="1:15" ht="12.75" customHeight="1">
      <c r="A54" s="209" t="s">
        <v>365</v>
      </c>
      <c r="B54" s="183">
        <f>'операционные расходы 2 этап'!B26</f>
        <v>188309.88002499999</v>
      </c>
      <c r="C54" s="183">
        <f>'операционные расходы 2 этап'!C26</f>
        <v>60866.009250000003</v>
      </c>
      <c r="D54" s="183">
        <f>'операционные расходы 2 этап'!D26</f>
        <v>852774.98701562511</v>
      </c>
      <c r="E54" s="183">
        <f>'операционные расходы 2 этап'!E26</f>
        <v>86741.501625000004</v>
      </c>
      <c r="F54" s="183">
        <f>'операционные расходы 2 этап'!F26</f>
        <v>159272.25340625001</v>
      </c>
      <c r="G54" s="183">
        <f>'операционные расходы 2 этап'!G26</f>
        <v>1008722.2050000001</v>
      </c>
      <c r="H54" s="183">
        <f>'операционные расходы 2 этап'!H26</f>
        <v>257650.07815625006</v>
      </c>
      <c r="I54" s="183">
        <f>'операционные расходы 2 этап'!I26</f>
        <v>233109.61461250001</v>
      </c>
      <c r="J54" s="183">
        <f>'операционные расходы 2 этап'!J26</f>
        <v>930340.24335937505</v>
      </c>
      <c r="K54" s="183">
        <f>'операционные расходы 2 этап'!K26</f>
        <v>64694.093109374997</v>
      </c>
      <c r="L54" s="183">
        <f>'операционные расходы 2 этап'!L26</f>
        <v>62644.612031249999</v>
      </c>
      <c r="M54" s="183">
        <f>'операционные расходы 2 этап'!M26</f>
        <v>914794.73272500013</v>
      </c>
      <c r="N54" s="183">
        <f t="shared" ref="N54:N56" si="24">SUM(B54:M54)</f>
        <v>4819920.2103156261</v>
      </c>
    </row>
    <row r="55" spans="1:15" ht="12.75" customHeight="1">
      <c r="A55" s="209" t="s">
        <v>634</v>
      </c>
      <c r="B55" s="183">
        <f>B52*8%</f>
        <v>710106.52757292392</v>
      </c>
      <c r="C55" s="183">
        <f t="shared" ref="C55:M55" si="25">C52*8%</f>
        <v>-146244.24835606985</v>
      </c>
      <c r="D55" s="183">
        <f t="shared" si="25"/>
        <v>-64976.918277696073</v>
      </c>
      <c r="E55" s="183">
        <f t="shared" si="25"/>
        <v>22591.597535808087</v>
      </c>
      <c r="F55" s="183">
        <f t="shared" si="25"/>
        <v>509276.44744853646</v>
      </c>
      <c r="G55" s="183">
        <f t="shared" si="25"/>
        <v>971503.1042653909</v>
      </c>
      <c r="H55" s="183">
        <f t="shared" si="25"/>
        <v>1162390.5414394587</v>
      </c>
      <c r="I55" s="183">
        <f t="shared" si="25"/>
        <v>992373.63853638945</v>
      </c>
      <c r="J55" s="183">
        <f t="shared" si="25"/>
        <v>420534.71074720711</v>
      </c>
      <c r="K55" s="183">
        <f t="shared" si="25"/>
        <v>-157394.94649871424</v>
      </c>
      <c r="L55" s="183">
        <f t="shared" si="25"/>
        <v>-59494.187131212129</v>
      </c>
      <c r="M55" s="183">
        <f t="shared" si="25"/>
        <v>407057.70998289122</v>
      </c>
      <c r="N55" s="183">
        <f t="shared" si="24"/>
        <v>4767723.9772649137</v>
      </c>
    </row>
    <row r="56" spans="1:15" ht="12.75" customHeight="1">
      <c r="A56" s="209" t="s">
        <v>160</v>
      </c>
      <c r="B56" s="183">
        <f>B50-B51-B54-B55</f>
        <v>7977915.1870636251</v>
      </c>
      <c r="C56" s="183">
        <f t="shared" ref="C56:M56" si="26">C50-C51-C54-C55</f>
        <v>-1742674.8653448033</v>
      </c>
      <c r="D56" s="183">
        <f t="shared" si="26"/>
        <v>-1600009.5472091299</v>
      </c>
      <c r="E56" s="183">
        <f t="shared" si="26"/>
        <v>173061.870036793</v>
      </c>
      <c r="F56" s="183">
        <f t="shared" si="26"/>
        <v>5697406.892251919</v>
      </c>
      <c r="G56" s="183">
        <f t="shared" si="26"/>
        <v>10163563.494051997</v>
      </c>
      <c r="H56" s="183">
        <f t="shared" si="26"/>
        <v>13109841.148397526</v>
      </c>
      <c r="I56" s="183">
        <f t="shared" si="26"/>
        <v>11179187.228555979</v>
      </c>
      <c r="J56" s="183">
        <f t="shared" si="26"/>
        <v>3905808.930233507</v>
      </c>
      <c r="K56" s="183">
        <f t="shared" si="26"/>
        <v>-1874735.9778445889</v>
      </c>
      <c r="L56" s="183">
        <f t="shared" si="26"/>
        <v>-746827.76404018956</v>
      </c>
      <c r="M56" s="183">
        <f t="shared" si="26"/>
        <v>3766368.9320782493</v>
      </c>
      <c r="N56" s="183">
        <f t="shared" si="24"/>
        <v>50008905.528230883</v>
      </c>
      <c r="O56" s="747"/>
    </row>
    <row r="57" spans="1:15" ht="12.75" customHeight="1">
      <c r="A57" s="209" t="s">
        <v>392</v>
      </c>
      <c r="B57" s="209"/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13">
        <f>N56/N50</f>
        <v>0.2947123845144009</v>
      </c>
    </row>
    <row r="58" spans="1:15" ht="12.75" customHeight="1">
      <c r="A58" s="203"/>
      <c r="B58" s="203"/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</row>
    <row r="59" spans="1:15" ht="12.75" customHeight="1">
      <c r="A59" s="203"/>
      <c r="B59" s="203"/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</row>
    <row r="60" spans="1:15" ht="12.75" customHeight="1">
      <c r="A60" s="203"/>
      <c r="B60" s="203"/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</row>
    <row r="61" spans="1:15" ht="16.5" customHeight="1">
      <c r="A61" s="811" t="s">
        <v>393</v>
      </c>
      <c r="B61" s="812"/>
      <c r="C61" s="812"/>
      <c r="D61" s="812"/>
      <c r="E61" s="812"/>
      <c r="F61" s="812"/>
      <c r="G61" s="812"/>
      <c r="H61" s="812"/>
      <c r="I61" s="812"/>
      <c r="J61" s="812"/>
      <c r="K61" s="812"/>
      <c r="L61" s="812"/>
      <c r="M61" s="812"/>
      <c r="N61" s="813"/>
    </row>
    <row r="62" spans="1:15" ht="12.75" customHeight="1">
      <c r="A62" s="209"/>
      <c r="B62" s="209" t="s">
        <v>370</v>
      </c>
      <c r="C62" s="209" t="s">
        <v>371</v>
      </c>
      <c r="D62" s="209" t="s">
        <v>372</v>
      </c>
      <c r="E62" s="209" t="s">
        <v>373</v>
      </c>
      <c r="F62" s="209" t="s">
        <v>331</v>
      </c>
      <c r="G62" s="209" t="s">
        <v>374</v>
      </c>
      <c r="H62" s="209" t="s">
        <v>375</v>
      </c>
      <c r="I62" s="209" t="s">
        <v>376</v>
      </c>
      <c r="J62" s="209" t="s">
        <v>377</v>
      </c>
      <c r="K62" s="209" t="s">
        <v>378</v>
      </c>
      <c r="L62" s="209" t="s">
        <v>379</v>
      </c>
      <c r="M62" s="209" t="s">
        <v>380</v>
      </c>
      <c r="N62" s="209" t="s">
        <v>388</v>
      </c>
    </row>
    <row r="63" spans="1:15" ht="12.75" customHeight="1">
      <c r="A63" s="209" t="s">
        <v>389</v>
      </c>
      <c r="B63" s="214">
        <f>'Итого выручка 2 этапа '!B16</f>
        <v>20216734.299000002</v>
      </c>
      <c r="C63" s="214">
        <f>'Итого выручка 2 этапа '!C16</f>
        <v>6528779.5024999995</v>
      </c>
      <c r="D63" s="214">
        <f>'Итого выручка 2 этапа '!D16</f>
        <v>7713756.661249999</v>
      </c>
      <c r="E63" s="214">
        <f>'Итого выручка 2 этапа '!E16</f>
        <v>9285157.7925000004</v>
      </c>
      <c r="F63" s="214">
        <f>'Итого выручка 2 этапа '!F16</f>
        <v>17017579.947500002</v>
      </c>
      <c r="G63" s="214">
        <f>'Итого выручка 2 этапа '!G16</f>
        <v>24346568.981249999</v>
      </c>
      <c r="H63" s="214">
        <f>'Итого выручка 2 этапа '!H16</f>
        <v>27477715.655625001</v>
      </c>
      <c r="I63" s="214">
        <f>'Итого выручка 2 этапа '!I16</f>
        <v>24872669.820250001</v>
      </c>
      <c r="J63" s="214">
        <f>'Итого выручка 2 этапа '!J16</f>
        <v>15986212.284375001</v>
      </c>
      <c r="K63" s="214">
        <f>'Итого выручка 2 этапа '!K16</f>
        <v>6948191.067499999</v>
      </c>
      <c r="L63" s="214">
        <f>'Итого выручка 2 этапа '!L16</f>
        <v>6727948.0875000004</v>
      </c>
      <c r="M63" s="214">
        <f>'Итого выручка 2 этапа '!M16</f>
        <v>14313486.545499999</v>
      </c>
      <c r="N63" s="212">
        <f t="shared" ref="N63:N65" si="27">SUM(B63:M63)</f>
        <v>181434800.64475003</v>
      </c>
    </row>
    <row r="64" spans="1:15" ht="12.75" customHeight="1">
      <c r="A64" s="209" t="s">
        <v>19</v>
      </c>
      <c r="B64" s="215">
        <f>B51*1.04</f>
        <v>10352842.664151987</v>
      </c>
      <c r="C64" s="215">
        <f t="shared" ref="C64:M64" si="28">C51*1.04</f>
        <v>8231240.1906289086</v>
      </c>
      <c r="D64" s="215">
        <f t="shared" si="28"/>
        <v>8334032.9397350485</v>
      </c>
      <c r="E64" s="215">
        <f t="shared" si="28"/>
        <v>8727425.4010344949</v>
      </c>
      <c r="F64" s="215">
        <f t="shared" si="28"/>
        <v>9943720.5374190249</v>
      </c>
      <c r="G64" s="215">
        <f t="shared" si="28"/>
        <v>11078303.317049919</v>
      </c>
      <c r="H64" s="215">
        <f t="shared" si="28"/>
        <v>11684531.089537041</v>
      </c>
      <c r="I64" s="215">
        <f t="shared" si="28"/>
        <v>11342542.618726937</v>
      </c>
      <c r="J64" s="215">
        <f t="shared" si="28"/>
        <v>10089168.422161307</v>
      </c>
      <c r="K64" s="215">
        <f t="shared" si="28"/>
        <v>8774319.9878582843</v>
      </c>
      <c r="L64" s="215">
        <f t="shared" si="28"/>
        <v>7288464.0839557583</v>
      </c>
      <c r="M64" s="215">
        <f t="shared" si="28"/>
        <v>8647636.3261224125</v>
      </c>
      <c r="N64" s="183">
        <f t="shared" si="27"/>
        <v>114494227.57838114</v>
      </c>
    </row>
    <row r="65" spans="1:15" ht="27" customHeight="1">
      <c r="A65" s="209" t="s">
        <v>390</v>
      </c>
      <c r="B65" s="214">
        <f t="shared" ref="B65:M65" si="29">B63-B64</f>
        <v>9863891.6348480154</v>
      </c>
      <c r="C65" s="214">
        <f t="shared" si="29"/>
        <v>-1702460.6881289091</v>
      </c>
      <c r="D65" s="214">
        <f t="shared" si="29"/>
        <v>-620276.27848504949</v>
      </c>
      <c r="E65" s="214">
        <f t="shared" si="29"/>
        <v>557732.39146550559</v>
      </c>
      <c r="F65" s="214">
        <f t="shared" si="29"/>
        <v>7073859.4100809768</v>
      </c>
      <c r="G65" s="214">
        <f t="shared" si="29"/>
        <v>13268265.664200081</v>
      </c>
      <c r="H65" s="214">
        <f t="shared" si="29"/>
        <v>15793184.566087959</v>
      </c>
      <c r="I65" s="214">
        <f t="shared" si="29"/>
        <v>13530127.201523064</v>
      </c>
      <c r="J65" s="214">
        <f t="shared" si="29"/>
        <v>5897043.8622136936</v>
      </c>
      <c r="K65" s="214">
        <f t="shared" si="29"/>
        <v>-1826128.9203582853</v>
      </c>
      <c r="L65" s="214">
        <f t="shared" si="29"/>
        <v>-560515.99645575788</v>
      </c>
      <c r="M65" s="214">
        <f t="shared" si="29"/>
        <v>5665850.2193775866</v>
      </c>
      <c r="N65" s="183">
        <f t="shared" si="27"/>
        <v>66940573.066368878</v>
      </c>
    </row>
    <row r="66" spans="1:15" ht="12.75" customHeight="1">
      <c r="A66" s="209" t="s">
        <v>391</v>
      </c>
      <c r="B66" s="214"/>
      <c r="C66" s="214"/>
      <c r="D66" s="214"/>
      <c r="E66" s="214"/>
      <c r="F66" s="214"/>
      <c r="G66" s="214"/>
      <c r="H66" s="214"/>
      <c r="I66" s="214"/>
      <c r="J66" s="214"/>
      <c r="K66" s="214"/>
      <c r="L66" s="214"/>
      <c r="M66" s="214"/>
      <c r="N66" s="213">
        <f>N65/N63</f>
        <v>0.36895112089019105</v>
      </c>
    </row>
    <row r="67" spans="1:15" ht="12.75" customHeight="1">
      <c r="A67" s="209" t="s">
        <v>365</v>
      </c>
      <c r="B67" s="214">
        <f t="shared" ref="B67:M67" si="30">B54*1.08</f>
        <v>203374.670427</v>
      </c>
      <c r="C67" s="214">
        <f t="shared" si="30"/>
        <v>65735.289990000005</v>
      </c>
      <c r="D67" s="214">
        <f t="shared" si="30"/>
        <v>920996.98597687518</v>
      </c>
      <c r="E67" s="214">
        <f t="shared" si="30"/>
        <v>93680.821755000012</v>
      </c>
      <c r="F67" s="214">
        <f t="shared" si="30"/>
        <v>172014.03367875001</v>
      </c>
      <c r="G67" s="214">
        <f t="shared" si="30"/>
        <v>1089419.9814000002</v>
      </c>
      <c r="H67" s="214">
        <f t="shared" si="30"/>
        <v>278262.08440875006</v>
      </c>
      <c r="I67" s="214">
        <f t="shared" si="30"/>
        <v>251758.38378150002</v>
      </c>
      <c r="J67" s="214">
        <f t="shared" si="30"/>
        <v>1004767.4628281251</v>
      </c>
      <c r="K67" s="214">
        <f t="shared" si="30"/>
        <v>69869.620558124996</v>
      </c>
      <c r="L67" s="214">
        <f t="shared" si="30"/>
        <v>67656.180993750007</v>
      </c>
      <c r="M67" s="214">
        <f t="shared" si="30"/>
        <v>987978.31134300015</v>
      </c>
      <c r="N67" s="183">
        <f t="shared" ref="N67:N68" si="31">SUM(B67:M67)</f>
        <v>5205513.8271408752</v>
      </c>
    </row>
    <row r="68" spans="1:15" ht="12.75" customHeight="1">
      <c r="A68" s="209" t="s">
        <v>160</v>
      </c>
      <c r="B68" s="214">
        <f t="shared" ref="B68:M68" si="32">B63-B64-B67</f>
        <v>9660516.9644210152</v>
      </c>
      <c r="C68" s="214">
        <f t="shared" si="32"/>
        <v>-1768195.9781189091</v>
      </c>
      <c r="D68" s="214">
        <f t="shared" si="32"/>
        <v>-1541273.2644619248</v>
      </c>
      <c r="E68" s="214">
        <f t="shared" si="32"/>
        <v>464051.56971050554</v>
      </c>
      <c r="F68" s="214">
        <f t="shared" si="32"/>
        <v>6901845.3764022272</v>
      </c>
      <c r="G68" s="214">
        <f t="shared" si="32"/>
        <v>12178845.682800081</v>
      </c>
      <c r="H68" s="214">
        <f t="shared" si="32"/>
        <v>15514922.481679209</v>
      </c>
      <c r="I68" s="214">
        <f t="shared" si="32"/>
        <v>13278368.817741564</v>
      </c>
      <c r="J68" s="214">
        <f t="shared" si="32"/>
        <v>4892276.3993855687</v>
      </c>
      <c r="K68" s="214">
        <f t="shared" si="32"/>
        <v>-1895998.5409164103</v>
      </c>
      <c r="L68" s="214">
        <f t="shared" si="32"/>
        <v>-628172.17744950787</v>
      </c>
      <c r="M68" s="214">
        <f t="shared" si="32"/>
        <v>4677871.9080345863</v>
      </c>
      <c r="N68" s="183">
        <f t="shared" si="31"/>
        <v>61735059.239228003</v>
      </c>
    </row>
    <row r="69" spans="1:15" ht="12.75" customHeight="1">
      <c r="A69" s="209" t="s">
        <v>392</v>
      </c>
      <c r="B69" s="214"/>
      <c r="C69" s="214"/>
      <c r="D69" s="214"/>
      <c r="E69" s="214"/>
      <c r="F69" s="214"/>
      <c r="G69" s="214"/>
      <c r="H69" s="214"/>
      <c r="I69" s="214"/>
      <c r="J69" s="214"/>
      <c r="K69" s="214"/>
      <c r="L69" s="214"/>
      <c r="M69" s="214"/>
      <c r="N69" s="213">
        <f>N68/N63</f>
        <v>0.34026029747239872</v>
      </c>
    </row>
    <row r="70" spans="1:15" ht="12.75" customHeight="1">
      <c r="A70" s="203"/>
      <c r="B70" s="203"/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</row>
    <row r="71" spans="1:15" ht="12.75" customHeight="1">
      <c r="A71" s="203"/>
      <c r="B71" s="203"/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</row>
    <row r="72" spans="1:15" ht="16.5" customHeight="1">
      <c r="A72" s="811" t="s">
        <v>394</v>
      </c>
      <c r="B72" s="812"/>
      <c r="C72" s="812"/>
      <c r="D72" s="812"/>
      <c r="E72" s="812"/>
      <c r="F72" s="812"/>
      <c r="G72" s="812"/>
      <c r="H72" s="812"/>
      <c r="I72" s="812"/>
      <c r="J72" s="812"/>
      <c r="K72" s="812"/>
      <c r="L72" s="812"/>
      <c r="M72" s="812"/>
      <c r="N72" s="813"/>
    </row>
    <row r="73" spans="1:15" ht="12.75" customHeight="1">
      <c r="A73" s="209"/>
      <c r="B73" s="209" t="s">
        <v>370</v>
      </c>
      <c r="C73" s="209" t="s">
        <v>371</v>
      </c>
      <c r="D73" s="209" t="s">
        <v>372</v>
      </c>
      <c r="E73" s="209" t="s">
        <v>373</v>
      </c>
      <c r="F73" s="209" t="s">
        <v>331</v>
      </c>
      <c r="G73" s="209" t="s">
        <v>374</v>
      </c>
      <c r="H73" s="209" t="s">
        <v>375</v>
      </c>
      <c r="I73" s="209" t="s">
        <v>376</v>
      </c>
      <c r="J73" s="209" t="s">
        <v>377</v>
      </c>
      <c r="K73" s="209" t="s">
        <v>378</v>
      </c>
      <c r="L73" s="209" t="s">
        <v>379</v>
      </c>
      <c r="M73" s="209" t="s">
        <v>380</v>
      </c>
      <c r="N73" s="209" t="s">
        <v>388</v>
      </c>
    </row>
    <row r="74" spans="1:15" ht="12.75" customHeight="1">
      <c r="A74" s="209" t="s">
        <v>389</v>
      </c>
      <c r="B74" s="214">
        <f>'Итого выручка 2 этапа '!B25</f>
        <v>21171285.217500001</v>
      </c>
      <c r="C74" s="214">
        <f>'Итого выручка 2 этапа '!C25</f>
        <v>6837521.8701250004</v>
      </c>
      <c r="D74" s="214">
        <f>'Итого выручка 2 этапа '!D25</f>
        <v>8079636.3597812494</v>
      </c>
      <c r="E74" s="214">
        <f>'Итого выручка 2 этапа '!E25</f>
        <v>9726731.8488749992</v>
      </c>
      <c r="F74" s="214">
        <f>'Итого выручка 2 этапа '!F25</f>
        <v>17817581.198312499</v>
      </c>
      <c r="G74" s="214">
        <f>'Итого выручка 2 этапа '!G25</f>
        <v>25473403.414687499</v>
      </c>
      <c r="H74" s="214">
        <f>'Итого выручка 2 этапа '!H25</f>
        <v>28758090.95559375</v>
      </c>
      <c r="I74" s="214">
        <f>'Итого выручка 2 этапа '!I25</f>
        <v>26029026.860637501</v>
      </c>
      <c r="J74" s="214">
        <f>'Итого выручка 2 этапа '!J25</f>
        <v>16732131.429374998</v>
      </c>
      <c r="K74" s="214">
        <f>'Итого выручка 2 этапа '!K25</f>
        <v>7278808.9535312494</v>
      </c>
      <c r="L74" s="214">
        <f>'Итого выручка 2 этапа '!L25</f>
        <v>7048056.5690625003</v>
      </c>
      <c r="M74" s="214">
        <f>'Итого выручка 2 этапа '!M25</f>
        <v>14993526.340399999</v>
      </c>
      <c r="N74" s="212">
        <f t="shared" ref="N74:N75" si="33">SUM(B74:M74)</f>
        <v>189945801.01788124</v>
      </c>
    </row>
    <row r="75" spans="1:15" ht="12.75" customHeight="1">
      <c r="A75" s="209" t="s">
        <v>19</v>
      </c>
      <c r="B75" s="215">
        <f>B64*1.04</f>
        <v>10766956.370718068</v>
      </c>
      <c r="C75" s="215">
        <f t="shared" ref="C75:M75" si="34">C64*1.04</f>
        <v>8560489.7982540652</v>
      </c>
      <c r="D75" s="215">
        <f t="shared" si="34"/>
        <v>8667394.2573244516</v>
      </c>
      <c r="E75" s="215">
        <f t="shared" si="34"/>
        <v>9076522.4170758743</v>
      </c>
      <c r="F75" s="215">
        <f t="shared" si="34"/>
        <v>10341469.358915785</v>
      </c>
      <c r="G75" s="215">
        <f t="shared" si="34"/>
        <v>11521435.449731916</v>
      </c>
      <c r="H75" s="215">
        <f t="shared" si="34"/>
        <v>12151912.333118523</v>
      </c>
      <c r="I75" s="215">
        <f t="shared" si="34"/>
        <v>11796244.323476015</v>
      </c>
      <c r="J75" s="215">
        <f t="shared" si="34"/>
        <v>10492735.15904776</v>
      </c>
      <c r="K75" s="215">
        <f t="shared" si="34"/>
        <v>9125292.7873726152</v>
      </c>
      <c r="L75" s="215">
        <f t="shared" si="34"/>
        <v>7580002.6473139888</v>
      </c>
      <c r="M75" s="215">
        <f t="shared" si="34"/>
        <v>8993541.7791673094</v>
      </c>
      <c r="N75" s="183">
        <f t="shared" si="33"/>
        <v>119073996.68151636</v>
      </c>
    </row>
    <row r="76" spans="1:15" ht="12.75" customHeight="1">
      <c r="A76" s="216"/>
      <c r="B76" s="215"/>
      <c r="C76" s="215"/>
      <c r="D76" s="215"/>
      <c r="E76" s="215"/>
      <c r="F76" s="215"/>
      <c r="G76" s="215"/>
      <c r="H76" s="215"/>
      <c r="I76" s="215"/>
      <c r="J76" s="215"/>
      <c r="K76" s="215"/>
      <c r="L76" s="215"/>
      <c r="M76" s="215"/>
      <c r="N76" s="183"/>
    </row>
    <row r="77" spans="1:15" ht="27" customHeight="1">
      <c r="A77" s="209" t="s">
        <v>390</v>
      </c>
      <c r="B77" s="214">
        <f t="shared" ref="B77:M77" si="35">B74-B75</f>
        <v>10404328.846781934</v>
      </c>
      <c r="C77" s="214">
        <f t="shared" si="35"/>
        <v>-1722967.9281290649</v>
      </c>
      <c r="D77" s="214">
        <f t="shared" si="35"/>
        <v>-587757.89754320215</v>
      </c>
      <c r="E77" s="214">
        <f t="shared" si="35"/>
        <v>650209.43179912493</v>
      </c>
      <c r="F77" s="214">
        <f t="shared" si="35"/>
        <v>7476111.8393967133</v>
      </c>
      <c r="G77" s="214">
        <f t="shared" si="35"/>
        <v>13951967.964955583</v>
      </c>
      <c r="H77" s="214">
        <f t="shared" si="35"/>
        <v>16606178.622475227</v>
      </c>
      <c r="I77" s="214">
        <f t="shared" si="35"/>
        <v>14232782.537161486</v>
      </c>
      <c r="J77" s="214">
        <f t="shared" si="35"/>
        <v>6239396.2703272384</v>
      </c>
      <c r="K77" s="214">
        <f t="shared" si="35"/>
        <v>-1846483.8338413658</v>
      </c>
      <c r="L77" s="214">
        <f t="shared" si="35"/>
        <v>-531946.07825148851</v>
      </c>
      <c r="M77" s="214">
        <f t="shared" si="35"/>
        <v>5999984.5612326898</v>
      </c>
      <c r="N77" s="183">
        <f>SUM(B77:M77)</f>
        <v>70871804.33636488</v>
      </c>
    </row>
    <row r="78" spans="1:15" ht="12.75" customHeight="1">
      <c r="A78" s="209" t="s">
        <v>391</v>
      </c>
      <c r="B78" s="214"/>
      <c r="C78" s="214"/>
      <c r="D78" s="214"/>
      <c r="E78" s="214"/>
      <c r="F78" s="214"/>
      <c r="G78" s="214"/>
      <c r="H78" s="214"/>
      <c r="I78" s="214"/>
      <c r="J78" s="214"/>
      <c r="K78" s="214"/>
      <c r="L78" s="214"/>
      <c r="M78" s="214"/>
      <c r="N78" s="213">
        <f>N77/N74</f>
        <v>0.37311593073696375</v>
      </c>
    </row>
    <row r="79" spans="1:15" ht="12.75" customHeight="1">
      <c r="A79" s="209" t="s">
        <v>365</v>
      </c>
      <c r="B79" s="214">
        <f>B67*1.04</f>
        <v>211509.65724408001</v>
      </c>
      <c r="C79" s="214">
        <f t="shared" ref="C79:M79" si="36">C67*1.04</f>
        <v>68364.701589600008</v>
      </c>
      <c r="D79" s="214">
        <f t="shared" si="36"/>
        <v>957836.86541595019</v>
      </c>
      <c r="E79" s="214">
        <f t="shared" si="36"/>
        <v>97428.05462520002</v>
      </c>
      <c r="F79" s="214">
        <f t="shared" si="36"/>
        <v>178894.59502590002</v>
      </c>
      <c r="G79" s="214">
        <f t="shared" si="36"/>
        <v>1132996.7806560001</v>
      </c>
      <c r="H79" s="214">
        <f t="shared" si="36"/>
        <v>289392.56778510008</v>
      </c>
      <c r="I79" s="214">
        <f t="shared" si="36"/>
        <v>261828.71913276002</v>
      </c>
      <c r="J79" s="214">
        <f t="shared" si="36"/>
        <v>1044958.1613412502</v>
      </c>
      <c r="K79" s="214">
        <f t="shared" si="36"/>
        <v>72664.40538045</v>
      </c>
      <c r="L79" s="214">
        <f t="shared" si="36"/>
        <v>70362.428233500017</v>
      </c>
      <c r="M79" s="214">
        <f t="shared" si="36"/>
        <v>1027497.4437967202</v>
      </c>
      <c r="N79" s="183">
        <f t="shared" ref="N79:N80" si="37">SUM(B79:M79)</f>
        <v>5413734.3802265115</v>
      </c>
    </row>
    <row r="80" spans="1:15" ht="12.75" customHeight="1">
      <c r="A80" s="209" t="s">
        <v>160</v>
      </c>
      <c r="B80" s="214">
        <f t="shared" ref="B80:M80" si="38">B74-B75-B79</f>
        <v>10192819.189537853</v>
      </c>
      <c r="C80" s="214">
        <f t="shared" si="38"/>
        <v>-1791332.6297186648</v>
      </c>
      <c r="D80" s="214">
        <f t="shared" si="38"/>
        <v>-1545594.7629591525</v>
      </c>
      <c r="E80" s="214">
        <f t="shared" si="38"/>
        <v>552781.37717392494</v>
      </c>
      <c r="F80" s="214">
        <f t="shared" si="38"/>
        <v>7297217.2443708135</v>
      </c>
      <c r="G80" s="214">
        <f t="shared" si="38"/>
        <v>12818971.184299583</v>
      </c>
      <c r="H80" s="214">
        <f t="shared" si="38"/>
        <v>16316786.054690126</v>
      </c>
      <c r="I80" s="214">
        <f t="shared" si="38"/>
        <v>13970953.818028726</v>
      </c>
      <c r="J80" s="214">
        <f t="shared" si="38"/>
        <v>5194438.1089859884</v>
      </c>
      <c r="K80" s="214">
        <f t="shared" si="38"/>
        <v>-1919148.2392218157</v>
      </c>
      <c r="L80" s="214">
        <f t="shared" si="38"/>
        <v>-602308.50648498849</v>
      </c>
      <c r="M80" s="214">
        <f t="shared" si="38"/>
        <v>4972487.1174359694</v>
      </c>
      <c r="N80" s="183">
        <f t="shared" si="37"/>
        <v>65458069.956138365</v>
      </c>
      <c r="O80" s="748">
        <f>N80*15</f>
        <v>981871049.34207547</v>
      </c>
    </row>
    <row r="81" spans="1:14" ht="12.75" customHeight="1">
      <c r="A81" s="209" t="s">
        <v>392</v>
      </c>
      <c r="B81" s="214"/>
      <c r="C81" s="214"/>
      <c r="D81" s="214"/>
      <c r="E81" s="214"/>
      <c r="F81" s="214"/>
      <c r="G81" s="214"/>
      <c r="H81" s="214"/>
      <c r="I81" s="214"/>
      <c r="J81" s="214"/>
      <c r="K81" s="214"/>
      <c r="L81" s="214"/>
      <c r="M81" s="214"/>
      <c r="N81" s="213">
        <f>N80/N74</f>
        <v>0.34461446162727349</v>
      </c>
    </row>
  </sheetData>
  <mergeCells count="6">
    <mergeCell ref="A72:N72"/>
    <mergeCell ref="A2:N2"/>
    <mergeCell ref="A18:N18"/>
    <mergeCell ref="A32:N32"/>
    <mergeCell ref="A48:N48"/>
    <mergeCell ref="A61:N61"/>
  </mergeCells>
  <printOptions horizontalCentered="1" verticalCentered="1"/>
  <pageMargins left="0.55118110236220474" right="0.55118110236220474" top="0.78740157480314965" bottom="0.59055118110236227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>
    <tabColor rgb="FF00B050"/>
  </sheetPr>
  <dimension ref="A1:Z7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U12" sqref="U12"/>
    </sheetView>
  </sheetViews>
  <sheetFormatPr defaultColWidth="14.453125" defaultRowHeight="12.5"/>
  <cols>
    <col min="1" max="1" width="29.26953125" customWidth="1"/>
    <col min="2" max="2" width="10.81640625" bestFit="1" customWidth="1"/>
    <col min="3" max="6" width="9.81640625" bestFit="1" customWidth="1"/>
    <col min="7" max="9" width="10.81640625" bestFit="1" customWidth="1"/>
    <col min="10" max="13" width="9.81640625" bestFit="1" customWidth="1"/>
    <col min="14" max="14" width="12.1796875" customWidth="1"/>
    <col min="15" max="15" width="10.1796875" customWidth="1"/>
    <col min="16" max="26" width="9.1796875" customWidth="1"/>
    <col min="30" max="69" width="12.453125" customWidth="1"/>
  </cols>
  <sheetData>
    <row r="1" spans="1:26" ht="13">
      <c r="A1" s="814" t="s">
        <v>369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</row>
    <row r="2" spans="1:26" ht="26">
      <c r="A2" s="204"/>
      <c r="B2" s="205" t="s">
        <v>370</v>
      </c>
      <c r="C2" s="205" t="s">
        <v>371</v>
      </c>
      <c r="D2" s="205" t="s">
        <v>372</v>
      </c>
      <c r="E2" s="205" t="s">
        <v>373</v>
      </c>
      <c r="F2" s="205" t="s">
        <v>331</v>
      </c>
      <c r="G2" s="205" t="s">
        <v>374</v>
      </c>
      <c r="H2" s="205" t="s">
        <v>375</v>
      </c>
      <c r="I2" s="205" t="s">
        <v>376</v>
      </c>
      <c r="J2" s="205" t="s">
        <v>377</v>
      </c>
      <c r="K2" s="205" t="s">
        <v>378</v>
      </c>
      <c r="L2" s="205" t="s">
        <v>379</v>
      </c>
      <c r="M2" s="205" t="s">
        <v>380</v>
      </c>
      <c r="N2" s="205" t="s">
        <v>381</v>
      </c>
      <c r="O2" s="205" t="s">
        <v>382</v>
      </c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</row>
    <row r="3" spans="1:26" ht="31">
      <c r="A3" s="588" t="str">
        <f>'выручка номеров'!A9</f>
        <v>Гостиничный комплекс 4* "У Бювета"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</row>
    <row r="4" spans="1:26" ht="13">
      <c r="A4" s="228" t="s">
        <v>320</v>
      </c>
      <c r="B4" s="206">
        <f>'выручка номеров'!C16</f>
        <v>26700306.1875</v>
      </c>
      <c r="C4" s="206">
        <f>'выручка номеров'!D16</f>
        <v>12646310.160000004</v>
      </c>
      <c r="D4" s="206">
        <f>'выручка номеров'!E16</f>
        <v>14155244.895</v>
      </c>
      <c r="E4" s="206">
        <f>'выручка номеров'!F16</f>
        <v>13508558.580000002</v>
      </c>
      <c r="F4" s="206">
        <f>'выручка номеров'!G16</f>
        <v>24789642.074999996</v>
      </c>
      <c r="G4" s="206">
        <f>'выручка номеров'!H16</f>
        <v>33314143.499999996</v>
      </c>
      <c r="H4" s="206">
        <f>'выручка номеров'!I16</f>
        <v>34424614.949999996</v>
      </c>
      <c r="I4" s="206">
        <f>'выручка номеров'!J16</f>
        <v>32399637.599999994</v>
      </c>
      <c r="J4" s="206">
        <f>'выручка номеров'!K16</f>
        <v>22545836.5275</v>
      </c>
      <c r="K4" s="206">
        <f>'выручка номеров'!L16</f>
        <v>11999623.845000003</v>
      </c>
      <c r="L4" s="206">
        <f>'выручка номеров'!M16</f>
        <v>10582139.699999999</v>
      </c>
      <c r="M4" s="206">
        <f>'выручка номеров'!N16</f>
        <v>18809426.7075</v>
      </c>
      <c r="N4" s="207">
        <f>SUM(B4:M4)</f>
        <v>255875484.72749999</v>
      </c>
      <c r="O4" s="440">
        <f>N4/$N$9</f>
        <v>0.44876323208585295</v>
      </c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</row>
    <row r="5" spans="1:26" ht="26">
      <c r="A5" s="228" t="s">
        <v>821</v>
      </c>
      <c r="B5" s="206">
        <f>'"Шведский стол" '!B23</f>
        <v>9237690</v>
      </c>
      <c r="C5" s="206">
        <f>'"Шведский стол" '!C23</f>
        <v>6118728.0000000009</v>
      </c>
      <c r="D5" s="206">
        <f>'"Шведский стол" '!D23</f>
        <v>6774306.0000000009</v>
      </c>
      <c r="E5" s="206">
        <f>'"Шведский стол" '!E23</f>
        <v>6555780.0000000009</v>
      </c>
      <c r="F5" s="206">
        <f>'"Шведский стол" '!F23</f>
        <v>9237690</v>
      </c>
      <c r="G5" s="206">
        <f>'"Шведский стол" '!G23</f>
        <v>10131660</v>
      </c>
      <c r="H5" s="206">
        <f>'"Шведский стол" '!H23</f>
        <v>10469382</v>
      </c>
      <c r="I5" s="206">
        <f>'"Шведский стол" '!I23</f>
        <v>9853536</v>
      </c>
      <c r="J5" s="206">
        <f>'"Шведский стол" '!J23</f>
        <v>7747740</v>
      </c>
      <c r="K5" s="206">
        <f>'"Шведский стол" '!K23</f>
        <v>6774306.0000000009</v>
      </c>
      <c r="L5" s="206">
        <f>'"Шведский стол" '!L23</f>
        <v>5959800</v>
      </c>
      <c r="M5" s="206">
        <f>'"Шведский стол" '!M23</f>
        <v>8005998</v>
      </c>
      <c r="N5" s="207">
        <f t="shared" ref="N5:N21" si="0">SUM(B5:M5)</f>
        <v>96866616</v>
      </c>
      <c r="O5" s="440">
        <f t="shared" ref="O5:O8" si="1">N5/$N$9</f>
        <v>0.16988800518999966</v>
      </c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</row>
    <row r="6" spans="1:26" ht="26">
      <c r="A6" s="228" t="s">
        <v>827</v>
      </c>
      <c r="B6" s="206">
        <f>'СПА и развлечения в пакете'!B14</f>
        <v>1674000</v>
      </c>
      <c r="C6" s="206">
        <f>'СПА и развлечения в пакете'!C14</f>
        <v>1108800.0000000002</v>
      </c>
      <c r="D6" s="206">
        <f>'СПА и развлечения в пакете'!D14</f>
        <v>1227600.0000000002</v>
      </c>
      <c r="E6" s="206">
        <f>'СПА и развлечения в пакете'!E14</f>
        <v>1188000.0000000002</v>
      </c>
      <c r="F6" s="206">
        <f>'СПА и развлечения в пакете'!F14</f>
        <v>1674000</v>
      </c>
      <c r="G6" s="206">
        <f>'СПА и развлечения в пакете'!G14</f>
        <v>1836000</v>
      </c>
      <c r="H6" s="206">
        <f>'СПА и развлечения в пакете'!H14</f>
        <v>1897200</v>
      </c>
      <c r="I6" s="206">
        <f>'СПА и развлечения в пакете'!I14</f>
        <v>1785600</v>
      </c>
      <c r="J6" s="206">
        <f>'СПА и развлечения в пакете'!J14</f>
        <v>1404000</v>
      </c>
      <c r="K6" s="206">
        <f>'СПА и развлечения в пакете'!K14</f>
        <v>1227600.0000000002</v>
      </c>
      <c r="L6" s="206">
        <f>'СПА и развлечения в пакете'!L14</f>
        <v>1080000</v>
      </c>
      <c r="M6" s="206">
        <f>'СПА и развлечения в пакете'!M14</f>
        <v>1450800</v>
      </c>
      <c r="N6" s="207">
        <f t="shared" si="0"/>
        <v>17553600</v>
      </c>
      <c r="O6" s="440">
        <f t="shared" si="1"/>
        <v>3.0786107856840772E-2</v>
      </c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</row>
    <row r="7" spans="1:26" ht="26">
      <c r="A7" s="228" t="s">
        <v>822</v>
      </c>
      <c r="B7" s="206">
        <f>'выручка от общепита'!B42</f>
        <v>10255436.430000002</v>
      </c>
      <c r="C7" s="206">
        <f>'выручка от общепита'!C42</f>
        <v>5958588.216</v>
      </c>
      <c r="D7" s="206">
        <f>'выручка от общепита'!D42</f>
        <v>6734183.3820000011</v>
      </c>
      <c r="E7" s="206">
        <f>'выручка от общепита'!E42</f>
        <v>6782451.6600000011</v>
      </c>
      <c r="F7" s="206">
        <f>'выручка от общепита'!F42</f>
        <v>9843911.4300000016</v>
      </c>
      <c r="G7" s="206">
        <f>'выручка от общепита'!G42</f>
        <v>10831948.020000001</v>
      </c>
      <c r="H7" s="206">
        <f>'выручка от общепита'!H42</f>
        <v>11878887.954</v>
      </c>
      <c r="I7" s="206">
        <f>'выручка от общепита'!I42</f>
        <v>10929987.192</v>
      </c>
      <c r="J7" s="206">
        <f>'выручка от общепита'!J42</f>
        <v>8220783.7800000012</v>
      </c>
      <c r="K7" s="206">
        <f>'выручка от общепита'!K42</f>
        <v>6597008.3820000011</v>
      </c>
      <c r="L7" s="206">
        <f>'выручка от общепита'!L42</f>
        <v>5864160.5999999996</v>
      </c>
      <c r="M7" s="206">
        <f>'выручка от общепита'!M42</f>
        <v>8769159.9059999995</v>
      </c>
      <c r="N7" s="207">
        <f t="shared" si="0"/>
        <v>102666506.95200001</v>
      </c>
      <c r="O7" s="440">
        <f t="shared" si="1"/>
        <v>0.18006005356789292</v>
      </c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</row>
    <row r="8" spans="1:26" ht="13">
      <c r="A8" s="228" t="s">
        <v>823</v>
      </c>
      <c r="B8" s="206">
        <f>'Выручка от прочих услуг'!B19</f>
        <v>11606680.11375</v>
      </c>
      <c r="C8" s="206">
        <f>'Выручка от прочих услуг'!C19</f>
        <v>4980421.8288000003</v>
      </c>
      <c r="D8" s="206">
        <f>'Выручка от прочих услуг'!D19</f>
        <v>5541753.5811000001</v>
      </c>
      <c r="E8" s="206">
        <f>'Выручка от прочих услуг'!E19</f>
        <v>4897531.5444000009</v>
      </c>
      <c r="F8" s="206">
        <f>'Выручка от прочих услуг'!F19</f>
        <v>8720373.0734999999</v>
      </c>
      <c r="G8" s="206">
        <f>'Выручка от прочих услуг'!G19</f>
        <v>12787450.829999998</v>
      </c>
      <c r="H8" s="206">
        <f>'Выручка от прочих услуг'!H19</f>
        <v>13213699.190999998</v>
      </c>
      <c r="I8" s="206">
        <f>'Выручка от прочих услуг'!I19</f>
        <v>11994486.767999999</v>
      </c>
      <c r="J8" s="206">
        <f>'Выручка от прочих услуг'!J19</f>
        <v>7275867.5749500003</v>
      </c>
      <c r="K8" s="206">
        <f>'Выручка от прочих услуг'!K19</f>
        <v>4708122.9921000004</v>
      </c>
      <c r="L8" s="206">
        <f>'Выручка от прочих услуг'!L19</f>
        <v>4044535.1459999997</v>
      </c>
      <c r="M8" s="206">
        <f>'Выручка от прочих услуг'!M19</f>
        <v>7446123.3073499994</v>
      </c>
      <c r="N8" s="207">
        <f t="shared" si="0"/>
        <v>97217045.950949982</v>
      </c>
      <c r="O8" s="440">
        <f t="shared" si="1"/>
        <v>0.17050260129941389</v>
      </c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</row>
    <row r="9" spans="1:26" s="424" customFormat="1" ht="13">
      <c r="A9" s="242" t="s">
        <v>383</v>
      </c>
      <c r="B9" s="207">
        <f>SUM(B4:B8)</f>
        <v>59474112.731250003</v>
      </c>
      <c r="C9" s="207">
        <f t="shared" ref="C9:M9" si="2">SUM(C4:C8)</f>
        <v>30812848.204800002</v>
      </c>
      <c r="D9" s="207">
        <f t="shared" si="2"/>
        <v>34433087.858100004</v>
      </c>
      <c r="E9" s="207">
        <f t="shared" si="2"/>
        <v>32932321.784400001</v>
      </c>
      <c r="F9" s="207">
        <f t="shared" si="2"/>
        <v>54265616.578499995</v>
      </c>
      <c r="G9" s="207">
        <f t="shared" si="2"/>
        <v>68901202.349999994</v>
      </c>
      <c r="H9" s="207">
        <f t="shared" si="2"/>
        <v>71883784.094999999</v>
      </c>
      <c r="I9" s="207">
        <f t="shared" si="2"/>
        <v>66963247.559999995</v>
      </c>
      <c r="J9" s="207">
        <f t="shared" si="2"/>
        <v>47194227.882450007</v>
      </c>
      <c r="K9" s="207">
        <f t="shared" si="2"/>
        <v>31306661.219100006</v>
      </c>
      <c r="L9" s="207">
        <f t="shared" si="2"/>
        <v>27530635.445999995</v>
      </c>
      <c r="M9" s="207">
        <f t="shared" si="2"/>
        <v>44481507.920850001</v>
      </c>
      <c r="N9" s="207">
        <f t="shared" si="0"/>
        <v>570179253.63044989</v>
      </c>
      <c r="O9" s="440">
        <f>N9/$N$9</f>
        <v>1</v>
      </c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</row>
    <row r="10" spans="1:26" ht="13">
      <c r="A10" s="228"/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7"/>
      <c r="O10" s="205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</row>
    <row r="11" spans="1:26" ht="62">
      <c r="A11" s="588" t="str">
        <f>'выручка номеров'!A18</f>
        <v>Действующий корпус санатория с новым бальнеологическим комплексом</v>
      </c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7"/>
      <c r="O11" s="205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</row>
    <row r="12" spans="1:26" ht="13">
      <c r="A12" s="228" t="s">
        <v>824</v>
      </c>
      <c r="B12" s="206">
        <f>'выручка номеров'!C23</f>
        <v>11792813.029411765</v>
      </c>
      <c r="C12" s="206">
        <f>'выручка номеров'!D23</f>
        <v>10974348</v>
      </c>
      <c r="D12" s="206">
        <f>'выручка номеров'!E23</f>
        <v>12150171</v>
      </c>
      <c r="E12" s="206">
        <f>'выручка номеров'!F23</f>
        <v>10651573.058823531</v>
      </c>
      <c r="F12" s="206">
        <f>'выручка номеров'!G23</f>
        <v>11006625.494117646</v>
      </c>
      <c r="G12" s="206">
        <f>'выручка номеров'!H23</f>
        <v>12934053</v>
      </c>
      <c r="H12" s="206">
        <f>'выручка номеров'!I23</f>
        <v>13365188.1</v>
      </c>
      <c r="I12" s="206">
        <f>'выручка номеров'!J23</f>
        <v>10220437.95882353</v>
      </c>
      <c r="J12" s="206">
        <f>'выручка номеров'!K23</f>
        <v>11758230.000000002</v>
      </c>
      <c r="K12" s="206">
        <f>'выручка номеров'!L23</f>
        <v>11721341.435294118</v>
      </c>
      <c r="L12" s="206">
        <f>'выручка номеров'!M23</f>
        <v>10789905.176470591</v>
      </c>
      <c r="M12" s="206">
        <f>'выручка номеров'!N23</f>
        <v>12150171</v>
      </c>
      <c r="N12" s="207">
        <f t="shared" si="0"/>
        <v>139514857.25294119</v>
      </c>
      <c r="O12" s="440">
        <f>N12/$N$15</f>
        <v>0.88723118895152786</v>
      </c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</row>
    <row r="13" spans="1:26" ht="26">
      <c r="A13" s="228" t="s">
        <v>822</v>
      </c>
      <c r="B13" s="206">
        <f>'выручка от общепита'!B52</f>
        <v>446748.75</v>
      </c>
      <c r="C13" s="206">
        <f>'выручка от общепита'!C52</f>
        <v>457316.99999999994</v>
      </c>
      <c r="D13" s="206">
        <f>'выручка от общепита'!D52</f>
        <v>506315.24999999988</v>
      </c>
      <c r="E13" s="206">
        <f>'выручка от общепита'!E52</f>
        <v>443866.5</v>
      </c>
      <c r="F13" s="206">
        <f>'выручка от общепита'!F52</f>
        <v>416965.49999999988</v>
      </c>
      <c r="G13" s="206">
        <f>'выручка от общепита'!G52</f>
        <v>489982.49999999994</v>
      </c>
      <c r="H13" s="206">
        <f>'выручка от общепита'!H52</f>
        <v>506315.24999999988</v>
      </c>
      <c r="I13" s="206">
        <f>'выручка от общепита'!I52</f>
        <v>387182.25</v>
      </c>
      <c r="J13" s="206">
        <f>'выручка от общепита'!J52</f>
        <v>489982.49999999994</v>
      </c>
      <c r="K13" s="206">
        <f>'выручка от общепита'!K52</f>
        <v>488445.29999999987</v>
      </c>
      <c r="L13" s="206">
        <f>'выручка от общепита'!L52</f>
        <v>449631</v>
      </c>
      <c r="M13" s="206">
        <f>'выручка от общепита'!M52</f>
        <v>506315.24999999988</v>
      </c>
      <c r="N13" s="207">
        <f t="shared" si="0"/>
        <v>5589067.0499999998</v>
      </c>
      <c r="O13" s="440">
        <f t="shared" ref="O13:O15" si="3">N13/$N$15</f>
        <v>3.5543129251897433E-2</v>
      </c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</row>
    <row r="14" spans="1:26" ht="13">
      <c r="A14" s="228" t="s">
        <v>823</v>
      </c>
      <c r="B14" s="206">
        <f>'Выручка от прочих услуг'!B25</f>
        <v>994640.65147058829</v>
      </c>
      <c r="C14" s="206">
        <f>'Выручка от прочих услуг'!C25</f>
        <v>1007717.4</v>
      </c>
      <c r="D14" s="206">
        <f>'Выручка от прочих услуг'!D25</f>
        <v>1066508.55</v>
      </c>
      <c r="E14" s="206">
        <f>'Выручка от прочих услуг'!E25</f>
        <v>948378.65294117655</v>
      </c>
      <c r="F14" s="206">
        <f>'Выручка от прочих услуг'!F25</f>
        <v>928331.2747058823</v>
      </c>
      <c r="G14" s="206">
        <f>'Выручка от прочих услуг'!G25</f>
        <v>1105702.6499999999</v>
      </c>
      <c r="H14" s="206">
        <f>'Выручка от прочих услуг'!H25</f>
        <v>1127259.405</v>
      </c>
      <c r="I14" s="206">
        <f>'Выручка от прочих услуг'!I25</f>
        <v>862021.89794117655</v>
      </c>
      <c r="J14" s="206">
        <f>'Выручка от прочих услуг'!J25</f>
        <v>1046911.5000000001</v>
      </c>
      <c r="K14" s="206">
        <f>'Выручка от прочих услуг'!K25</f>
        <v>1028867.0717647059</v>
      </c>
      <c r="L14" s="206">
        <f>'Выручка от прочих услуг'!L25</f>
        <v>960695.25882352958</v>
      </c>
      <c r="M14" s="206">
        <f>'Выручка от прочих услуг'!M25</f>
        <v>1066508.55</v>
      </c>
      <c r="N14" s="207">
        <f t="shared" si="0"/>
        <v>12143542.86264706</v>
      </c>
      <c r="O14" s="440">
        <f t="shared" si="3"/>
        <v>7.7225681796574797E-2</v>
      </c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</row>
    <row r="15" spans="1:26" ht="13">
      <c r="A15" s="242" t="s">
        <v>383</v>
      </c>
      <c r="B15" s="207">
        <f>SUM(B12:B14)</f>
        <v>13234202.430882353</v>
      </c>
      <c r="C15" s="207">
        <f t="shared" ref="C15:M15" si="4">SUM(C12:C14)</f>
        <v>12439382.4</v>
      </c>
      <c r="D15" s="207">
        <f t="shared" si="4"/>
        <v>13722994.800000001</v>
      </c>
      <c r="E15" s="207">
        <f t="shared" si="4"/>
        <v>12043818.211764708</v>
      </c>
      <c r="F15" s="207">
        <f t="shared" si="4"/>
        <v>12351922.268823529</v>
      </c>
      <c r="G15" s="207">
        <f t="shared" si="4"/>
        <v>14529738.15</v>
      </c>
      <c r="H15" s="207">
        <f t="shared" si="4"/>
        <v>14998762.754999999</v>
      </c>
      <c r="I15" s="207">
        <f t="shared" si="4"/>
        <v>11469642.106764706</v>
      </c>
      <c r="J15" s="207">
        <f t="shared" si="4"/>
        <v>13295124.000000002</v>
      </c>
      <c r="K15" s="207">
        <f t="shared" si="4"/>
        <v>13238653.807058824</v>
      </c>
      <c r="L15" s="207">
        <f t="shared" si="4"/>
        <v>12200231.43529412</v>
      </c>
      <c r="M15" s="207">
        <f t="shared" si="4"/>
        <v>13722994.800000001</v>
      </c>
      <c r="N15" s="207">
        <f t="shared" si="0"/>
        <v>157247467.16558823</v>
      </c>
      <c r="O15" s="440">
        <f t="shared" si="3"/>
        <v>1</v>
      </c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</row>
    <row r="16" spans="1:26" ht="13">
      <c r="A16" s="228"/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7"/>
      <c r="O16" s="205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</row>
    <row r="17" spans="1:26" ht="15.5">
      <c r="A17" s="588" t="str">
        <f>'выручка номеров'!A25</f>
        <v>Эко-вилладж 4*</v>
      </c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7"/>
      <c r="O17" s="205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</row>
    <row r="18" spans="1:26" ht="13">
      <c r="A18" s="228" t="s">
        <v>320</v>
      </c>
      <c r="B18" s="206">
        <f>'выручка номеров'!C30</f>
        <v>16468444.850000001</v>
      </c>
      <c r="C18" s="206">
        <f>'выручка номеров'!D30</f>
        <v>6545538.5600000024</v>
      </c>
      <c r="D18" s="206">
        <f>'выручка номеров'!E30</f>
        <v>7326540.3200000022</v>
      </c>
      <c r="E18" s="206">
        <f>'выручка номеров'!F30</f>
        <v>7865803.4400000023</v>
      </c>
      <c r="F18" s="206">
        <f>'выручка номеров'!G30</f>
        <v>12937666.060000002</v>
      </c>
      <c r="G18" s="206">
        <f>'выручка номеров'!H30</f>
        <v>23708982</v>
      </c>
      <c r="H18" s="206">
        <f>'выручка номеров'!I30</f>
        <v>24499281.399999999</v>
      </c>
      <c r="I18" s="206">
        <f>'выручка номеров'!J30</f>
        <v>21617013</v>
      </c>
      <c r="J18" s="206">
        <f>'выручка номеров'!K30</f>
        <v>13576878.810000002</v>
      </c>
      <c r="K18" s="206">
        <f>'выручка номеров'!L30</f>
        <v>5434470.5800000001</v>
      </c>
      <c r="L18" s="206">
        <f>'выручка номеров'!M30</f>
        <v>5271761.88</v>
      </c>
      <c r="M18" s="206">
        <f>'выручка номеров'!N30</f>
        <v>9267422.6700000018</v>
      </c>
      <c r="N18" s="207">
        <f t="shared" si="0"/>
        <v>154519803.57000005</v>
      </c>
      <c r="O18" s="440">
        <f>N18/$N$21</f>
        <v>0.53564388342567548</v>
      </c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</row>
    <row r="19" spans="1:26" ht="26">
      <c r="A19" s="228" t="s">
        <v>822</v>
      </c>
      <c r="B19" s="206">
        <f>'выручка от общепита'!B89</f>
        <v>6347642.1359999999</v>
      </c>
      <c r="C19" s="206">
        <f>'выручка от общепита'!C89</f>
        <v>2940766.7520000003</v>
      </c>
      <c r="D19" s="206">
        <f>'выручка от общепита'!D89</f>
        <v>3401033.9040000001</v>
      </c>
      <c r="E19" s="206">
        <f>'выручка от общепита'!E89</f>
        <v>4105542.9599999995</v>
      </c>
      <c r="F19" s="206">
        <f>'выручка от общепита'!F89</f>
        <v>5809664.0159999998</v>
      </c>
      <c r="G19" s="206">
        <f>'выручка от общепита'!G89</f>
        <v>7914995.0399999991</v>
      </c>
      <c r="H19" s="206">
        <f>'выручка от общепита'!H89</f>
        <v>9101753.2079999987</v>
      </c>
      <c r="I19" s="206">
        <f>'выручка от общепита'!I89</f>
        <v>7586721.3600000003</v>
      </c>
      <c r="J19" s="206">
        <f>'выручка от общепита'!J89</f>
        <v>5150299.1999999993</v>
      </c>
      <c r="K19" s="206">
        <f>'выручка от общепита'!K89</f>
        <v>2924424.5279999999</v>
      </c>
      <c r="L19" s="206">
        <f>'выручка от общепита'!L89</f>
        <v>2843636.6399999997</v>
      </c>
      <c r="M19" s="206">
        <f>'выручка от общепита'!M89</f>
        <v>6367435.1040000003</v>
      </c>
      <c r="N19" s="207">
        <f t="shared" si="0"/>
        <v>64493914.84799999</v>
      </c>
      <c r="O19" s="440">
        <f t="shared" ref="O19:O21" si="5">N19/$N$21</f>
        <v>0.22356856667150588</v>
      </c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</row>
    <row r="20" spans="1:26" ht="13">
      <c r="A20" s="228" t="s">
        <v>823</v>
      </c>
      <c r="B20" s="206">
        <f>'Выручка от прочих услуг'!B44</f>
        <v>8832502.432</v>
      </c>
      <c r="C20" s="206">
        <f>'Выручка от прочих услуг'!C44</f>
        <v>2547887.2960000001</v>
      </c>
      <c r="D20" s="206">
        <f>'Выручка от прочих услуг'!D44</f>
        <v>2836814.0320000006</v>
      </c>
      <c r="E20" s="206">
        <f>'Выручка от прочих услуг'!E44</f>
        <v>2886108.1560000004</v>
      </c>
      <c r="F20" s="206">
        <f>'Выручка от прочих услуг'!F44</f>
        <v>4600464.5324000008</v>
      </c>
      <c r="G20" s="206">
        <f>'Выручка от прочих услуг'!G44</f>
        <v>12535956.060000001</v>
      </c>
      <c r="H20" s="206">
        <f>'Выручка от прочих услуг'!H44</f>
        <v>12953821.261999998</v>
      </c>
      <c r="I20" s="206">
        <f>'Выручка от прочих услуг'!I44</f>
        <v>10139924.85</v>
      </c>
      <c r="J20" s="206">
        <f>'Выручка от прочих услуг'!J44</f>
        <v>4663373.8140000012</v>
      </c>
      <c r="K20" s="206">
        <f>'Выручка от прочих услуг'!K44</f>
        <v>1961526.4172</v>
      </c>
      <c r="L20" s="206">
        <f>'Выручка от прочих услуг'!L44</f>
        <v>1900770.7319999998</v>
      </c>
      <c r="M20" s="206">
        <f>'Выручка от прочих услуг'!M44</f>
        <v>3602009.3400000003</v>
      </c>
      <c r="N20" s="207">
        <f t="shared" si="0"/>
        <v>69461158.923600003</v>
      </c>
      <c r="O20" s="440">
        <f t="shared" si="5"/>
        <v>0.24078754990281862</v>
      </c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</row>
    <row r="21" spans="1:26" s="424" customFormat="1" ht="13">
      <c r="A21" s="242" t="s">
        <v>383</v>
      </c>
      <c r="B21" s="207">
        <f>SUM(B18:B20)</f>
        <v>31648589.418000001</v>
      </c>
      <c r="C21" s="207">
        <f t="shared" ref="C21:M21" si="6">SUM(C18:C20)</f>
        <v>12034192.608000003</v>
      </c>
      <c r="D21" s="207">
        <f t="shared" si="6"/>
        <v>13564388.256000005</v>
      </c>
      <c r="E21" s="207">
        <f t="shared" si="6"/>
        <v>14857454.556000002</v>
      </c>
      <c r="F21" s="207">
        <f t="shared" si="6"/>
        <v>23347794.608400002</v>
      </c>
      <c r="G21" s="207">
        <f t="shared" si="6"/>
        <v>44159933.100000001</v>
      </c>
      <c r="H21" s="207">
        <f t="shared" si="6"/>
        <v>46554855.86999999</v>
      </c>
      <c r="I21" s="207">
        <f t="shared" si="6"/>
        <v>39343659.210000001</v>
      </c>
      <c r="J21" s="207">
        <f t="shared" si="6"/>
        <v>23390551.824000001</v>
      </c>
      <c r="K21" s="207">
        <f t="shared" si="6"/>
        <v>10320421.5252</v>
      </c>
      <c r="L21" s="207">
        <f t="shared" si="6"/>
        <v>10016169.252</v>
      </c>
      <c r="M21" s="207">
        <f t="shared" si="6"/>
        <v>19236867.114000004</v>
      </c>
      <c r="N21" s="207">
        <f t="shared" si="0"/>
        <v>288474877.34160006</v>
      </c>
      <c r="O21" s="440">
        <f t="shared" si="5"/>
        <v>1</v>
      </c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</row>
    <row r="22" spans="1:26" s="424" customFormat="1" ht="13">
      <c r="A22" s="242"/>
      <c r="B22" s="207"/>
      <c r="C22" s="207"/>
      <c r="D22" s="207"/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440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</row>
    <row r="23" spans="1:26" s="424" customFormat="1" ht="15.5">
      <c r="A23" s="591" t="s">
        <v>830</v>
      </c>
      <c r="B23" s="537">
        <f t="shared" ref="B23:D23" si="7">SUM(B9,B15,B21)</f>
        <v>104356904.58013235</v>
      </c>
      <c r="C23" s="537">
        <f t="shared" si="7"/>
        <v>55286423.212800004</v>
      </c>
      <c r="D23" s="537">
        <f t="shared" si="7"/>
        <v>61720470.914100014</v>
      </c>
      <c r="E23" s="537">
        <f>SUM(E9,E15,E21)</f>
        <v>59833594.552164711</v>
      </c>
      <c r="F23" s="537">
        <f t="shared" ref="F23:N23" si="8">SUM(F9,F15,F21)</f>
        <v>89965333.455723524</v>
      </c>
      <c r="G23" s="537">
        <f t="shared" si="8"/>
        <v>127590873.59999999</v>
      </c>
      <c r="H23" s="537">
        <f t="shared" si="8"/>
        <v>133437402.71999998</v>
      </c>
      <c r="I23" s="537">
        <f t="shared" si="8"/>
        <v>117776548.87676471</v>
      </c>
      <c r="J23" s="537">
        <f t="shared" si="8"/>
        <v>83879903.706450015</v>
      </c>
      <c r="K23" s="537">
        <f t="shared" si="8"/>
        <v>54865736.551358834</v>
      </c>
      <c r="L23" s="537">
        <f t="shared" si="8"/>
        <v>49747036.13329412</v>
      </c>
      <c r="M23" s="537">
        <f t="shared" si="8"/>
        <v>77441369.834850013</v>
      </c>
      <c r="N23" s="537">
        <f t="shared" si="8"/>
        <v>1015901598.1376382</v>
      </c>
      <c r="O23" s="205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</row>
    <row r="24" spans="1:26" ht="13"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8"/>
      <c r="O24" s="462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</row>
    <row r="25" spans="1:26" ht="13">
      <c r="A25" s="816" t="s">
        <v>384</v>
      </c>
      <c r="B25" s="816"/>
      <c r="C25" s="816"/>
      <c r="D25" s="816"/>
      <c r="E25" s="816"/>
      <c r="F25" s="816"/>
      <c r="G25" s="816"/>
      <c r="H25" s="816"/>
      <c r="I25" s="816"/>
      <c r="J25" s="816"/>
      <c r="K25" s="816"/>
      <c r="L25" s="816"/>
      <c r="M25" s="816"/>
      <c r="N25" s="816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</row>
    <row r="26" spans="1:26" ht="31">
      <c r="A26" s="588" t="str">
        <f t="shared" ref="A26:A32" si="9">A3</f>
        <v>Гостиничный комплекс 4* "У Бювета"</v>
      </c>
      <c r="B26" s="205"/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</row>
    <row r="27" spans="1:26" ht="13">
      <c r="A27" s="228" t="str">
        <f t="shared" si="9"/>
        <v>Проживание</v>
      </c>
      <c r="B27" s="206">
        <f>'выручка номеров'!C52</f>
        <v>28035321.496874999</v>
      </c>
      <c r="C27" s="206">
        <f>'выручка номеров'!D52</f>
        <v>13278625.668000003</v>
      </c>
      <c r="D27" s="206">
        <f>'выручка номеров'!E52</f>
        <v>14863007.13975</v>
      </c>
      <c r="E27" s="206">
        <f>'выручка номеров'!F52</f>
        <v>14183986.509000001</v>
      </c>
      <c r="F27" s="206">
        <f>'выручка номеров'!G52</f>
        <v>26029124.178749993</v>
      </c>
      <c r="G27" s="206">
        <f>'выручка номеров'!H52</f>
        <v>34979850.674999997</v>
      </c>
      <c r="H27" s="206">
        <f>'выручка номеров'!I52</f>
        <v>36145845.697499998</v>
      </c>
      <c r="I27" s="206">
        <f>'выручка номеров'!J52</f>
        <v>34019619.479999997</v>
      </c>
      <c r="J27" s="206">
        <f>'выручка номеров'!K52</f>
        <v>23673128.353874996</v>
      </c>
      <c r="K27" s="206">
        <f>'выручка номеров'!L52</f>
        <v>12599605.037250001</v>
      </c>
      <c r="L27" s="206">
        <f>'выручка номеров'!M52</f>
        <v>11111246.685000001</v>
      </c>
      <c r="M27" s="206">
        <f>'выручка номеров'!N52</f>
        <v>19749898.042875003</v>
      </c>
      <c r="N27" s="207">
        <f>SUM(B27:M27)</f>
        <v>268669258.963875</v>
      </c>
      <c r="O27" s="440">
        <f>N27/$N$32</f>
        <v>0.44876323208585284</v>
      </c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</row>
    <row r="28" spans="1:26" ht="26">
      <c r="A28" s="228" t="str">
        <f t="shared" si="9"/>
        <v>Питание, входящее в стоимость номера</v>
      </c>
      <c r="B28" s="206">
        <f>'"Шведский стол" '!B39</f>
        <v>9699574.4999999981</v>
      </c>
      <c r="C28" s="206">
        <f>'"Шведский стол" '!C39</f>
        <v>6424664.3999999994</v>
      </c>
      <c r="D28" s="206">
        <f>'"Шведский стол" '!D39</f>
        <v>7113021.2999999989</v>
      </c>
      <c r="E28" s="206">
        <f>'"Шведский стол" '!E39</f>
        <v>6883568.9999999991</v>
      </c>
      <c r="F28" s="206">
        <f>'"Шведский стол" '!F39</f>
        <v>9699574.4999999981</v>
      </c>
      <c r="G28" s="206">
        <f>'"Шведский стол" '!G39</f>
        <v>10638242.999999998</v>
      </c>
      <c r="H28" s="206">
        <f>'"Шведский стол" '!H39</f>
        <v>10992851.099999998</v>
      </c>
      <c r="I28" s="206">
        <f>'"Шведский стол" '!I39</f>
        <v>10346212.799999997</v>
      </c>
      <c r="J28" s="206">
        <f>'"Шведский стол" '!J39</f>
        <v>8135126.9999999981</v>
      </c>
      <c r="K28" s="206">
        <f>'"Шведский стол" '!K39</f>
        <v>7113021.2999999989</v>
      </c>
      <c r="L28" s="206">
        <f>'"Шведский стол" '!L39</f>
        <v>6257789.9999999991</v>
      </c>
      <c r="M28" s="206">
        <f>'"Шведский стол" '!M39</f>
        <v>8406297.8999999985</v>
      </c>
      <c r="N28" s="207">
        <f t="shared" ref="N28:N32" si="10">SUM(B28:M28)</f>
        <v>101709946.79999998</v>
      </c>
      <c r="O28" s="440">
        <f t="shared" ref="O28:O32" si="11">N28/$N$32</f>
        <v>0.16988800518999958</v>
      </c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</row>
    <row r="29" spans="1:26" ht="26">
      <c r="A29" s="228" t="str">
        <f t="shared" si="9"/>
        <v>Доп. Услуги, входящие в стоимость номера</v>
      </c>
      <c r="B29" s="206">
        <f>'СПА и развлечения в пакете'!B23</f>
        <v>1757700</v>
      </c>
      <c r="C29" s="206">
        <f>'СПА и развлечения в пакете'!C23</f>
        <v>1164240.0000000002</v>
      </c>
      <c r="D29" s="206">
        <f>'СПА и развлечения в пакете'!D23</f>
        <v>1288980.0000000002</v>
      </c>
      <c r="E29" s="206">
        <f>'СПА и развлечения в пакете'!E23</f>
        <v>1247400.0000000002</v>
      </c>
      <c r="F29" s="206">
        <f>'СПА и развлечения в пакете'!F23</f>
        <v>1757700</v>
      </c>
      <c r="G29" s="206">
        <f>'СПА и развлечения в пакете'!G23</f>
        <v>1927800</v>
      </c>
      <c r="H29" s="206">
        <f>'СПА и развлечения в пакете'!H23</f>
        <v>1992060</v>
      </c>
      <c r="I29" s="206">
        <f>'СПА и развлечения в пакете'!I23</f>
        <v>1874880</v>
      </c>
      <c r="J29" s="206">
        <f>'СПА и развлечения в пакете'!J23</f>
        <v>1474200</v>
      </c>
      <c r="K29" s="206">
        <f>'СПА и развлечения в пакете'!K23</f>
        <v>1288980.0000000002</v>
      </c>
      <c r="L29" s="206">
        <f>'СПА и развлечения в пакете'!L23</f>
        <v>1134000</v>
      </c>
      <c r="M29" s="206">
        <f>'СПА и развлечения в пакете'!M23</f>
        <v>1523340</v>
      </c>
      <c r="N29" s="207">
        <f t="shared" si="10"/>
        <v>18431280</v>
      </c>
      <c r="O29" s="440">
        <f t="shared" si="11"/>
        <v>3.0786107856840765E-2</v>
      </c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</row>
    <row r="30" spans="1:26" ht="26">
      <c r="A30" s="228" t="str">
        <f t="shared" si="9"/>
        <v>Услуги доподнительгного общественного питания</v>
      </c>
      <c r="B30" s="206">
        <f>B7+B7*'выручка номеров'!$C$3</f>
        <v>10768208.251500001</v>
      </c>
      <c r="C30" s="206">
        <f>C7+C7*'выручка номеров'!$C$3</f>
        <v>6256517.6267999997</v>
      </c>
      <c r="D30" s="206">
        <f>D7+D7*'выручка номеров'!$C$3</f>
        <v>7070892.5511000007</v>
      </c>
      <c r="E30" s="206">
        <f>E7+E7*'выручка номеров'!$C$3</f>
        <v>7121574.2430000007</v>
      </c>
      <c r="F30" s="206">
        <f>F7+F7*'выручка номеров'!$C$3</f>
        <v>10336107.001500001</v>
      </c>
      <c r="G30" s="206">
        <f>G7+G7*'выручка номеров'!$C$3</f>
        <v>11373545.421000002</v>
      </c>
      <c r="H30" s="206">
        <f>H7+H7*'выручка номеров'!$C$3</f>
        <v>12472832.3517</v>
      </c>
      <c r="I30" s="206">
        <f>I7+I7*'выручка номеров'!$C$3</f>
        <v>11476486.5516</v>
      </c>
      <c r="J30" s="206">
        <f>J7+J7*'выручка номеров'!$C$3</f>
        <v>8631822.9690000005</v>
      </c>
      <c r="K30" s="206">
        <f>K7+K7*'выручка номеров'!$C$3</f>
        <v>6926858.8011000007</v>
      </c>
      <c r="L30" s="206">
        <f>L7+L7*'выручка номеров'!$C$3</f>
        <v>6157368.6299999999</v>
      </c>
      <c r="M30" s="206">
        <f>M7+M7*'выручка номеров'!$C$3</f>
        <v>9207617.9013</v>
      </c>
      <c r="N30" s="207">
        <f t="shared" si="10"/>
        <v>107799832.29959999</v>
      </c>
      <c r="O30" s="440">
        <f t="shared" si="11"/>
        <v>0.18006005356789284</v>
      </c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</row>
    <row r="31" spans="1:26" ht="13">
      <c r="A31" s="228" t="str">
        <f t="shared" si="9"/>
        <v>Прочие услуги</v>
      </c>
      <c r="B31" s="206">
        <f>B8+B8*'выручка номеров'!$C$3</f>
        <v>12187014.119437499</v>
      </c>
      <c r="C31" s="206">
        <f>C8+C8*'выручка номеров'!$C$3</f>
        <v>5229442.9202399999</v>
      </c>
      <c r="D31" s="206">
        <f>D8+D8*'выручка номеров'!$C$3</f>
        <v>5818841.2601549998</v>
      </c>
      <c r="E31" s="206">
        <f>E8+E8*'выручка номеров'!$C$3</f>
        <v>5142408.1216200013</v>
      </c>
      <c r="F31" s="206">
        <f>F8+F8*'выручка номеров'!$C$3</f>
        <v>9156391.7271749992</v>
      </c>
      <c r="G31" s="206">
        <f>G8+G8*'выручка номеров'!$C$3</f>
        <v>13426823.371499998</v>
      </c>
      <c r="H31" s="206">
        <f>H8+H8*'выручка номеров'!$C$3</f>
        <v>13874384.150549999</v>
      </c>
      <c r="I31" s="206">
        <f>I8+I8*'выручка номеров'!$C$3</f>
        <v>12594211.1064</v>
      </c>
      <c r="J31" s="206">
        <f>J8+J8*'выручка номеров'!$C$3</f>
        <v>7639660.9536975008</v>
      </c>
      <c r="K31" s="206">
        <f>K8+K8*'выручка номеров'!$C$3</f>
        <v>4943529.1417050008</v>
      </c>
      <c r="L31" s="206">
        <f>L8+L8*'выручка номеров'!$C$3</f>
        <v>4246761.9032999994</v>
      </c>
      <c r="M31" s="206">
        <f>M8+M8*'выручка номеров'!$C$3</f>
        <v>7818429.4727174994</v>
      </c>
      <c r="N31" s="207">
        <f t="shared" si="10"/>
        <v>102077898.2484975</v>
      </c>
      <c r="O31" s="440">
        <f t="shared" si="11"/>
        <v>0.17050260129941389</v>
      </c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</row>
    <row r="32" spans="1:26" s="424" customFormat="1" ht="13">
      <c r="A32" s="242" t="str">
        <f t="shared" si="9"/>
        <v>ИТОГО</v>
      </c>
      <c r="B32" s="207">
        <f>SUM(B27:B31)</f>
        <v>62447818.367812499</v>
      </c>
      <c r="C32" s="207">
        <f t="shared" ref="C32" si="12">SUM(C27:C31)</f>
        <v>32353490.615040004</v>
      </c>
      <c r="D32" s="207">
        <f t="shared" ref="D32" si="13">SUM(D27:D31)</f>
        <v>36154742.251005001</v>
      </c>
      <c r="E32" s="207">
        <f t="shared" ref="E32" si="14">SUM(E27:E31)</f>
        <v>34578937.873620003</v>
      </c>
      <c r="F32" s="207">
        <f t="shared" ref="F32" si="15">SUM(F27:F31)</f>
        <v>56978897.407424994</v>
      </c>
      <c r="G32" s="207">
        <f t="shared" ref="G32" si="16">SUM(G27:G31)</f>
        <v>72346262.467500001</v>
      </c>
      <c r="H32" s="207">
        <f t="shared" ref="H32" si="17">SUM(H27:H31)</f>
        <v>75477973.29975</v>
      </c>
      <c r="I32" s="207">
        <f t="shared" ref="I32" si="18">SUM(I27:I31)</f>
        <v>70311409.937999994</v>
      </c>
      <c r="J32" s="207">
        <f t="shared" ref="J32" si="19">SUM(J27:J31)</f>
        <v>49553939.276572496</v>
      </c>
      <c r="K32" s="207">
        <f t="shared" ref="K32" si="20">SUM(K27:K31)</f>
        <v>32871994.280055001</v>
      </c>
      <c r="L32" s="207">
        <f t="shared" ref="L32" si="21">SUM(L27:L31)</f>
        <v>28907167.218299996</v>
      </c>
      <c r="M32" s="207">
        <f t="shared" ref="M32" si="22">SUM(M27:M31)</f>
        <v>46705583.316892505</v>
      </c>
      <c r="N32" s="207">
        <f t="shared" si="10"/>
        <v>598688216.3119725</v>
      </c>
      <c r="O32" s="440">
        <f t="shared" si="11"/>
        <v>1</v>
      </c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</row>
    <row r="33" spans="1:26" ht="15.5">
      <c r="A33" s="588"/>
      <c r="B33" s="205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7"/>
      <c r="O33" s="205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</row>
    <row r="34" spans="1:26" ht="62">
      <c r="A34" s="588" t="str">
        <f>A11</f>
        <v>Действующий корпус санатория с новым бальнеологическим комплексом</v>
      </c>
      <c r="B34" s="205"/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7"/>
      <c r="O34" s="205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</row>
    <row r="35" spans="1:26" ht="13">
      <c r="A35" s="228" t="str">
        <f>A12</f>
        <v>Пакет (санаторно-курортная путевка)</v>
      </c>
      <c r="B35" s="206">
        <f>'выручка номеров'!C59</f>
        <v>12632461.317105882</v>
      </c>
      <c r="C35" s="206">
        <f>'выручка номеров'!D59</f>
        <v>11755721.5776</v>
      </c>
      <c r="D35" s="206">
        <f>'выручка номеров'!E59</f>
        <v>13015263.1752</v>
      </c>
      <c r="E35" s="206">
        <f>'выручка номеров'!F59</f>
        <v>11409965.060611766</v>
      </c>
      <c r="F35" s="206">
        <f>'выручка номеров'!G59</f>
        <v>11790297.229298824</v>
      </c>
      <c r="G35" s="206">
        <f>'выручка номеров'!H59</f>
        <v>13854957.5736</v>
      </c>
      <c r="H35" s="206">
        <f>'выручка номеров'!I59</f>
        <v>14316789.492719999</v>
      </c>
      <c r="I35" s="206">
        <f>'выручка номеров'!J59</f>
        <v>10948133.141491767</v>
      </c>
      <c r="J35" s="206">
        <f>'выручка номеров'!K59</f>
        <v>12595415.976000002</v>
      </c>
      <c r="K35" s="206">
        <f>'выручка номеров'!L59</f>
        <v>12555900.94548706</v>
      </c>
      <c r="L35" s="206">
        <f>'выручка номеров'!M59</f>
        <v>11558146.425035296</v>
      </c>
      <c r="M35" s="206">
        <f>'выручка номеров'!N59</f>
        <v>13015263.1752</v>
      </c>
      <c r="N35" s="207">
        <f t="shared" ref="N35:N38" si="23">SUM(B35:M35)</f>
        <v>149448315.08935058</v>
      </c>
      <c r="O35" s="440">
        <f>N35/$N$38</f>
        <v>0.88921573617733751</v>
      </c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</row>
    <row r="36" spans="1:26" ht="26">
      <c r="A36" s="228" t="str">
        <f>A13</f>
        <v>Услуги доподнительгного общественного питания</v>
      </c>
      <c r="B36" s="206">
        <f>B13+B13*'выручка номеров'!$C$3</f>
        <v>469086.1875</v>
      </c>
      <c r="C36" s="206">
        <f>C13+C13*'выручка номеров'!$C$3</f>
        <v>480182.84999999992</v>
      </c>
      <c r="D36" s="206">
        <f>D13+D13*'выручка номеров'!$C$3</f>
        <v>531631.01249999984</v>
      </c>
      <c r="E36" s="206">
        <f>E13+E13*'выручка номеров'!$C$3</f>
        <v>466059.82500000001</v>
      </c>
      <c r="F36" s="206">
        <f>F13+F13*'выручка номеров'!$C$3</f>
        <v>437813.77499999991</v>
      </c>
      <c r="G36" s="206">
        <f>G13+G13*'выручка номеров'!$C$3</f>
        <v>514481.62499999994</v>
      </c>
      <c r="H36" s="206">
        <f>H13+H13*'выручка номеров'!$C$3</f>
        <v>531631.01249999984</v>
      </c>
      <c r="I36" s="206">
        <f>I13+I13*'выручка номеров'!$C$3</f>
        <v>406541.36249999999</v>
      </c>
      <c r="J36" s="206">
        <f>J13+J13*'выручка номеров'!$C$3</f>
        <v>514481.62499999994</v>
      </c>
      <c r="K36" s="206">
        <f>K13+K13*'выручка номеров'!$C$3</f>
        <v>512867.56499999989</v>
      </c>
      <c r="L36" s="206">
        <f>L13+L13*'выручка номеров'!$C$3</f>
        <v>472112.55</v>
      </c>
      <c r="M36" s="206">
        <f>M13+M13*'выручка номеров'!$C$3</f>
        <v>531631.01249999984</v>
      </c>
      <c r="N36" s="207">
        <f t="shared" si="23"/>
        <v>5868520.402499998</v>
      </c>
      <c r="O36" s="440">
        <f t="shared" ref="O36:O38" si="24">N36/$N$38</f>
        <v>3.4917628123547928E-2</v>
      </c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</row>
    <row r="37" spans="1:26" ht="13">
      <c r="A37" s="228" t="str">
        <f>A14</f>
        <v>Прочие услуги</v>
      </c>
      <c r="B37" s="206">
        <f>B14+B14*'выручка номеров'!$C$3</f>
        <v>1044372.6840441177</v>
      </c>
      <c r="C37" s="206">
        <f>C14+C14*'выручка номеров'!$C$3</f>
        <v>1058103.27</v>
      </c>
      <c r="D37" s="206">
        <f>D14+D14*'выручка номеров'!$C$3</f>
        <v>1119833.9775</v>
      </c>
      <c r="E37" s="206">
        <f>E14+E14*'выручка номеров'!$C$3</f>
        <v>995797.58558823541</v>
      </c>
      <c r="F37" s="206">
        <f>F14+F14*'выручка номеров'!$C$3</f>
        <v>974747.83844117646</v>
      </c>
      <c r="G37" s="206">
        <f>G14+G14*'выручка номеров'!$C$3</f>
        <v>1160987.7825</v>
      </c>
      <c r="H37" s="206">
        <f>H14+H14*'выручка номеров'!$C$3</f>
        <v>1183622.37525</v>
      </c>
      <c r="I37" s="206">
        <f>I14+I14*'выручка номеров'!$C$3</f>
        <v>905122.99283823534</v>
      </c>
      <c r="J37" s="206">
        <f>J14+J14*'выручка номеров'!$C$3</f>
        <v>1099257.0750000002</v>
      </c>
      <c r="K37" s="206">
        <f>K14+K14*'выручка номеров'!$C$3</f>
        <v>1080310.4253529413</v>
      </c>
      <c r="L37" s="206">
        <f>L14+L14*'выручка номеров'!$C$3</f>
        <v>1008730.0217647061</v>
      </c>
      <c r="M37" s="206">
        <f>M14+M14*'выручка номеров'!$C$3</f>
        <v>1119833.9775</v>
      </c>
      <c r="N37" s="207">
        <f t="shared" si="23"/>
        <v>12750720.005779412</v>
      </c>
      <c r="O37" s="440">
        <f t="shared" si="24"/>
        <v>7.5866635699114546E-2</v>
      </c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</row>
    <row r="38" spans="1:26" ht="13">
      <c r="A38" s="242" t="str">
        <f>A15</f>
        <v>ИТОГО</v>
      </c>
      <c r="B38" s="207">
        <f>SUM(B35:B37)</f>
        <v>14145920.188649999</v>
      </c>
      <c r="C38" s="207">
        <f t="shared" ref="C38" si="25">SUM(C35:C37)</f>
        <v>13294007.6976</v>
      </c>
      <c r="D38" s="207">
        <f t="shared" ref="D38" si="26">SUM(D35:D37)</f>
        <v>14666728.165199999</v>
      </c>
      <c r="E38" s="207">
        <f t="shared" ref="E38" si="27">SUM(E35:E37)</f>
        <v>12871822.4712</v>
      </c>
      <c r="F38" s="207">
        <f t="shared" ref="F38" si="28">SUM(F35:F37)</f>
        <v>13202858.842740001</v>
      </c>
      <c r="G38" s="207">
        <f t="shared" ref="G38" si="29">SUM(G35:G37)</f>
        <v>15530426.9811</v>
      </c>
      <c r="H38" s="207">
        <f t="shared" ref="H38" si="30">SUM(H35:H37)</f>
        <v>16032042.880469998</v>
      </c>
      <c r="I38" s="207">
        <f t="shared" ref="I38" si="31">SUM(I35:I37)</f>
        <v>12259797.496830003</v>
      </c>
      <c r="J38" s="207">
        <f t="shared" ref="J38" si="32">SUM(J35:J37)</f>
        <v>14209154.676000003</v>
      </c>
      <c r="K38" s="207">
        <f t="shared" ref="K38" si="33">SUM(K35:K37)</f>
        <v>14149078.935839999</v>
      </c>
      <c r="L38" s="207">
        <f t="shared" ref="L38" si="34">SUM(L35:L37)</f>
        <v>13038988.996800004</v>
      </c>
      <c r="M38" s="207">
        <f t="shared" ref="M38" si="35">SUM(M35:M37)</f>
        <v>14666728.165199999</v>
      </c>
      <c r="N38" s="207">
        <f t="shared" si="23"/>
        <v>168067555.49763</v>
      </c>
      <c r="O38" s="440">
        <f t="shared" si="24"/>
        <v>1</v>
      </c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</row>
    <row r="39" spans="1:26" ht="15.5">
      <c r="A39" s="588"/>
      <c r="B39" s="205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7"/>
      <c r="O39" s="205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</row>
    <row r="40" spans="1:26" ht="15.5">
      <c r="A40" s="588" t="str">
        <f>A17</f>
        <v>Эко-вилладж 4*</v>
      </c>
      <c r="B40" s="205"/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7"/>
      <c r="O40" s="205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</row>
    <row r="41" spans="1:26" ht="13">
      <c r="A41" s="228" t="str">
        <f>A18</f>
        <v>Проживание</v>
      </c>
      <c r="B41" s="206">
        <f>'выручка номеров'!C66</f>
        <v>17127182.644000001</v>
      </c>
      <c r="C41" s="206">
        <f>'выручка номеров'!D66</f>
        <v>6807360.1024000021</v>
      </c>
      <c r="D41" s="206">
        <f>'выручка номеров'!E66</f>
        <v>7619601.9328000033</v>
      </c>
      <c r="E41" s="206">
        <f>'выручка номеров'!F66</f>
        <v>8180435.5776000023</v>
      </c>
      <c r="F41" s="206">
        <f>'выручка номеров'!G66</f>
        <v>13455172.702400003</v>
      </c>
      <c r="G41" s="206">
        <f>'выручка номеров'!H66</f>
        <v>24657341.280000001</v>
      </c>
      <c r="H41" s="206">
        <f>'выручка номеров'!I66</f>
        <v>25479252.655999999</v>
      </c>
      <c r="I41" s="206">
        <f>'выручка номеров'!J66</f>
        <v>22481693.52</v>
      </c>
      <c r="J41" s="206">
        <f>'выручка номеров'!K66</f>
        <v>14119953.962400002</v>
      </c>
      <c r="K41" s="206">
        <f>'выручка номеров'!L66</f>
        <v>5651849.4032000005</v>
      </c>
      <c r="L41" s="206">
        <f>'выручка номеров'!M66</f>
        <v>5482632.3552000001</v>
      </c>
      <c r="M41" s="206">
        <f>'выручка номеров'!N66</f>
        <v>9638119.5768000036</v>
      </c>
      <c r="N41" s="207">
        <f t="shared" ref="N41:N44" si="36">SUM(B41:M41)</f>
        <v>160700595.71280003</v>
      </c>
      <c r="O41" s="440">
        <f>N41/$N$44</f>
        <v>0.53326288455849469</v>
      </c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</row>
    <row r="42" spans="1:26" ht="26">
      <c r="A42" s="228" t="str">
        <f>A19</f>
        <v>Услуги доподнительгного общественного питания</v>
      </c>
      <c r="B42" s="206">
        <f>B19+B19*'выручка номеров'!$C$3</f>
        <v>6665024.2428000001</v>
      </c>
      <c r="C42" s="206">
        <f>C19+C19*'выручка номеров'!$C$3</f>
        <v>3087805.0896000005</v>
      </c>
      <c r="D42" s="206">
        <f>D19+D19*'выручка номеров'!$C$3</f>
        <v>3571085.5992000001</v>
      </c>
      <c r="E42" s="206">
        <f>E19+E19*'выручка номеров'!$C$3</f>
        <v>4310820.1079999991</v>
      </c>
      <c r="F42" s="206">
        <f>F19+F19*'выручка номеров'!$C$3</f>
        <v>6100147.2167999996</v>
      </c>
      <c r="G42" s="206">
        <f>G19+G19*'выручка номеров'!$C$3</f>
        <v>8310744.7919999994</v>
      </c>
      <c r="H42" s="206">
        <f>H19+H19*'выручка номеров'!$C$3</f>
        <v>9556840.8683999982</v>
      </c>
      <c r="I42" s="206">
        <f>I19+I19*'выручка номеров'!$C$3</f>
        <v>7966057.4280000003</v>
      </c>
      <c r="J42" s="206">
        <f>J19+J19*'выручка номеров'!$C$3</f>
        <v>5407814.1599999992</v>
      </c>
      <c r="K42" s="206">
        <f>K19+K19*'выручка номеров'!$C$3</f>
        <v>3070645.7544</v>
      </c>
      <c r="L42" s="206">
        <f>L19+L19*'выручка номеров'!$C$3</f>
        <v>2985818.4719999996</v>
      </c>
      <c r="M42" s="206">
        <f>M19+M19*'выручка номеров'!$C$3</f>
        <v>6685806.8592000008</v>
      </c>
      <c r="N42" s="207">
        <f t="shared" si="36"/>
        <v>67718610.59040001</v>
      </c>
      <c r="O42" s="440">
        <f t="shared" ref="O42:O44" si="37">N42/$N$44</f>
        <v>0.22471492069804305</v>
      </c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</row>
    <row r="43" spans="1:26" ht="13">
      <c r="A43" s="228" t="str">
        <f>A20</f>
        <v>Прочие услуги</v>
      </c>
      <c r="B43" s="206">
        <f>B20+B20*'выручка номеров'!$C$3</f>
        <v>9274127.5536000002</v>
      </c>
      <c r="C43" s="206">
        <f>C20+C20*'выручка номеров'!$C$3</f>
        <v>2675281.6608000002</v>
      </c>
      <c r="D43" s="206">
        <f>D20+D20*'выручка номеров'!$C$3</f>
        <v>2978654.7336000009</v>
      </c>
      <c r="E43" s="206">
        <f>E20+E20*'выручка номеров'!$C$3</f>
        <v>3030413.5638000006</v>
      </c>
      <c r="F43" s="206">
        <f>F20+F20*'выручка номеров'!$C$3</f>
        <v>4830487.7590200007</v>
      </c>
      <c r="G43" s="206">
        <f>G20+G20*'выручка номеров'!$C$3</f>
        <v>13162753.863</v>
      </c>
      <c r="H43" s="206">
        <f>H20+H20*'выручка номеров'!$C$3</f>
        <v>13601512.325099997</v>
      </c>
      <c r="I43" s="206">
        <f>I20+I20*'выручка номеров'!$C$3</f>
        <v>10646921.092499999</v>
      </c>
      <c r="J43" s="206">
        <f>J20+J20*'выручка номеров'!$C$3</f>
        <v>4896542.5047000013</v>
      </c>
      <c r="K43" s="206">
        <f>K20+K20*'выручка номеров'!$C$3</f>
        <v>2059602.7380600001</v>
      </c>
      <c r="L43" s="206">
        <f>L20+L20*'выручка номеров'!$C$3</f>
        <v>1995809.2685999998</v>
      </c>
      <c r="M43" s="206">
        <f>M20+M20*'выручка номеров'!$C$3</f>
        <v>3782109.8070000005</v>
      </c>
      <c r="N43" s="207">
        <f t="shared" si="36"/>
        <v>72934216.869780004</v>
      </c>
      <c r="O43" s="440">
        <f t="shared" si="37"/>
        <v>0.2420221947434624</v>
      </c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</row>
    <row r="44" spans="1:26" s="424" customFormat="1" ht="13">
      <c r="A44" s="242" t="str">
        <f>A21</f>
        <v>ИТОГО</v>
      </c>
      <c r="B44" s="207">
        <f>SUM(B41:B43)</f>
        <v>33066334.440400004</v>
      </c>
      <c r="C44" s="207">
        <f t="shared" ref="C44" si="38">SUM(C41:C43)</f>
        <v>12570446.852800002</v>
      </c>
      <c r="D44" s="207">
        <f t="shared" ref="D44" si="39">SUM(D41:D43)</f>
        <v>14169342.265600003</v>
      </c>
      <c r="E44" s="207">
        <f t="shared" ref="E44" si="40">SUM(E41:E43)</f>
        <v>15521669.249400001</v>
      </c>
      <c r="F44" s="207">
        <f t="shared" ref="F44" si="41">SUM(F41:F43)</f>
        <v>24385807.678220004</v>
      </c>
      <c r="G44" s="207">
        <f t="shared" ref="G44" si="42">SUM(G41:G43)</f>
        <v>46130839.935000002</v>
      </c>
      <c r="H44" s="207">
        <f t="shared" ref="H44" si="43">SUM(H41:H43)</f>
        <v>48637605.849499993</v>
      </c>
      <c r="I44" s="207">
        <f t="shared" ref="I44" si="44">SUM(I41:I43)</f>
        <v>41094672.0405</v>
      </c>
      <c r="J44" s="207">
        <f t="shared" ref="J44" si="45">SUM(J41:J43)</f>
        <v>24424310.627100002</v>
      </c>
      <c r="K44" s="207">
        <f t="shared" ref="K44" si="46">SUM(K41:K43)</f>
        <v>10782097.89566</v>
      </c>
      <c r="L44" s="207">
        <f t="shared" ref="L44" si="47">SUM(L41:L43)</f>
        <v>10464260.095799999</v>
      </c>
      <c r="M44" s="207">
        <f t="shared" ref="M44" si="48">SUM(M41:M43)</f>
        <v>20106036.243000004</v>
      </c>
      <c r="N44" s="207">
        <f t="shared" si="36"/>
        <v>301353423.17298001</v>
      </c>
      <c r="O44" s="440">
        <f t="shared" si="37"/>
        <v>1</v>
      </c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</row>
    <row r="45" spans="1:26" ht="15.5">
      <c r="A45" s="588"/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7"/>
      <c r="O45" s="205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</row>
    <row r="46" spans="1:26" s="424" customFormat="1" ht="15.5">
      <c r="A46" s="591" t="s">
        <v>830</v>
      </c>
      <c r="B46" s="537">
        <f t="shared" ref="B46:M46" si="49">SUM(B32,B38,B44)</f>
        <v>109660072.9968625</v>
      </c>
      <c r="C46" s="537">
        <f t="shared" si="49"/>
        <v>58217945.165440008</v>
      </c>
      <c r="D46" s="537">
        <f t="shared" si="49"/>
        <v>64990812.681805007</v>
      </c>
      <c r="E46" s="537">
        <f t="shared" si="49"/>
        <v>62972429.594220012</v>
      </c>
      <c r="F46" s="537">
        <f t="shared" si="49"/>
        <v>94567563.928385004</v>
      </c>
      <c r="G46" s="537">
        <f t="shared" si="49"/>
        <v>134007529.3836</v>
      </c>
      <c r="H46" s="537">
        <f t="shared" si="49"/>
        <v>140147622.02971998</v>
      </c>
      <c r="I46" s="537">
        <f t="shared" si="49"/>
        <v>123665879.47533</v>
      </c>
      <c r="J46" s="537">
        <f t="shared" si="49"/>
        <v>88187404.5796725</v>
      </c>
      <c r="K46" s="537">
        <f t="shared" si="49"/>
        <v>57803171.111554995</v>
      </c>
      <c r="L46" s="537">
        <f t="shared" si="49"/>
        <v>52410416.310899995</v>
      </c>
      <c r="M46" s="537">
        <f t="shared" si="49"/>
        <v>81478347.7250925</v>
      </c>
      <c r="N46" s="537">
        <f t="shared" ref="N46" si="50">SUM(B46:M46)</f>
        <v>1068109194.9825824</v>
      </c>
      <c r="O46" s="205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</row>
    <row r="47" spans="1:26" s="424" customFormat="1" ht="15.5">
      <c r="A47" s="592"/>
      <c r="B47" s="593"/>
      <c r="C47" s="593"/>
      <c r="D47" s="593"/>
      <c r="E47" s="593"/>
      <c r="F47" s="593"/>
      <c r="G47" s="593"/>
      <c r="H47" s="593"/>
      <c r="I47" s="593"/>
      <c r="J47" s="593"/>
      <c r="K47" s="593"/>
      <c r="L47" s="593"/>
      <c r="M47" s="593"/>
      <c r="N47" s="593"/>
      <c r="O47" s="516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</row>
    <row r="48" spans="1:26" ht="13">
      <c r="A48" s="817" t="s">
        <v>385</v>
      </c>
      <c r="B48" s="817"/>
      <c r="C48" s="817"/>
      <c r="D48" s="817"/>
      <c r="E48" s="817"/>
      <c r="F48" s="817"/>
      <c r="G48" s="817"/>
      <c r="H48" s="817"/>
      <c r="I48" s="817"/>
      <c r="J48" s="817"/>
      <c r="K48" s="817"/>
      <c r="L48" s="817"/>
      <c r="M48" s="817"/>
      <c r="N48" s="817"/>
      <c r="O48" s="420"/>
      <c r="P48" s="818"/>
      <c r="Q48" s="818"/>
      <c r="R48" s="818"/>
      <c r="S48" s="818"/>
      <c r="T48" s="203"/>
      <c r="U48" s="203"/>
      <c r="V48" s="203"/>
      <c r="W48" s="203"/>
      <c r="X48" s="203"/>
      <c r="Y48" s="203"/>
      <c r="Z48" s="203"/>
    </row>
    <row r="49" spans="1:26" ht="31">
      <c r="A49" s="590" t="str">
        <f t="shared" ref="A49:A55" si="51">A26</f>
        <v>Гостиничный комплекс 4* "У Бювета"</v>
      </c>
      <c r="B49" s="421"/>
      <c r="C49" s="421"/>
      <c r="D49" s="421"/>
      <c r="E49" s="421"/>
      <c r="F49" s="421"/>
      <c r="G49" s="421"/>
      <c r="H49" s="421"/>
      <c r="I49" s="421"/>
      <c r="J49" s="421"/>
      <c r="K49" s="421"/>
      <c r="L49" s="421"/>
      <c r="M49" s="421"/>
      <c r="N49" s="442"/>
      <c r="O49" s="421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</row>
    <row r="50" spans="1:26" ht="13">
      <c r="A50" s="421" t="str">
        <f t="shared" si="51"/>
        <v>Проживание</v>
      </c>
      <c r="B50" s="422">
        <f>'выручка номеров'!C88</f>
        <v>31644869.139597654</v>
      </c>
      <c r="C50" s="422">
        <f>'выручка номеров'!D88</f>
        <v>14988248.722755004</v>
      </c>
      <c r="D50" s="422">
        <f>'выручка номеров'!E88</f>
        <v>16776619.308992814</v>
      </c>
      <c r="E50" s="422">
        <f>'выручка номеров'!F88</f>
        <v>16010174.772033749</v>
      </c>
      <c r="F50" s="422">
        <f>'выручка номеров'!G88</f>
        <v>29380373.916764054</v>
      </c>
      <c r="G50" s="422">
        <f>'выручка номеров'!H88</f>
        <v>39483506.449406251</v>
      </c>
      <c r="H50" s="422">
        <f>'выручка номеров'!I88</f>
        <v>40799623.331053123</v>
      </c>
      <c r="I50" s="422">
        <f>'выручка номеров'!J88</f>
        <v>38399645.488049999</v>
      </c>
      <c r="J50" s="422">
        <f>'выручка номеров'!K88</f>
        <v>26721043.629436407</v>
      </c>
      <c r="K50" s="422">
        <f>'выручка номеров'!L88</f>
        <v>14221804.185795939</v>
      </c>
      <c r="L50" s="422">
        <f>'выручка номеров'!M88</f>
        <v>12541819.695693748</v>
      </c>
      <c r="M50" s="422">
        <f>'выручка номеров'!N88</f>
        <v>22292697.41589516</v>
      </c>
      <c r="N50" s="423">
        <f>SUM(B50:M50)</f>
        <v>303260426.05547386</v>
      </c>
      <c r="O50" s="421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</row>
    <row r="51" spans="1:26" ht="26">
      <c r="A51" s="421" t="str">
        <f t="shared" si="51"/>
        <v>Питание, входящее в стоимость номера</v>
      </c>
      <c r="B51" s="422">
        <f>'"Шведский стол" '!B54</f>
        <v>10948394.716874998</v>
      </c>
      <c r="C51" s="422">
        <f>'"Шведский стол" '!C54</f>
        <v>7251839.9414999997</v>
      </c>
      <c r="D51" s="422">
        <f>'"Шведский стол" '!D54</f>
        <v>8028822.7923750002</v>
      </c>
      <c r="E51" s="422">
        <f>'"Шведский стол" '!E54</f>
        <v>7769828.5087499991</v>
      </c>
      <c r="F51" s="422">
        <f>'"Шведский стол" '!F54</f>
        <v>10948394.716874998</v>
      </c>
      <c r="G51" s="422">
        <f>'"Шведский стол" '!G54</f>
        <v>12007916.786249999</v>
      </c>
      <c r="H51" s="422">
        <f>'"Шведский стол" '!H54</f>
        <v>12408180.679124998</v>
      </c>
      <c r="I51" s="422">
        <f>'"Шведский стол" '!I54</f>
        <v>11678287.697999999</v>
      </c>
      <c r="J51" s="422">
        <f>'"Шведский стол" '!J54</f>
        <v>9182524.6012499984</v>
      </c>
      <c r="K51" s="422">
        <f>'"Шведский стол" '!K54</f>
        <v>8028822.7923750002</v>
      </c>
      <c r="L51" s="422">
        <f>'"Шведский стол" '!L54</f>
        <v>7063480.4624999994</v>
      </c>
      <c r="M51" s="422">
        <f>'"Шведский стол" '!M54</f>
        <v>9488608.7546249982</v>
      </c>
      <c r="N51" s="423">
        <f t="shared" ref="N51:N68" si="52">SUM(B51:M51)</f>
        <v>114805102.45049998</v>
      </c>
      <c r="O51" s="421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</row>
    <row r="52" spans="1:26" ht="26">
      <c r="A52" s="421" t="str">
        <f t="shared" si="51"/>
        <v>Доп. Услуги, входящие в стоимость номера</v>
      </c>
      <c r="B52" s="422">
        <f>'СПА и развлечения в пакете'!B32</f>
        <v>1984003.8749999998</v>
      </c>
      <c r="C52" s="422">
        <f>'СПА и развлечения в пакете'!C32</f>
        <v>1314135.9000000001</v>
      </c>
      <c r="D52" s="422">
        <f>'СПА и развлечения в пакете'!D32</f>
        <v>1454936.1750000003</v>
      </c>
      <c r="E52" s="422">
        <f>'СПА и развлечения в пакете'!E32</f>
        <v>1408002.75</v>
      </c>
      <c r="F52" s="422">
        <f>'СПА и развлечения в пакете'!F32</f>
        <v>1984003.8749999998</v>
      </c>
      <c r="G52" s="422">
        <f>'СПА и развлечения в пакете'!G32</f>
        <v>2176004.25</v>
      </c>
      <c r="H52" s="422">
        <f>'СПА и развлечения в пакете'!H32</f>
        <v>2248537.7249999996</v>
      </c>
      <c r="I52" s="422">
        <f>'СПА и развлечения в пакете'!I32</f>
        <v>2116270.7999999998</v>
      </c>
      <c r="J52" s="422">
        <f>'СПА и развлечения в пакете'!J32</f>
        <v>1664003.25</v>
      </c>
      <c r="K52" s="422">
        <f>'СПА и развлечения в пакете'!K32</f>
        <v>1454936.1750000003</v>
      </c>
      <c r="L52" s="422">
        <f>'СПА и развлечения в пакете'!L32</f>
        <v>1280002.5</v>
      </c>
      <c r="M52" s="422">
        <f>'СПА и развлечения в пакете'!M32</f>
        <v>1719470.0249999999</v>
      </c>
      <c r="N52" s="423">
        <f t="shared" si="52"/>
        <v>20804307.299999997</v>
      </c>
      <c r="O52" s="421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</row>
    <row r="53" spans="1:26" ht="26">
      <c r="A53" s="421" t="str">
        <f t="shared" si="51"/>
        <v>Услуги доподнительгного общественного питания</v>
      </c>
      <c r="B53" s="422">
        <f>B30+B30*'выручка номеров'!$D$3</f>
        <v>11306618.664075002</v>
      </c>
      <c r="C53" s="422">
        <f>C30+C30*'выручка номеров'!$D$3</f>
        <v>6569343.5081399996</v>
      </c>
      <c r="D53" s="422">
        <f>D30+D30*'выручка номеров'!$D$3</f>
        <v>7424437.1786550004</v>
      </c>
      <c r="E53" s="422">
        <f>E30+E30*'выручка номеров'!$D$3</f>
        <v>7477652.9551500008</v>
      </c>
      <c r="F53" s="422">
        <f>F30+F30*'выручка номеров'!$D$3</f>
        <v>10852912.351575002</v>
      </c>
      <c r="G53" s="422">
        <f>G30+G30*'выручка номеров'!$D$3</f>
        <v>11942222.692050003</v>
      </c>
      <c r="H53" s="422">
        <f>H30+H30*'выручка номеров'!$D$3</f>
        <v>13096473.969285</v>
      </c>
      <c r="I53" s="422">
        <f>I30+I30*'выручка номеров'!$D$3</f>
        <v>12050310.879179999</v>
      </c>
      <c r="J53" s="422">
        <f>J30+J30*'выручка номеров'!$D$3</f>
        <v>9063414.1174500007</v>
      </c>
      <c r="K53" s="422">
        <f>K30+K30*'выручка номеров'!$D$3</f>
        <v>7273201.7411550004</v>
      </c>
      <c r="L53" s="422">
        <f>L30+L30*'выручка номеров'!$D$3</f>
        <v>6465237.0614999998</v>
      </c>
      <c r="M53" s="422">
        <f>M30+M30*'выручка номеров'!$D$3</f>
        <v>9667998.7963650003</v>
      </c>
      <c r="N53" s="423">
        <f t="shared" si="52"/>
        <v>113189823.91457999</v>
      </c>
      <c r="O53" s="421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</row>
    <row r="54" spans="1:26" ht="13">
      <c r="A54" s="421" t="str">
        <f t="shared" si="51"/>
        <v>Прочие услуги</v>
      </c>
      <c r="B54" s="422">
        <f>B31+B31*'выручка номеров'!$D$3</f>
        <v>12796364.825409373</v>
      </c>
      <c r="C54" s="422">
        <f>C31+C31*'выручка номеров'!$D$3</f>
        <v>5490915.0662519997</v>
      </c>
      <c r="D54" s="422">
        <f>D31+D31*'выручка номеров'!$D$3</f>
        <v>6109783.3231627494</v>
      </c>
      <c r="E54" s="422">
        <f>E31+E31*'выручка номеров'!$D$3</f>
        <v>5399528.5277010016</v>
      </c>
      <c r="F54" s="422">
        <f>F31+F31*'выручка номеров'!$D$3</f>
        <v>9614211.3135337494</v>
      </c>
      <c r="G54" s="422">
        <f>G31+G31*'выручка номеров'!$D$3</f>
        <v>14098164.540074999</v>
      </c>
      <c r="H54" s="422">
        <f>H31+H31*'выручка номеров'!$D$3</f>
        <v>14568103.358077498</v>
      </c>
      <c r="I54" s="422">
        <f>I31+I31*'выручка номеров'!$D$3</f>
        <v>13223921.66172</v>
      </c>
      <c r="J54" s="422">
        <f>J31+J31*'выручка номеров'!$D$3</f>
        <v>8021644.0013823761</v>
      </c>
      <c r="K54" s="422">
        <f>K31+K31*'выручка номеров'!$D$3</f>
        <v>5190705.5987902507</v>
      </c>
      <c r="L54" s="422">
        <f>L31+L31*'выручка номеров'!$D$3</f>
        <v>4459099.9984649997</v>
      </c>
      <c r="M54" s="422">
        <f>M31+M31*'выручка номеров'!$D$3</f>
        <v>8209350.946353374</v>
      </c>
      <c r="N54" s="423">
        <f t="shared" si="52"/>
        <v>107181793.16092238</v>
      </c>
      <c r="O54" s="421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</row>
    <row r="55" spans="1:26" s="424" customFormat="1" ht="13">
      <c r="A55" s="442" t="str">
        <f t="shared" si="51"/>
        <v>ИТОГО</v>
      </c>
      <c r="B55" s="423">
        <f>SUM(B50:B54)</f>
        <v>68680251.220957026</v>
      </c>
      <c r="C55" s="423">
        <f t="shared" ref="C55:M55" si="53">SUM(C50:C54)</f>
        <v>35614483.138647005</v>
      </c>
      <c r="D55" s="423">
        <f t="shared" si="53"/>
        <v>39794598.778185569</v>
      </c>
      <c r="E55" s="423">
        <f t="shared" si="53"/>
        <v>38065187.513634756</v>
      </c>
      <c r="F55" s="423">
        <f t="shared" si="53"/>
        <v>62779896.173747808</v>
      </c>
      <c r="G55" s="423">
        <f t="shared" si="53"/>
        <v>79707814.717781246</v>
      </c>
      <c r="H55" s="423">
        <f t="shared" si="53"/>
        <v>83120919.062540621</v>
      </c>
      <c r="I55" s="423">
        <f t="shared" si="53"/>
        <v>77468436.526950002</v>
      </c>
      <c r="J55" s="423">
        <f t="shared" si="53"/>
        <v>54652629.599518776</v>
      </c>
      <c r="K55" s="423">
        <f t="shared" si="53"/>
        <v>36169470.493116193</v>
      </c>
      <c r="L55" s="423">
        <f t="shared" si="53"/>
        <v>31809639.718158752</v>
      </c>
      <c r="M55" s="423">
        <f t="shared" si="53"/>
        <v>51378125.938238531</v>
      </c>
      <c r="N55" s="423">
        <f t="shared" si="52"/>
        <v>659241452.88147616</v>
      </c>
      <c r="O55" s="442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</row>
    <row r="56" spans="1:26" ht="13">
      <c r="A56" s="421"/>
      <c r="B56" s="421"/>
      <c r="C56" s="421"/>
      <c r="D56" s="421"/>
      <c r="E56" s="421"/>
      <c r="F56" s="421"/>
      <c r="G56" s="421"/>
      <c r="H56" s="421"/>
      <c r="I56" s="421"/>
      <c r="J56" s="421"/>
      <c r="K56" s="421"/>
      <c r="L56" s="421"/>
      <c r="M56" s="421"/>
      <c r="N56" s="423"/>
      <c r="O56" s="421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</row>
    <row r="57" spans="1:26" ht="62">
      <c r="A57" s="590" t="str">
        <f>A34</f>
        <v>Действующий корпус санатория с новым бальнеологическим комплексом</v>
      </c>
      <c r="B57" s="421"/>
      <c r="C57" s="421"/>
      <c r="D57" s="421"/>
      <c r="E57" s="421"/>
      <c r="F57" s="421"/>
      <c r="G57" s="421"/>
      <c r="H57" s="421"/>
      <c r="I57" s="421"/>
      <c r="J57" s="421"/>
      <c r="K57" s="421"/>
      <c r="L57" s="421"/>
      <c r="M57" s="421"/>
      <c r="N57" s="423"/>
      <c r="O57" s="421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</row>
    <row r="58" spans="1:26" ht="13">
      <c r="A58" s="421" t="str">
        <f>A35</f>
        <v>Пакет (санаторно-курортная путевка)</v>
      </c>
      <c r="B58" s="422">
        <f>'выручка номеров'!C95</f>
        <v>13269137.367488017</v>
      </c>
      <c r="C58" s="422">
        <f>'выручка номеров'!D95</f>
        <v>12348209.94511104</v>
      </c>
      <c r="D58" s="422">
        <f>'выручка номеров'!E95</f>
        <v>13671232.439230081</v>
      </c>
      <c r="E58" s="422">
        <f>'выручка номеров'!F95</f>
        <v>11985027.2996666</v>
      </c>
      <c r="F58" s="422">
        <f>'выручка номеров'!G95</f>
        <v>12384528.209655486</v>
      </c>
      <c r="G58" s="422">
        <f>'выручка номеров'!H95</f>
        <v>14553247.43530944</v>
      </c>
      <c r="H58" s="422">
        <f>'выручка номеров'!I95</f>
        <v>15038355.683153087</v>
      </c>
      <c r="I58" s="422">
        <f>'выручка номеров'!J95</f>
        <v>11499919.051822953</v>
      </c>
      <c r="J58" s="422">
        <f>'выручка номеров'!K95</f>
        <v>13230224.941190401</v>
      </c>
      <c r="K58" s="422">
        <f>'выручка номеров'!L95</f>
        <v>13188718.353139607</v>
      </c>
      <c r="L58" s="422">
        <f>'выручка номеров'!M95</f>
        <v>12140677.004857073</v>
      </c>
      <c r="M58" s="422">
        <f>'выручка номеров'!N95</f>
        <v>13671232.439230081</v>
      </c>
      <c r="N58" s="423">
        <f t="shared" si="52"/>
        <v>156980510.1698539</v>
      </c>
      <c r="O58" s="421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</row>
    <row r="59" spans="1:26" ht="26">
      <c r="A59" s="421" t="str">
        <f>A36</f>
        <v>Услуги доподнительгного общественного питания</v>
      </c>
      <c r="B59" s="422">
        <f>B36+B36*'выручка номеров'!$D$3</f>
        <v>492540.49687500001</v>
      </c>
      <c r="C59" s="422">
        <f>C36+C36*'выручка номеров'!$D$3</f>
        <v>504191.99249999993</v>
      </c>
      <c r="D59" s="422">
        <f>D36+D36*'выручка номеров'!$D$3</f>
        <v>558212.56312499987</v>
      </c>
      <c r="E59" s="422">
        <f>E36+E36*'выручка номеров'!$D$3</f>
        <v>489362.81625000003</v>
      </c>
      <c r="F59" s="422">
        <f>F36+F36*'выручка номеров'!$D$3</f>
        <v>459704.46374999988</v>
      </c>
      <c r="G59" s="422">
        <f>G36+G36*'выручка номеров'!$D$3</f>
        <v>540205.70624999993</v>
      </c>
      <c r="H59" s="422">
        <f>H36+H36*'выручка номеров'!$D$3</f>
        <v>558212.56312499987</v>
      </c>
      <c r="I59" s="422">
        <f>I36+I36*'выручка номеров'!$D$3</f>
        <v>426868.43062499998</v>
      </c>
      <c r="J59" s="422">
        <f>J36+J36*'выручка номеров'!$D$3</f>
        <v>540205.70624999993</v>
      </c>
      <c r="K59" s="422">
        <f>K36+K36*'выручка номеров'!$D$3</f>
        <v>538510.94324999989</v>
      </c>
      <c r="L59" s="422">
        <f>L36+L36*'выручка номеров'!$D$3</f>
        <v>495718.17749999999</v>
      </c>
      <c r="M59" s="422">
        <f>M36+M36*'выручка номеров'!$D$3</f>
        <v>558212.56312499987</v>
      </c>
      <c r="N59" s="423">
        <f t="shared" si="52"/>
        <v>6161946.4226249997</v>
      </c>
      <c r="O59" s="421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</row>
    <row r="60" spans="1:26" ht="13">
      <c r="A60" s="421" t="str">
        <f>A37</f>
        <v>Прочие услуги</v>
      </c>
      <c r="B60" s="422">
        <f>B37+B37*'выручка номеров'!$D$3</f>
        <v>1096591.3182463236</v>
      </c>
      <c r="C60" s="422">
        <f>C37+C37*'выручка номеров'!$D$3</f>
        <v>1111008.4335</v>
      </c>
      <c r="D60" s="422">
        <f>D37+D37*'выручка номеров'!$D$3</f>
        <v>1175825.676375</v>
      </c>
      <c r="E60" s="422">
        <f>E37+E37*'выручка номеров'!$D$3</f>
        <v>1045587.4648676472</v>
      </c>
      <c r="F60" s="422">
        <f>F37+F37*'выручка номеров'!$D$3</f>
        <v>1023485.2303632353</v>
      </c>
      <c r="G60" s="422">
        <f>G37+G37*'выручка номеров'!$D$3</f>
        <v>1219037.171625</v>
      </c>
      <c r="H60" s="422">
        <f>H37+H37*'выручка номеров'!$D$3</f>
        <v>1242803.4940125002</v>
      </c>
      <c r="I60" s="422">
        <f>I37+I37*'выручка номеров'!$D$3</f>
        <v>950379.14248014707</v>
      </c>
      <c r="J60" s="422">
        <f>J37+J37*'выручка номеров'!$D$3</f>
        <v>1154219.9287500002</v>
      </c>
      <c r="K60" s="422">
        <f>K37+K37*'выручка номеров'!$D$3</f>
        <v>1134325.9466205884</v>
      </c>
      <c r="L60" s="422">
        <f>L37+L37*'выручка номеров'!$D$3</f>
        <v>1059166.5228529414</v>
      </c>
      <c r="M60" s="422">
        <f>M37+M37*'выручка номеров'!$D$3</f>
        <v>1175825.676375</v>
      </c>
      <c r="N60" s="423">
        <f t="shared" si="52"/>
        <v>13388256.006068384</v>
      </c>
      <c r="O60" s="421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</row>
    <row r="61" spans="1:26" ht="13">
      <c r="A61" s="442" t="str">
        <f>A38</f>
        <v>ИТОГО</v>
      </c>
      <c r="B61" s="423">
        <f>SUM(B58:B60)</f>
        <v>14858269.18260934</v>
      </c>
      <c r="C61" s="423">
        <f t="shared" ref="C61:M61" si="54">SUM(C58:C60)</f>
        <v>13963410.371111039</v>
      </c>
      <c r="D61" s="423">
        <f t="shared" si="54"/>
        <v>15405270.67873008</v>
      </c>
      <c r="E61" s="423">
        <f t="shared" si="54"/>
        <v>13519977.580784248</v>
      </c>
      <c r="F61" s="423">
        <f t="shared" si="54"/>
        <v>13867717.90376872</v>
      </c>
      <c r="G61" s="423">
        <f t="shared" si="54"/>
        <v>16312490.31318444</v>
      </c>
      <c r="H61" s="423">
        <f t="shared" si="54"/>
        <v>16839371.740290586</v>
      </c>
      <c r="I61" s="423">
        <f t="shared" si="54"/>
        <v>12877166.624928098</v>
      </c>
      <c r="J61" s="423">
        <f t="shared" si="54"/>
        <v>14924650.576190403</v>
      </c>
      <c r="K61" s="423">
        <f t="shared" si="54"/>
        <v>14861555.243010197</v>
      </c>
      <c r="L61" s="423">
        <f t="shared" si="54"/>
        <v>13695561.705210015</v>
      </c>
      <c r="M61" s="423">
        <f t="shared" si="54"/>
        <v>15405270.67873008</v>
      </c>
      <c r="N61" s="423">
        <f t="shared" si="52"/>
        <v>176530712.59854722</v>
      </c>
      <c r="O61" s="421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</row>
    <row r="62" spans="1:26" ht="13">
      <c r="A62" s="421"/>
      <c r="B62" s="421"/>
      <c r="C62" s="421"/>
      <c r="D62" s="421"/>
      <c r="E62" s="421"/>
      <c r="F62" s="421"/>
      <c r="G62" s="421"/>
      <c r="H62" s="421"/>
      <c r="I62" s="421"/>
      <c r="J62" s="421"/>
      <c r="K62" s="421"/>
      <c r="L62" s="421"/>
      <c r="M62" s="421"/>
      <c r="N62" s="423"/>
      <c r="O62" s="421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</row>
    <row r="63" spans="1:26" ht="15.5">
      <c r="A63" s="590" t="str">
        <f>A40</f>
        <v>Эко-вилладж 4*</v>
      </c>
      <c r="B63" s="421"/>
      <c r="C63" s="421"/>
      <c r="D63" s="421"/>
      <c r="E63" s="421"/>
      <c r="F63" s="421"/>
      <c r="G63" s="421"/>
      <c r="H63" s="421"/>
      <c r="I63" s="421"/>
      <c r="J63" s="421"/>
      <c r="K63" s="421"/>
      <c r="L63" s="421"/>
      <c r="M63" s="421"/>
      <c r="N63" s="423"/>
      <c r="O63" s="421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</row>
    <row r="64" spans="1:26" ht="13">
      <c r="A64" s="421" t="str">
        <f>A41</f>
        <v>Проживание</v>
      </c>
      <c r="B64" s="422">
        <f>'выручка номеров'!C102</f>
        <v>17812269.949760001</v>
      </c>
      <c r="C64" s="422">
        <f>'выручка номеров'!D102</f>
        <v>7079654.5064960029</v>
      </c>
      <c r="D64" s="422">
        <f>'выручка номеров'!E102</f>
        <v>7924386.0101120044</v>
      </c>
      <c r="E64" s="422">
        <f>'выручка номеров'!F102</f>
        <v>8507653.0007040016</v>
      </c>
      <c r="F64" s="422">
        <f>'выручка номеров'!G102</f>
        <v>13993379.610496003</v>
      </c>
      <c r="G64" s="422">
        <f>'выручка номеров'!H102</f>
        <v>25643634.931200001</v>
      </c>
      <c r="H64" s="422">
        <f>'выручка номеров'!I102</f>
        <v>26498422.76224</v>
      </c>
      <c r="I64" s="422">
        <f>'выручка номеров'!J102</f>
        <v>23380961.260800004</v>
      </c>
      <c r="J64" s="422">
        <f>'выручка номеров'!K102</f>
        <v>14684752.120896004</v>
      </c>
      <c r="K64" s="422">
        <f>'выручка номеров'!L102</f>
        <v>5877923.3793280013</v>
      </c>
      <c r="L64" s="422">
        <f>'выручка номеров'!M102</f>
        <v>5701937.6494079996</v>
      </c>
      <c r="M64" s="422">
        <f>'выручка номеров'!N102</f>
        <v>10023644.359872002</v>
      </c>
      <c r="N64" s="423">
        <f t="shared" si="52"/>
        <v>167128619.54131207</v>
      </c>
      <c r="O64" s="421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</row>
    <row r="65" spans="1:26" ht="26">
      <c r="A65" s="421" t="str">
        <f>A42</f>
        <v>Услуги доподнительгного общественного питания</v>
      </c>
      <c r="B65" s="422">
        <f>B42+B42*'выручка номеров'!$D$3</f>
        <v>6998275.4549400005</v>
      </c>
      <c r="C65" s="422">
        <f>C42+C42*'выручка номеров'!$D$3</f>
        <v>3242195.3440800007</v>
      </c>
      <c r="D65" s="422">
        <f>D42+D42*'выручка номеров'!$D$3</f>
        <v>3749639.87916</v>
      </c>
      <c r="E65" s="422">
        <f>E42+E42*'выручка номеров'!$D$3</f>
        <v>4526361.1133999992</v>
      </c>
      <c r="F65" s="422">
        <f>F42+F42*'выручка номеров'!$D$3</f>
        <v>6405154.5776399998</v>
      </c>
      <c r="G65" s="422">
        <f>G42+G42*'выручка номеров'!$D$3</f>
        <v>8726282.0315999985</v>
      </c>
      <c r="H65" s="422">
        <f>H42+H42*'выручка номеров'!$D$3</f>
        <v>10034682.911819998</v>
      </c>
      <c r="I65" s="422">
        <f>I42+I42*'выручка номеров'!$D$3</f>
        <v>8364360.2993999999</v>
      </c>
      <c r="J65" s="422">
        <f>J42+J42*'выручка номеров'!$D$3</f>
        <v>5678204.8679999989</v>
      </c>
      <c r="K65" s="422">
        <f>K42+K42*'выручка номеров'!$D$3</f>
        <v>3224178.0421199999</v>
      </c>
      <c r="L65" s="422">
        <f>L42+L42*'выручка номеров'!$D$3</f>
        <v>3135109.3955999995</v>
      </c>
      <c r="M65" s="422">
        <f>M42+M42*'выручка номеров'!$D$3</f>
        <v>7020097.2021600008</v>
      </c>
      <c r="N65" s="423">
        <f t="shared" si="52"/>
        <v>71104541.11992</v>
      </c>
      <c r="O65" s="421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</row>
    <row r="66" spans="1:26" ht="13">
      <c r="A66" s="421" t="str">
        <f>A43</f>
        <v>Прочие услуги</v>
      </c>
      <c r="B66" s="422">
        <f>B43+B43*'выручка номеров'!$D$3</f>
        <v>9737833.9312800001</v>
      </c>
      <c r="C66" s="422">
        <f>C43+C43*'выручка номеров'!$D$3</f>
        <v>2809045.7438400001</v>
      </c>
      <c r="D66" s="422">
        <f>D43+D43*'выручка номеров'!$D$3</f>
        <v>3127587.4702800009</v>
      </c>
      <c r="E66" s="422">
        <f>E43+E43*'выручка номеров'!$D$3</f>
        <v>3181934.2419900005</v>
      </c>
      <c r="F66" s="422">
        <f>F43+F43*'выручка номеров'!$D$3</f>
        <v>5072012.1469710004</v>
      </c>
      <c r="G66" s="422">
        <f>G43+G43*'выручка номеров'!$D$3</f>
        <v>13820891.556150001</v>
      </c>
      <c r="H66" s="422">
        <f>H43+H43*'выручка номеров'!$D$3</f>
        <v>14281587.941354997</v>
      </c>
      <c r="I66" s="422">
        <f>I43+I43*'выручка номеров'!$D$3</f>
        <v>11179267.147125</v>
      </c>
      <c r="J66" s="422">
        <f>J43+J43*'выручка номеров'!$D$3</f>
        <v>5141369.629935001</v>
      </c>
      <c r="K66" s="422">
        <f>K43+K43*'выручка номеров'!$D$3</f>
        <v>2162582.874963</v>
      </c>
      <c r="L66" s="422">
        <f>L43+L43*'выручка номеров'!$D$3</f>
        <v>2095599.7320299998</v>
      </c>
      <c r="M66" s="422">
        <f>M43+M43*'выручка номеров'!$D$3</f>
        <v>3971215.2973500006</v>
      </c>
      <c r="N66" s="423">
        <f t="shared" si="52"/>
        <v>76580927.71326901</v>
      </c>
      <c r="O66" s="421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</row>
    <row r="67" spans="1:26" s="424" customFormat="1" ht="13">
      <c r="A67" s="442" t="str">
        <f>A44</f>
        <v>ИТОГО</v>
      </c>
      <c r="B67" s="423">
        <f>SUM(B64:B66)</f>
        <v>34548379.335980006</v>
      </c>
      <c r="C67" s="423">
        <f t="shared" ref="C67:M67" si="55">SUM(C64:C66)</f>
        <v>13130895.594416004</v>
      </c>
      <c r="D67" s="423">
        <f t="shared" si="55"/>
        <v>14801613.359552005</v>
      </c>
      <c r="E67" s="423">
        <f t="shared" si="55"/>
        <v>16215948.356094001</v>
      </c>
      <c r="F67" s="423">
        <f t="shared" si="55"/>
        <v>25470546.335107006</v>
      </c>
      <c r="G67" s="423">
        <f t="shared" si="55"/>
        <v>48190808.51895</v>
      </c>
      <c r="H67" s="423">
        <f t="shared" si="55"/>
        <v>50814693.615414999</v>
      </c>
      <c r="I67" s="423">
        <f t="shared" si="55"/>
        <v>42924588.707325004</v>
      </c>
      <c r="J67" s="423">
        <f t="shared" si="55"/>
        <v>25504326.618831005</v>
      </c>
      <c r="K67" s="423">
        <f t="shared" si="55"/>
        <v>11264684.296411002</v>
      </c>
      <c r="L67" s="423">
        <f t="shared" si="55"/>
        <v>10932646.777038001</v>
      </c>
      <c r="M67" s="423">
        <f t="shared" si="55"/>
        <v>21014956.859382004</v>
      </c>
      <c r="N67" s="423">
        <f t="shared" si="52"/>
        <v>314814088.37450099</v>
      </c>
      <c r="O67" s="442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</row>
    <row r="68" spans="1:26" ht="13">
      <c r="A68" s="421"/>
      <c r="B68" s="421"/>
      <c r="C68" s="421"/>
      <c r="D68" s="421"/>
      <c r="E68" s="421"/>
      <c r="F68" s="421"/>
      <c r="G68" s="421"/>
      <c r="H68" s="421"/>
      <c r="I68" s="421"/>
      <c r="J68" s="421"/>
      <c r="K68" s="421"/>
      <c r="L68" s="421"/>
      <c r="M68" s="421"/>
      <c r="N68" s="423">
        <f t="shared" si="52"/>
        <v>0</v>
      </c>
      <c r="O68" s="421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</row>
    <row r="69" spans="1:26" s="424" customFormat="1" ht="15.5">
      <c r="A69" s="591" t="s">
        <v>830</v>
      </c>
      <c r="B69" s="537">
        <f t="shared" ref="B69:M69" si="56">SUM(B55,B61,B67)</f>
        <v>118086899.73954636</v>
      </c>
      <c r="C69" s="537">
        <f t="shared" si="56"/>
        <v>62708789.104174048</v>
      </c>
      <c r="D69" s="537">
        <f t="shared" si="56"/>
        <v>70001482.816467658</v>
      </c>
      <c r="E69" s="537">
        <f t="shared" si="56"/>
        <v>67801113.450513005</v>
      </c>
      <c r="F69" s="537">
        <f t="shared" si="56"/>
        <v>102118160.41262352</v>
      </c>
      <c r="G69" s="537">
        <f t="shared" si="56"/>
        <v>144211113.54991567</v>
      </c>
      <c r="H69" s="537">
        <f t="shared" si="56"/>
        <v>150774984.41824621</v>
      </c>
      <c r="I69" s="537">
        <f t="shared" si="56"/>
        <v>133270191.8592031</v>
      </c>
      <c r="J69" s="537">
        <f t="shared" si="56"/>
        <v>95081606.794540182</v>
      </c>
      <c r="K69" s="537">
        <f t="shared" si="56"/>
        <v>62295710.032537393</v>
      </c>
      <c r="L69" s="537">
        <f t="shared" si="56"/>
        <v>56437848.200406767</v>
      </c>
      <c r="M69" s="537">
        <f t="shared" si="56"/>
        <v>87798353.476350605</v>
      </c>
      <c r="N69" s="537">
        <f t="shared" ref="N69" si="57">SUM(B69:M69)</f>
        <v>1150586253.8545246</v>
      </c>
      <c r="O69" s="205"/>
      <c r="P69" s="208"/>
      <c r="Q69" s="208"/>
      <c r="R69" s="208"/>
      <c r="S69" s="208"/>
      <c r="T69" s="208"/>
      <c r="U69" s="208"/>
      <c r="V69" s="208"/>
      <c r="W69" s="208"/>
      <c r="X69" s="208"/>
      <c r="Y69" s="208"/>
      <c r="Z69" s="208"/>
    </row>
    <row r="70" spans="1:26" ht="13">
      <c r="N70" s="589"/>
    </row>
  </sheetData>
  <mergeCells count="4">
    <mergeCell ref="A1:N1"/>
    <mergeCell ref="A25:N25"/>
    <mergeCell ref="A48:N48"/>
    <mergeCell ref="P48:S48"/>
  </mergeCells>
  <pageMargins left="0.7" right="0.7" top="0.75" bottom="0.75" header="0" footer="0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49AFB-9385-4959-AFE0-2EEDDD50F5F8}">
  <dimension ref="A1:Z26"/>
  <sheetViews>
    <sheetView workbookViewId="0">
      <selection activeCell="M20" sqref="M20"/>
    </sheetView>
  </sheetViews>
  <sheetFormatPr defaultColWidth="14.453125" defaultRowHeight="12.5"/>
  <cols>
    <col min="1" max="1" width="29.26953125" customWidth="1"/>
    <col min="2" max="2" width="10" customWidth="1"/>
    <col min="3" max="5" width="9.453125" customWidth="1"/>
    <col min="6" max="9" width="11.453125" customWidth="1"/>
    <col min="10" max="10" width="10.1796875" customWidth="1"/>
    <col min="11" max="13" width="9.453125" customWidth="1"/>
    <col min="14" max="14" width="12.1796875" customWidth="1"/>
    <col min="15" max="15" width="10.1796875" customWidth="1"/>
    <col min="16" max="26" width="9.1796875" customWidth="1"/>
    <col min="30" max="69" width="12.453125" customWidth="1"/>
  </cols>
  <sheetData>
    <row r="1" spans="1:26" ht="27.65" customHeight="1">
      <c r="A1" s="814" t="s">
        <v>369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</row>
    <row r="2" spans="1:26" ht="31">
      <c r="A2" s="588" t="str">
        <f>Инфраструктура!A159</f>
        <v>Этно-деревня у водохранилища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7"/>
      <c r="O2" s="205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</row>
    <row r="3" spans="1:26" ht="13">
      <c r="A3" s="228" t="s">
        <v>320</v>
      </c>
      <c r="B3" s="206">
        <f>'выручка номеров'!C37</f>
        <v>5412095.8125</v>
      </c>
      <c r="C3" s="206">
        <f>'выручка номеров'!D37</f>
        <v>1701596.875</v>
      </c>
      <c r="D3" s="206">
        <f>'выручка номеров'!E37</f>
        <v>1904628.3203125</v>
      </c>
      <c r="E3" s="206">
        <f>'выручка номеров'!F37</f>
        <v>2181137.8125</v>
      </c>
      <c r="F3" s="206">
        <f>'выручка номеров'!G37</f>
        <v>4892091.015625</v>
      </c>
      <c r="G3" s="206">
        <f>'выручка номеров'!H37</f>
        <v>8701347.65625</v>
      </c>
      <c r="H3" s="206">
        <f>'выручка номеров'!I37</f>
        <v>8991392.578125</v>
      </c>
      <c r="I3" s="206">
        <f>'выручка номеров'!J37</f>
        <v>8391966.40625</v>
      </c>
      <c r="J3" s="206">
        <f>'выручка номеров'!K37</f>
        <v>5133795.1171875</v>
      </c>
      <c r="K3" s="206">
        <f>'выручка номеров'!L37</f>
        <v>1614583.3984375</v>
      </c>
      <c r="L3" s="206">
        <f>'выручка номеров'!M37</f>
        <v>1566242.5781250002</v>
      </c>
      <c r="M3" s="206">
        <f>'выручка номеров'!N37</f>
        <v>3426397.34375</v>
      </c>
      <c r="N3" s="207">
        <f t="shared" ref="N3:N7" si="0">SUM(B3:M3)</f>
        <v>53917274.9140625</v>
      </c>
      <c r="O3" s="440">
        <f>N3/$N$7</f>
        <v>0.31774517935553742</v>
      </c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</row>
    <row r="4" spans="1:26" ht="26">
      <c r="A4" s="228" t="s">
        <v>821</v>
      </c>
      <c r="B4" s="206">
        <f>'"Шведский стол" '!B72</f>
        <v>1007747.9999999999</v>
      </c>
      <c r="C4" s="206">
        <f>'"Шведский стол" '!C72</f>
        <v>379259.99999999994</v>
      </c>
      <c r="D4" s="206">
        <f>'"Шведский стол" '!D72</f>
        <v>419894.99999999994</v>
      </c>
      <c r="E4" s="206">
        <f>'"Шведский стол" '!E72</f>
        <v>487619.99999999994</v>
      </c>
      <c r="F4" s="206">
        <f>'"Шведский стол" '!F72</f>
        <v>839789.99999999988</v>
      </c>
      <c r="G4" s="206">
        <f>'"Шведский стол" '!G72</f>
        <v>1219050</v>
      </c>
      <c r="H4" s="206">
        <f>'"Шведский стол" '!H72</f>
        <v>1259685</v>
      </c>
      <c r="I4" s="206">
        <f>'"Шведский стол" '!I72</f>
        <v>1175706</v>
      </c>
      <c r="J4" s="206">
        <f>'"Шведский стол" '!J72</f>
        <v>812699.99999999988</v>
      </c>
      <c r="K4" s="206">
        <f>'"Шведский стол" '!K72</f>
        <v>419894.99999999994</v>
      </c>
      <c r="L4" s="206">
        <f>'"Шведский стол" '!L72</f>
        <v>406349.99999999994</v>
      </c>
      <c r="M4" s="206">
        <f>'"Шведский стол" '!M72</f>
        <v>671832</v>
      </c>
      <c r="N4" s="207">
        <f t="shared" si="0"/>
        <v>9099531</v>
      </c>
      <c r="O4" s="440">
        <f>N4/$N$7</f>
        <v>5.3625338340164634E-2</v>
      </c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</row>
    <row r="5" spans="1:26" ht="26">
      <c r="A5" s="228" t="s">
        <v>822</v>
      </c>
      <c r="B5" s="206">
        <f>'выручка от общепита'!B109</f>
        <v>2894025.1499999994</v>
      </c>
      <c r="C5" s="206">
        <f>'выручка от общепита'!C109</f>
        <v>957899.25</v>
      </c>
      <c r="D5" s="206">
        <f>'выручка от общепита'!D109</f>
        <v>1147718.8125</v>
      </c>
      <c r="E5" s="206">
        <f>'выручка от общепита'!E109</f>
        <v>1400334.7499999998</v>
      </c>
      <c r="F5" s="206">
        <f>'выручка от общепита'!F109</f>
        <v>2382625.125</v>
      </c>
      <c r="G5" s="206">
        <f>'выручка от общепита'!G109</f>
        <v>3078961.8749999995</v>
      </c>
      <c r="H5" s="206">
        <f>'выручка от общепита'!H109</f>
        <v>3617531.4374999995</v>
      </c>
      <c r="I5" s="206">
        <f>'выручка от общепита'!I109</f>
        <v>3231050.1749999998</v>
      </c>
      <c r="J5" s="206">
        <f>'выручка от общепита'!J109</f>
        <v>2137016.25</v>
      </c>
      <c r="K5" s="206">
        <f>'выручка от общепита'!K109</f>
        <v>1060531.3125</v>
      </c>
      <c r="L5" s="206">
        <f>'выручка от общепита'!L109</f>
        <v>1026320.6249999999</v>
      </c>
      <c r="M5" s="206">
        <f>'выручка от общепита'!M109</f>
        <v>2132787.5999999996</v>
      </c>
      <c r="N5" s="207">
        <f t="shared" si="0"/>
        <v>25066802.362499997</v>
      </c>
      <c r="O5" s="440">
        <f>N5/$N$7</f>
        <v>0.14772363078878467</v>
      </c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</row>
    <row r="6" spans="1:26" ht="13">
      <c r="A6" s="228" t="s">
        <v>823</v>
      </c>
      <c r="B6" s="206">
        <f>'Выручка от прочих услуг'!B55</f>
        <v>9517119.040000001</v>
      </c>
      <c r="C6" s="206">
        <f>'Выручка от прочих услуг'!C55</f>
        <v>3047844.8</v>
      </c>
      <c r="D6" s="206">
        <f>'Выручка от прочих услуг'!D55</f>
        <v>3729039.5999999996</v>
      </c>
      <c r="E6" s="206">
        <f>'Выручка от прочих услуг'!E55</f>
        <v>4605057.5999999996</v>
      </c>
      <c r="F6" s="206">
        <f>'Выручка от прочих услуг'!F55</f>
        <v>7812719.1999999993</v>
      </c>
      <c r="G6" s="206">
        <f>'Выручка от прочих услуг'!G55</f>
        <v>9796644</v>
      </c>
      <c r="H6" s="206">
        <f>'Выручка от прочих услуг'!H55</f>
        <v>11896398.800000003</v>
      </c>
      <c r="I6" s="206">
        <f>'Выручка от прочих услуг'!I55</f>
        <v>10512238.880000001</v>
      </c>
      <c r="J6" s="206">
        <f>'Выручка от прочих услуг'!J55</f>
        <v>6874296</v>
      </c>
      <c r="K6" s="206">
        <f>'Выручка от прочих услуг'!K55</f>
        <v>3374399.5999999996</v>
      </c>
      <c r="L6" s="206">
        <f>'Выручка от прочих услуг'!L55</f>
        <v>3265548</v>
      </c>
      <c r="M6" s="206">
        <f>'Выручка от прочих услуг'!M55</f>
        <v>7172239.3599999994</v>
      </c>
      <c r="N6" s="207">
        <f t="shared" si="0"/>
        <v>81603544.879999995</v>
      </c>
      <c r="O6" s="440">
        <f>N6/$N$7</f>
        <v>0.48090585151551318</v>
      </c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</row>
    <row r="7" spans="1:26" s="424" customFormat="1" ht="15.5">
      <c r="A7" s="591" t="s">
        <v>830</v>
      </c>
      <c r="B7" s="207">
        <f t="shared" ref="B7:M7" si="1">SUM(B3:B6)</f>
        <v>18830988.002499998</v>
      </c>
      <c r="C7" s="207">
        <f t="shared" si="1"/>
        <v>6086600.9249999998</v>
      </c>
      <c r="D7" s="207">
        <f t="shared" si="1"/>
        <v>7201281.7328124996</v>
      </c>
      <c r="E7" s="207">
        <f t="shared" si="1"/>
        <v>8674150.1624999996</v>
      </c>
      <c r="F7" s="207">
        <f t="shared" si="1"/>
        <v>15927225.340624999</v>
      </c>
      <c r="G7" s="207">
        <f t="shared" si="1"/>
        <v>22796003.53125</v>
      </c>
      <c r="H7" s="207">
        <f t="shared" si="1"/>
        <v>25765007.815625004</v>
      </c>
      <c r="I7" s="207">
        <f t="shared" si="1"/>
        <v>23310961.46125</v>
      </c>
      <c r="J7" s="207">
        <f t="shared" si="1"/>
        <v>14957807.3671875</v>
      </c>
      <c r="K7" s="207">
        <f t="shared" si="1"/>
        <v>6469409.3109374996</v>
      </c>
      <c r="L7" s="207">
        <f t="shared" si="1"/>
        <v>6264461.203125</v>
      </c>
      <c r="M7" s="207">
        <f t="shared" si="1"/>
        <v>13403256.303749999</v>
      </c>
      <c r="N7" s="207">
        <f t="shared" si="0"/>
        <v>169687153.15656251</v>
      </c>
      <c r="O7" s="440">
        <f>N7/$N$7</f>
        <v>1</v>
      </c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</row>
    <row r="8" spans="1:26" s="424" customFormat="1" ht="13">
      <c r="A8" s="242"/>
      <c r="B8" s="207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440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</row>
    <row r="9" spans="1:26" ht="13"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8"/>
      <c r="O9" s="462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</row>
    <row r="10" spans="1:26" ht="25.5" customHeight="1">
      <c r="A10" s="816" t="s">
        <v>384</v>
      </c>
      <c r="B10" s="816"/>
      <c r="C10" s="816"/>
      <c r="D10" s="816"/>
      <c r="E10" s="816"/>
      <c r="F10" s="816"/>
      <c r="G10" s="816"/>
      <c r="H10" s="816"/>
      <c r="I10" s="816"/>
      <c r="J10" s="816"/>
      <c r="K10" s="816"/>
      <c r="L10" s="816"/>
      <c r="M10" s="816"/>
      <c r="N10" s="816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</row>
    <row r="11" spans="1:26" ht="31">
      <c r="A11" s="588" t="str">
        <f>A2</f>
        <v>Этно-деревня у водохранилища</v>
      </c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7"/>
      <c r="O11" s="205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</row>
    <row r="12" spans="1:26" ht="13">
      <c r="A12" s="228" t="str">
        <f>A3</f>
        <v>Проживание</v>
      </c>
      <c r="B12" s="206">
        <f>'выручка номеров'!C73</f>
        <v>5628579.6450000005</v>
      </c>
      <c r="C12" s="206">
        <f>'выручка номеров'!D73</f>
        <v>1769660.75</v>
      </c>
      <c r="D12" s="206">
        <f>'выручка номеров'!E73</f>
        <v>1980813.453125</v>
      </c>
      <c r="E12" s="206">
        <f>'выручка номеров'!F73</f>
        <v>2268383.3249999997</v>
      </c>
      <c r="F12" s="206">
        <f>'выручка номеров'!G73</f>
        <v>5087774.6562500009</v>
      </c>
      <c r="G12" s="206">
        <f>'выручка номеров'!H73</f>
        <v>9049401.5625</v>
      </c>
      <c r="H12" s="206">
        <f>'выручка номеров'!I73</f>
        <v>9351048.28125</v>
      </c>
      <c r="I12" s="206">
        <f>'выручка номеров'!J73</f>
        <v>8727645.0625</v>
      </c>
      <c r="J12" s="206">
        <f>'выручка номеров'!K73</f>
        <v>5339146.921875</v>
      </c>
      <c r="K12" s="206">
        <f>'выручка номеров'!L73</f>
        <v>1679166.7343750002</v>
      </c>
      <c r="L12" s="206">
        <f>'выручка номеров'!M73</f>
        <v>1628892.2812500002</v>
      </c>
      <c r="M12" s="206">
        <f>'выручка номеров'!N73</f>
        <v>3563453.2375000003</v>
      </c>
      <c r="N12" s="207">
        <f t="shared" ref="N12:N16" si="2">SUM(B12:M12)</f>
        <v>56073965.910624996</v>
      </c>
      <c r="O12" s="440">
        <f>N12/$N$16</f>
        <v>0.30905849214902281</v>
      </c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</row>
    <row r="13" spans="1:26" ht="26">
      <c r="A13" s="228" t="str">
        <f>A4</f>
        <v>Питание, входящее в стоимость номера</v>
      </c>
      <c r="B13" s="206">
        <f>'"Шведский стол" '!B85</f>
        <v>1469632.4999999998</v>
      </c>
      <c r="C13" s="206">
        <f>'"Шведский стол" '!C85</f>
        <v>553087.49999999988</v>
      </c>
      <c r="D13" s="206">
        <f>'"Шведский стол" '!D85</f>
        <v>612346.87499999988</v>
      </c>
      <c r="E13" s="206">
        <f>'"Шведский стол" '!E85</f>
        <v>711112.49999999988</v>
      </c>
      <c r="F13" s="206">
        <f>'"Шведский стол" '!F85</f>
        <v>1224693.7499999998</v>
      </c>
      <c r="G13" s="206">
        <f>'"Шведский стол" '!G85</f>
        <v>1777781.2499999998</v>
      </c>
      <c r="H13" s="206">
        <f>'"Шведский стол" '!H85</f>
        <v>1837040.6249999998</v>
      </c>
      <c r="I13" s="206">
        <f>'"Шведский стол" '!I85</f>
        <v>1714571.2499999998</v>
      </c>
      <c r="J13" s="206">
        <f>'"Шведский стол" '!J85</f>
        <v>1185187.4999999998</v>
      </c>
      <c r="K13" s="206">
        <f>'"Шведский стол" '!K85</f>
        <v>612346.87499999988</v>
      </c>
      <c r="L13" s="206">
        <f>'"Шведский стол" '!L85</f>
        <v>592593.74999999988</v>
      </c>
      <c r="M13" s="206">
        <f>'"Шведский стол" '!M85</f>
        <v>979754.99999999988</v>
      </c>
      <c r="N13" s="207">
        <f t="shared" si="2"/>
        <v>13270149.374999998</v>
      </c>
      <c r="O13" s="440">
        <f>N13/$N$16</f>
        <v>7.3140044400759677E-2</v>
      </c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</row>
    <row r="14" spans="1:26" ht="26">
      <c r="A14" s="228" t="str">
        <f>A5</f>
        <v>Услуги доподнительгного общественного питания</v>
      </c>
      <c r="B14" s="206">
        <f>B5*1.08</f>
        <v>3125547.1619999995</v>
      </c>
      <c r="C14" s="206">
        <f>C5+C5*'выручка номеров'!$C$3</f>
        <v>1005794.2125</v>
      </c>
      <c r="D14" s="206">
        <f>D5+D5*'выручка номеров'!$C$3</f>
        <v>1205104.753125</v>
      </c>
      <c r="E14" s="206">
        <f>E5+E5*'выручка номеров'!$C$3</f>
        <v>1470351.4874999998</v>
      </c>
      <c r="F14" s="206">
        <f>F5+F5*'выручка номеров'!$C$3</f>
        <v>2501756.3812500001</v>
      </c>
      <c r="G14" s="206">
        <f>G5+G5*'выручка номеров'!$C$3</f>
        <v>3232909.9687499995</v>
      </c>
      <c r="H14" s="206">
        <f>H5+H5*'выручка номеров'!$C$3</f>
        <v>3798408.0093749994</v>
      </c>
      <c r="I14" s="206">
        <f>I5+I5*'выручка номеров'!$C$3</f>
        <v>3392602.6837499999</v>
      </c>
      <c r="J14" s="206">
        <f>J5+J5*'выручка номеров'!$C$3</f>
        <v>2243867.0625</v>
      </c>
      <c r="K14" s="206">
        <f>K5+K5*'выручка номеров'!$C$3</f>
        <v>1113557.878125</v>
      </c>
      <c r="L14" s="206">
        <f>L5+L5*'выручка номеров'!$C$3</f>
        <v>1077636.65625</v>
      </c>
      <c r="M14" s="206">
        <f>M5+M5*'выручка номеров'!$C$3</f>
        <v>2239426.9799999995</v>
      </c>
      <c r="N14" s="207">
        <f t="shared" si="2"/>
        <v>26406963.235125002</v>
      </c>
      <c r="O14" s="440">
        <f>N14/$N$16</f>
        <v>0.14554519387286635</v>
      </c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</row>
    <row r="15" spans="1:26" ht="13">
      <c r="A15" s="228" t="str">
        <f>A6</f>
        <v>Прочие услуги</v>
      </c>
      <c r="B15" s="206">
        <f>B6+B6*'выручка номеров'!$C$3</f>
        <v>9992974.9920000006</v>
      </c>
      <c r="C15" s="206">
        <f>C6+C6*'выручка номеров'!$C$3</f>
        <v>3200237.04</v>
      </c>
      <c r="D15" s="206">
        <f>D6+D6*'выручка номеров'!$C$3</f>
        <v>3915491.5799999996</v>
      </c>
      <c r="E15" s="206">
        <f>E6+E6*'выручка номеров'!$C$3</f>
        <v>4835310.4799999995</v>
      </c>
      <c r="F15" s="206">
        <f>F6+F6*'выручка номеров'!$C$3</f>
        <v>8203355.1599999992</v>
      </c>
      <c r="G15" s="206">
        <f>G6+G6*'выручка номеров'!$C$3</f>
        <v>10286476.199999999</v>
      </c>
      <c r="H15" s="206">
        <f>H6+H6*'выручка номеров'!$C$3</f>
        <v>12491218.740000002</v>
      </c>
      <c r="I15" s="206">
        <f>I6+I6*'выручка номеров'!$C$3</f>
        <v>11037850.824000001</v>
      </c>
      <c r="J15" s="206">
        <f>J6+J6*'выручка номеров'!$C$3</f>
        <v>7218010.7999999998</v>
      </c>
      <c r="K15" s="206">
        <f>K6+K6*'выручка номеров'!$C$3</f>
        <v>3543119.5799999996</v>
      </c>
      <c r="L15" s="206">
        <f>L6+L6*'выручка номеров'!$C$3</f>
        <v>3428825.4</v>
      </c>
      <c r="M15" s="206">
        <f>M6+M6*'выручка номеров'!$C$3</f>
        <v>7530851.3279999997</v>
      </c>
      <c r="N15" s="207">
        <f t="shared" si="2"/>
        <v>85683722.123999998</v>
      </c>
      <c r="O15" s="440">
        <f>N15/$N$16</f>
        <v>0.47225626957735095</v>
      </c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</row>
    <row r="16" spans="1:26" s="424" customFormat="1" ht="15.5">
      <c r="A16" s="591" t="s">
        <v>830</v>
      </c>
      <c r="B16" s="207">
        <f t="shared" ref="B16:M16" si="3">SUM(B12:B15)</f>
        <v>20216734.299000002</v>
      </c>
      <c r="C16" s="207">
        <f t="shared" si="3"/>
        <v>6528779.5024999995</v>
      </c>
      <c r="D16" s="207">
        <f t="shared" si="3"/>
        <v>7713756.661249999</v>
      </c>
      <c r="E16" s="207">
        <f t="shared" si="3"/>
        <v>9285157.7925000004</v>
      </c>
      <c r="F16" s="207">
        <f t="shared" si="3"/>
        <v>17017579.947500002</v>
      </c>
      <c r="G16" s="207">
        <f t="shared" si="3"/>
        <v>24346568.981249999</v>
      </c>
      <c r="H16" s="207">
        <f t="shared" si="3"/>
        <v>27477715.655625001</v>
      </c>
      <c r="I16" s="207">
        <f t="shared" si="3"/>
        <v>24872669.820250001</v>
      </c>
      <c r="J16" s="207">
        <f t="shared" si="3"/>
        <v>15986212.284375001</v>
      </c>
      <c r="K16" s="207">
        <f t="shared" si="3"/>
        <v>6948191.067499999</v>
      </c>
      <c r="L16" s="207">
        <f t="shared" si="3"/>
        <v>6727948.0875000004</v>
      </c>
      <c r="M16" s="207">
        <f t="shared" si="3"/>
        <v>14313486.545499999</v>
      </c>
      <c r="N16" s="207">
        <f t="shared" si="2"/>
        <v>181434800.64475003</v>
      </c>
      <c r="O16" s="440">
        <f>N16/$N$16</f>
        <v>1</v>
      </c>
      <c r="P16" s="208"/>
      <c r="Q16" s="208"/>
      <c r="R16" s="208"/>
      <c r="S16" s="208"/>
      <c r="T16" s="208"/>
      <c r="U16" s="208"/>
      <c r="V16" s="208"/>
      <c r="W16" s="208"/>
      <c r="X16" s="208"/>
      <c r="Y16" s="208"/>
      <c r="Z16" s="208"/>
    </row>
    <row r="17" spans="1:26" s="424" customFormat="1" ht="15.5">
      <c r="A17" s="592"/>
      <c r="B17" s="593"/>
      <c r="C17" s="593"/>
      <c r="D17" s="593"/>
      <c r="E17" s="593"/>
      <c r="F17" s="593"/>
      <c r="G17" s="593"/>
      <c r="H17" s="593"/>
      <c r="I17" s="593"/>
      <c r="J17" s="593"/>
      <c r="K17" s="593"/>
      <c r="L17" s="593"/>
      <c r="M17" s="593"/>
      <c r="N17" s="593"/>
      <c r="O17" s="516"/>
      <c r="P17" s="208"/>
      <c r="Q17" s="208"/>
      <c r="R17" s="208"/>
      <c r="S17" s="208"/>
      <c r="T17" s="208"/>
      <c r="U17" s="208"/>
      <c r="V17" s="208"/>
      <c r="W17" s="208"/>
      <c r="X17" s="208"/>
      <c r="Y17" s="208"/>
      <c r="Z17" s="208"/>
    </row>
    <row r="18" spans="1:26" ht="22" customHeight="1">
      <c r="A18" s="817" t="s">
        <v>385</v>
      </c>
      <c r="B18" s="817"/>
      <c r="C18" s="817"/>
      <c r="D18" s="817"/>
      <c r="E18" s="817"/>
      <c r="F18" s="817"/>
      <c r="G18" s="817"/>
      <c r="H18" s="817"/>
      <c r="I18" s="817"/>
      <c r="J18" s="817"/>
      <c r="K18" s="817"/>
      <c r="L18" s="817"/>
      <c r="M18" s="817"/>
      <c r="N18" s="817"/>
      <c r="O18" s="420"/>
      <c r="P18" s="818"/>
      <c r="Q18" s="818"/>
      <c r="R18" s="818"/>
      <c r="S18" s="818"/>
      <c r="T18" s="203"/>
      <c r="U18" s="203"/>
      <c r="V18" s="203"/>
      <c r="W18" s="203"/>
      <c r="X18" s="203"/>
      <c r="Y18" s="203"/>
      <c r="Z18" s="203"/>
    </row>
    <row r="19" spans="1:26" ht="13">
      <c r="A19" s="421"/>
      <c r="B19" s="421"/>
      <c r="C19" s="421"/>
      <c r="D19" s="421"/>
      <c r="E19" s="421"/>
      <c r="F19" s="421"/>
      <c r="G19" s="421"/>
      <c r="H19" s="421"/>
      <c r="I19" s="421"/>
      <c r="J19" s="421"/>
      <c r="K19" s="421"/>
      <c r="L19" s="421"/>
      <c r="M19" s="421"/>
      <c r="N19" s="423">
        <f t="shared" ref="N19:N25" si="4">SUM(B19:M19)</f>
        <v>0</v>
      </c>
      <c r="O19" s="421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</row>
    <row r="20" spans="1:26" ht="31">
      <c r="A20" s="590" t="str">
        <f>A11</f>
        <v>Этно-деревня у водохранилища</v>
      </c>
      <c r="B20" s="422"/>
      <c r="C20" s="421"/>
      <c r="D20" s="421"/>
      <c r="E20" s="421"/>
      <c r="F20" s="421"/>
      <c r="G20" s="421"/>
      <c r="H20" s="421"/>
      <c r="I20" s="421"/>
      <c r="J20" s="421"/>
      <c r="K20" s="421"/>
      <c r="L20" s="421"/>
      <c r="M20" s="421"/>
      <c r="N20" s="423">
        <f t="shared" si="4"/>
        <v>0</v>
      </c>
      <c r="O20" s="421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</row>
    <row r="21" spans="1:26" ht="13">
      <c r="A21" s="421" t="str">
        <f>A12</f>
        <v>Проживание</v>
      </c>
      <c r="B21" s="422">
        <f>'выручка номеров'!C109</f>
        <v>5853722.8308000006</v>
      </c>
      <c r="C21" s="422">
        <f>'выручка номеров'!D109</f>
        <v>1840447.1800000002</v>
      </c>
      <c r="D21" s="422">
        <f>'выручка номеров'!E109</f>
        <v>2060045.9912500002</v>
      </c>
      <c r="E21" s="422">
        <f>'выручка номеров'!F109</f>
        <v>2359118.6579999998</v>
      </c>
      <c r="F21" s="422">
        <f>'выручка номеров'!G109</f>
        <v>5291285.642500001</v>
      </c>
      <c r="G21" s="422">
        <f>'выручка номеров'!H109</f>
        <v>9411377.625</v>
      </c>
      <c r="H21" s="422">
        <f>'выручка номеров'!I109</f>
        <v>9725090.2125000004</v>
      </c>
      <c r="I21" s="422">
        <f>'выручка номеров'!J109</f>
        <v>9076750.8650000002</v>
      </c>
      <c r="J21" s="422">
        <f>'выручка номеров'!K109</f>
        <v>5552712.7987499991</v>
      </c>
      <c r="K21" s="422">
        <f>'выручка номеров'!L109</f>
        <v>1746333.4037500001</v>
      </c>
      <c r="L21" s="422">
        <f>'выручка номеров'!M109</f>
        <v>1694047.9725000004</v>
      </c>
      <c r="M21" s="422">
        <f>'выручка номеров'!N109</f>
        <v>3705991.3670000001</v>
      </c>
      <c r="N21" s="423">
        <f t="shared" si="4"/>
        <v>58316924.547050007</v>
      </c>
      <c r="O21" s="544"/>
    </row>
    <row r="22" spans="1:26" ht="26">
      <c r="A22" s="421" t="str">
        <f>A13</f>
        <v>Питание, входящее в стоимость номера</v>
      </c>
      <c r="B22" s="422">
        <f>'"Шведский стол" '!B97</f>
        <v>1543114.1249999998</v>
      </c>
      <c r="C22" s="422">
        <f>'"Шведский стол" '!C97</f>
        <v>580741.87499999988</v>
      </c>
      <c r="D22" s="422">
        <f>'"Шведский стол" '!D97</f>
        <v>642964.21874999988</v>
      </c>
      <c r="E22" s="422">
        <f>'"Шведский стол" '!E97</f>
        <v>746668.12499999988</v>
      </c>
      <c r="F22" s="422">
        <f>'"Шведский стол" '!F97</f>
        <v>1285928.4374999998</v>
      </c>
      <c r="G22" s="422">
        <f>'"Шведский стол" '!G97</f>
        <v>1866670.3124999998</v>
      </c>
      <c r="H22" s="422">
        <f>'"Шведский стол" '!H97</f>
        <v>1928892.6562499998</v>
      </c>
      <c r="I22" s="422">
        <f>'"Шведский стол" '!I97</f>
        <v>1800299.8124999998</v>
      </c>
      <c r="J22" s="422">
        <f>'"Шведский стол" '!J97</f>
        <v>1244446.8749999998</v>
      </c>
      <c r="K22" s="422">
        <f>'"Шведский стол" '!K97</f>
        <v>642964.21874999988</v>
      </c>
      <c r="L22" s="422">
        <f>'"Шведский стол" '!L97</f>
        <v>622223.43749999988</v>
      </c>
      <c r="M22" s="422">
        <f>'"Шведский стол" '!M97</f>
        <v>1028742.7499999999</v>
      </c>
      <c r="N22" s="423">
        <f t="shared" si="4"/>
        <v>13933656.843749998</v>
      </c>
      <c r="O22" s="544"/>
    </row>
    <row r="23" spans="1:26" ht="26">
      <c r="A23" s="421" t="str">
        <f>A14</f>
        <v>Услуги доподнительгного общественного питания</v>
      </c>
      <c r="B23" s="422">
        <f>B14+B14*'выручка номеров'!$D$3</f>
        <v>3281824.5200999994</v>
      </c>
      <c r="C23" s="422">
        <f>C14+C14*'выручка номеров'!$D$3</f>
        <v>1056083.923125</v>
      </c>
      <c r="D23" s="422">
        <f>D14+D14*'выручка номеров'!$D$3</f>
        <v>1265359.9907812499</v>
      </c>
      <c r="E23" s="422">
        <f>E14+E14*'выручка номеров'!$D$3</f>
        <v>1543869.0618749999</v>
      </c>
      <c r="F23" s="422">
        <f>F14+F14*'выручка номеров'!$D$3</f>
        <v>2626844.2003124999</v>
      </c>
      <c r="G23" s="422">
        <f>G14+G14*'выручка номеров'!$D$3</f>
        <v>3394555.4671874996</v>
      </c>
      <c r="H23" s="422">
        <f>H14+H14*'выручка номеров'!$D$3</f>
        <v>3988328.4098437494</v>
      </c>
      <c r="I23" s="422">
        <f>I14+I14*'выручка номеров'!$D$3</f>
        <v>3562232.8179374998</v>
      </c>
      <c r="J23" s="422">
        <f>J14+J14*'выручка номеров'!$D$3</f>
        <v>2356060.4156249999</v>
      </c>
      <c r="K23" s="422">
        <f>K14+K14*'выручка номеров'!$D$3</f>
        <v>1169235.7720312499</v>
      </c>
      <c r="L23" s="422">
        <f>L14+L14*'выручка номеров'!$D$3</f>
        <v>1131518.4890625</v>
      </c>
      <c r="M23" s="422">
        <f>M14+M14*'выручка номеров'!$D$3</f>
        <v>2351398.3289999994</v>
      </c>
      <c r="N23" s="423">
        <f t="shared" si="4"/>
        <v>27727311.396881249</v>
      </c>
      <c r="O23" s="544"/>
    </row>
    <row r="24" spans="1:26" ht="13">
      <c r="A24" s="421" t="str">
        <f>A15</f>
        <v>Прочие услуги</v>
      </c>
      <c r="B24" s="422">
        <f>B15+B15*'выручка номеров'!$D$3</f>
        <v>10492623.741600001</v>
      </c>
      <c r="C24" s="422">
        <f>C15+C15*'выручка номеров'!$D$3</f>
        <v>3360248.892</v>
      </c>
      <c r="D24" s="422">
        <f>D15+D15*'выручка номеров'!$D$3</f>
        <v>4111266.1589999995</v>
      </c>
      <c r="E24" s="422">
        <f>E15+E15*'выручка номеров'!$D$3</f>
        <v>5077076.0039999997</v>
      </c>
      <c r="F24" s="422">
        <f>F15+F15*'выручка номеров'!$D$3</f>
        <v>8613522.9179999996</v>
      </c>
      <c r="G24" s="422">
        <f>G15+G15*'выручка номеров'!$D$3</f>
        <v>10800800.01</v>
      </c>
      <c r="H24" s="422">
        <f>H15+H15*'выручка номеров'!$D$3</f>
        <v>13115779.677000003</v>
      </c>
      <c r="I24" s="422">
        <f>I15+I15*'выручка номеров'!$D$3</f>
        <v>11589743.365200002</v>
      </c>
      <c r="J24" s="422">
        <f>J15+J15*'выручка номеров'!$D$3</f>
        <v>7578911.3399999999</v>
      </c>
      <c r="K24" s="422">
        <f>K15+K15*'выручка номеров'!$D$3</f>
        <v>3720275.5589999994</v>
      </c>
      <c r="L24" s="422">
        <f>L15+L15*'выручка номеров'!$D$3</f>
        <v>3600266.67</v>
      </c>
      <c r="M24" s="422">
        <f>M15+M15*'выручка номеров'!$D$3</f>
        <v>7907393.8943999996</v>
      </c>
      <c r="N24" s="423">
        <f t="shared" si="4"/>
        <v>89967908.230200008</v>
      </c>
      <c r="O24" s="544"/>
    </row>
    <row r="25" spans="1:26" ht="15.5">
      <c r="A25" s="591" t="s">
        <v>830</v>
      </c>
      <c r="B25" s="423">
        <f t="shared" ref="B25:M25" si="5">SUM(B21:B24)</f>
        <v>21171285.217500001</v>
      </c>
      <c r="C25" s="423">
        <f t="shared" si="5"/>
        <v>6837521.8701250004</v>
      </c>
      <c r="D25" s="423">
        <f t="shared" si="5"/>
        <v>8079636.3597812494</v>
      </c>
      <c r="E25" s="423">
        <f t="shared" si="5"/>
        <v>9726731.8488749992</v>
      </c>
      <c r="F25" s="423">
        <f t="shared" si="5"/>
        <v>17817581.198312499</v>
      </c>
      <c r="G25" s="423">
        <f t="shared" si="5"/>
        <v>25473403.414687499</v>
      </c>
      <c r="H25" s="423">
        <f t="shared" si="5"/>
        <v>28758090.95559375</v>
      </c>
      <c r="I25" s="423">
        <f t="shared" si="5"/>
        <v>26029026.860637501</v>
      </c>
      <c r="J25" s="423">
        <f t="shared" si="5"/>
        <v>16732131.429374998</v>
      </c>
      <c r="K25" s="423">
        <f t="shared" si="5"/>
        <v>7278808.9535312494</v>
      </c>
      <c r="L25" s="423">
        <f t="shared" si="5"/>
        <v>7048056.5690625003</v>
      </c>
      <c r="M25" s="423">
        <f t="shared" si="5"/>
        <v>14993526.340399999</v>
      </c>
      <c r="N25" s="423">
        <f t="shared" si="4"/>
        <v>189945801.01788124</v>
      </c>
      <c r="O25" s="544"/>
    </row>
    <row r="26" spans="1:26" ht="13">
      <c r="N26" s="589"/>
    </row>
  </sheetData>
  <mergeCells count="4">
    <mergeCell ref="A1:N1"/>
    <mergeCell ref="A10:N10"/>
    <mergeCell ref="A18:N18"/>
    <mergeCell ref="P18:S1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007A37"/>
  </sheetPr>
  <dimension ref="A1:V43"/>
  <sheetViews>
    <sheetView zoomScaleNormal="100" workbookViewId="0">
      <pane xSplit="1" ySplit="4" topLeftCell="B16" activePane="bottomRight" state="frozen"/>
      <selection pane="topRight" activeCell="B1" sqref="B1"/>
      <selection pane="bottomLeft" activeCell="A5" sqref="A5"/>
      <selection pane="bottomRight" activeCell="O31" sqref="O31"/>
    </sheetView>
  </sheetViews>
  <sheetFormatPr defaultColWidth="14.453125" defaultRowHeight="12.5"/>
  <cols>
    <col min="1" max="1" width="33.81640625" customWidth="1"/>
    <col min="2" max="2" width="12.453125" customWidth="1"/>
    <col min="3" max="3" width="16.54296875" customWidth="1"/>
    <col min="4" max="4" width="10.81640625" customWidth="1"/>
    <col min="5" max="7" width="8.453125" customWidth="1"/>
    <col min="8" max="8" width="10" customWidth="1"/>
    <col min="9" max="13" width="8.453125" customWidth="1"/>
    <col min="14" max="14" width="11.1796875" customWidth="1"/>
    <col min="15" max="15" width="34.81640625" customWidth="1"/>
    <col min="16" max="16" width="7.7265625" customWidth="1"/>
    <col min="17" max="17" width="7.1796875" customWidth="1"/>
    <col min="18" max="18" width="7.453125" customWidth="1"/>
    <col min="19" max="19" width="10.26953125" customWidth="1"/>
    <col min="20" max="20" width="7.81640625" customWidth="1"/>
    <col min="21" max="21" width="8.453125" customWidth="1"/>
    <col min="22" max="22" width="8.26953125" customWidth="1"/>
  </cols>
  <sheetData>
    <row r="1" spans="1:22">
      <c r="A1" s="819" t="s">
        <v>325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3"/>
      <c r="O1" s="169"/>
      <c r="P1" s="820" t="s">
        <v>326</v>
      </c>
      <c r="Q1" s="821"/>
      <c r="R1" s="821"/>
      <c r="S1" s="821"/>
      <c r="T1" s="821"/>
      <c r="U1" s="822"/>
      <c r="V1" s="170"/>
    </row>
    <row r="2" spans="1:22" ht="57.5">
      <c r="A2" s="171"/>
      <c r="B2" s="171" t="s">
        <v>327</v>
      </c>
      <c r="C2" s="171" t="s">
        <v>328</v>
      </c>
      <c r="D2" s="171" t="s">
        <v>329</v>
      </c>
      <c r="E2" s="171" t="s">
        <v>330</v>
      </c>
      <c r="F2" s="171" t="s">
        <v>331</v>
      </c>
      <c r="G2" s="171" t="s">
        <v>332</v>
      </c>
      <c r="H2" s="171" t="s">
        <v>333</v>
      </c>
      <c r="I2" s="171" t="s">
        <v>334</v>
      </c>
      <c r="J2" s="171" t="s">
        <v>335</v>
      </c>
      <c r="K2" s="171" t="s">
        <v>336</v>
      </c>
      <c r="L2" s="171" t="s">
        <v>337</v>
      </c>
      <c r="M2" s="171" t="s">
        <v>338</v>
      </c>
      <c r="N2" s="171" t="s">
        <v>339</v>
      </c>
      <c r="O2" s="172" t="s">
        <v>340</v>
      </c>
      <c r="P2" s="173" t="s">
        <v>341</v>
      </c>
      <c r="Q2" s="173" t="s">
        <v>342</v>
      </c>
      <c r="R2" s="173" t="s">
        <v>343</v>
      </c>
      <c r="S2" s="173" t="s">
        <v>344</v>
      </c>
      <c r="T2" s="173" t="s">
        <v>345</v>
      </c>
      <c r="U2" s="174" t="s">
        <v>346</v>
      </c>
      <c r="V2" s="173" t="s">
        <v>347</v>
      </c>
    </row>
    <row r="3" spans="1:22">
      <c r="A3" s="176"/>
      <c r="B3" s="176">
        <v>31</v>
      </c>
      <c r="C3" s="176">
        <v>28</v>
      </c>
      <c r="D3" s="176">
        <v>31</v>
      </c>
      <c r="E3" s="176">
        <v>30</v>
      </c>
      <c r="F3" s="176">
        <v>31</v>
      </c>
      <c r="G3" s="176">
        <v>30</v>
      </c>
      <c r="H3" s="176">
        <v>30</v>
      </c>
      <c r="I3" s="176">
        <v>31</v>
      </c>
      <c r="J3" s="176">
        <v>30</v>
      </c>
      <c r="K3" s="176">
        <v>31</v>
      </c>
      <c r="L3" s="176">
        <v>30</v>
      </c>
      <c r="M3" s="176">
        <v>31</v>
      </c>
      <c r="N3" s="176"/>
      <c r="O3" s="177"/>
      <c r="P3" s="178"/>
      <c r="Q3" s="178"/>
      <c r="R3" s="178"/>
      <c r="S3" s="178"/>
      <c r="T3" s="178"/>
      <c r="U3" s="179"/>
      <c r="V3" s="176"/>
    </row>
    <row r="4" spans="1:22">
      <c r="A4" s="176" t="s">
        <v>348</v>
      </c>
      <c r="B4" s="181">
        <f>'выручка номеров'!C12</f>
        <v>0.75</v>
      </c>
      <c r="C4" s="181">
        <f>'выручка номеров'!D12</f>
        <v>0.55000000000000004</v>
      </c>
      <c r="D4" s="181">
        <f>'выручка номеров'!E12</f>
        <v>0.55000000000000004</v>
      </c>
      <c r="E4" s="181">
        <f>'выручка номеров'!F12</f>
        <v>0.55000000000000004</v>
      </c>
      <c r="F4" s="181">
        <f>'выручка номеров'!G12</f>
        <v>0.75</v>
      </c>
      <c r="G4" s="181">
        <f>'выручка номеров'!H12</f>
        <v>0.85</v>
      </c>
      <c r="H4" s="181">
        <f>'выручка номеров'!I12</f>
        <v>0.85</v>
      </c>
      <c r="I4" s="181">
        <f>'выручка номеров'!J12</f>
        <v>0.8</v>
      </c>
      <c r="J4" s="181">
        <f>'выручка номеров'!K12</f>
        <v>0.65</v>
      </c>
      <c r="K4" s="181">
        <f>'выручка номеров'!L12</f>
        <v>0.55000000000000004</v>
      </c>
      <c r="L4" s="181">
        <f>'выручка номеров'!M12</f>
        <v>0.5</v>
      </c>
      <c r="M4" s="181">
        <f>'выручка номеров'!N12</f>
        <v>0.65</v>
      </c>
      <c r="N4" s="181">
        <f>AVERAGE(B4:M4)</f>
        <v>0.66666666666666663</v>
      </c>
      <c r="O4" s="176"/>
      <c r="P4" s="178"/>
      <c r="Q4" s="178"/>
      <c r="R4" s="178"/>
      <c r="S4" s="178"/>
      <c r="T4" s="178"/>
      <c r="U4" s="179"/>
      <c r="V4" s="176"/>
    </row>
    <row r="5" spans="1:22">
      <c r="A5" s="182" t="s">
        <v>828</v>
      </c>
      <c r="B5" s="183">
        <f t="shared" ref="B5:M5" si="0">SUM(B7:B32)</f>
        <v>56420331.885162294</v>
      </c>
      <c r="C5" s="183">
        <f t="shared" si="0"/>
        <v>46613348.799581736</v>
      </c>
      <c r="D5" s="183">
        <f t="shared" si="0"/>
        <v>46809566.070715487</v>
      </c>
      <c r="E5" s="183">
        <f t="shared" si="0"/>
        <v>47132474.545730054</v>
      </c>
      <c r="F5" s="183">
        <f t="shared" si="0"/>
        <v>54393393.988668576</v>
      </c>
      <c r="G5" s="183">
        <f t="shared" si="0"/>
        <v>60437705.168306023</v>
      </c>
      <c r="H5" s="183">
        <f t="shared" si="0"/>
        <v>61951854.272010818</v>
      </c>
      <c r="I5" s="183">
        <f t="shared" si="0"/>
        <v>58854149.941279739</v>
      </c>
      <c r="J5" s="183">
        <f t="shared" si="0"/>
        <v>52179681.940842316</v>
      </c>
      <c r="K5" s="183">
        <f t="shared" si="0"/>
        <v>45839522.937022194</v>
      </c>
      <c r="L5" s="183">
        <f t="shared" si="0"/>
        <v>44732328.109336406</v>
      </c>
      <c r="M5" s="183">
        <f t="shared" si="0"/>
        <v>51967575.745951071</v>
      </c>
      <c r="N5" s="184">
        <f>SUM(B5:M5)</f>
        <v>627331933.40460682</v>
      </c>
      <c r="O5" s="185"/>
      <c r="P5" s="178"/>
      <c r="Q5" s="178"/>
      <c r="R5" s="178"/>
      <c r="S5" s="178"/>
      <c r="T5" s="178"/>
      <c r="U5" s="179"/>
      <c r="V5" s="185"/>
    </row>
    <row r="6" spans="1:22">
      <c r="A6" s="182" t="s">
        <v>129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4"/>
      <c r="O6" s="185"/>
      <c r="P6" s="178"/>
      <c r="Q6" s="178"/>
      <c r="R6" s="178"/>
      <c r="S6" s="178"/>
      <c r="T6" s="178"/>
      <c r="U6" s="179"/>
      <c r="V6" s="185"/>
    </row>
    <row r="7" spans="1:22" ht="23">
      <c r="A7" s="187" t="s">
        <v>130</v>
      </c>
      <c r="B7" s="188">
        <f>'Итого выручка 1 этапа'!B23*$P$7</f>
        <v>2087138.091602647</v>
      </c>
      <c r="C7" s="188">
        <f>'Итого выручка 1 этапа'!C23*$P$7</f>
        <v>1105728.464256</v>
      </c>
      <c r="D7" s="188">
        <f>'Итого выручка 1 этапа'!D23*$P$7</f>
        <v>1234409.4182820003</v>
      </c>
      <c r="E7" s="188">
        <f>'Итого выручка 1 этапа'!E23*$P$7</f>
        <v>1196671.8910432942</v>
      </c>
      <c r="F7" s="188">
        <f>'Итого выручка 1 этапа'!F23*$P$7</f>
        <v>1799306.6691144705</v>
      </c>
      <c r="G7" s="188">
        <f>'Итого выручка 1 этапа'!G23*$P$7</f>
        <v>2551817.4720000001</v>
      </c>
      <c r="H7" s="188">
        <f>'Итого выручка 1 этапа'!H23*$P$7</f>
        <v>2668748.0543999998</v>
      </c>
      <c r="I7" s="188">
        <f>'Итого выручка 1 этапа'!I23*$P$7</f>
        <v>2355530.9775352944</v>
      </c>
      <c r="J7" s="188">
        <f>'Итого выручка 1 этапа'!J23*$P$7</f>
        <v>1677598.0741290003</v>
      </c>
      <c r="K7" s="188">
        <f>'Итого выручка 1 этапа'!K23*$P$7</f>
        <v>1097314.7310271766</v>
      </c>
      <c r="L7" s="188">
        <f>'Итого выручка 1 этапа'!L23*$P$7</f>
        <v>994940.72266588244</v>
      </c>
      <c r="M7" s="188">
        <f>'Итого выручка 1 этапа'!M23*$P$7</f>
        <v>1548827.3966970004</v>
      </c>
      <c r="N7" s="184">
        <f t="shared" ref="N7:N18" si="1">SUM(B7:M7)</f>
        <v>20318031.962752767</v>
      </c>
      <c r="O7" s="189" t="s">
        <v>341</v>
      </c>
      <c r="P7" s="190">
        <v>0.02</v>
      </c>
      <c r="Q7" s="191"/>
      <c r="R7" s="178"/>
      <c r="S7" s="178"/>
      <c r="T7" s="178"/>
      <c r="U7" s="179"/>
      <c r="V7" s="185"/>
    </row>
    <row r="8" spans="1:22">
      <c r="A8" s="187" t="s">
        <v>131</v>
      </c>
      <c r="B8" s="188">
        <f t="shared" ref="B8:M8" si="2">B7*30.2%</f>
        <v>630315.70366399933</v>
      </c>
      <c r="C8" s="188">
        <f t="shared" si="2"/>
        <v>333929.99620531197</v>
      </c>
      <c r="D8" s="188">
        <f t="shared" si="2"/>
        <v>372791.64432116412</v>
      </c>
      <c r="E8" s="188">
        <f t="shared" si="2"/>
        <v>361394.91109507484</v>
      </c>
      <c r="F8" s="188">
        <f t="shared" si="2"/>
        <v>543390.61407257011</v>
      </c>
      <c r="G8" s="188">
        <f t="shared" si="2"/>
        <v>770648.876544</v>
      </c>
      <c r="H8" s="188">
        <f t="shared" si="2"/>
        <v>805961.9124287999</v>
      </c>
      <c r="I8" s="188">
        <f t="shared" si="2"/>
        <v>711370.3552156589</v>
      </c>
      <c r="J8" s="188">
        <f t="shared" si="2"/>
        <v>506634.61838695809</v>
      </c>
      <c r="K8" s="188">
        <f t="shared" si="2"/>
        <v>331389.04877020733</v>
      </c>
      <c r="L8" s="188">
        <f t="shared" si="2"/>
        <v>300472.09824509651</v>
      </c>
      <c r="M8" s="188">
        <f t="shared" si="2"/>
        <v>467745.87380249408</v>
      </c>
      <c r="N8" s="184">
        <f t="shared" si="1"/>
        <v>6136045.6527513349</v>
      </c>
      <c r="O8" s="189" t="s">
        <v>349</v>
      </c>
      <c r="P8" s="190"/>
      <c r="Q8" s="191"/>
      <c r="R8" s="178"/>
      <c r="S8" s="178"/>
      <c r="T8" s="178"/>
      <c r="U8" s="179"/>
      <c r="V8" s="185"/>
    </row>
    <row r="9" spans="1:22">
      <c r="A9" s="187" t="s">
        <v>829</v>
      </c>
      <c r="B9" s="188">
        <f>'Итого выручка 1 этапа'!B23*'операционные  расходы 1 этап'!$P$9</f>
        <v>2087138.091602647</v>
      </c>
      <c r="C9" s="188">
        <f>'Итого выручка 1 этапа'!C23*'операционные  расходы 1 этап'!$P$9</f>
        <v>1105728.464256</v>
      </c>
      <c r="D9" s="188"/>
      <c r="E9" s="188"/>
      <c r="F9" s="188">
        <f>'Итого выручка 1 этапа'!F23*'операционные  расходы 1 этап'!$P$9</f>
        <v>1799306.6691144705</v>
      </c>
      <c r="G9" s="188">
        <f>'Итого выручка 1 этапа'!G23*'операционные  расходы 1 этап'!$P$9</f>
        <v>2551817.4720000001</v>
      </c>
      <c r="H9" s="188">
        <f>'Итого выручка 1 этапа'!H23*'операционные  расходы 1 этап'!$P$9</f>
        <v>2668748.0543999998</v>
      </c>
      <c r="I9" s="188">
        <f>'Итого выручка 1 этапа'!I23*'операционные  расходы 1 этап'!$P$9</f>
        <v>2355530.9775352944</v>
      </c>
      <c r="J9" s="188">
        <f>'Итого выручка 1 этапа'!J23*'операционные  расходы 1 этап'!$P$9</f>
        <v>1677598.0741290003</v>
      </c>
      <c r="K9" s="188"/>
      <c r="L9" s="188"/>
      <c r="M9" s="188">
        <f>'Итого выручка 1 этапа'!M23*'операционные  расходы 1 этап'!$P$9</f>
        <v>1548827.3966970004</v>
      </c>
      <c r="N9" s="184">
        <f t="shared" si="1"/>
        <v>15794695.199734412</v>
      </c>
      <c r="O9" s="189" t="s">
        <v>341</v>
      </c>
      <c r="P9" s="190">
        <v>0.02</v>
      </c>
      <c r="Q9" s="191"/>
      <c r="R9" s="178"/>
      <c r="S9" s="178"/>
      <c r="T9" s="178"/>
      <c r="U9" s="179"/>
      <c r="V9" s="185"/>
    </row>
    <row r="10" spans="1:22">
      <c r="A10" s="187" t="s">
        <v>1095</v>
      </c>
      <c r="B10" s="188">
        <f>2500000*1.1</f>
        <v>2750000</v>
      </c>
      <c r="C10" s="188">
        <f t="shared" ref="C10:M10" si="3">2500000*1.1</f>
        <v>2750000</v>
      </c>
      <c r="D10" s="188">
        <f t="shared" si="3"/>
        <v>2750000</v>
      </c>
      <c r="E10" s="188">
        <f t="shared" si="3"/>
        <v>2750000</v>
      </c>
      <c r="F10" s="188">
        <f t="shared" si="3"/>
        <v>2750000</v>
      </c>
      <c r="G10" s="188">
        <f t="shared" si="3"/>
        <v>2750000</v>
      </c>
      <c r="H10" s="188">
        <f t="shared" si="3"/>
        <v>2750000</v>
      </c>
      <c r="I10" s="188">
        <f t="shared" si="3"/>
        <v>2750000</v>
      </c>
      <c r="J10" s="188">
        <f t="shared" si="3"/>
        <v>2750000</v>
      </c>
      <c r="K10" s="188">
        <f t="shared" si="3"/>
        <v>2750000</v>
      </c>
      <c r="L10" s="188">
        <f t="shared" si="3"/>
        <v>2750000</v>
      </c>
      <c r="M10" s="188">
        <f t="shared" si="3"/>
        <v>2750000</v>
      </c>
      <c r="N10" s="184">
        <f t="shared" si="1"/>
        <v>33000000</v>
      </c>
      <c r="O10" s="189" t="s">
        <v>1096</v>
      </c>
      <c r="P10" s="190"/>
      <c r="Q10" s="191"/>
      <c r="R10" s="178"/>
      <c r="S10" s="178"/>
      <c r="T10" s="178"/>
      <c r="U10" s="179"/>
      <c r="V10" s="185"/>
    </row>
    <row r="11" spans="1:22">
      <c r="A11" s="185" t="s">
        <v>133</v>
      </c>
      <c r="B11" s="192">
        <f>'выручка от общепита'!B92*$R$11</f>
        <v>4773951.64848</v>
      </c>
      <c r="C11" s="192">
        <f>'выручка от общепита'!C92*$R$11</f>
        <v>2619868.1510400004</v>
      </c>
      <c r="D11" s="192">
        <f>'выручка от общепита'!D92*$R$11</f>
        <v>2979629.1100800009</v>
      </c>
      <c r="E11" s="192">
        <f>'выручка от общепита'!E92*$R$11</f>
        <v>3172921.1136000007</v>
      </c>
      <c r="F11" s="192">
        <f>'выручка от общепита'!F92*$R$11</f>
        <v>4499751.4648800008</v>
      </c>
      <c r="G11" s="192">
        <f>'выручка от общепита'!G92*$R$11</f>
        <v>5386339.1568000009</v>
      </c>
      <c r="H11" s="192">
        <f>'выручка от общепита'!H92*$R$11</f>
        <v>6016347.7953600008</v>
      </c>
      <c r="I11" s="192">
        <f>'выручка от общепита'!I92*$R$11</f>
        <v>5293089.4245600011</v>
      </c>
      <c r="J11" s="192">
        <f>'выручка от общепита'!J92*$R$11</f>
        <v>3881098.3344000005</v>
      </c>
      <c r="K11" s="192">
        <f>'выручка от общепита'!K92*$R$11</f>
        <v>2802765.8988000005</v>
      </c>
      <c r="L11" s="192">
        <f>'выручка от общепита'!L92*$R$11</f>
        <v>2564079.9071999998</v>
      </c>
      <c r="M11" s="192">
        <f>'выручка от общепита'!M92*$R$11</f>
        <v>4380014.8728</v>
      </c>
      <c r="N11" s="184">
        <f t="shared" si="1"/>
        <v>48369856.878000006</v>
      </c>
      <c r="O11" s="189" t="s">
        <v>350</v>
      </c>
      <c r="P11" s="193"/>
      <c r="Q11" s="178"/>
      <c r="R11" s="193">
        <v>0.28000000000000003</v>
      </c>
      <c r="S11" s="193"/>
      <c r="T11" s="193"/>
      <c r="U11" s="179"/>
      <c r="V11" s="178"/>
    </row>
    <row r="12" spans="1:22" ht="23">
      <c r="A12" s="185" t="s">
        <v>1102</v>
      </c>
      <c r="B12" s="192">
        <f>'"Шведский стол" '!B23*$R$11</f>
        <v>2586553.2000000002</v>
      </c>
      <c r="C12" s="192">
        <f>'"Шведский стол" '!C23*$R$11</f>
        <v>1713243.8400000003</v>
      </c>
      <c r="D12" s="192">
        <f>'"Шведский стол" '!D23*$R$11</f>
        <v>1896805.6800000004</v>
      </c>
      <c r="E12" s="192">
        <f>'"Шведский стол" '!E23*$R$11</f>
        <v>1835618.4000000004</v>
      </c>
      <c r="F12" s="192">
        <f>'"Шведский стол" '!F23*$R$11</f>
        <v>2586553.2000000002</v>
      </c>
      <c r="G12" s="192">
        <f>'"Шведский стол" '!G23*$R$11</f>
        <v>2836864.8000000003</v>
      </c>
      <c r="H12" s="192">
        <f>'"Шведский стол" '!H23*$R$11</f>
        <v>2931426.9600000004</v>
      </c>
      <c r="I12" s="192">
        <f>'"Шведский стол" '!I23*$R$11</f>
        <v>2758990.08</v>
      </c>
      <c r="J12" s="192">
        <f>'"Шведский стол" '!J23*$R$11</f>
        <v>2169367.2000000002</v>
      </c>
      <c r="K12" s="192">
        <f>'"Шведский стол" '!K23*$R$11</f>
        <v>1896805.6800000004</v>
      </c>
      <c r="L12" s="192">
        <f>'"Шведский стол" '!L23*$R$11</f>
        <v>1668744.0000000002</v>
      </c>
      <c r="M12" s="192">
        <f>'"Шведский стол" '!M23*$R$11</f>
        <v>2241679.4400000004</v>
      </c>
      <c r="N12" s="184">
        <f t="shared" si="1"/>
        <v>27122652.480000004</v>
      </c>
      <c r="O12" s="189" t="s">
        <v>351</v>
      </c>
      <c r="P12" s="178"/>
      <c r="Q12" s="178"/>
      <c r="R12" s="178"/>
      <c r="S12" s="193">
        <v>0.28000000000000003</v>
      </c>
      <c r="T12" s="178"/>
      <c r="U12" s="179"/>
      <c r="V12" s="178"/>
    </row>
    <row r="13" spans="1:22">
      <c r="A13" s="187" t="s">
        <v>135</v>
      </c>
      <c r="B13" s="188">
        <f>'Итого выручка 1 этапа'!B23*$P$13</f>
        <v>1565353.5687019853</v>
      </c>
      <c r="C13" s="188">
        <f>'Итого выручка 1 этапа'!C23*$P$13</f>
        <v>829296.34819200006</v>
      </c>
      <c r="D13" s="188">
        <f>'Итого выручка 1 этапа'!D23*$P$13</f>
        <v>925807.06371150014</v>
      </c>
      <c r="E13" s="188">
        <f>'Итого выручка 1 этапа'!E23*$P$13</f>
        <v>897503.91828247067</v>
      </c>
      <c r="F13" s="188">
        <f>'Итого выручка 1 этапа'!F23*$P$13</f>
        <v>1349480.0018358529</v>
      </c>
      <c r="G13" s="188">
        <f>'Итого выручка 1 этапа'!G23*$P$13</f>
        <v>1913863.1039999998</v>
      </c>
      <c r="H13" s="188">
        <f>'Итого выручка 1 этапа'!H23*$P$13</f>
        <v>2001561.0407999996</v>
      </c>
      <c r="I13" s="188">
        <f>'Итого выручка 1 этапа'!I23*$P$13</f>
        <v>1766648.2331514705</v>
      </c>
      <c r="J13" s="188">
        <f>'Итого выручка 1 этапа'!J23*$P$13</f>
        <v>1258198.5555967502</v>
      </c>
      <c r="K13" s="188">
        <f>'Итого выручка 1 этапа'!K23*$P$13</f>
        <v>822986.04827038245</v>
      </c>
      <c r="L13" s="188">
        <f>'Итого выручка 1 этапа'!L23*$P$13</f>
        <v>746205.54199941177</v>
      </c>
      <c r="M13" s="188">
        <f>'Итого выручка 1 этапа'!M23*$P$13</f>
        <v>1161620.5475227502</v>
      </c>
      <c r="N13" s="184">
        <f t="shared" si="1"/>
        <v>15238523.972064573</v>
      </c>
      <c r="O13" s="189" t="s">
        <v>341</v>
      </c>
      <c r="P13" s="190">
        <v>1.4999999999999999E-2</v>
      </c>
      <c r="Q13" s="193"/>
      <c r="R13" s="193"/>
      <c r="S13" s="194"/>
      <c r="T13" s="194"/>
      <c r="U13" s="179"/>
      <c r="V13" s="178"/>
    </row>
    <row r="14" spans="1:22">
      <c r="A14" s="187" t="s">
        <v>136</v>
      </c>
      <c r="B14" s="188">
        <f>('Выручка от прочих услуг'!B15+'Выручка от прочих услуг'!B22+'Выручка от прочих услуг'!B40)*'операционные  расходы 1 этап'!$T$14</f>
        <v>611862.18749999988</v>
      </c>
      <c r="C14" s="188">
        <f>('Выручка от прочих услуг'!C15+'Выручка от прочих услуг'!C22+'Выручка от прочих услуг'!C40)*'операционные  расходы 1 этап'!$T$14</f>
        <v>416137.5</v>
      </c>
      <c r="D14" s="188">
        <f>('Выручка от прочих услуг'!D15+'Выручка от прочих услуг'!D22+'Выручка от прочих услуг'!D40)*'операционные  расходы 1 этап'!$T$14</f>
        <v>453346.875</v>
      </c>
      <c r="E14" s="188">
        <f>('Выручка от прочих услуг'!E15+'Выручка от прочих услуг'!E22+'Выручка от прочих услуг'!E40)*'операционные  расходы 1 этап'!$T$14</f>
        <v>446866.875</v>
      </c>
      <c r="F14" s="188">
        <f>('Выручка от прочих услуг'!F15+'Выручка от прочих услуг'!F22+'Выручка от прочих услуг'!F40)*'операционные  расходы 1 этап'!$T$14</f>
        <v>582179.06249999988</v>
      </c>
      <c r="G14" s="188">
        <f>('Выручка от прочих услуг'!G15+'Выручка от прочих услуг'!G22+'Выручка от прочих услуг'!G40)*'операционные  расходы 1 этап'!$T$14</f>
        <v>701409.375</v>
      </c>
      <c r="H14" s="188">
        <f>('Выручка от прочих услуг'!H15+'Выручка от прочих услуг'!H22+'Выручка от прочих услуг'!H40)*'операционные  расходы 1 этап'!$T$14</f>
        <v>722494.6875</v>
      </c>
      <c r="I14" s="188">
        <f>('Выручка от прочих услуг'!I15+'Выручка от прочих услуг'!I22+'Выручка от прочих услуг'!I40)*'операционные  расходы 1 этап'!$T$14</f>
        <v>655028.4375</v>
      </c>
      <c r="J14" s="188">
        <f>('Выручка от прочих услуг'!J15+'Выручка от прочих услуг'!J22+'Выручка от прочих услуг'!J40)*'операционные  расходы 1 этап'!$T$14</f>
        <v>527765.625</v>
      </c>
      <c r="K14" s="188">
        <f>('Выручка от прочих услуг'!K15+'Выручка от прочих услуг'!K22+'Выручка от прочих услуг'!K40)*'операционные  расходы 1 этап'!$T$14</f>
        <v>438100.3125</v>
      </c>
      <c r="L14" s="188">
        <f>('Выручка от прочих услуг'!L15+'Выручка от прочих услуг'!L22+'Выручка от прочих услуг'!L40)*'операционные  расходы 1 этап'!$T$14</f>
        <v>398064.37499999994</v>
      </c>
      <c r="M14" s="188">
        <f>('Выручка от прочих услуг'!M15+'Выручка от прочих услуг'!M22+'Выручка от прочих услуг'!M40)*'операционные  расходы 1 этап'!$T$14</f>
        <v>517429.68749999988</v>
      </c>
      <c r="N14" s="184">
        <f t="shared" si="1"/>
        <v>6470685</v>
      </c>
      <c r="O14" s="189" t="s">
        <v>352</v>
      </c>
      <c r="P14" s="178"/>
      <c r="Q14" s="193"/>
      <c r="R14" s="193"/>
      <c r="S14" s="194"/>
      <c r="T14" s="194">
        <v>0.15</v>
      </c>
      <c r="U14" s="179"/>
      <c r="V14" s="178"/>
    </row>
    <row r="15" spans="1:22">
      <c r="A15" s="187" t="s">
        <v>137</v>
      </c>
      <c r="B15" s="188">
        <f>('Выручка от прочих услуг'!B156+'Выручка от прочих услуг'!B22+'Выручка от прочих услуг'!B40)*'операционные  расходы 1 этап'!$T$15</f>
        <v>454730.62499999994</v>
      </c>
      <c r="C15" s="188">
        <f>('Выручка от прочих услуг'!C156+'Выручка от прочих услуг'!C22+'Выручка от прочих услуг'!C40)*'операционные  расходы 1 этап'!$T$15</f>
        <v>322920</v>
      </c>
      <c r="D15" s="188">
        <f>('Выручка от прочих услуг'!D156+'Выручка от прочих услуг'!D22+'Выручка от прочих услуг'!D40)*'операционные  расходы 1 этап'!$T$15</f>
        <v>342765</v>
      </c>
      <c r="E15" s="188">
        <f>('Выручка от прочих услуг'!E156+'Выручка от прочих услуг'!E22+'Выручка от прочих услуг'!E40)*'операционные  расходы 1 этап'!$T$15</f>
        <v>347996.25</v>
      </c>
      <c r="F15" s="188">
        <f>('Выручка от прочих услуг'!F156+'Выручка от прочих услуг'!F22+'Выручка от прочих услуг'!F40)*'операционные  расходы 1 этап'!$T$15</f>
        <v>395364.375</v>
      </c>
      <c r="G15" s="188">
        <f>('Выручка от прочих услуг'!G156+'Выручка от прочих услуг'!G22+'Выручка от прочих услуг'!G40)*'операционные  расходы 1 этап'!$T$15</f>
        <v>559406.25</v>
      </c>
      <c r="H15" s="188">
        <f>('Выручка от прочих услуг'!H156+'Выручка от прочих услуг'!H22+'Выручка от прочих услуг'!H40)*'операционные  расходы 1 этап'!$T$15</f>
        <v>573463.125</v>
      </c>
      <c r="I15" s="188">
        <f>('Выручка от прочих услуг'!I156+'Выручка от прочих услуг'!I22+'Выручка от прочих услуг'!I40)*'операционные  расходы 1 этап'!$T$15</f>
        <v>489796.875</v>
      </c>
      <c r="J15" s="188">
        <f>('Выручка от прочих услуг'!J156+'Выручка от прочих услуг'!J22+'Выручка от прочих услуг'!J40)*'операционные  расходы 1 этап'!$T$15</f>
        <v>410568.75</v>
      </c>
      <c r="K15" s="188">
        <f>('Выручка от прочих услуг'!K156+'Выручка от прочих услуг'!K22+'Выручка от прочих услуг'!K40)*'операционные  расходы 1 этап'!$T$15</f>
        <v>312271.87499999994</v>
      </c>
      <c r="L15" s="188">
        <f>('Выручка от прочих услуг'!L156+'Выручка от прочих услуг'!L22+'Выручка от прочих услуг'!L40)*'операционные  расходы 1 этап'!$T$15</f>
        <v>300003.74999999994</v>
      </c>
      <c r="M15" s="188">
        <f>('Выручка от прочих услуг'!M156+'Выручка от прочих услуг'!M22+'Выручка от прочих услуг'!M40)*'операционные  расходы 1 этап'!$T$15</f>
        <v>368398.125</v>
      </c>
      <c r="N15" s="184">
        <f t="shared" si="1"/>
        <v>4877685</v>
      </c>
      <c r="O15" s="189" t="s">
        <v>352</v>
      </c>
      <c r="P15" s="178"/>
      <c r="Q15" s="193"/>
      <c r="R15" s="193"/>
      <c r="S15" s="194"/>
      <c r="T15" s="194">
        <v>0.3</v>
      </c>
      <c r="U15" s="179"/>
      <c r="V15" s="178"/>
    </row>
    <row r="16" spans="1:22" ht="23">
      <c r="A16" s="187" t="s">
        <v>139</v>
      </c>
      <c r="B16" s="188">
        <f>$P$16*'Итого выручка 1 этапа'!B23</f>
        <v>1043569.0458013235</v>
      </c>
      <c r="C16" s="188">
        <f>$P$16*'Итого выручка 1 этапа'!C23</f>
        <v>552864.232128</v>
      </c>
      <c r="D16" s="188">
        <f>$P$16*'Итого выручка 1 этапа'!D23</f>
        <v>617204.70914100017</v>
      </c>
      <c r="E16" s="188">
        <f>$P$16*'Итого выручка 1 этапа'!E23</f>
        <v>598335.94552164711</v>
      </c>
      <c r="F16" s="188">
        <f>$P$16*'Итого выручка 1 этапа'!F23</f>
        <v>899653.33455723524</v>
      </c>
      <c r="G16" s="188">
        <f>$P$16*'Итого выручка 1 этапа'!G23</f>
        <v>1275908.736</v>
      </c>
      <c r="H16" s="188">
        <f>$P$16*'Итого выручка 1 этапа'!H23</f>
        <v>1334374.0271999999</v>
      </c>
      <c r="I16" s="188">
        <f>$P$16*'Итого выручка 1 этапа'!I23</f>
        <v>1177765.4887676472</v>
      </c>
      <c r="J16" s="188">
        <f>$P$16*'Итого выручка 1 этапа'!J23</f>
        <v>838799.03706450015</v>
      </c>
      <c r="K16" s="188">
        <f>$P$16*'Итого выручка 1 этапа'!K23</f>
        <v>548657.3655135883</v>
      </c>
      <c r="L16" s="188">
        <f>$P$16*'Итого выручка 1 этапа'!L23</f>
        <v>497470.36133294122</v>
      </c>
      <c r="M16" s="188">
        <f>$P$16*'Итого выручка 1 этапа'!M23</f>
        <v>774413.69834850018</v>
      </c>
      <c r="N16" s="184">
        <f t="shared" si="1"/>
        <v>10159015.981376383</v>
      </c>
      <c r="O16" s="189" t="s">
        <v>341</v>
      </c>
      <c r="P16" s="190">
        <v>0.01</v>
      </c>
      <c r="Q16" s="193"/>
      <c r="R16" s="193"/>
      <c r="S16" s="194"/>
      <c r="T16" s="194"/>
      <c r="U16" s="179"/>
      <c r="V16" s="178"/>
    </row>
    <row r="17" spans="1:22" ht="34.5">
      <c r="A17" s="187" t="s">
        <v>140</v>
      </c>
      <c r="B17" s="188">
        <f>$P$17*'Итого выручка 1 этапа'!B23</f>
        <v>834855.23664105881</v>
      </c>
      <c r="C17" s="188">
        <f>$P$17*'Итого выручка 1 этапа'!C23</f>
        <v>442291.38570240006</v>
      </c>
      <c r="D17" s="188">
        <f>$P$17*'Итого выручка 1 этапа'!D23</f>
        <v>493763.7673128001</v>
      </c>
      <c r="E17" s="188">
        <f>$P$17*'Итого выручка 1 этапа'!E23</f>
        <v>478668.75641731772</v>
      </c>
      <c r="F17" s="188">
        <f>$P$17*'Итого выручка 1 этапа'!F23</f>
        <v>719722.66764578817</v>
      </c>
      <c r="G17" s="188">
        <f>$P$17*'Итого выручка 1 этапа'!G23</f>
        <v>1020726.9887999999</v>
      </c>
      <c r="H17" s="188">
        <f>$P$17*'Итого выручка 1 этапа'!H23</f>
        <v>1067499.2217599999</v>
      </c>
      <c r="I17" s="188">
        <f>$P$17*'Итого выручка 1 этапа'!I23</f>
        <v>942212.39101411775</v>
      </c>
      <c r="J17" s="188">
        <f>$P$17*'Итого выручка 1 этапа'!J23</f>
        <v>671039.22965160012</v>
      </c>
      <c r="K17" s="188">
        <f>$P$17*'Итого выручка 1 этапа'!K23</f>
        <v>438925.8924108707</v>
      </c>
      <c r="L17" s="188">
        <f>$P$17*'Итого выручка 1 этапа'!L23</f>
        <v>397976.289066353</v>
      </c>
      <c r="M17" s="188">
        <f>$P$17*'Итого выручка 1 этапа'!M23</f>
        <v>619530.95867880015</v>
      </c>
      <c r="N17" s="184">
        <f t="shared" si="1"/>
        <v>8127212.7851011064</v>
      </c>
      <c r="O17" s="189" t="s">
        <v>353</v>
      </c>
      <c r="P17" s="195">
        <v>8.0000000000000002E-3</v>
      </c>
      <c r="Q17" s="193"/>
      <c r="R17" s="193"/>
      <c r="S17" s="194"/>
      <c r="T17" s="194"/>
      <c r="U17" s="179"/>
      <c r="V17" s="178"/>
    </row>
    <row r="18" spans="1:22">
      <c r="A18" s="187" t="s">
        <v>141</v>
      </c>
      <c r="B18" s="188">
        <f>'Итого выручка 1 этапа'!B23*'операционные  расходы 1 этап'!$P$18</f>
        <v>521784.52290066174</v>
      </c>
      <c r="C18" s="188">
        <f>'Итого выручка 1 этапа'!C23*'операционные  расходы 1 этап'!$P$18</f>
        <v>276432.116064</v>
      </c>
      <c r="D18" s="188">
        <f>'Итого выручка 1 этапа'!D23*'операционные  расходы 1 этап'!$P$18</f>
        <v>308602.35457050009</v>
      </c>
      <c r="E18" s="188">
        <f>'Итого выручка 1 этапа'!E23*'операционные  расходы 1 этап'!$P$18</f>
        <v>299167.97276082356</v>
      </c>
      <c r="F18" s="188">
        <f>'Итого выручка 1 этапа'!F23*'операционные  расходы 1 этап'!$P$18</f>
        <v>449826.66727861762</v>
      </c>
      <c r="G18" s="188">
        <f>'Итого выручка 1 этапа'!G23*'операционные  расходы 1 этап'!$P$18</f>
        <v>637954.36800000002</v>
      </c>
      <c r="H18" s="188">
        <f>'Итого выручка 1 этапа'!H23*'операционные  расходы 1 этап'!$P$18</f>
        <v>667187.01359999995</v>
      </c>
      <c r="I18" s="188">
        <f>'Итого выручка 1 этапа'!I23*'операционные  расходы 1 этап'!$P$18</f>
        <v>588882.74438382359</v>
      </c>
      <c r="J18" s="188">
        <f>'Итого выручка 1 этапа'!J23*'операционные  расходы 1 этап'!$P$18</f>
        <v>419399.51853225008</v>
      </c>
      <c r="K18" s="188">
        <f>'Итого выручка 1 этапа'!K23*'операционные  расходы 1 этап'!$P$18</f>
        <v>274328.68275679415</v>
      </c>
      <c r="L18" s="188">
        <f>'Итого выручка 1 этапа'!L23*'операционные  расходы 1 этап'!$P$18</f>
        <v>248735.18066647061</v>
      </c>
      <c r="M18" s="188">
        <f>'Итого выручка 1 этапа'!M23*'операционные  расходы 1 этап'!$P$18</f>
        <v>387206.84917425009</v>
      </c>
      <c r="N18" s="184">
        <f t="shared" si="1"/>
        <v>5079507.9906881917</v>
      </c>
      <c r="O18" s="189" t="s">
        <v>341</v>
      </c>
      <c r="P18" s="195">
        <v>5.0000000000000001E-3</v>
      </c>
      <c r="Q18" s="193"/>
      <c r="R18" s="193"/>
      <c r="S18" s="194"/>
      <c r="T18" s="194"/>
      <c r="U18" s="179"/>
      <c r="V18" s="178"/>
    </row>
    <row r="19" spans="1:22">
      <c r="A19" s="182" t="s">
        <v>142</v>
      </c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4"/>
      <c r="O19" s="189"/>
      <c r="P19" s="178"/>
      <c r="Q19" s="193"/>
      <c r="R19" s="193"/>
      <c r="S19" s="194"/>
      <c r="T19" s="194"/>
      <c r="U19" s="179"/>
      <c r="V19" s="178"/>
    </row>
    <row r="20" spans="1:22" ht="23">
      <c r="A20" s="187" t="s">
        <v>354</v>
      </c>
      <c r="B20" s="188">
        <f>'ФОТ 1 этап'!$G$330</f>
        <v>23804044.533388264</v>
      </c>
      <c r="C20" s="188">
        <f>'ФОТ 1 этап'!$G$330</f>
        <v>23804044.533388264</v>
      </c>
      <c r="D20" s="188">
        <f>'ФОТ 1 этап'!$G$330</f>
        <v>23804044.533388264</v>
      </c>
      <c r="E20" s="188">
        <f>'ФОТ 1 этап'!$G$330</f>
        <v>23804044.533388264</v>
      </c>
      <c r="F20" s="188">
        <f>'ФОТ 1 этап'!$G$330</f>
        <v>23804044.533388264</v>
      </c>
      <c r="G20" s="188">
        <f>'ФОТ 1 этап'!$G$330</f>
        <v>23804044.533388264</v>
      </c>
      <c r="H20" s="188">
        <f>'ФОТ 1 этап'!$G$330</f>
        <v>23804044.533388264</v>
      </c>
      <c r="I20" s="188">
        <f>'ФОТ 1 этап'!$G$330</f>
        <v>23804044.533388264</v>
      </c>
      <c r="J20" s="188">
        <f>'ФОТ 1 этап'!$G$330</f>
        <v>23804044.533388264</v>
      </c>
      <c r="K20" s="188">
        <f>'ФОТ 1 этап'!$G$330</f>
        <v>23804044.533388264</v>
      </c>
      <c r="L20" s="188">
        <f>'ФОТ 1 этап'!$G$330</f>
        <v>23804044.533388264</v>
      </c>
      <c r="M20" s="188">
        <f>'ФОТ 1 этап'!$G$330</f>
        <v>23804044.533388264</v>
      </c>
      <c r="N20" s="184">
        <f t="shared" ref="N20:N28" si="4">SUM(B20:M20)</f>
        <v>285648534.40065914</v>
      </c>
      <c r="O20" s="189" t="s">
        <v>355</v>
      </c>
      <c r="P20" s="193"/>
      <c r="Q20" s="191"/>
      <c r="R20" s="178"/>
      <c r="S20" s="178"/>
      <c r="T20" s="178"/>
      <c r="U20" s="179"/>
      <c r="V20" s="178"/>
    </row>
    <row r="21" spans="1:22" ht="46">
      <c r="A21" s="187" t="s">
        <v>356</v>
      </c>
      <c r="B21" s="188">
        <v>250000</v>
      </c>
      <c r="C21" s="188">
        <f>B21</f>
        <v>250000</v>
      </c>
      <c r="D21" s="188">
        <f t="shared" ref="D21:M21" si="5">C21</f>
        <v>250000</v>
      </c>
      <c r="E21" s="188">
        <f t="shared" si="5"/>
        <v>250000</v>
      </c>
      <c r="F21" s="188">
        <f t="shared" si="5"/>
        <v>250000</v>
      </c>
      <c r="G21" s="188">
        <f t="shared" si="5"/>
        <v>250000</v>
      </c>
      <c r="H21" s="188">
        <f t="shared" si="5"/>
        <v>250000</v>
      </c>
      <c r="I21" s="188">
        <f t="shared" si="5"/>
        <v>250000</v>
      </c>
      <c r="J21" s="188">
        <f t="shared" si="5"/>
        <v>250000</v>
      </c>
      <c r="K21" s="188">
        <f t="shared" si="5"/>
        <v>250000</v>
      </c>
      <c r="L21" s="188">
        <f t="shared" si="5"/>
        <v>250000</v>
      </c>
      <c r="M21" s="188">
        <f t="shared" si="5"/>
        <v>250000</v>
      </c>
      <c r="N21" s="184">
        <f t="shared" si="4"/>
        <v>3000000</v>
      </c>
      <c r="O21" s="189" t="s">
        <v>357</v>
      </c>
      <c r="P21" s="195"/>
      <c r="Q21" s="178"/>
      <c r="R21" s="178"/>
      <c r="S21" s="178"/>
      <c r="T21" s="178"/>
      <c r="U21" s="179"/>
      <c r="V21" s="178"/>
    </row>
    <row r="22" spans="1:22">
      <c r="A22" s="187" t="s">
        <v>145</v>
      </c>
      <c r="B22" s="188">
        <f>'Итого выручка 1 этапа'!B23*'операционные  расходы 1 этап'!$P$22</f>
        <v>521784.52290066174</v>
      </c>
      <c r="C22" s="188">
        <f>'Итого выручка 1 этапа'!C23*'операционные  расходы 1 этап'!$P$22</f>
        <v>276432.116064</v>
      </c>
      <c r="D22" s="188">
        <f>'Итого выручка 1 этапа'!D23*'операционные  расходы 1 этап'!$P$22</f>
        <v>308602.35457050009</v>
      </c>
      <c r="E22" s="188">
        <f>'Итого выручка 1 этапа'!E23*'операционные  расходы 1 этап'!$P$22</f>
        <v>299167.97276082356</v>
      </c>
      <c r="F22" s="188">
        <f>'Итого выручка 1 этапа'!F23*'операционные  расходы 1 этап'!$P$22</f>
        <v>449826.66727861762</v>
      </c>
      <c r="G22" s="188">
        <f>'Итого выручка 1 этапа'!G23*'операционные  расходы 1 этап'!$P$22</f>
        <v>637954.36800000002</v>
      </c>
      <c r="H22" s="188">
        <f>'Итого выручка 1 этапа'!H23*'операционные  расходы 1 этап'!$P$22</f>
        <v>667187.01359999995</v>
      </c>
      <c r="I22" s="188">
        <f>'Итого выручка 1 этапа'!I23*'операционные  расходы 1 этап'!$P$22</f>
        <v>588882.74438382359</v>
      </c>
      <c r="J22" s="188">
        <f>'Итого выручка 1 этапа'!J23*'операционные  расходы 1 этап'!$P$22</f>
        <v>419399.51853225008</v>
      </c>
      <c r="K22" s="188">
        <f>'Итого выручка 1 этапа'!K23*'операционные  расходы 1 этап'!$P$22</f>
        <v>274328.68275679415</v>
      </c>
      <c r="L22" s="188">
        <f>'Итого выручка 1 этапа'!L23*'операционные  расходы 1 этап'!$P$22</f>
        <v>248735.18066647061</v>
      </c>
      <c r="M22" s="188">
        <f>'Итого выручка 1 этапа'!M23*'операционные  расходы 1 этап'!$P$22</f>
        <v>387206.84917425009</v>
      </c>
      <c r="N22" s="184">
        <f t="shared" si="4"/>
        <v>5079507.9906881917</v>
      </c>
      <c r="O22" s="189" t="s">
        <v>831</v>
      </c>
      <c r="P22" s="190">
        <v>5.0000000000000001E-3</v>
      </c>
      <c r="Q22" s="195"/>
      <c r="R22" s="195"/>
      <c r="S22" s="195"/>
      <c r="T22" s="178"/>
      <c r="U22" s="179"/>
      <c r="V22" s="178"/>
    </row>
    <row r="23" spans="1:22">
      <c r="A23" s="187" t="s">
        <v>147</v>
      </c>
      <c r="B23" s="188">
        <f>$E$23*15%</f>
        <v>52552.5</v>
      </c>
      <c r="C23" s="188">
        <f t="shared" ref="C23:D23" si="6">$E$23*15%</f>
        <v>52552.5</v>
      </c>
      <c r="D23" s="188">
        <f t="shared" si="6"/>
        <v>52552.5</v>
      </c>
      <c r="E23" s="188">
        <f>$U$23*$V$23</f>
        <v>350350</v>
      </c>
      <c r="F23" s="188">
        <f>$E$23*15%</f>
        <v>52552.5</v>
      </c>
      <c r="G23" s="188">
        <f t="shared" ref="G23:M23" si="7">$E$23*15%</f>
        <v>52552.5</v>
      </c>
      <c r="H23" s="188">
        <f t="shared" si="7"/>
        <v>52552.5</v>
      </c>
      <c r="I23" s="188">
        <f t="shared" si="7"/>
        <v>52552.5</v>
      </c>
      <c r="J23" s="188">
        <f t="shared" si="7"/>
        <v>52552.5</v>
      </c>
      <c r="K23" s="188">
        <f t="shared" si="7"/>
        <v>52552.5</v>
      </c>
      <c r="L23" s="188">
        <f t="shared" si="7"/>
        <v>52552.5</v>
      </c>
      <c r="M23" s="188">
        <f t="shared" si="7"/>
        <v>52552.5</v>
      </c>
      <c r="N23" s="184">
        <f t="shared" si="4"/>
        <v>928427.5</v>
      </c>
      <c r="O23" s="189" t="s">
        <v>358</v>
      </c>
      <c r="P23" s="178"/>
      <c r="Q23" s="178"/>
      <c r="R23" s="178"/>
      <c r="S23" s="178"/>
      <c r="T23" s="178"/>
      <c r="U23" s="179">
        <v>385</v>
      </c>
      <c r="V23" s="178">
        <v>910</v>
      </c>
    </row>
    <row r="24" spans="1:22" ht="23">
      <c r="A24" s="187" t="s">
        <v>148</v>
      </c>
      <c r="B24" s="188"/>
      <c r="C24" s="188"/>
      <c r="D24" s="188"/>
      <c r="E24" s="188"/>
      <c r="F24" s="188">
        <f>$U$24*$V$24</f>
        <v>323400</v>
      </c>
      <c r="G24" s="188">
        <f t="shared" ref="G24:I24" si="8">$F$24*10%</f>
        <v>32340</v>
      </c>
      <c r="H24" s="188">
        <f t="shared" si="8"/>
        <v>32340</v>
      </c>
      <c r="I24" s="188">
        <f t="shared" si="8"/>
        <v>32340</v>
      </c>
      <c r="J24" s="188"/>
      <c r="K24" s="188"/>
      <c r="L24" s="188"/>
      <c r="M24" s="188"/>
      <c r="N24" s="184">
        <f t="shared" si="4"/>
        <v>420420</v>
      </c>
      <c r="O24" s="189" t="s">
        <v>359</v>
      </c>
      <c r="P24" s="178"/>
      <c r="Q24" s="178"/>
      <c r="R24" s="178"/>
      <c r="S24" s="178"/>
      <c r="T24" s="178"/>
      <c r="U24" s="179">
        <v>385</v>
      </c>
      <c r="V24" s="178">
        <v>840</v>
      </c>
    </row>
    <row r="25" spans="1:22" ht="23">
      <c r="A25" s="187" t="s">
        <v>149</v>
      </c>
      <c r="B25" s="188">
        <v>200000</v>
      </c>
      <c r="C25" s="188">
        <v>200000</v>
      </c>
      <c r="D25" s="188">
        <v>200000</v>
      </c>
      <c r="E25" s="188">
        <v>200000</v>
      </c>
      <c r="F25" s="188">
        <v>200000</v>
      </c>
      <c r="G25" s="188">
        <v>200000</v>
      </c>
      <c r="H25" s="188">
        <v>200000</v>
      </c>
      <c r="I25" s="188">
        <v>200000</v>
      </c>
      <c r="J25" s="188">
        <v>200000</v>
      </c>
      <c r="K25" s="188">
        <v>200000</v>
      </c>
      <c r="L25" s="188">
        <v>200000</v>
      </c>
      <c r="M25" s="188">
        <v>200000</v>
      </c>
      <c r="N25" s="184">
        <f t="shared" si="4"/>
        <v>2400000</v>
      </c>
      <c r="O25" s="189"/>
      <c r="P25" s="178"/>
      <c r="Q25" s="178"/>
      <c r="R25" s="178"/>
      <c r="S25" s="178"/>
      <c r="T25" s="178"/>
      <c r="U25" s="179"/>
      <c r="V25" s="178"/>
    </row>
    <row r="26" spans="1:22" ht="46">
      <c r="A26" s="187" t="s">
        <v>150</v>
      </c>
      <c r="B26" s="188">
        <v>250000</v>
      </c>
      <c r="C26" s="188">
        <v>250000</v>
      </c>
      <c r="D26" s="188">
        <v>250000</v>
      </c>
      <c r="E26" s="188">
        <v>250000</v>
      </c>
      <c r="F26" s="188">
        <v>250000</v>
      </c>
      <c r="G26" s="188">
        <v>250000</v>
      </c>
      <c r="H26" s="188">
        <v>250000</v>
      </c>
      <c r="I26" s="188">
        <v>250000</v>
      </c>
      <c r="J26" s="188">
        <v>250000</v>
      </c>
      <c r="K26" s="188">
        <v>250000</v>
      </c>
      <c r="L26" s="188">
        <v>250000</v>
      </c>
      <c r="M26" s="188">
        <v>250000</v>
      </c>
      <c r="N26" s="184">
        <f t="shared" si="4"/>
        <v>3000000</v>
      </c>
      <c r="O26" s="189" t="s">
        <v>360</v>
      </c>
      <c r="P26" s="178"/>
      <c r="Q26" s="178"/>
      <c r="R26" s="178"/>
      <c r="S26" s="178"/>
      <c r="T26" s="178"/>
      <c r="U26" s="179"/>
      <c r="V26" s="178"/>
    </row>
    <row r="27" spans="1:22" ht="34.5">
      <c r="A27" s="187" t="s">
        <v>361</v>
      </c>
      <c r="B27" s="188">
        <v>350000</v>
      </c>
      <c r="C27" s="188">
        <v>350000</v>
      </c>
      <c r="D27" s="188">
        <v>350000</v>
      </c>
      <c r="E27" s="188">
        <v>450000</v>
      </c>
      <c r="F27" s="188">
        <f t="shared" ref="F27:I27" si="9">220000</f>
        <v>220000</v>
      </c>
      <c r="G27" s="188">
        <f t="shared" si="9"/>
        <v>220000</v>
      </c>
      <c r="H27" s="188">
        <f t="shared" si="9"/>
        <v>220000</v>
      </c>
      <c r="I27" s="188">
        <f t="shared" si="9"/>
        <v>220000</v>
      </c>
      <c r="J27" s="188">
        <v>250000</v>
      </c>
      <c r="K27" s="188">
        <v>350000</v>
      </c>
      <c r="L27" s="188">
        <v>350000</v>
      </c>
      <c r="M27" s="188">
        <v>350000</v>
      </c>
      <c r="N27" s="184">
        <f t="shared" si="4"/>
        <v>3680000</v>
      </c>
      <c r="O27" s="189" t="s">
        <v>362</v>
      </c>
      <c r="P27" s="178"/>
      <c r="Q27" s="178"/>
      <c r="R27" s="178"/>
      <c r="S27" s="178"/>
      <c r="T27" s="178"/>
      <c r="U27" s="179"/>
      <c r="V27" s="178"/>
    </row>
    <row r="28" spans="1:22">
      <c r="A28" s="187" t="s">
        <v>152</v>
      </c>
      <c r="B28" s="188">
        <f>('Укрупненная модель'!$E$19+'Укрупненная модель'!$E$32+'Укрупненная модель'!$E$48)/12</f>
        <v>6270422.2237737514</v>
      </c>
      <c r="C28" s="188">
        <f>('Укрупненная модель'!$E$19+'Укрупненная модель'!$E$32+'Укрупненная модель'!$E$48)/12</f>
        <v>6270422.2237737514</v>
      </c>
      <c r="D28" s="188">
        <f>('Укрупненная модель'!$E$19+'Укрупненная модель'!$E$32+'Укрупненная модель'!$E$48)/12</f>
        <v>6270422.2237737514</v>
      </c>
      <c r="E28" s="188">
        <f>('Укрупненная модель'!$E$19+'Укрупненная модель'!$E$32+'Укрупненная модель'!$E$48)/12</f>
        <v>6270422.2237737514</v>
      </c>
      <c r="F28" s="188">
        <f>('Укрупненная модель'!$E$19+'Укрупненная модель'!$E$32+'Укрупненная модель'!$E$48)/12</f>
        <v>6270422.2237737514</v>
      </c>
      <c r="G28" s="188">
        <f>('Укрупненная модель'!$E$19+'Укрупненная модель'!$E$32+'Укрупненная модель'!$E$48)/12</f>
        <v>6270422.2237737514</v>
      </c>
      <c r="H28" s="188">
        <f>('Укрупненная модель'!$E$19+'Укрупненная модель'!$E$32+'Укрупненная модель'!$E$48)/12</f>
        <v>6270422.2237737514</v>
      </c>
      <c r="I28" s="188">
        <f>('Укрупненная модель'!$E$19+'Укрупненная модель'!$E$32+'Укрупненная модель'!$E$48)/12</f>
        <v>6270422.2237737514</v>
      </c>
      <c r="J28" s="188">
        <f>('Укрупненная модель'!$E$19+'Укрупненная модель'!$E$32+'Укрупненная модель'!$E$48)/12</f>
        <v>6270422.2237737514</v>
      </c>
      <c r="K28" s="188">
        <f>('Укрупненная модель'!$E$19+'Укрупненная модель'!$E$32+'Укрупненная модель'!$E$48)/12</f>
        <v>6270422.2237737514</v>
      </c>
      <c r="L28" s="188">
        <f>('Укрупненная модель'!$E$19+'Укрупненная модель'!$E$32+'Укрупненная модель'!$E$48)/12</f>
        <v>6270422.2237737514</v>
      </c>
      <c r="M28" s="188">
        <f>('Укрупненная модель'!$E$19+'Укрупненная модель'!$E$32+'Укрупненная модель'!$E$48)/12</f>
        <v>6270422.2237737514</v>
      </c>
      <c r="N28" s="184">
        <f t="shared" si="4"/>
        <v>75245066.685285002</v>
      </c>
      <c r="O28" s="189"/>
      <c r="P28" s="193"/>
      <c r="Q28" s="178"/>
      <c r="R28" s="178"/>
      <c r="S28" s="178"/>
      <c r="T28" s="178"/>
      <c r="U28" s="179"/>
      <c r="V28" s="178"/>
    </row>
    <row r="29" spans="1:22">
      <c r="A29" s="187" t="s">
        <v>832</v>
      </c>
      <c r="B29" s="188">
        <f>'Итого выручка 1 этапа'!B23*'операционные  расходы 1 этап'!$P$29</f>
        <v>2087138.091602647</v>
      </c>
      <c r="C29" s="188">
        <f>'Итого выручка 1 этапа'!C23*'операционные  расходы 1 этап'!$P$29</f>
        <v>1105728.464256</v>
      </c>
      <c r="D29" s="188">
        <f>'Итого выручка 1 этапа'!D23*'операционные  расходы 1 этап'!$P$29</f>
        <v>1234409.4182820003</v>
      </c>
      <c r="E29" s="188">
        <f>'Итого выручка 1 этапа'!E23*'операционные  расходы 1 этап'!$P$29</f>
        <v>1196671.8910432942</v>
      </c>
      <c r="F29" s="188">
        <f>'Итого выручка 1 этапа'!F23*'операционные  расходы 1 этап'!$P$29</f>
        <v>1799306.6691144705</v>
      </c>
      <c r="G29" s="188">
        <f>'Итого выручка 1 этапа'!G23*'операционные  расходы 1 этап'!$P$29</f>
        <v>2551817.4720000001</v>
      </c>
      <c r="H29" s="188">
        <f>'Итого выручка 1 этапа'!H23*'операционные  расходы 1 этап'!$P$29</f>
        <v>2668748.0543999998</v>
      </c>
      <c r="I29" s="188">
        <f>'Итого выручка 1 этапа'!I23*'операционные  расходы 1 этап'!$P$29</f>
        <v>2355530.9775352944</v>
      </c>
      <c r="J29" s="188">
        <f>'Итого выручка 1 этапа'!J23*'операционные  расходы 1 этап'!$P$29</f>
        <v>1677598.0741290003</v>
      </c>
      <c r="K29" s="188">
        <f>'Итого выручка 1 этапа'!K23*'операционные  расходы 1 этап'!$P$29</f>
        <v>1097314.7310271766</v>
      </c>
      <c r="L29" s="188">
        <f>'Итого выручка 1 этапа'!L23*'операционные  расходы 1 этап'!$P$29</f>
        <v>994940.72266588244</v>
      </c>
      <c r="M29" s="188">
        <f>'Итого выручка 1 этапа'!M23*'операционные  расходы 1 этап'!$P$29</f>
        <v>1548827.3966970004</v>
      </c>
      <c r="N29" s="184">
        <f t="shared" ref="N29:N32" si="10">SUM(B29:M29)</f>
        <v>20318031.962752767</v>
      </c>
      <c r="O29" s="189" t="s">
        <v>341</v>
      </c>
      <c r="P29" s="193">
        <v>0.02</v>
      </c>
      <c r="Q29" s="193"/>
      <c r="R29" s="178"/>
      <c r="S29" s="178"/>
      <c r="T29" s="178"/>
      <c r="U29" s="179"/>
      <c r="V29" s="178"/>
    </row>
    <row r="30" spans="1:22" ht="23">
      <c r="A30" s="185" t="s">
        <v>154</v>
      </c>
      <c r="B30" s="188">
        <f t="shared" ref="B30:M30" si="11">600000*B4</f>
        <v>450000</v>
      </c>
      <c r="C30" s="188">
        <f t="shared" si="11"/>
        <v>330000</v>
      </c>
      <c r="D30" s="188">
        <f t="shared" si="11"/>
        <v>330000</v>
      </c>
      <c r="E30" s="188">
        <f t="shared" si="11"/>
        <v>330000</v>
      </c>
      <c r="F30" s="188">
        <f t="shared" si="11"/>
        <v>450000</v>
      </c>
      <c r="G30" s="188">
        <f t="shared" si="11"/>
        <v>510000</v>
      </c>
      <c r="H30" s="188">
        <f t="shared" si="11"/>
        <v>510000</v>
      </c>
      <c r="I30" s="188">
        <f t="shared" si="11"/>
        <v>480000</v>
      </c>
      <c r="J30" s="188">
        <f t="shared" si="11"/>
        <v>390000</v>
      </c>
      <c r="K30" s="188">
        <f t="shared" si="11"/>
        <v>330000</v>
      </c>
      <c r="L30" s="188">
        <f t="shared" si="11"/>
        <v>300000</v>
      </c>
      <c r="M30" s="188">
        <f t="shared" si="11"/>
        <v>390000</v>
      </c>
      <c r="N30" s="184">
        <f t="shared" si="10"/>
        <v>4800000</v>
      </c>
      <c r="O30" s="189" t="s">
        <v>363</v>
      </c>
      <c r="P30" s="178"/>
      <c r="Q30" s="178"/>
      <c r="R30" s="178"/>
      <c r="S30" s="178"/>
      <c r="T30" s="178"/>
      <c r="U30" s="179"/>
      <c r="V30" s="178"/>
    </row>
    <row r="31" spans="1:22" ht="34.5">
      <c r="A31" s="185" t="s">
        <v>155</v>
      </c>
      <c r="B31" s="196">
        <v>150000</v>
      </c>
      <c r="C31" s="196">
        <v>150000</v>
      </c>
      <c r="D31" s="196">
        <v>150000</v>
      </c>
      <c r="E31" s="196">
        <v>150000</v>
      </c>
      <c r="F31" s="196">
        <v>150000</v>
      </c>
      <c r="G31" s="196">
        <v>150000</v>
      </c>
      <c r="H31" s="196">
        <v>150000</v>
      </c>
      <c r="I31" s="196">
        <v>150000</v>
      </c>
      <c r="J31" s="196">
        <v>150000</v>
      </c>
      <c r="K31" s="196">
        <v>150000</v>
      </c>
      <c r="L31" s="196">
        <v>150000</v>
      </c>
      <c r="M31" s="196">
        <v>150000</v>
      </c>
      <c r="N31" s="184">
        <f t="shared" si="10"/>
        <v>1800000</v>
      </c>
      <c r="O31" s="189" t="s">
        <v>364</v>
      </c>
      <c r="P31" s="178"/>
      <c r="Q31" s="178"/>
      <c r="R31" s="178"/>
      <c r="S31" s="178"/>
      <c r="T31" s="178"/>
      <c r="U31" s="179"/>
      <c r="V31" s="178"/>
    </row>
    <row r="32" spans="1:22">
      <c r="A32" s="185" t="s">
        <v>156</v>
      </c>
      <c r="B32" s="196">
        <f>'Итого выручка 1 этапа'!B23*'операционные  расходы 1 этап'!$P$32</f>
        <v>2087138.091602647</v>
      </c>
      <c r="C32" s="196">
        <f>'Итого выручка 1 этапа'!C23*'операционные  расходы 1 этап'!$P$32</f>
        <v>1105728.464256</v>
      </c>
      <c r="D32" s="196">
        <f>'Итого выручка 1 этапа'!D23*'операционные  расходы 1 этап'!$P$32</f>
        <v>1234409.4182820003</v>
      </c>
      <c r="E32" s="196">
        <f>'Итого выручка 1 этапа'!E23*'операционные  расходы 1 этап'!$P$32</f>
        <v>1196671.8910432942</v>
      </c>
      <c r="F32" s="196">
        <f>'Итого выручка 1 этапа'!F23*'операционные  расходы 1 этап'!$P$32</f>
        <v>1799306.6691144705</v>
      </c>
      <c r="G32" s="196">
        <f>'Итого выручка 1 этапа'!G23*'операционные  расходы 1 этап'!$P$32</f>
        <v>2551817.4720000001</v>
      </c>
      <c r="H32" s="196">
        <f>'Итого выручка 1 этапа'!H23*'операционные  расходы 1 этап'!$P$32</f>
        <v>2668748.0543999998</v>
      </c>
      <c r="I32" s="196">
        <f>'Итого выручка 1 этапа'!I23*'операционные  расходы 1 этап'!$P$32</f>
        <v>2355530.9775352944</v>
      </c>
      <c r="J32" s="196">
        <f>'Итого выручка 1 этапа'!J23*'операционные  расходы 1 этап'!$P$32</f>
        <v>1677598.0741290003</v>
      </c>
      <c r="K32" s="196">
        <f>'Итого выручка 1 этапа'!K23*'операционные  расходы 1 этап'!$P$32</f>
        <v>1097314.7310271766</v>
      </c>
      <c r="L32" s="196">
        <f>'Итого выручка 1 этапа'!L23*'операционные  расходы 1 этап'!$P$32</f>
        <v>994940.72266588244</v>
      </c>
      <c r="M32" s="196">
        <f>'Итого выручка 1 этапа'!M23*'операционные  расходы 1 этап'!$P$32</f>
        <v>1548827.3966970004</v>
      </c>
      <c r="N32" s="184">
        <f t="shared" si="10"/>
        <v>20318031.962752767</v>
      </c>
      <c r="O32" s="189" t="s">
        <v>341</v>
      </c>
      <c r="P32" s="195">
        <v>0.02</v>
      </c>
      <c r="Q32" s="178"/>
      <c r="R32" s="178"/>
      <c r="S32" s="178"/>
      <c r="T32" s="178"/>
      <c r="U32" s="179"/>
      <c r="V32" s="178"/>
    </row>
    <row r="33" spans="1:22">
      <c r="A33" s="197" t="s">
        <v>365</v>
      </c>
      <c r="B33" s="198">
        <f t="shared" ref="B33:M33" si="12">SUM(B34:B36)</f>
        <v>1043569.0458013235</v>
      </c>
      <c r="C33" s="198">
        <f t="shared" si="12"/>
        <v>552864.232128</v>
      </c>
      <c r="D33" s="198">
        <f t="shared" si="12"/>
        <v>5736667.0928910011</v>
      </c>
      <c r="E33" s="198">
        <f t="shared" si="12"/>
        <v>598335.94552164711</v>
      </c>
      <c r="F33" s="198">
        <f t="shared" si="12"/>
        <v>899653.33455723524</v>
      </c>
      <c r="G33" s="198">
        <f t="shared" si="12"/>
        <v>6395371.1197500005</v>
      </c>
      <c r="H33" s="198">
        <f t="shared" si="12"/>
        <v>1334374.0271999999</v>
      </c>
      <c r="I33" s="198">
        <f t="shared" si="12"/>
        <v>1177765.4887676472</v>
      </c>
      <c r="J33" s="198">
        <f t="shared" si="12"/>
        <v>5958261.4208145011</v>
      </c>
      <c r="K33" s="198">
        <f t="shared" si="12"/>
        <v>548657.3655135883</v>
      </c>
      <c r="L33" s="198">
        <f t="shared" si="12"/>
        <v>497470.36133294122</v>
      </c>
      <c r="M33" s="198">
        <f t="shared" si="12"/>
        <v>5893876.0820985008</v>
      </c>
      <c r="N33" s="184">
        <f t="shared" ref="N33:N36" si="13">SUM(B33:M33)</f>
        <v>30636865.516376384</v>
      </c>
      <c r="O33" s="189"/>
      <c r="P33" s="178"/>
      <c r="Q33" s="178"/>
      <c r="R33" s="178"/>
      <c r="S33" s="178"/>
      <c r="T33" s="178"/>
      <c r="U33" s="179"/>
      <c r="V33" s="178"/>
    </row>
    <row r="34" spans="1:22">
      <c r="A34" s="461"/>
      <c r="B34" s="198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84"/>
      <c r="O34" s="189"/>
      <c r="P34" s="178"/>
      <c r="Q34" s="193"/>
      <c r="R34" s="178"/>
      <c r="S34" s="178"/>
      <c r="T34" s="178"/>
      <c r="U34" s="179"/>
      <c r="V34" s="178"/>
    </row>
    <row r="35" spans="1:22" ht="34.5">
      <c r="A35" s="185" t="s">
        <v>157</v>
      </c>
      <c r="B35" s="196">
        <f>'Итого выручка 1 этапа'!B23*'операционные  расходы 1 этап'!$P$35</f>
        <v>1043569.0458013235</v>
      </c>
      <c r="C35" s="196">
        <f>'Итого выручка 1 этапа'!C23*'операционные  расходы 1 этап'!$P$35</f>
        <v>552864.232128</v>
      </c>
      <c r="D35" s="196">
        <f>'Итого выручка 1 этапа'!D23*'операционные  расходы 1 этап'!$P$35</f>
        <v>617204.70914100017</v>
      </c>
      <c r="E35" s="196">
        <f>'Итого выручка 1 этапа'!E23*'операционные  расходы 1 этап'!$P$35</f>
        <v>598335.94552164711</v>
      </c>
      <c r="F35" s="196">
        <f>'Итого выручка 1 этапа'!F23*'операционные  расходы 1 этап'!$P$35</f>
        <v>899653.33455723524</v>
      </c>
      <c r="G35" s="196">
        <f>'Итого выручка 1 этапа'!G23*'операционные  расходы 1 этап'!$P$35</f>
        <v>1275908.736</v>
      </c>
      <c r="H35" s="196">
        <f>'Итого выручка 1 этапа'!H23*'операционные  расходы 1 этап'!$P$35</f>
        <v>1334374.0271999999</v>
      </c>
      <c r="I35" s="196">
        <f>'Итого выручка 1 этапа'!I23*'операционные  расходы 1 этап'!$P$35</f>
        <v>1177765.4887676472</v>
      </c>
      <c r="J35" s="196">
        <f>'Итого выручка 1 этапа'!J23*'операционные  расходы 1 этап'!$P$35</f>
        <v>838799.03706450015</v>
      </c>
      <c r="K35" s="196">
        <f>'Итого выручка 1 этапа'!K23*'операционные  расходы 1 этап'!$P$35</f>
        <v>548657.3655135883</v>
      </c>
      <c r="L35" s="196">
        <f>'Итого выручка 1 этапа'!L23*'операционные  расходы 1 этап'!$P$35</f>
        <v>497470.36133294122</v>
      </c>
      <c r="M35" s="196">
        <f>'Итого выручка 1 этапа'!M23*'операционные  расходы 1 этап'!$P$35</f>
        <v>774413.69834850018</v>
      </c>
      <c r="N35" s="184">
        <f t="shared" si="13"/>
        <v>10159015.981376383</v>
      </c>
      <c r="O35" s="189" t="s">
        <v>366</v>
      </c>
      <c r="P35" s="193">
        <v>0.01</v>
      </c>
      <c r="Q35" s="178"/>
      <c r="R35" s="178"/>
      <c r="S35" s="178"/>
      <c r="T35" s="178"/>
      <c r="U35" s="179"/>
      <c r="V35" s="178"/>
    </row>
    <row r="36" spans="1:22" ht="34" customHeight="1">
      <c r="A36" s="185" t="s">
        <v>86</v>
      </c>
      <c r="B36" s="196"/>
      <c r="C36" s="196"/>
      <c r="D36" s="196">
        <f>Финансирование!$C$4*65%*0.5*0.6*2.2%/4</f>
        <v>5119462.383750001</v>
      </c>
      <c r="E36" s="196"/>
      <c r="F36" s="196"/>
      <c r="G36" s="196">
        <f>Финансирование!$C$4*65%*0.5*0.6*2.2%/4</f>
        <v>5119462.383750001</v>
      </c>
      <c r="H36" s="196"/>
      <c r="I36" s="196"/>
      <c r="J36" s="196">
        <f>Финансирование!$C$4*65%*0.5*0.6*2.2%/4</f>
        <v>5119462.383750001</v>
      </c>
      <c r="K36" s="196"/>
      <c r="L36" s="196"/>
      <c r="M36" s="196">
        <f>Финансирование!$C$4*65%*0.5*0.6*2.2%/4</f>
        <v>5119462.383750001</v>
      </c>
      <c r="N36" s="184">
        <f t="shared" si="13"/>
        <v>20477849.535000004</v>
      </c>
      <c r="O36" s="199" t="s">
        <v>367</v>
      </c>
      <c r="P36" s="193"/>
      <c r="Q36" s="178"/>
      <c r="R36" s="178"/>
      <c r="S36" s="178"/>
      <c r="T36" s="178"/>
      <c r="U36" s="196"/>
      <c r="V36" s="185"/>
    </row>
    <row r="37" spans="1:22">
      <c r="A37" s="186"/>
      <c r="B37" s="186"/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200"/>
      <c r="O37" s="186"/>
      <c r="P37" s="186"/>
      <c r="Q37" s="186"/>
      <c r="R37" s="186"/>
      <c r="S37" s="186"/>
      <c r="T37" s="186"/>
      <c r="U37" s="186"/>
      <c r="V37" s="186"/>
    </row>
    <row r="38" spans="1:22">
      <c r="A38" s="197" t="s">
        <v>368</v>
      </c>
      <c r="B38" s="201">
        <f t="shared" ref="B38:M38" si="14">B5+B33</f>
        <v>57463900.930963621</v>
      </c>
      <c r="C38" s="201">
        <f t="shared" si="14"/>
        <v>47166213.031709738</v>
      </c>
      <c r="D38" s="201">
        <f t="shared" si="14"/>
        <v>52546233.163606487</v>
      </c>
      <c r="E38" s="201">
        <f t="shared" si="14"/>
        <v>47730810.4912517</v>
      </c>
      <c r="F38" s="201">
        <f t="shared" si="14"/>
        <v>55293047.323225811</v>
      </c>
      <c r="G38" s="201">
        <f t="shared" si="14"/>
        <v>66833076.288056023</v>
      </c>
      <c r="H38" s="201">
        <f t="shared" si="14"/>
        <v>63286228.299210817</v>
      </c>
      <c r="I38" s="201">
        <f t="shared" si="14"/>
        <v>60031915.430047385</v>
      </c>
      <c r="J38" s="201">
        <f t="shared" si="14"/>
        <v>58137943.361656815</v>
      </c>
      <c r="K38" s="201">
        <f t="shared" si="14"/>
        <v>46388180.30253578</v>
      </c>
      <c r="L38" s="201">
        <f t="shared" si="14"/>
        <v>45229798.470669344</v>
      </c>
      <c r="M38" s="201">
        <f t="shared" si="14"/>
        <v>57861451.82804957</v>
      </c>
      <c r="N38" s="184">
        <f>SUM(B38:M38)</f>
        <v>657968798.92098308</v>
      </c>
      <c r="O38" s="186"/>
      <c r="P38" s="186"/>
      <c r="Q38" s="186"/>
      <c r="R38" s="186"/>
      <c r="S38" s="186"/>
      <c r="T38" s="186"/>
      <c r="U38" s="186"/>
      <c r="V38" s="186"/>
    </row>
    <row r="39" spans="1:22">
      <c r="A39" s="186"/>
      <c r="B39" s="186"/>
      <c r="C39" s="186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202"/>
      <c r="O39" s="186"/>
      <c r="P39" s="186"/>
      <c r="Q39" s="186"/>
      <c r="R39" s="186"/>
      <c r="S39" s="186"/>
      <c r="T39" s="186"/>
      <c r="U39" s="186"/>
      <c r="V39" s="186"/>
    </row>
    <row r="42" spans="1:22">
      <c r="A42" t="s">
        <v>1116</v>
      </c>
      <c r="B42" s="776">
        <f>Финансирование!C4/55/4/1000</f>
        <v>21697.234090909089</v>
      </c>
      <c r="C42" s="776"/>
    </row>
    <row r="43" spans="1:22">
      <c r="A43" t="s">
        <v>1117</v>
      </c>
      <c r="B43">
        <v>700</v>
      </c>
    </row>
  </sheetData>
  <mergeCells count="2">
    <mergeCell ref="A1:N1"/>
    <mergeCell ref="P1:U1"/>
  </mergeCells>
  <pageMargins left="0.74803149606299213" right="0.74803149606299213" top="0.98425196850393704" bottom="0.98425196850393704" header="0" footer="0"/>
  <pageSetup paperSize="9" scale="71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B100"/>
  <sheetViews>
    <sheetView workbookViewId="0">
      <selection activeCell="B6" sqref="B6"/>
    </sheetView>
  </sheetViews>
  <sheetFormatPr defaultColWidth="14.453125" defaultRowHeight="15" customHeight="1"/>
  <cols>
    <col min="1" max="1" width="6.453125" customWidth="1"/>
    <col min="2" max="2" width="99.54296875" customWidth="1"/>
    <col min="3" max="11" width="8.7265625" customWidth="1"/>
  </cols>
  <sheetData>
    <row r="1" spans="1:2" ht="12.75" customHeight="1"/>
    <row r="2" spans="1:2" ht="12.75" customHeight="1">
      <c r="B2" s="1" t="s">
        <v>61</v>
      </c>
    </row>
    <row r="3" spans="1:2" ht="12.75" customHeight="1"/>
    <row r="4" spans="1:2" ht="48" customHeight="1">
      <c r="A4">
        <v>1</v>
      </c>
      <c r="B4" s="4" t="s">
        <v>62</v>
      </c>
    </row>
    <row r="5" spans="1:2" ht="45.75" customHeight="1">
      <c r="A5">
        <v>2</v>
      </c>
      <c r="B5" s="4" t="s">
        <v>63</v>
      </c>
    </row>
    <row r="6" spans="1:2" ht="33.75" customHeight="1">
      <c r="A6">
        <v>3</v>
      </c>
      <c r="B6" s="4" t="s">
        <v>602</v>
      </c>
    </row>
    <row r="7" spans="1:2" ht="36" customHeight="1">
      <c r="A7">
        <v>4</v>
      </c>
      <c r="B7" s="4" t="s">
        <v>64</v>
      </c>
    </row>
    <row r="8" spans="1:2" ht="60" customHeight="1">
      <c r="A8">
        <v>5</v>
      </c>
      <c r="B8" s="4" t="s">
        <v>65</v>
      </c>
    </row>
    <row r="9" spans="1:2" ht="75.75" customHeight="1">
      <c r="A9">
        <v>6</v>
      </c>
      <c r="B9" s="4" t="s">
        <v>66</v>
      </c>
    </row>
    <row r="10" spans="1:2" ht="58.75" customHeight="1">
      <c r="A10">
        <v>7</v>
      </c>
      <c r="B10" s="4" t="s">
        <v>67</v>
      </c>
    </row>
    <row r="11" spans="1:2" ht="30.75" customHeight="1">
      <c r="A11">
        <v>8</v>
      </c>
      <c r="B11" s="4" t="s">
        <v>68</v>
      </c>
    </row>
    <row r="12" spans="1:2" ht="12.75" customHeight="1"/>
    <row r="13" spans="1:2" ht="12.75" customHeight="1"/>
    <row r="14" spans="1:2" ht="12.75" customHeight="1"/>
    <row r="15" spans="1:2" ht="12.75" customHeight="1"/>
    <row r="16" spans="1:2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</sheetData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8C595-7EB4-4EA6-B8CA-3A93680BB95D}">
  <dimension ref="A1:X34"/>
  <sheetViews>
    <sheetView topLeftCell="A22" workbookViewId="0">
      <selection activeCell="B35" sqref="B35"/>
    </sheetView>
  </sheetViews>
  <sheetFormatPr defaultColWidth="14.453125" defaultRowHeight="12.5"/>
  <cols>
    <col min="1" max="1" width="33.81640625" customWidth="1"/>
    <col min="2" max="2" width="10.453125" customWidth="1"/>
    <col min="3" max="3" width="8.453125" customWidth="1"/>
    <col min="4" max="4" width="10.81640625" customWidth="1"/>
    <col min="5" max="7" width="8.453125" customWidth="1"/>
    <col min="8" max="8" width="10" customWidth="1"/>
    <col min="9" max="13" width="8.453125" customWidth="1"/>
    <col min="14" max="14" width="11.1796875" customWidth="1"/>
    <col min="15" max="15" width="34.81640625" customWidth="1"/>
    <col min="16" max="16" width="7.7265625" customWidth="1"/>
    <col min="17" max="17" width="7.1796875" customWidth="1"/>
    <col min="18" max="18" width="7.453125" customWidth="1"/>
    <col min="19" max="19" width="10.26953125" customWidth="1"/>
    <col min="20" max="20" width="7.81640625" customWidth="1"/>
    <col min="21" max="21" width="8.453125" customWidth="1"/>
    <col min="22" max="22" width="8.26953125" customWidth="1"/>
    <col min="23" max="23" width="9.26953125" customWidth="1"/>
  </cols>
  <sheetData>
    <row r="1" spans="1:24">
      <c r="A1" s="819" t="s">
        <v>325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3"/>
      <c r="O1" s="169"/>
      <c r="P1" s="820" t="s">
        <v>326</v>
      </c>
      <c r="Q1" s="821"/>
      <c r="R1" s="821"/>
      <c r="S1" s="821"/>
      <c r="T1" s="821"/>
      <c r="U1" s="822"/>
      <c r="V1" s="170"/>
      <c r="W1" s="170"/>
    </row>
    <row r="2" spans="1:24" ht="57.5">
      <c r="A2" s="171"/>
      <c r="B2" s="171" t="s">
        <v>327</v>
      </c>
      <c r="C2" s="171" t="s">
        <v>328</v>
      </c>
      <c r="D2" s="171" t="s">
        <v>329</v>
      </c>
      <c r="E2" s="171" t="s">
        <v>330</v>
      </c>
      <c r="F2" s="171" t="s">
        <v>331</v>
      </c>
      <c r="G2" s="171" t="s">
        <v>332</v>
      </c>
      <c r="H2" s="171" t="s">
        <v>333</v>
      </c>
      <c r="I2" s="171" t="s">
        <v>334</v>
      </c>
      <c r="J2" s="171" t="s">
        <v>335</v>
      </c>
      <c r="K2" s="171" t="s">
        <v>336</v>
      </c>
      <c r="L2" s="171" t="s">
        <v>337</v>
      </c>
      <c r="M2" s="171" t="s">
        <v>338</v>
      </c>
      <c r="N2" s="171" t="s">
        <v>339</v>
      </c>
      <c r="O2" s="172" t="s">
        <v>340</v>
      </c>
      <c r="P2" s="173" t="s">
        <v>341</v>
      </c>
      <c r="Q2" s="173" t="s">
        <v>342</v>
      </c>
      <c r="R2" s="173" t="s">
        <v>343</v>
      </c>
      <c r="S2" s="173" t="s">
        <v>344</v>
      </c>
      <c r="T2" s="173" t="s">
        <v>345</v>
      </c>
      <c r="U2" s="174" t="s">
        <v>346</v>
      </c>
      <c r="V2" s="173" t="s">
        <v>347</v>
      </c>
      <c r="W2" s="175"/>
    </row>
    <row r="3" spans="1:24">
      <c r="A3" s="176"/>
      <c r="B3" s="176">
        <v>31</v>
      </c>
      <c r="C3" s="176">
        <v>28</v>
      </c>
      <c r="D3" s="176">
        <v>31</v>
      </c>
      <c r="E3" s="176">
        <v>30</v>
      </c>
      <c r="F3" s="176">
        <v>31</v>
      </c>
      <c r="G3" s="176">
        <v>30</v>
      </c>
      <c r="H3" s="176">
        <v>30</v>
      </c>
      <c r="I3" s="176">
        <v>31</v>
      </c>
      <c r="J3" s="176">
        <v>30</v>
      </c>
      <c r="K3" s="176">
        <v>31</v>
      </c>
      <c r="L3" s="176">
        <v>30</v>
      </c>
      <c r="M3" s="176">
        <v>31</v>
      </c>
      <c r="N3" s="176"/>
      <c r="O3" s="177"/>
      <c r="P3" s="178"/>
      <c r="Q3" s="178"/>
      <c r="R3" s="178"/>
      <c r="S3" s="178"/>
      <c r="T3" s="178"/>
      <c r="U3" s="179"/>
      <c r="V3" s="176"/>
      <c r="W3" s="180"/>
    </row>
    <row r="4" spans="1:24">
      <c r="A4" s="176" t="s">
        <v>348</v>
      </c>
      <c r="B4" s="181">
        <f>'выручка номеров'!C12</f>
        <v>0.75</v>
      </c>
      <c r="C4" s="181">
        <f>'выручка номеров'!D12</f>
        <v>0.55000000000000004</v>
      </c>
      <c r="D4" s="181">
        <f>'выручка номеров'!E12</f>
        <v>0.55000000000000004</v>
      </c>
      <c r="E4" s="181">
        <f>'выручка номеров'!F12</f>
        <v>0.55000000000000004</v>
      </c>
      <c r="F4" s="181">
        <f>'выручка номеров'!G12</f>
        <v>0.75</v>
      </c>
      <c r="G4" s="181">
        <f>'выручка номеров'!H12</f>
        <v>0.85</v>
      </c>
      <c r="H4" s="181">
        <f>'выручка номеров'!I12</f>
        <v>0.85</v>
      </c>
      <c r="I4" s="181">
        <f>'выручка номеров'!J12</f>
        <v>0.8</v>
      </c>
      <c r="J4" s="181">
        <f>'выручка номеров'!K12</f>
        <v>0.65</v>
      </c>
      <c r="K4" s="181">
        <f>'выручка номеров'!L12</f>
        <v>0.55000000000000004</v>
      </c>
      <c r="L4" s="181">
        <f>'выручка номеров'!M12</f>
        <v>0.5</v>
      </c>
      <c r="M4" s="181">
        <f>'выручка номеров'!N12</f>
        <v>0.65</v>
      </c>
      <c r="N4" s="181">
        <f>AVERAGE(B4:M4)</f>
        <v>0.66666666666666663</v>
      </c>
      <c r="O4" s="176"/>
      <c r="P4" s="178"/>
      <c r="Q4" s="178"/>
      <c r="R4" s="178"/>
      <c r="S4" s="178"/>
      <c r="T4" s="178"/>
      <c r="U4" s="179"/>
      <c r="V4" s="176"/>
      <c r="W4" s="180"/>
    </row>
    <row r="5" spans="1:24">
      <c r="A5" s="182" t="s">
        <v>828</v>
      </c>
      <c r="B5" s="183">
        <f t="shared" ref="B5:M5" si="0">SUM(B7:B25)</f>
        <v>9954656.4078384489</v>
      </c>
      <c r="C5" s="183">
        <f t="shared" si="0"/>
        <v>7914654.0294508729</v>
      </c>
      <c r="D5" s="183">
        <f t="shared" si="0"/>
        <v>8013493.2112837005</v>
      </c>
      <c r="E5" s="183">
        <f t="shared" si="0"/>
        <v>8391755.1933023985</v>
      </c>
      <c r="F5" s="183">
        <f t="shared" si="0"/>
        <v>9561269.7475182936</v>
      </c>
      <c r="G5" s="183">
        <f t="shared" si="0"/>
        <v>10652214.727932613</v>
      </c>
      <c r="H5" s="183">
        <f t="shared" si="0"/>
        <v>11235126.04763177</v>
      </c>
      <c r="I5" s="183">
        <f t="shared" si="0"/>
        <v>10906290.979545131</v>
      </c>
      <c r="J5" s="183">
        <f t="shared" si="0"/>
        <v>9701123.4828474112</v>
      </c>
      <c r="K5" s="183">
        <f t="shared" si="0"/>
        <v>8436846.1421714276</v>
      </c>
      <c r="L5" s="183">
        <f t="shared" si="0"/>
        <v>7008138.5422651516</v>
      </c>
      <c r="M5" s="183">
        <f t="shared" si="0"/>
        <v>8315034.9289638586</v>
      </c>
      <c r="N5" s="184">
        <f>SUM(B5:M5)</f>
        <v>110090603.44075106</v>
      </c>
      <c r="O5" s="185"/>
      <c r="P5" s="178"/>
      <c r="Q5" s="178"/>
      <c r="R5" s="178"/>
      <c r="S5" s="178"/>
      <c r="T5" s="178"/>
      <c r="U5" s="179"/>
      <c r="V5" s="185"/>
      <c r="W5" s="186"/>
    </row>
    <row r="6" spans="1:24">
      <c r="A6" s="182" t="s">
        <v>129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4"/>
      <c r="O6" s="185"/>
      <c r="P6" s="178"/>
      <c r="Q6" s="178"/>
      <c r="R6" s="178"/>
      <c r="S6" s="178"/>
      <c r="T6" s="178"/>
      <c r="U6" s="179"/>
      <c r="V6" s="185"/>
      <c r="W6" s="186"/>
    </row>
    <row r="7" spans="1:24" ht="23">
      <c r="A7" s="187" t="s">
        <v>130</v>
      </c>
      <c r="B7" s="188">
        <f>'Итого выручка 2 этапа '!B7*$P$7</f>
        <v>282464.82003749994</v>
      </c>
      <c r="C7" s="188">
        <f>'Итого выручка 2 этапа '!C7*$P$7</f>
        <v>91299.01387499999</v>
      </c>
      <c r="D7" s="188">
        <f>'Итого выручка 2 этапа '!D7*$P$7</f>
        <v>108019.22599218749</v>
      </c>
      <c r="E7" s="188">
        <f>'Итого выручка 2 этапа '!E7*$P$7</f>
        <v>130112.25243749999</v>
      </c>
      <c r="F7" s="188">
        <f>'Итого выручка 2 этапа '!F7*$P$7</f>
        <v>238908.38010937499</v>
      </c>
      <c r="G7" s="188">
        <f>'Итого выручка 2 этапа '!G7*$P$7</f>
        <v>341940.05296875001</v>
      </c>
      <c r="H7" s="188">
        <f>'Итого выручка 2 этапа '!H7*$P$7</f>
        <v>386475.11723437504</v>
      </c>
      <c r="I7" s="188">
        <f>'Итого выручка 2 этапа '!I7*$P$7</f>
        <v>349664.42191874998</v>
      </c>
      <c r="J7" s="188">
        <f>'Итого выручка 2 этапа '!J7*$P$7</f>
        <v>224367.1105078125</v>
      </c>
      <c r="K7" s="188">
        <f>'Итого выручка 2 этапа '!K7*$P$7</f>
        <v>97041.139664062488</v>
      </c>
      <c r="L7" s="188">
        <f>'Итого выручка 2 этапа '!L7*$P$7</f>
        <v>93966.918046874998</v>
      </c>
      <c r="M7" s="188">
        <f>'Итого выручка 2 этапа '!M7*$P$7</f>
        <v>201048.84455624997</v>
      </c>
      <c r="N7" s="184">
        <f t="shared" ref="N7:N14" si="1">SUM(B7:M7)</f>
        <v>2545307.2973484374</v>
      </c>
      <c r="O7" s="189" t="s">
        <v>341</v>
      </c>
      <c r="P7" s="190">
        <v>1.4999999999999999E-2</v>
      </c>
      <c r="Q7" s="191"/>
      <c r="R7" s="178"/>
      <c r="S7" s="178"/>
      <c r="T7" s="178"/>
      <c r="U7" s="179"/>
      <c r="V7" s="185"/>
      <c r="W7" s="186"/>
    </row>
    <row r="8" spans="1:24">
      <c r="A8" s="187" t="s">
        <v>131</v>
      </c>
      <c r="B8" s="188">
        <f t="shared" ref="B8:M8" si="2">B7*30.2%</f>
        <v>85304.375651324983</v>
      </c>
      <c r="C8" s="188">
        <f t="shared" si="2"/>
        <v>27572.302190249997</v>
      </c>
      <c r="D8" s="188">
        <f t="shared" si="2"/>
        <v>32621.806249640624</v>
      </c>
      <c r="E8" s="188">
        <f t="shared" si="2"/>
        <v>39293.900236124995</v>
      </c>
      <c r="F8" s="188">
        <f t="shared" si="2"/>
        <v>72150.330793031244</v>
      </c>
      <c r="G8" s="188">
        <f t="shared" si="2"/>
        <v>103265.8959965625</v>
      </c>
      <c r="H8" s="188">
        <f t="shared" si="2"/>
        <v>116715.48540478126</v>
      </c>
      <c r="I8" s="188">
        <f t="shared" si="2"/>
        <v>105598.65541946249</v>
      </c>
      <c r="J8" s="188">
        <f t="shared" si="2"/>
        <v>67758.867373359375</v>
      </c>
      <c r="K8" s="188">
        <f t="shared" si="2"/>
        <v>29306.424178546869</v>
      </c>
      <c r="L8" s="188">
        <f t="shared" si="2"/>
        <v>28378.00925015625</v>
      </c>
      <c r="M8" s="188">
        <f t="shared" si="2"/>
        <v>60716.751055987486</v>
      </c>
      <c r="N8" s="184">
        <f t="shared" si="1"/>
        <v>768682.80379922804</v>
      </c>
      <c r="O8" s="189" t="s">
        <v>349</v>
      </c>
      <c r="P8" s="190"/>
      <c r="Q8" s="191"/>
      <c r="R8" s="178"/>
      <c r="S8" s="178"/>
      <c r="T8" s="178"/>
      <c r="U8" s="179"/>
      <c r="V8" s="185"/>
      <c r="W8" s="186"/>
    </row>
    <row r="9" spans="1:24">
      <c r="A9" s="187" t="s">
        <v>829</v>
      </c>
      <c r="B9" s="188">
        <f>'Итого выручка 2 этапа '!B7*'операционные  расходы 1 этап'!$P$9</f>
        <v>376619.76004999998</v>
      </c>
      <c r="C9" s="188">
        <f>'Итого выручка 2 этапа '!C7*'операционные  расходы 1 этап'!$P$9</f>
        <v>121732.01850000001</v>
      </c>
      <c r="D9" s="188"/>
      <c r="E9" s="188"/>
      <c r="F9" s="188">
        <f>'Итого выручка 2 этапа '!F7*'операционные  расходы 1 этап'!$P$9</f>
        <v>318544.50681250001</v>
      </c>
      <c r="G9" s="188">
        <f>'Итого выручка 2 этапа '!G7*'операционные  расходы 1 этап'!$P$9</f>
        <v>455920.07062499999</v>
      </c>
      <c r="H9" s="188">
        <f>'Итого выручка 2 этапа '!H7*'операционные  расходы 1 этап'!$P$9</f>
        <v>515300.15631250013</v>
      </c>
      <c r="I9" s="188">
        <f>'Итого выручка 2 этапа '!I7*'операционные  расходы 1 этап'!$P$9</f>
        <v>466219.22922500002</v>
      </c>
      <c r="J9" s="188">
        <f>'Итого выручка 2 этапа '!J7*'операционные  расходы 1 этап'!$P$9</f>
        <v>299156.14734375</v>
      </c>
      <c r="K9" s="188"/>
      <c r="L9" s="188"/>
      <c r="M9" s="188">
        <f>'Итого выручка 2 этапа '!M7*'операционные  расходы 1 этап'!$P$9</f>
        <v>268065.12607499998</v>
      </c>
      <c r="N9" s="184">
        <f t="shared" si="1"/>
        <v>2821557.0149437501</v>
      </c>
      <c r="O9" s="189" t="s">
        <v>341</v>
      </c>
      <c r="P9" s="190">
        <v>0.02</v>
      </c>
      <c r="Q9" s="191"/>
      <c r="R9" s="178"/>
      <c r="S9" s="178"/>
      <c r="T9" s="178"/>
      <c r="U9" s="179"/>
      <c r="V9" s="185"/>
      <c r="W9" s="186"/>
    </row>
    <row r="10" spans="1:24">
      <c r="A10" s="185" t="s">
        <v>133</v>
      </c>
      <c r="B10" s="192">
        <f>'выручка от общепита'!B109*$R$10</f>
        <v>868207.54499999981</v>
      </c>
      <c r="C10" s="192">
        <f>'выручка от общепита'!C109*$R$10</f>
        <v>287369.77499999997</v>
      </c>
      <c r="D10" s="192">
        <f>'выручка от общепита'!D109*$R$10</f>
        <v>344315.64374999999</v>
      </c>
      <c r="E10" s="192">
        <f>'выручка от общепита'!E109*$R$10</f>
        <v>420100.42499999993</v>
      </c>
      <c r="F10" s="192">
        <f>'выручка от общепита'!F109*$R$10</f>
        <v>714787.53749999998</v>
      </c>
      <c r="G10" s="192">
        <f>'выручка от общепита'!G109*$R$10</f>
        <v>923688.56249999988</v>
      </c>
      <c r="H10" s="192">
        <f>'выручка от общепита'!H109*$R$10</f>
        <v>1085259.4312499999</v>
      </c>
      <c r="I10" s="192">
        <f>'выручка от общепита'!I109*$R$10</f>
        <v>969315.05249999987</v>
      </c>
      <c r="J10" s="192">
        <f>'выручка от общепита'!J109*$R$10</f>
        <v>641104.875</v>
      </c>
      <c r="K10" s="192">
        <f>'выручка от общепита'!K109*$R$10</f>
        <v>318159.39374999999</v>
      </c>
      <c r="L10" s="192">
        <f>'выручка от общепита'!L109*$R$10</f>
        <v>307896.18749999994</v>
      </c>
      <c r="M10" s="192">
        <f>'выручка от общепита'!M109*$R$10</f>
        <v>639836.27999999991</v>
      </c>
      <c r="N10" s="184">
        <f t="shared" si="1"/>
        <v>7520040.7087500002</v>
      </c>
      <c r="O10" s="189" t="s">
        <v>350</v>
      </c>
      <c r="P10" s="193"/>
      <c r="Q10" s="178"/>
      <c r="R10" s="193">
        <v>0.3</v>
      </c>
      <c r="S10" s="193"/>
      <c r="T10" s="193"/>
      <c r="U10" s="179"/>
      <c r="V10" s="178"/>
      <c r="W10" s="186"/>
    </row>
    <row r="11" spans="1:24">
      <c r="A11" s="187" t="s">
        <v>135</v>
      </c>
      <c r="B11" s="188">
        <f>'Итого выручка 2 этапа '!B7*$P$11</f>
        <v>282464.82003749994</v>
      </c>
      <c r="C11" s="188">
        <f>'Итого выручка 2 этапа '!C7*$P$11</f>
        <v>91299.01387499999</v>
      </c>
      <c r="D11" s="188">
        <f>'Итого выручка 2 этапа '!D7*$P$11</f>
        <v>108019.22599218749</v>
      </c>
      <c r="E11" s="188">
        <f>'Итого выручка 2 этапа '!E7*$P$11</f>
        <v>130112.25243749999</v>
      </c>
      <c r="F11" s="188">
        <f>'Итого выручка 2 этапа '!F7*$P$11</f>
        <v>238908.38010937499</v>
      </c>
      <c r="G11" s="188">
        <f>'Итого выручка 2 этапа '!G7*$P$11</f>
        <v>341940.05296875001</v>
      </c>
      <c r="H11" s="188">
        <f>'Итого выручка 2 этапа '!H7*$P$11</f>
        <v>386475.11723437504</v>
      </c>
      <c r="I11" s="188">
        <f>'Итого выручка 2 этапа '!I7*$P$11</f>
        <v>349664.42191874998</v>
      </c>
      <c r="J11" s="188">
        <f>'Итого выручка 2 этапа '!J7*$P$11</f>
        <v>224367.1105078125</v>
      </c>
      <c r="K11" s="188">
        <f>'Итого выручка 2 этапа '!K7*$P$11</f>
        <v>97041.139664062488</v>
      </c>
      <c r="L11" s="188">
        <f>'Итого выручка 2 этапа '!L7*$P$11</f>
        <v>93966.918046874998</v>
      </c>
      <c r="M11" s="188">
        <f>'Итого выручка 2 этапа '!M7*$P$11</f>
        <v>201048.84455624997</v>
      </c>
      <c r="N11" s="184">
        <f t="shared" si="1"/>
        <v>2545307.2973484374</v>
      </c>
      <c r="O11" s="189" t="s">
        <v>341</v>
      </c>
      <c r="P11" s="190">
        <v>1.4999999999999999E-2</v>
      </c>
      <c r="Q11" s="193"/>
      <c r="R11" s="193"/>
      <c r="S11" s="194"/>
      <c r="T11" s="194"/>
      <c r="U11" s="179"/>
      <c r="V11" s="178"/>
      <c r="W11" s="186"/>
    </row>
    <row r="12" spans="1:24" ht="23">
      <c r="A12" s="187" t="s">
        <v>139</v>
      </c>
      <c r="B12" s="188">
        <f>$P$12*'Итого выручка 2 этапа '!B7</f>
        <v>131816.91601749999</v>
      </c>
      <c r="C12" s="188">
        <f>$P$12*'Итого выручка 2 этапа '!C7</f>
        <v>42606.206474999999</v>
      </c>
      <c r="D12" s="188">
        <f>$P$12*'Итого выручка 2 этапа '!D7</f>
        <v>50408.9721296875</v>
      </c>
      <c r="E12" s="188">
        <f>$P$12*'Итого выручка 2 этапа '!E7</f>
        <v>60719.051137499999</v>
      </c>
      <c r="F12" s="188">
        <f>$P$12*'Итого выручка 2 этапа '!F7</f>
        <v>111490.57738437499</v>
      </c>
      <c r="G12" s="188">
        <f>$P$12*'Итого выручка 2 этапа '!G7</f>
        <v>159572.02471875001</v>
      </c>
      <c r="H12" s="188">
        <f>$P$12*'Итого выручка 2 этапа '!H7</f>
        <v>180355.05470937502</v>
      </c>
      <c r="I12" s="188">
        <f>$P$12*'Итого выручка 2 этапа '!I7</f>
        <v>163176.73022875001</v>
      </c>
      <c r="J12" s="188">
        <f>$P$12*'Итого выручка 2 этапа '!J7</f>
        <v>104704.6515703125</v>
      </c>
      <c r="K12" s="188">
        <f>$P$12*'Итого выручка 2 этапа '!K7</f>
        <v>45285.865176562496</v>
      </c>
      <c r="L12" s="188">
        <f>$P$12*'Итого выручка 2 этапа '!L7</f>
        <v>43851.228421874999</v>
      </c>
      <c r="M12" s="188">
        <f>$P$12*'Итого выручка 2 этапа '!M7</f>
        <v>93822.794126249995</v>
      </c>
      <c r="N12" s="184">
        <f t="shared" si="1"/>
        <v>1187810.0720959376</v>
      </c>
      <c r="O12" s="189" t="s">
        <v>341</v>
      </c>
      <c r="P12" s="190">
        <v>7.0000000000000001E-3</v>
      </c>
      <c r="Q12" s="193"/>
      <c r="R12" s="193"/>
      <c r="S12" s="194"/>
      <c r="T12" s="194"/>
      <c r="U12" s="179"/>
      <c r="V12" s="178"/>
      <c r="W12" s="425" t="e">
        <f>N12/'Итого выручка 1 этапа'!#REF!</f>
        <v>#REF!</v>
      </c>
      <c r="X12" t="s">
        <v>616</v>
      </c>
    </row>
    <row r="13" spans="1:24" ht="34.5">
      <c r="A13" s="187" t="s">
        <v>140</v>
      </c>
      <c r="B13" s="188">
        <f>B12*0.8</f>
        <v>105453.53281399999</v>
      </c>
      <c r="C13" s="188">
        <f t="shared" ref="C13:M13" si="3">C12*0.8</f>
        <v>34084.965179999999</v>
      </c>
      <c r="D13" s="188">
        <f t="shared" si="3"/>
        <v>40327.17770375</v>
      </c>
      <c r="E13" s="188">
        <f t="shared" si="3"/>
        <v>48575.24091</v>
      </c>
      <c r="F13" s="188">
        <f t="shared" si="3"/>
        <v>89192.461907499994</v>
      </c>
      <c r="G13" s="188">
        <f t="shared" si="3"/>
        <v>127657.61977500001</v>
      </c>
      <c r="H13" s="188">
        <f t="shared" si="3"/>
        <v>144284.04376750003</v>
      </c>
      <c r="I13" s="188">
        <f t="shared" si="3"/>
        <v>130541.38418300002</v>
      </c>
      <c r="J13" s="188">
        <f t="shared" si="3"/>
        <v>83763.721256250006</v>
      </c>
      <c r="K13" s="188">
        <f t="shared" si="3"/>
        <v>36228.692141250001</v>
      </c>
      <c r="L13" s="188">
        <f t="shared" si="3"/>
        <v>35080.982737500002</v>
      </c>
      <c r="M13" s="188">
        <f t="shared" si="3"/>
        <v>75058.235300999993</v>
      </c>
      <c r="N13" s="184">
        <f t="shared" si="1"/>
        <v>950248.05767675012</v>
      </c>
      <c r="O13" s="189" t="s">
        <v>353</v>
      </c>
      <c r="P13" s="190">
        <v>8.0000000000000002E-3</v>
      </c>
      <c r="Q13" s="193"/>
      <c r="R13" s="193"/>
      <c r="S13" s="194"/>
      <c r="T13" s="194"/>
      <c r="U13" s="179"/>
      <c r="V13" s="178"/>
      <c r="W13" s="425" t="e">
        <f>N13/'Итого выручка 1 этапа'!#REF!</f>
        <v>#REF!</v>
      </c>
      <c r="X13" t="s">
        <v>616</v>
      </c>
    </row>
    <row r="14" spans="1:24">
      <c r="A14" s="187" t="s">
        <v>141</v>
      </c>
      <c r="B14" s="188">
        <f>'Итого выручка 2 этапа '!B7*'операционные  расходы 1 этап'!$P$18</f>
        <v>94154.940012499996</v>
      </c>
      <c r="C14" s="188">
        <f>'Итого выручка 2 этапа '!C7*'операционные  расходы 1 этап'!$P$18</f>
        <v>30433.004625000001</v>
      </c>
      <c r="D14" s="188">
        <f>'Итого выручка 2 этапа '!D7*'операционные  расходы 1 этап'!$P$18</f>
        <v>36006.408664062496</v>
      </c>
      <c r="E14" s="188">
        <f>'Итого выручка 2 этапа '!E7*'операционные  расходы 1 этап'!$P$18</f>
        <v>43370.750812500002</v>
      </c>
      <c r="F14" s="188">
        <f>'Итого выручка 2 этапа '!F7*'операционные  расходы 1 этап'!$P$18</f>
        <v>79636.126703125003</v>
      </c>
      <c r="G14" s="188">
        <f>'Итого выручка 2 этапа '!G7*'операционные  расходы 1 этап'!$P$18</f>
        <v>113980.01765625</v>
      </c>
      <c r="H14" s="188">
        <f>'Итого выручка 2 этапа '!H7*'операционные  расходы 1 этап'!$P$18</f>
        <v>128825.03907812503</v>
      </c>
      <c r="I14" s="188">
        <f>'Итого выручка 2 этапа '!I7*'операционные  расходы 1 этап'!$P$18</f>
        <v>116554.80730625</v>
      </c>
      <c r="J14" s="188">
        <f>'Итого выручка 2 этапа '!J7*'операционные  расходы 1 этап'!$P$18</f>
        <v>74789.036835937499</v>
      </c>
      <c r="K14" s="188">
        <f>'Итого выручка 2 этапа '!K7*'операционные  расходы 1 этап'!$P$18</f>
        <v>32347.046554687498</v>
      </c>
      <c r="L14" s="188">
        <f>'Итого выручка 2 этапа '!L7*'операционные  расходы 1 этап'!$P$18</f>
        <v>31322.306015624999</v>
      </c>
      <c r="M14" s="188">
        <f>'Итого выручка 2 этапа '!M7*'операционные  расходы 1 этап'!$P$18</f>
        <v>67016.281518749995</v>
      </c>
      <c r="N14" s="184">
        <f t="shared" si="1"/>
        <v>848435.76578281261</v>
      </c>
      <c r="O14" s="189" t="s">
        <v>341</v>
      </c>
      <c r="P14" s="195">
        <v>5.0000000000000001E-3</v>
      </c>
      <c r="Q14" s="193"/>
      <c r="R14" s="193"/>
      <c r="S14" s="194"/>
      <c r="T14" s="194"/>
      <c r="U14" s="179">
        <v>35</v>
      </c>
      <c r="V14" s="178"/>
      <c r="W14" s="425" t="e">
        <f>N14/'Итого выручка 1 этапа'!#REF!</f>
        <v>#REF!</v>
      </c>
      <c r="X14" t="s">
        <v>616</v>
      </c>
    </row>
    <row r="15" spans="1:24">
      <c r="A15" s="182" t="s">
        <v>142</v>
      </c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4"/>
      <c r="O15" s="189"/>
      <c r="P15" s="178"/>
      <c r="Q15" s="193"/>
      <c r="R15" s="193"/>
      <c r="S15" s="194"/>
      <c r="T15" s="194"/>
      <c r="U15" s="179"/>
      <c r="V15" s="178"/>
      <c r="W15" s="186"/>
    </row>
    <row r="16" spans="1:24" ht="23">
      <c r="A16" s="187" t="s">
        <v>354</v>
      </c>
      <c r="B16" s="188">
        <f>'ФОТ 2 этап'!$G$62</f>
        <v>5421775.2381056221</v>
      </c>
      <c r="C16" s="188">
        <f>'ФОТ 2 этап'!$G$62</f>
        <v>5421775.2381056221</v>
      </c>
      <c r="D16" s="188">
        <f>'ФОТ 2 этап'!$G$62</f>
        <v>5421775.2381056221</v>
      </c>
      <c r="E16" s="188">
        <f>'ФОТ 2 этап'!$G$62</f>
        <v>5421775.2381056221</v>
      </c>
      <c r="F16" s="188">
        <f>'ФОТ 2 этап'!$G$62</f>
        <v>5421775.2381056221</v>
      </c>
      <c r="G16" s="188">
        <f>'ФОТ 2 этап'!$G$62</f>
        <v>5421775.2381056221</v>
      </c>
      <c r="H16" s="188">
        <f>'ФОТ 2 этап'!$G$62</f>
        <v>5421775.2381056221</v>
      </c>
      <c r="I16" s="188">
        <f>'ФОТ 2 этап'!$G$62</f>
        <v>5421775.2381056221</v>
      </c>
      <c r="J16" s="188">
        <f>'ФОТ 2 этап'!$G$62</f>
        <v>5421775.2381056221</v>
      </c>
      <c r="K16" s="188">
        <f>'ФОТ 2 этап'!$G$62</f>
        <v>5421775.2381056221</v>
      </c>
      <c r="L16" s="188">
        <f>'ФОТ 2 этап'!$G$62</f>
        <v>5421775.2381056221</v>
      </c>
      <c r="M16" s="188">
        <f>'ФОТ 2 этап'!$G$62</f>
        <v>5421775.2381056221</v>
      </c>
      <c r="N16" s="184">
        <f t="shared" ref="N16:N21" si="4">SUM(B16:M16)</f>
        <v>65061302.857267477</v>
      </c>
      <c r="O16" s="189" t="s">
        <v>355</v>
      </c>
      <c r="P16" s="190">
        <v>0.28000000000000003</v>
      </c>
      <c r="Q16" s="191"/>
      <c r="R16" s="178"/>
      <c r="S16" s="178"/>
      <c r="T16" s="178"/>
      <c r="U16" s="179"/>
      <c r="V16" s="178"/>
      <c r="W16" s="426" t="e">
        <f>N16/'Итого выручка 1 этапа'!#REF!</f>
        <v>#REF!</v>
      </c>
      <c r="X16" t="s">
        <v>617</v>
      </c>
    </row>
    <row r="17" spans="1:23" ht="46">
      <c r="A17" s="187" t="s">
        <v>356</v>
      </c>
      <c r="B17" s="188">
        <v>150000</v>
      </c>
      <c r="C17" s="188">
        <f>B17</f>
        <v>150000</v>
      </c>
      <c r="D17" s="188">
        <f t="shared" ref="D17:M17" si="5">C17</f>
        <v>150000</v>
      </c>
      <c r="E17" s="188">
        <f t="shared" si="5"/>
        <v>150000</v>
      </c>
      <c r="F17" s="188">
        <f t="shared" si="5"/>
        <v>150000</v>
      </c>
      <c r="G17" s="188">
        <f t="shared" si="5"/>
        <v>150000</v>
      </c>
      <c r="H17" s="188">
        <f t="shared" si="5"/>
        <v>150000</v>
      </c>
      <c r="I17" s="188">
        <f t="shared" si="5"/>
        <v>150000</v>
      </c>
      <c r="J17" s="188">
        <f t="shared" si="5"/>
        <v>150000</v>
      </c>
      <c r="K17" s="188">
        <f t="shared" si="5"/>
        <v>150000</v>
      </c>
      <c r="L17" s="188">
        <f t="shared" si="5"/>
        <v>150000</v>
      </c>
      <c r="M17" s="188">
        <f t="shared" si="5"/>
        <v>150000</v>
      </c>
      <c r="N17" s="184">
        <f t="shared" si="4"/>
        <v>1800000</v>
      </c>
      <c r="O17" s="189" t="s">
        <v>357</v>
      </c>
      <c r="P17" s="195">
        <v>8.9999999999999993E-3</v>
      </c>
      <c r="Q17" s="178"/>
      <c r="R17" s="178"/>
      <c r="S17" s="178"/>
      <c r="T17" s="178"/>
      <c r="U17" s="179"/>
      <c r="V17" s="178"/>
      <c r="W17" s="186"/>
    </row>
    <row r="18" spans="1:23">
      <c r="A18" s="187" t="s">
        <v>145</v>
      </c>
      <c r="B18" s="188">
        <f>'Итого выручка 2 этапа '!B7*'операционные  расходы 1 этап'!$P$22</f>
        <v>94154.940012499996</v>
      </c>
      <c r="C18" s="188">
        <f>'Итого выручка 2 этапа '!C7*'операционные  расходы 1 этап'!$P$22</f>
        <v>30433.004625000001</v>
      </c>
      <c r="D18" s="188">
        <f>'Итого выручка 2 этапа '!D7*'операционные  расходы 1 этап'!$P$22</f>
        <v>36006.408664062496</v>
      </c>
      <c r="E18" s="188">
        <f>'Итого выручка 2 этапа '!E7*'операционные  расходы 1 этап'!$P$22</f>
        <v>43370.750812500002</v>
      </c>
      <c r="F18" s="188">
        <f>'Итого выручка 2 этапа '!F7*'операционные  расходы 1 этап'!$P$22</f>
        <v>79636.126703125003</v>
      </c>
      <c r="G18" s="188">
        <f>'Итого выручка 2 этапа '!G7*'операционные  расходы 1 этап'!$P$22</f>
        <v>113980.01765625</v>
      </c>
      <c r="H18" s="188">
        <f>'Итого выручка 2 этапа '!H7*'операционные  расходы 1 этап'!$P$22</f>
        <v>128825.03907812503</v>
      </c>
      <c r="I18" s="188">
        <f>'Итого выручка 2 этапа '!I7*'операционные  расходы 1 этап'!$P$22</f>
        <v>116554.80730625</v>
      </c>
      <c r="J18" s="188">
        <f>'Итого выручка 2 этапа '!J7*'операционные  расходы 1 этап'!$P$22</f>
        <v>74789.036835937499</v>
      </c>
      <c r="K18" s="188">
        <f>'Итого выручка 2 этапа '!K7*'операционные  расходы 1 этап'!$P$22</f>
        <v>32347.046554687498</v>
      </c>
      <c r="L18" s="188">
        <f>'Итого выручка 2 этапа '!L7*'операционные  расходы 1 этап'!$P$22</f>
        <v>31322.306015624999</v>
      </c>
      <c r="M18" s="188">
        <f>'Итого выручка 2 этапа '!M7*'операционные  расходы 1 этап'!$P$22</f>
        <v>67016.281518749995</v>
      </c>
      <c r="N18" s="184">
        <f t="shared" si="4"/>
        <v>848435.76578281261</v>
      </c>
      <c r="O18" s="189" t="s">
        <v>831</v>
      </c>
      <c r="P18" s="190">
        <v>0.01</v>
      </c>
      <c r="Q18" s="195"/>
      <c r="R18" s="195"/>
      <c r="S18" s="195"/>
      <c r="T18" s="178"/>
      <c r="U18" s="179"/>
      <c r="V18" s="178"/>
      <c r="W18" s="186"/>
    </row>
    <row r="19" spans="1:23" ht="46">
      <c r="A19" s="187" t="s">
        <v>150</v>
      </c>
      <c r="B19" s="188">
        <v>90000</v>
      </c>
      <c r="C19" s="188">
        <v>90000</v>
      </c>
      <c r="D19" s="188">
        <v>90000</v>
      </c>
      <c r="E19" s="188">
        <v>90000</v>
      </c>
      <c r="F19" s="188">
        <v>90000</v>
      </c>
      <c r="G19" s="188">
        <v>90000</v>
      </c>
      <c r="H19" s="188">
        <v>90000</v>
      </c>
      <c r="I19" s="188">
        <v>90000</v>
      </c>
      <c r="J19" s="188">
        <v>90000</v>
      </c>
      <c r="K19" s="188">
        <v>90000</v>
      </c>
      <c r="L19" s="188">
        <v>90000</v>
      </c>
      <c r="M19" s="188">
        <v>90000</v>
      </c>
      <c r="N19" s="184">
        <f t="shared" si="4"/>
        <v>1080000</v>
      </c>
      <c r="O19" s="189" t="s">
        <v>360</v>
      </c>
      <c r="P19" s="178"/>
      <c r="Q19" s="178"/>
      <c r="R19" s="178"/>
      <c r="S19" s="178"/>
      <c r="T19" s="178"/>
      <c r="U19" s="179"/>
      <c r="V19" s="178"/>
      <c r="W19" s="186"/>
    </row>
    <row r="20" spans="1:23" ht="34.5">
      <c r="A20" s="187" t="s">
        <v>361</v>
      </c>
      <c r="B20" s="188">
        <v>350000</v>
      </c>
      <c r="C20" s="188">
        <v>350000</v>
      </c>
      <c r="D20" s="188">
        <v>350000</v>
      </c>
      <c r="E20" s="188">
        <v>450000</v>
      </c>
      <c r="F20" s="188">
        <f t="shared" ref="F20:I20" si="6">220000</f>
        <v>220000</v>
      </c>
      <c r="G20" s="188">
        <f t="shared" si="6"/>
        <v>220000</v>
      </c>
      <c r="H20" s="188">
        <f t="shared" si="6"/>
        <v>220000</v>
      </c>
      <c r="I20" s="188">
        <f t="shared" si="6"/>
        <v>220000</v>
      </c>
      <c r="J20" s="188">
        <v>250000</v>
      </c>
      <c r="K20" s="188">
        <v>350000</v>
      </c>
      <c r="L20" s="188">
        <v>350000</v>
      </c>
      <c r="M20" s="188">
        <v>350000</v>
      </c>
      <c r="N20" s="184">
        <f t="shared" si="4"/>
        <v>3680000</v>
      </c>
      <c r="O20" s="189" t="s">
        <v>362</v>
      </c>
      <c r="P20" s="178"/>
      <c r="Q20" s="178"/>
      <c r="R20" s="178"/>
      <c r="S20" s="178"/>
      <c r="T20" s="178"/>
      <c r="U20" s="179"/>
      <c r="V20" s="178"/>
      <c r="W20" s="186"/>
    </row>
    <row r="21" spans="1:23">
      <c r="A21" s="187" t="s">
        <v>152</v>
      </c>
      <c r="B21" s="188">
        <f>'Укрупненная модель'!E48/12</f>
        <v>766500</v>
      </c>
      <c r="C21" s="188">
        <f>'Укрупненная модель'!F48/12</f>
        <v>818085.45000000007</v>
      </c>
      <c r="D21" s="188">
        <f>'Укрупненная модель'!G48/12</f>
        <v>873441.83472000016</v>
      </c>
      <c r="E21" s="188">
        <f>'Укрупненная модель'!H48/12</f>
        <v>932859.32491315214</v>
      </c>
      <c r="F21" s="188">
        <f>'Укрупненная модель'!I48/12</f>
        <v>996651.06776526512</v>
      </c>
      <c r="G21" s="188">
        <f>'Укрупненная модель'!J48/12</f>
        <v>1065155.033711679</v>
      </c>
      <c r="H21" s="188">
        <f>'Укрупненная модель'!K48/12</f>
        <v>1138736.0128319906</v>
      </c>
      <c r="I21" s="188">
        <f>'Укрупненная модель'!L48/12</f>
        <v>1217787.7729832975</v>
      </c>
      <c r="J21" s="188">
        <f>'Укрупненная модель'!M48/12</f>
        <v>1302735.3928231192</v>
      </c>
      <c r="K21" s="188">
        <f>'Укрупненная модель'!N48/12</f>
        <v>1394037.7839444459</v>
      </c>
      <c r="L21" s="188">
        <f>'Укрупненная модель'!O48/12</f>
        <v>0</v>
      </c>
      <c r="M21" s="188">
        <f>'Укрупненная модель'!P48/12</f>
        <v>0</v>
      </c>
      <c r="N21" s="184">
        <f t="shared" si="4"/>
        <v>10505989.673692951</v>
      </c>
      <c r="O21" s="189"/>
      <c r="P21" s="193"/>
      <c r="Q21" s="178"/>
      <c r="R21" s="178"/>
      <c r="S21" s="178"/>
      <c r="T21" s="178"/>
      <c r="U21" s="179"/>
      <c r="V21" s="178"/>
      <c r="W21" s="186"/>
    </row>
    <row r="22" spans="1:23">
      <c r="A22" s="187" t="s">
        <v>832</v>
      </c>
      <c r="B22" s="188">
        <f>'Итого выручка 2 этапа '!B7*'операционные  расходы 1 этап'!$P$29</f>
        <v>376619.76004999998</v>
      </c>
      <c r="C22" s="188">
        <f>'Итого выручка 2 этапа '!C7*'операционные  расходы 1 этап'!$P$29</f>
        <v>121732.01850000001</v>
      </c>
      <c r="D22" s="188">
        <f>'Итого выручка 2 этапа '!D7*'операционные  расходы 1 этап'!$P$29</f>
        <v>144025.63465624998</v>
      </c>
      <c r="E22" s="188">
        <f>'Итого выручка 2 этапа '!E7*'операционные  расходы 1 этап'!$P$29</f>
        <v>173483.00325000001</v>
      </c>
      <c r="F22" s="188">
        <f>'Итого выручка 2 этапа '!F7*'операционные  расходы 1 этап'!$P$29</f>
        <v>318544.50681250001</v>
      </c>
      <c r="G22" s="188">
        <f>'Итого выручка 2 этапа '!G7*'операционные  расходы 1 этап'!$P$29</f>
        <v>455920.07062499999</v>
      </c>
      <c r="H22" s="188">
        <f>'Итого выручка 2 этапа '!H7*'операционные  расходы 1 этап'!$P$29</f>
        <v>515300.15631250013</v>
      </c>
      <c r="I22" s="188">
        <f>'Итого выручка 2 этапа '!I7*'операционные  расходы 1 этап'!$P$29</f>
        <v>466219.22922500002</v>
      </c>
      <c r="J22" s="188">
        <f>'Итого выручка 2 этапа '!J7*'операционные  расходы 1 этап'!$P$29</f>
        <v>299156.14734375</v>
      </c>
      <c r="K22" s="188">
        <f>'Итого выручка 2 этапа '!K7*'операционные  расходы 1 этап'!$P$29</f>
        <v>129388.18621874999</v>
      </c>
      <c r="L22" s="188">
        <f>'Итого выручка 2 этапа '!L7*'операционные  расходы 1 этап'!$P$29</f>
        <v>125289.2240625</v>
      </c>
      <c r="M22" s="188">
        <f>'Итого выручка 2 этапа '!M7*'операционные  расходы 1 этап'!$P$29</f>
        <v>268065.12607499998</v>
      </c>
      <c r="N22" s="184">
        <f t="shared" ref="N22:N25" si="7">SUM(B22:M22)</f>
        <v>3393743.0631312504</v>
      </c>
      <c r="O22" s="189" t="s">
        <v>341</v>
      </c>
      <c r="P22" s="193">
        <v>0.01</v>
      </c>
      <c r="Q22" s="193"/>
      <c r="R22" s="178"/>
      <c r="S22" s="178"/>
      <c r="T22" s="178"/>
      <c r="U22" s="179"/>
      <c r="V22" s="178"/>
      <c r="W22" s="186"/>
    </row>
    <row r="23" spans="1:23" ht="23">
      <c r="A23" s="185" t="s">
        <v>154</v>
      </c>
      <c r="B23" s="188">
        <f>90000*B4</f>
        <v>67500</v>
      </c>
      <c r="C23" s="188">
        <f t="shared" ref="C23:M23" si="8">90000*C4</f>
        <v>49500.000000000007</v>
      </c>
      <c r="D23" s="188">
        <f t="shared" si="8"/>
        <v>49500.000000000007</v>
      </c>
      <c r="E23" s="188">
        <f t="shared" si="8"/>
        <v>49500.000000000007</v>
      </c>
      <c r="F23" s="188">
        <f t="shared" si="8"/>
        <v>67500</v>
      </c>
      <c r="G23" s="188">
        <f t="shared" si="8"/>
        <v>76500</v>
      </c>
      <c r="H23" s="188">
        <f t="shared" si="8"/>
        <v>76500</v>
      </c>
      <c r="I23" s="188">
        <f t="shared" si="8"/>
        <v>72000</v>
      </c>
      <c r="J23" s="188">
        <f t="shared" si="8"/>
        <v>58500</v>
      </c>
      <c r="K23" s="188">
        <f t="shared" si="8"/>
        <v>49500.000000000007</v>
      </c>
      <c r="L23" s="188">
        <f t="shared" si="8"/>
        <v>45000</v>
      </c>
      <c r="M23" s="188">
        <f t="shared" si="8"/>
        <v>58500</v>
      </c>
      <c r="N23" s="184">
        <f t="shared" si="7"/>
        <v>720000</v>
      </c>
      <c r="O23" s="189" t="s">
        <v>363</v>
      </c>
      <c r="P23" s="178"/>
      <c r="Q23" s="178"/>
      <c r="R23" s="178"/>
      <c r="S23" s="178"/>
      <c r="T23" s="178"/>
      <c r="U23" s="179"/>
      <c r="V23" s="178"/>
      <c r="W23" s="186"/>
    </row>
    <row r="24" spans="1:23" ht="34.5">
      <c r="A24" s="185" t="s">
        <v>155</v>
      </c>
      <c r="B24" s="196">
        <v>35000</v>
      </c>
      <c r="C24" s="196">
        <v>35000</v>
      </c>
      <c r="D24" s="196">
        <v>35000</v>
      </c>
      <c r="E24" s="196">
        <v>35000</v>
      </c>
      <c r="F24" s="196">
        <v>35000</v>
      </c>
      <c r="G24" s="196">
        <v>35000</v>
      </c>
      <c r="H24" s="196">
        <v>35000</v>
      </c>
      <c r="I24" s="196">
        <v>35000</v>
      </c>
      <c r="J24" s="196">
        <v>35000</v>
      </c>
      <c r="K24" s="196">
        <v>35000</v>
      </c>
      <c r="L24" s="196">
        <v>35000</v>
      </c>
      <c r="M24" s="196">
        <v>35000</v>
      </c>
      <c r="N24" s="184">
        <f t="shared" si="7"/>
        <v>420000</v>
      </c>
      <c r="O24" s="189" t="s">
        <v>364</v>
      </c>
      <c r="P24" s="178"/>
      <c r="Q24" s="178"/>
      <c r="R24" s="178"/>
      <c r="S24" s="178"/>
      <c r="T24" s="178"/>
      <c r="U24" s="179"/>
      <c r="V24" s="178"/>
      <c r="W24" s="186"/>
    </row>
    <row r="25" spans="1:23">
      <c r="A25" s="185" t="s">
        <v>156</v>
      </c>
      <c r="B25" s="196">
        <f>'Итого выручка 2 этапа '!B7*'операционные  расходы 1 этап'!$P$32</f>
        <v>376619.76004999998</v>
      </c>
      <c r="C25" s="196">
        <f>'Итого выручка 2 этапа '!C7*'операционные  расходы 1 этап'!$P$32</f>
        <v>121732.01850000001</v>
      </c>
      <c r="D25" s="196">
        <f>'Итого выручка 2 этапа '!D7*'операционные  расходы 1 этап'!$P$32</f>
        <v>144025.63465624998</v>
      </c>
      <c r="E25" s="196">
        <f>'Итого выручка 2 этапа '!E7*'операционные  расходы 1 этап'!$P$32</f>
        <v>173483.00325000001</v>
      </c>
      <c r="F25" s="196">
        <f>'Итого выручка 2 этапа '!F7*'операционные  расходы 1 этап'!$P$32</f>
        <v>318544.50681250001</v>
      </c>
      <c r="G25" s="196">
        <f>'Итого выручка 2 этапа '!G7*'операционные  расходы 1 этап'!$P$32</f>
        <v>455920.07062499999</v>
      </c>
      <c r="H25" s="196">
        <f>'Итого выручка 2 этапа '!H7*'операционные  расходы 1 этап'!$P$32</f>
        <v>515300.15631250013</v>
      </c>
      <c r="I25" s="196">
        <f>'Итого выручка 2 этапа '!I7*'операционные  расходы 1 этап'!$P$32</f>
        <v>466219.22922500002</v>
      </c>
      <c r="J25" s="196">
        <f>'Итого выручка 2 этапа '!J7*'операционные  расходы 1 этап'!$P$32</f>
        <v>299156.14734375</v>
      </c>
      <c r="K25" s="196">
        <f>'Итого выручка 2 этапа '!K7*'операционные  расходы 1 этап'!$P$32</f>
        <v>129388.18621874999</v>
      </c>
      <c r="L25" s="196">
        <f>'Итого выручка 2 этапа '!L7*'операционные  расходы 1 этап'!$P$32</f>
        <v>125289.2240625</v>
      </c>
      <c r="M25" s="196">
        <f>'Итого выручка 2 этапа '!M7*'операционные  расходы 1 этап'!$P$32</f>
        <v>268065.12607499998</v>
      </c>
      <c r="N25" s="184">
        <f t="shared" si="7"/>
        <v>3393743.0631312504</v>
      </c>
      <c r="O25" s="189" t="s">
        <v>341</v>
      </c>
      <c r="P25" s="195">
        <v>0.02</v>
      </c>
      <c r="Q25" s="178"/>
      <c r="R25" s="178"/>
      <c r="S25" s="178"/>
      <c r="T25" s="178"/>
      <c r="U25" s="179"/>
      <c r="V25" s="178"/>
      <c r="W25" s="186"/>
    </row>
    <row r="26" spans="1:23">
      <c r="A26" s="197" t="s">
        <v>365</v>
      </c>
      <c r="B26" s="198">
        <f t="shared" ref="B26:M26" si="9">SUM(B27:B29)</f>
        <v>188309.88002499999</v>
      </c>
      <c r="C26" s="198">
        <f t="shared" si="9"/>
        <v>60866.009250000003</v>
      </c>
      <c r="D26" s="198">
        <f t="shared" si="9"/>
        <v>852774.98701562511</v>
      </c>
      <c r="E26" s="198">
        <f t="shared" si="9"/>
        <v>86741.501625000004</v>
      </c>
      <c r="F26" s="198">
        <f t="shared" si="9"/>
        <v>159272.25340625001</v>
      </c>
      <c r="G26" s="198">
        <f t="shared" si="9"/>
        <v>1008722.2050000001</v>
      </c>
      <c r="H26" s="198">
        <f t="shared" si="9"/>
        <v>257650.07815625006</v>
      </c>
      <c r="I26" s="198">
        <f t="shared" si="9"/>
        <v>233109.61461250001</v>
      </c>
      <c r="J26" s="198">
        <f t="shared" si="9"/>
        <v>930340.24335937505</v>
      </c>
      <c r="K26" s="198">
        <f t="shared" si="9"/>
        <v>64694.093109374997</v>
      </c>
      <c r="L26" s="198">
        <f t="shared" si="9"/>
        <v>62644.612031249999</v>
      </c>
      <c r="M26" s="198">
        <f t="shared" si="9"/>
        <v>914794.73272500013</v>
      </c>
      <c r="N26" s="184">
        <f t="shared" ref="N26:N29" si="10">SUM(B26:M26)</f>
        <v>4819920.2103156261</v>
      </c>
      <c r="O26" s="189"/>
      <c r="P26" s="178"/>
      <c r="Q26" s="178"/>
      <c r="R26" s="178"/>
      <c r="S26" s="178"/>
      <c r="T26" s="178"/>
      <c r="U26" s="179"/>
      <c r="V26" s="178"/>
      <c r="W26" s="186"/>
    </row>
    <row r="27" spans="1:23">
      <c r="A27" s="461"/>
      <c r="B27" s="198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84"/>
      <c r="O27" s="189"/>
      <c r="P27" s="178"/>
      <c r="Q27" s="193"/>
      <c r="R27" s="178"/>
      <c r="S27" s="178"/>
      <c r="T27" s="178"/>
      <c r="U27" s="179"/>
      <c r="V27" s="178"/>
      <c r="W27" s="186"/>
    </row>
    <row r="28" spans="1:23" ht="34.5">
      <c r="A28" s="185" t="s">
        <v>157</v>
      </c>
      <c r="B28" s="196">
        <f>'Итого выручка 2 этапа '!B7*'операционные  расходы 1 этап'!$P$35</f>
        <v>188309.88002499999</v>
      </c>
      <c r="C28" s="196">
        <f>'Итого выручка 2 этапа '!C7*'операционные  расходы 1 этап'!$P$35</f>
        <v>60866.009250000003</v>
      </c>
      <c r="D28" s="196">
        <f>'Итого выручка 2 этапа '!D7*'операционные  расходы 1 этап'!$P$35</f>
        <v>72012.817328124991</v>
      </c>
      <c r="E28" s="196">
        <f>'Итого выручка 2 этапа '!E7*'операционные  расходы 1 этап'!$P$35</f>
        <v>86741.501625000004</v>
      </c>
      <c r="F28" s="196">
        <f>'Итого выручка 2 этапа '!F7*'операционные  расходы 1 этап'!$P$35</f>
        <v>159272.25340625001</v>
      </c>
      <c r="G28" s="196">
        <f>'Итого выручка 2 этапа '!G7*'операционные  расходы 1 этап'!$P$35</f>
        <v>227960.0353125</v>
      </c>
      <c r="H28" s="196">
        <f>'Итого выручка 2 этапа '!H7*'операционные  расходы 1 этап'!$P$35</f>
        <v>257650.07815625006</v>
      </c>
      <c r="I28" s="196">
        <f>'Итого выручка 2 этапа '!I7*'операционные  расходы 1 этап'!$P$35</f>
        <v>233109.61461250001</v>
      </c>
      <c r="J28" s="196">
        <f>'Итого выручка 2 этапа '!J7*'операционные  расходы 1 этап'!$P$35</f>
        <v>149578.073671875</v>
      </c>
      <c r="K28" s="196">
        <f>'Итого выручка 2 этапа '!K7*'операционные  расходы 1 этап'!$P$35</f>
        <v>64694.093109374997</v>
      </c>
      <c r="L28" s="196">
        <f>'Итого выручка 2 этапа '!L7*'операционные  расходы 1 этап'!$P$35</f>
        <v>62644.612031249999</v>
      </c>
      <c r="M28" s="196">
        <f>'Итого выручка 2 этапа '!M7*'операционные  расходы 1 этап'!$P$35</f>
        <v>134032.56303749999</v>
      </c>
      <c r="N28" s="184">
        <f t="shared" si="10"/>
        <v>1696871.5315656252</v>
      </c>
      <c r="O28" s="189" t="s">
        <v>366</v>
      </c>
      <c r="P28" s="193">
        <v>0.01</v>
      </c>
      <c r="Q28" s="178"/>
      <c r="R28" s="178"/>
      <c r="S28" s="178"/>
      <c r="T28" s="178"/>
      <c r="U28" s="179"/>
      <c r="V28" s="178"/>
      <c r="W28" s="186"/>
    </row>
    <row r="29" spans="1:23" ht="34" customHeight="1">
      <c r="A29" s="185" t="s">
        <v>86</v>
      </c>
      <c r="B29" s="196"/>
      <c r="C29" s="196"/>
      <c r="D29" s="196">
        <f>Финансирование!$C$8*65%*0.5*0.6*2.2%/4</f>
        <v>780762.16968750011</v>
      </c>
      <c r="E29" s="196"/>
      <c r="F29" s="196"/>
      <c r="G29" s="196">
        <f>Финансирование!$C$8*65%*0.5*0.6*2.2%/4</f>
        <v>780762.16968750011</v>
      </c>
      <c r="H29" s="196"/>
      <c r="I29" s="196"/>
      <c r="J29" s="196">
        <f>Финансирование!$C$8*65%*0.5*0.6*2.2%/4</f>
        <v>780762.16968750011</v>
      </c>
      <c r="K29" s="196"/>
      <c r="L29" s="196"/>
      <c r="M29" s="196">
        <f>Финансирование!$C$8*65%*0.5*0.6*2.2%/4</f>
        <v>780762.16968750011</v>
      </c>
      <c r="N29" s="184">
        <f t="shared" si="10"/>
        <v>3123048.6787500004</v>
      </c>
      <c r="O29" s="199" t="s">
        <v>367</v>
      </c>
      <c r="P29" s="193"/>
      <c r="Q29" s="178"/>
      <c r="R29" s="178"/>
      <c r="S29" s="178"/>
      <c r="T29" s="178"/>
      <c r="U29" s="196"/>
      <c r="V29" s="185"/>
      <c r="W29" s="186"/>
    </row>
    <row r="30" spans="1:23">
      <c r="A30" s="186"/>
      <c r="B30" s="186"/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200"/>
      <c r="O30" s="186"/>
      <c r="P30" s="186"/>
      <c r="Q30" s="186"/>
      <c r="R30" s="186"/>
      <c r="S30" s="186"/>
      <c r="T30" s="186"/>
      <c r="U30" s="186"/>
      <c r="V30" s="186"/>
      <c r="W30" s="186"/>
    </row>
    <row r="31" spans="1:23">
      <c r="A31" s="197" t="s">
        <v>368</v>
      </c>
      <c r="B31" s="201">
        <f t="shared" ref="B31:M31" si="11">B5+B26</f>
        <v>10142966.287863448</v>
      </c>
      <c r="C31" s="201">
        <f t="shared" si="11"/>
        <v>7975520.038700873</v>
      </c>
      <c r="D31" s="201">
        <f t="shared" si="11"/>
        <v>8866268.198299326</v>
      </c>
      <c r="E31" s="201">
        <f t="shared" si="11"/>
        <v>8478496.6949273981</v>
      </c>
      <c r="F31" s="201">
        <f t="shared" si="11"/>
        <v>9720542.0009245444</v>
      </c>
      <c r="G31" s="201">
        <f t="shared" si="11"/>
        <v>11660936.932932613</v>
      </c>
      <c r="H31" s="201">
        <f t="shared" si="11"/>
        <v>11492776.12578802</v>
      </c>
      <c r="I31" s="201">
        <f t="shared" si="11"/>
        <v>11139400.594157631</v>
      </c>
      <c r="J31" s="201">
        <f t="shared" si="11"/>
        <v>10631463.726206787</v>
      </c>
      <c r="K31" s="201">
        <f t="shared" si="11"/>
        <v>8501540.2352808025</v>
      </c>
      <c r="L31" s="201">
        <f t="shared" si="11"/>
        <v>7070783.1542964019</v>
      </c>
      <c r="M31" s="201">
        <f t="shared" si="11"/>
        <v>9229829.6616888586</v>
      </c>
      <c r="N31" s="184">
        <f>SUM(B31:M31)</f>
        <v>114910523.65106671</v>
      </c>
      <c r="O31" s="186"/>
      <c r="P31" s="186"/>
      <c r="Q31" s="186"/>
      <c r="R31" s="186"/>
      <c r="S31" s="186"/>
      <c r="T31" s="186"/>
      <c r="U31" s="186"/>
      <c r="V31" s="186"/>
      <c r="W31" s="186"/>
    </row>
    <row r="32" spans="1:23">
      <c r="A32" s="186"/>
      <c r="B32" s="186"/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202"/>
      <c r="O32" s="186"/>
      <c r="P32" s="186"/>
      <c r="Q32" s="186"/>
      <c r="R32" s="186"/>
      <c r="S32" s="186"/>
      <c r="T32" s="186"/>
      <c r="U32" s="186"/>
      <c r="V32" s="186"/>
      <c r="W32" s="186"/>
    </row>
    <row r="33" spans="1:2">
      <c r="A33" t="s">
        <v>158</v>
      </c>
      <c r="B33">
        <v>300</v>
      </c>
    </row>
    <row r="34" spans="1:2">
      <c r="A34" s="777" t="s">
        <v>1118</v>
      </c>
      <c r="B34">
        <f>Финансирование!C8/50/4/1000</f>
        <v>3639.9168749999999</v>
      </c>
    </row>
  </sheetData>
  <mergeCells count="2">
    <mergeCell ref="A1:N1"/>
    <mergeCell ref="P1:U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/>
  <dimension ref="A1:BC88"/>
  <sheetViews>
    <sheetView workbookViewId="0">
      <selection activeCell="T20" sqref="T20"/>
    </sheetView>
  </sheetViews>
  <sheetFormatPr defaultColWidth="14.453125" defaultRowHeight="12.5"/>
  <cols>
    <col min="1" max="1" width="17.453125" customWidth="1"/>
    <col min="2" max="3" width="6.26953125" customWidth="1"/>
    <col min="4" max="4" width="5.26953125" customWidth="1"/>
    <col min="5" max="5" width="6" customWidth="1"/>
    <col min="6" max="13" width="5.26953125" customWidth="1"/>
    <col min="14" max="19" width="6.1796875" customWidth="1"/>
    <col min="20" max="27" width="5.26953125" customWidth="1"/>
    <col min="28" max="28" width="11.7265625" customWidth="1"/>
  </cols>
  <sheetData>
    <row r="1" spans="1:55" ht="13">
      <c r="A1" s="836" t="s">
        <v>789</v>
      </c>
      <c r="B1" s="837"/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218"/>
      <c r="AB1" s="219"/>
    </row>
    <row r="2" spans="1:55" ht="22.5" customHeight="1">
      <c r="A2" s="834" t="s">
        <v>719</v>
      </c>
      <c r="B2" s="835"/>
      <c r="C2" s="220"/>
      <c r="D2" s="221"/>
      <c r="E2" s="221"/>
      <c r="F2" s="221"/>
      <c r="G2" s="221"/>
      <c r="H2" s="221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8"/>
      <c r="AB2" s="219"/>
    </row>
    <row r="3" spans="1:55" ht="39">
      <c r="A3" s="455" t="s">
        <v>395</v>
      </c>
      <c r="B3" s="455" t="s">
        <v>396</v>
      </c>
      <c r="C3" s="455" t="s">
        <v>397</v>
      </c>
      <c r="D3" s="827" t="s">
        <v>398</v>
      </c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828"/>
      <c r="AA3" s="828"/>
      <c r="AB3" s="219"/>
    </row>
    <row r="4" spans="1:55" ht="13">
      <c r="A4" s="455"/>
      <c r="B4" s="455"/>
      <c r="C4" s="455"/>
      <c r="D4" s="829" t="s">
        <v>370</v>
      </c>
      <c r="E4" s="813"/>
      <c r="F4" s="830" t="s">
        <v>371</v>
      </c>
      <c r="G4" s="813"/>
      <c r="H4" s="830" t="s">
        <v>372</v>
      </c>
      <c r="I4" s="813"/>
      <c r="J4" s="830" t="s">
        <v>373</v>
      </c>
      <c r="K4" s="813"/>
      <c r="L4" s="830" t="s">
        <v>331</v>
      </c>
      <c r="M4" s="813"/>
      <c r="N4" s="830" t="s">
        <v>374</v>
      </c>
      <c r="O4" s="813"/>
      <c r="P4" s="830" t="s">
        <v>375</v>
      </c>
      <c r="Q4" s="813"/>
      <c r="R4" s="830" t="s">
        <v>376</v>
      </c>
      <c r="S4" s="813"/>
      <c r="T4" s="830" t="s">
        <v>377</v>
      </c>
      <c r="U4" s="813"/>
      <c r="V4" s="830" t="s">
        <v>378</v>
      </c>
      <c r="W4" s="813"/>
      <c r="X4" s="830" t="s">
        <v>379</v>
      </c>
      <c r="Y4" s="813"/>
      <c r="Z4" s="830" t="s">
        <v>380</v>
      </c>
      <c r="AA4" s="813"/>
      <c r="AB4" s="219" t="s">
        <v>399</v>
      </c>
      <c r="AE4" s="476"/>
      <c r="AF4" s="831" t="s">
        <v>370</v>
      </c>
      <c r="AG4" s="831"/>
      <c r="AH4" s="831" t="s">
        <v>371</v>
      </c>
      <c r="AI4" s="831"/>
      <c r="AJ4" s="831" t="s">
        <v>372</v>
      </c>
      <c r="AK4" s="831"/>
      <c r="AL4" s="831" t="s">
        <v>373</v>
      </c>
      <c r="AM4" s="831"/>
      <c r="AN4" s="831" t="s">
        <v>331</v>
      </c>
      <c r="AO4" s="831"/>
      <c r="AP4" s="831" t="s">
        <v>374</v>
      </c>
      <c r="AQ4" s="831"/>
      <c r="AR4" s="831" t="s">
        <v>375</v>
      </c>
      <c r="AS4" s="831"/>
      <c r="AT4" s="831" t="s">
        <v>376</v>
      </c>
      <c r="AU4" s="831"/>
      <c r="AV4" s="831" t="s">
        <v>377</v>
      </c>
      <c r="AW4" s="831"/>
      <c r="AX4" s="831" t="s">
        <v>378</v>
      </c>
      <c r="AY4" s="831"/>
      <c r="AZ4" s="831" t="s">
        <v>379</v>
      </c>
      <c r="BA4" s="831"/>
      <c r="BB4" s="831" t="s">
        <v>380</v>
      </c>
      <c r="BC4" s="831"/>
    </row>
    <row r="5" spans="1:55" ht="27.5">
      <c r="A5" s="456"/>
      <c r="B5" s="456"/>
      <c r="C5" s="456"/>
      <c r="D5" s="451" t="s">
        <v>400</v>
      </c>
      <c r="E5" s="222" t="s">
        <v>401</v>
      </c>
      <c r="F5" s="222" t="s">
        <v>400</v>
      </c>
      <c r="G5" s="222" t="s">
        <v>401</v>
      </c>
      <c r="H5" s="222" t="s">
        <v>400</v>
      </c>
      <c r="I5" s="222" t="s">
        <v>401</v>
      </c>
      <c r="J5" s="222" t="s">
        <v>400</v>
      </c>
      <c r="K5" s="222" t="s">
        <v>401</v>
      </c>
      <c r="L5" s="222" t="s">
        <v>400</v>
      </c>
      <c r="M5" s="222" t="s">
        <v>401</v>
      </c>
      <c r="N5" s="222" t="s">
        <v>400</v>
      </c>
      <c r="O5" s="222" t="s">
        <v>401</v>
      </c>
      <c r="P5" s="222" t="s">
        <v>400</v>
      </c>
      <c r="Q5" s="222" t="s">
        <v>401</v>
      </c>
      <c r="R5" s="222" t="s">
        <v>400</v>
      </c>
      <c r="S5" s="222" t="s">
        <v>401</v>
      </c>
      <c r="T5" s="222" t="s">
        <v>400</v>
      </c>
      <c r="U5" s="222" t="s">
        <v>401</v>
      </c>
      <c r="V5" s="222" t="s">
        <v>400</v>
      </c>
      <c r="W5" s="222" t="s">
        <v>401</v>
      </c>
      <c r="X5" s="222" t="s">
        <v>400</v>
      </c>
      <c r="Y5" s="222" t="s">
        <v>401</v>
      </c>
      <c r="Z5" s="222" t="s">
        <v>400</v>
      </c>
      <c r="AA5" s="223" t="s">
        <v>401</v>
      </c>
      <c r="AB5" s="224"/>
      <c r="AD5" s="771" t="s">
        <v>1114</v>
      </c>
      <c r="AE5" s="474" t="s">
        <v>718</v>
      </c>
      <c r="AF5" s="475" t="s">
        <v>400</v>
      </c>
      <c r="AG5" s="475" t="s">
        <v>401</v>
      </c>
      <c r="AH5" s="475" t="s">
        <v>400</v>
      </c>
      <c r="AI5" s="475" t="s">
        <v>401</v>
      </c>
      <c r="AJ5" s="475" t="s">
        <v>400</v>
      </c>
      <c r="AK5" s="475" t="s">
        <v>401</v>
      </c>
      <c r="AL5" s="475" t="s">
        <v>400</v>
      </c>
      <c r="AM5" s="475" t="s">
        <v>401</v>
      </c>
      <c r="AN5" s="475" t="s">
        <v>400</v>
      </c>
      <c r="AO5" s="475" t="s">
        <v>401</v>
      </c>
      <c r="AP5" s="475" t="s">
        <v>400</v>
      </c>
      <c r="AQ5" s="475" t="s">
        <v>401</v>
      </c>
      <c r="AR5" s="475" t="s">
        <v>400</v>
      </c>
      <c r="AS5" s="475" t="s">
        <v>401</v>
      </c>
      <c r="AT5" s="475" t="s">
        <v>400</v>
      </c>
      <c r="AU5" s="475" t="s">
        <v>401</v>
      </c>
      <c r="AV5" s="475" t="s">
        <v>400</v>
      </c>
      <c r="AW5" s="475" t="s">
        <v>401</v>
      </c>
      <c r="AX5" s="475" t="s">
        <v>400</v>
      </c>
      <c r="AY5" s="475" t="s">
        <v>401</v>
      </c>
      <c r="AZ5" s="475" t="s">
        <v>400</v>
      </c>
      <c r="BA5" s="475" t="s">
        <v>401</v>
      </c>
      <c r="BB5" s="475" t="s">
        <v>400</v>
      </c>
      <c r="BC5" s="475" t="s">
        <v>401</v>
      </c>
    </row>
    <row r="6" spans="1:55" ht="13">
      <c r="A6" s="478" t="s">
        <v>320</v>
      </c>
      <c r="B6" s="455"/>
      <c r="C6" s="486">
        <f>SUM(C7:C12)</f>
        <v>120</v>
      </c>
      <c r="D6" s="452">
        <v>15</v>
      </c>
      <c r="E6" s="204">
        <v>16</v>
      </c>
      <c r="F6" s="204">
        <v>20</v>
      </c>
      <c r="G6" s="204">
        <v>8</v>
      </c>
      <c r="H6" s="204">
        <v>20</v>
      </c>
      <c r="I6" s="204">
        <v>11</v>
      </c>
      <c r="J6" s="204">
        <v>22</v>
      </c>
      <c r="K6" s="204">
        <v>8</v>
      </c>
      <c r="L6" s="204">
        <v>19</v>
      </c>
      <c r="M6" s="204">
        <v>12</v>
      </c>
      <c r="N6" s="204">
        <v>21</v>
      </c>
      <c r="O6" s="204">
        <v>9</v>
      </c>
      <c r="P6" s="204">
        <v>23</v>
      </c>
      <c r="Q6" s="204">
        <v>8</v>
      </c>
      <c r="R6" s="204">
        <v>22</v>
      </c>
      <c r="S6" s="204">
        <v>9</v>
      </c>
      <c r="T6" s="204">
        <v>21</v>
      </c>
      <c r="U6" s="204">
        <v>9</v>
      </c>
      <c r="V6" s="204">
        <v>23</v>
      </c>
      <c r="W6" s="204">
        <v>8</v>
      </c>
      <c r="X6" s="204">
        <v>22</v>
      </c>
      <c r="Y6" s="204">
        <v>8</v>
      </c>
      <c r="Z6" s="204">
        <v>23</v>
      </c>
      <c r="AA6" s="225">
        <v>8</v>
      </c>
      <c r="AB6" s="219"/>
      <c r="AE6" s="473">
        <v>11000</v>
      </c>
      <c r="AF6" s="477">
        <v>0.75</v>
      </c>
      <c r="AG6" s="477">
        <v>1</v>
      </c>
      <c r="AH6" s="477">
        <v>0.6</v>
      </c>
      <c r="AI6" s="477">
        <v>0.7</v>
      </c>
      <c r="AJ6" s="477">
        <v>0.6</v>
      </c>
      <c r="AK6" s="477">
        <v>0.7</v>
      </c>
      <c r="AL6" s="477">
        <v>0.6</v>
      </c>
      <c r="AM6" s="477">
        <v>0.7</v>
      </c>
      <c r="AN6" s="477">
        <v>0.7</v>
      </c>
      <c r="AO6" s="477">
        <v>1</v>
      </c>
      <c r="AP6" s="477">
        <v>1</v>
      </c>
      <c r="AQ6" s="477">
        <v>1</v>
      </c>
      <c r="AR6" s="477">
        <v>1</v>
      </c>
      <c r="AS6" s="477">
        <v>1</v>
      </c>
      <c r="AT6" s="477">
        <v>1</v>
      </c>
      <c r="AU6" s="477">
        <v>1</v>
      </c>
      <c r="AV6" s="477">
        <v>0.9</v>
      </c>
      <c r="AW6" s="477">
        <v>0.85</v>
      </c>
      <c r="AX6" s="477">
        <v>0.5</v>
      </c>
      <c r="AY6" s="477">
        <v>0.65</v>
      </c>
      <c r="AZ6" s="477">
        <v>0.5</v>
      </c>
      <c r="BA6" s="477">
        <v>0.65</v>
      </c>
      <c r="BB6" s="477">
        <v>0.65</v>
      </c>
      <c r="BC6" s="477">
        <v>0.9</v>
      </c>
    </row>
    <row r="7" spans="1:55" ht="24.65" customHeight="1">
      <c r="A7" s="458" t="str">
        <f>Инфраструктура!A8</f>
        <v xml:space="preserve">Стандарт  Одноместный   </v>
      </c>
      <c r="B7" s="455">
        <v>1</v>
      </c>
      <c r="C7" s="455">
        <f>Инфраструктура!B8</f>
        <v>13</v>
      </c>
      <c r="D7" s="453">
        <f>D9*0.8</f>
        <v>6600</v>
      </c>
      <c r="E7" s="453">
        <f t="shared" ref="E7:AA7" si="0">E9*0.8</f>
        <v>8800</v>
      </c>
      <c r="F7" s="453">
        <f t="shared" si="0"/>
        <v>5280</v>
      </c>
      <c r="G7" s="453">
        <f t="shared" si="0"/>
        <v>6160</v>
      </c>
      <c r="H7" s="453">
        <f t="shared" si="0"/>
        <v>5280</v>
      </c>
      <c r="I7" s="453">
        <f t="shared" si="0"/>
        <v>6160</v>
      </c>
      <c r="J7" s="453">
        <f t="shared" si="0"/>
        <v>5280</v>
      </c>
      <c r="K7" s="453">
        <f t="shared" si="0"/>
        <v>6160</v>
      </c>
      <c r="L7" s="453">
        <f t="shared" si="0"/>
        <v>6160</v>
      </c>
      <c r="M7" s="453">
        <f t="shared" si="0"/>
        <v>8800</v>
      </c>
      <c r="N7" s="453">
        <f t="shared" si="0"/>
        <v>8800</v>
      </c>
      <c r="O7" s="453">
        <f t="shared" si="0"/>
        <v>8800</v>
      </c>
      <c r="P7" s="453">
        <f t="shared" si="0"/>
        <v>8800</v>
      </c>
      <c r="Q7" s="453">
        <f t="shared" si="0"/>
        <v>8800</v>
      </c>
      <c r="R7" s="453">
        <f t="shared" si="0"/>
        <v>8800</v>
      </c>
      <c r="S7" s="453">
        <f t="shared" si="0"/>
        <v>8800</v>
      </c>
      <c r="T7" s="453">
        <f t="shared" si="0"/>
        <v>7920</v>
      </c>
      <c r="U7" s="453">
        <f t="shared" si="0"/>
        <v>7480</v>
      </c>
      <c r="V7" s="453">
        <f t="shared" si="0"/>
        <v>4400</v>
      </c>
      <c r="W7" s="453">
        <f t="shared" si="0"/>
        <v>5720</v>
      </c>
      <c r="X7" s="453">
        <f t="shared" si="0"/>
        <v>4400</v>
      </c>
      <c r="Y7" s="453">
        <f t="shared" si="0"/>
        <v>5720</v>
      </c>
      <c r="Z7" s="453">
        <f t="shared" si="0"/>
        <v>5720</v>
      </c>
      <c r="AA7" s="453">
        <f t="shared" si="0"/>
        <v>7920</v>
      </c>
      <c r="AB7" s="453">
        <f>ADR!AA8</f>
        <v>6793.6799795186889</v>
      </c>
      <c r="AC7" s="503"/>
      <c r="AD7" s="503" t="s">
        <v>1115</v>
      </c>
      <c r="AE7" s="473">
        <v>5900</v>
      </c>
      <c r="AF7" s="772">
        <f>AF6</f>
        <v>0.75</v>
      </c>
      <c r="AG7" s="772">
        <f t="shared" ref="AG7:BC7" si="1">AG6</f>
        <v>1</v>
      </c>
      <c r="AH7" s="772">
        <f t="shared" si="1"/>
        <v>0.6</v>
      </c>
      <c r="AI7" s="772">
        <f t="shared" si="1"/>
        <v>0.7</v>
      </c>
      <c r="AJ7" s="772">
        <f t="shared" si="1"/>
        <v>0.6</v>
      </c>
      <c r="AK7" s="772">
        <f t="shared" si="1"/>
        <v>0.7</v>
      </c>
      <c r="AL7" s="772">
        <f t="shared" si="1"/>
        <v>0.6</v>
      </c>
      <c r="AM7" s="772">
        <f t="shared" si="1"/>
        <v>0.7</v>
      </c>
      <c r="AN7" s="772">
        <f t="shared" si="1"/>
        <v>0.7</v>
      </c>
      <c r="AO7" s="772">
        <f t="shared" si="1"/>
        <v>1</v>
      </c>
      <c r="AP7" s="772">
        <f t="shared" si="1"/>
        <v>1</v>
      </c>
      <c r="AQ7" s="772">
        <f t="shared" si="1"/>
        <v>1</v>
      </c>
      <c r="AR7" s="772">
        <f t="shared" si="1"/>
        <v>1</v>
      </c>
      <c r="AS7" s="772">
        <f t="shared" si="1"/>
        <v>1</v>
      </c>
      <c r="AT7" s="772">
        <f t="shared" si="1"/>
        <v>1</v>
      </c>
      <c r="AU7" s="772">
        <f t="shared" si="1"/>
        <v>1</v>
      </c>
      <c r="AV7" s="772">
        <f t="shared" si="1"/>
        <v>0.9</v>
      </c>
      <c r="AW7" s="772">
        <f t="shared" si="1"/>
        <v>0.85</v>
      </c>
      <c r="AX7" s="772">
        <f t="shared" si="1"/>
        <v>0.5</v>
      </c>
      <c r="AY7" s="772">
        <f t="shared" si="1"/>
        <v>0.65</v>
      </c>
      <c r="AZ7" s="772">
        <f t="shared" si="1"/>
        <v>0.5</v>
      </c>
      <c r="BA7" s="772">
        <f t="shared" si="1"/>
        <v>0.65</v>
      </c>
      <c r="BB7" s="772">
        <f t="shared" si="1"/>
        <v>0.65</v>
      </c>
      <c r="BC7" s="772">
        <f t="shared" si="1"/>
        <v>0.9</v>
      </c>
    </row>
    <row r="8" spans="1:55" ht="13">
      <c r="A8" s="458" t="str">
        <f>Инфраструктура!A9</f>
        <v>МГН</v>
      </c>
      <c r="B8" s="455">
        <v>1</v>
      </c>
      <c r="C8" s="455">
        <f>Инфраструктура!B9</f>
        <v>2</v>
      </c>
      <c r="D8" s="453">
        <f>D9</f>
        <v>8250</v>
      </c>
      <c r="E8" s="453">
        <f t="shared" ref="E8:AA8" si="2">E9</f>
        <v>11000</v>
      </c>
      <c r="F8" s="453">
        <f t="shared" si="2"/>
        <v>6600</v>
      </c>
      <c r="G8" s="453">
        <f t="shared" si="2"/>
        <v>7699.9999999999991</v>
      </c>
      <c r="H8" s="453">
        <f t="shared" si="2"/>
        <v>6600</v>
      </c>
      <c r="I8" s="453">
        <f t="shared" si="2"/>
        <v>7699.9999999999991</v>
      </c>
      <c r="J8" s="453">
        <f t="shared" si="2"/>
        <v>6600</v>
      </c>
      <c r="K8" s="453">
        <f t="shared" si="2"/>
        <v>7699.9999999999991</v>
      </c>
      <c r="L8" s="453">
        <f t="shared" si="2"/>
        <v>7699.9999999999991</v>
      </c>
      <c r="M8" s="453">
        <f t="shared" si="2"/>
        <v>11000</v>
      </c>
      <c r="N8" s="453">
        <f t="shared" si="2"/>
        <v>11000</v>
      </c>
      <c r="O8" s="453">
        <f t="shared" si="2"/>
        <v>11000</v>
      </c>
      <c r="P8" s="453">
        <f t="shared" si="2"/>
        <v>11000</v>
      </c>
      <c r="Q8" s="453">
        <f t="shared" si="2"/>
        <v>11000</v>
      </c>
      <c r="R8" s="453">
        <f t="shared" si="2"/>
        <v>11000</v>
      </c>
      <c r="S8" s="453">
        <f t="shared" si="2"/>
        <v>11000</v>
      </c>
      <c r="T8" s="453">
        <f t="shared" si="2"/>
        <v>9900</v>
      </c>
      <c r="U8" s="453">
        <f t="shared" si="2"/>
        <v>9350</v>
      </c>
      <c r="V8" s="453">
        <f t="shared" si="2"/>
        <v>5500</v>
      </c>
      <c r="W8" s="453">
        <f t="shared" si="2"/>
        <v>7150</v>
      </c>
      <c r="X8" s="453">
        <f t="shared" si="2"/>
        <v>5500</v>
      </c>
      <c r="Y8" s="453">
        <f t="shared" si="2"/>
        <v>7150</v>
      </c>
      <c r="Z8" s="453">
        <f t="shared" si="2"/>
        <v>7150</v>
      </c>
      <c r="AA8" s="453">
        <f t="shared" si="2"/>
        <v>9900</v>
      </c>
      <c r="AB8" s="453">
        <f>ADR!AA11</f>
        <v>8492.0999743983612</v>
      </c>
      <c r="AC8" s="503"/>
      <c r="AD8" s="503"/>
    </row>
    <row r="9" spans="1:55" ht="26">
      <c r="A9" s="458" t="str">
        <f>Инфраструктура!A10</f>
        <v>Стандарт  Двухместный</v>
      </c>
      <c r="B9" s="455">
        <v>2</v>
      </c>
      <c r="C9" s="455">
        <f>Инфраструктура!B10</f>
        <v>65</v>
      </c>
      <c r="D9" s="453">
        <f>$AE$6*AF6</f>
        <v>8250</v>
      </c>
      <c r="E9" s="453">
        <f t="shared" ref="E9:AA9" si="3">$AE$6*AG6</f>
        <v>11000</v>
      </c>
      <c r="F9" s="453">
        <f t="shared" si="3"/>
        <v>6600</v>
      </c>
      <c r="G9" s="453">
        <f t="shared" si="3"/>
        <v>7699.9999999999991</v>
      </c>
      <c r="H9" s="453">
        <f t="shared" si="3"/>
        <v>6600</v>
      </c>
      <c r="I9" s="453">
        <f t="shared" si="3"/>
        <v>7699.9999999999991</v>
      </c>
      <c r="J9" s="453">
        <f t="shared" si="3"/>
        <v>6600</v>
      </c>
      <c r="K9" s="453">
        <f t="shared" si="3"/>
        <v>7699.9999999999991</v>
      </c>
      <c r="L9" s="453">
        <f t="shared" si="3"/>
        <v>7699.9999999999991</v>
      </c>
      <c r="M9" s="453">
        <f t="shared" si="3"/>
        <v>11000</v>
      </c>
      <c r="N9" s="453">
        <f t="shared" si="3"/>
        <v>11000</v>
      </c>
      <c r="O9" s="453">
        <f t="shared" si="3"/>
        <v>11000</v>
      </c>
      <c r="P9" s="453">
        <f t="shared" si="3"/>
        <v>11000</v>
      </c>
      <c r="Q9" s="453">
        <f t="shared" si="3"/>
        <v>11000</v>
      </c>
      <c r="R9" s="453">
        <f t="shared" si="3"/>
        <v>11000</v>
      </c>
      <c r="S9" s="453">
        <f t="shared" si="3"/>
        <v>11000</v>
      </c>
      <c r="T9" s="453">
        <f t="shared" si="3"/>
        <v>9900</v>
      </c>
      <c r="U9" s="453">
        <f t="shared" si="3"/>
        <v>9350</v>
      </c>
      <c r="V9" s="453">
        <f t="shared" si="3"/>
        <v>5500</v>
      </c>
      <c r="W9" s="453">
        <f t="shared" si="3"/>
        <v>7150</v>
      </c>
      <c r="X9" s="453">
        <f t="shared" si="3"/>
        <v>5500</v>
      </c>
      <c r="Y9" s="453">
        <f t="shared" si="3"/>
        <v>7150</v>
      </c>
      <c r="Z9" s="453">
        <f t="shared" si="3"/>
        <v>7150</v>
      </c>
      <c r="AA9" s="453">
        <f t="shared" si="3"/>
        <v>9900</v>
      </c>
      <c r="AB9" s="453">
        <f>ADR!AA14</f>
        <v>8492.0999743983612</v>
      </c>
      <c r="AC9" s="503"/>
      <c r="AD9" s="503"/>
    </row>
    <row r="10" spans="1:55" ht="13">
      <c r="A10" s="458" t="str">
        <f>Инфраструктура!A11</f>
        <v>Джуниор Сьюит</v>
      </c>
      <c r="B10" s="455">
        <v>2</v>
      </c>
      <c r="C10" s="455">
        <f>Инфраструктура!B11</f>
        <v>30</v>
      </c>
      <c r="D10" s="453">
        <f>D9*1.3</f>
        <v>10725</v>
      </c>
      <c r="E10" s="453">
        <f t="shared" ref="E10:AA10" si="4">E9*1.3</f>
        <v>14300</v>
      </c>
      <c r="F10" s="453">
        <f t="shared" si="4"/>
        <v>8580</v>
      </c>
      <c r="G10" s="453">
        <f t="shared" si="4"/>
        <v>10010</v>
      </c>
      <c r="H10" s="453">
        <f t="shared" si="4"/>
        <v>8580</v>
      </c>
      <c r="I10" s="453">
        <f t="shared" si="4"/>
        <v>10010</v>
      </c>
      <c r="J10" s="453">
        <f t="shared" si="4"/>
        <v>8580</v>
      </c>
      <c r="K10" s="453">
        <f t="shared" si="4"/>
        <v>10010</v>
      </c>
      <c r="L10" s="453">
        <f t="shared" si="4"/>
        <v>10010</v>
      </c>
      <c r="M10" s="453">
        <f t="shared" si="4"/>
        <v>14300</v>
      </c>
      <c r="N10" s="453">
        <f t="shared" si="4"/>
        <v>14300</v>
      </c>
      <c r="O10" s="453">
        <f t="shared" si="4"/>
        <v>14300</v>
      </c>
      <c r="P10" s="453">
        <f t="shared" si="4"/>
        <v>14300</v>
      </c>
      <c r="Q10" s="453">
        <f t="shared" si="4"/>
        <v>14300</v>
      </c>
      <c r="R10" s="453">
        <f t="shared" si="4"/>
        <v>14300</v>
      </c>
      <c r="S10" s="453">
        <f t="shared" si="4"/>
        <v>14300</v>
      </c>
      <c r="T10" s="453">
        <f t="shared" si="4"/>
        <v>12870</v>
      </c>
      <c r="U10" s="453">
        <f t="shared" si="4"/>
        <v>12155</v>
      </c>
      <c r="V10" s="453">
        <f t="shared" si="4"/>
        <v>7150</v>
      </c>
      <c r="W10" s="453">
        <f t="shared" si="4"/>
        <v>9295</v>
      </c>
      <c r="X10" s="453">
        <f t="shared" si="4"/>
        <v>7150</v>
      </c>
      <c r="Y10" s="453">
        <f t="shared" si="4"/>
        <v>9295</v>
      </c>
      <c r="Z10" s="453">
        <f t="shared" si="4"/>
        <v>9295</v>
      </c>
      <c r="AA10" s="453">
        <f t="shared" si="4"/>
        <v>12870</v>
      </c>
      <c r="AB10" s="453">
        <f>ADR!AA17</f>
        <v>11039.729966717872</v>
      </c>
      <c r="AC10" s="503"/>
      <c r="AD10" s="503"/>
    </row>
    <row r="11" spans="1:55" ht="13">
      <c r="A11" s="458" t="str">
        <f>Инфраструктура!A12</f>
        <v xml:space="preserve">Номер Люкс                                </v>
      </c>
      <c r="B11" s="455">
        <v>3</v>
      </c>
      <c r="C11" s="455">
        <f>Инфраструктура!B12</f>
        <v>9</v>
      </c>
      <c r="D11" s="453">
        <f>D9*1.7</f>
        <v>14025</v>
      </c>
      <c r="E11" s="453">
        <f t="shared" ref="E11:AA11" si="5">E9*1.7</f>
        <v>18700</v>
      </c>
      <c r="F11" s="453">
        <f t="shared" si="5"/>
        <v>11220</v>
      </c>
      <c r="G11" s="453">
        <f t="shared" si="5"/>
        <v>13089.999999999998</v>
      </c>
      <c r="H11" s="453">
        <f t="shared" si="5"/>
        <v>11220</v>
      </c>
      <c r="I11" s="453">
        <f t="shared" si="5"/>
        <v>13089.999999999998</v>
      </c>
      <c r="J11" s="453">
        <f t="shared" si="5"/>
        <v>11220</v>
      </c>
      <c r="K11" s="453">
        <f t="shared" si="5"/>
        <v>13089.999999999998</v>
      </c>
      <c r="L11" s="453">
        <f t="shared" si="5"/>
        <v>13089.999999999998</v>
      </c>
      <c r="M11" s="453">
        <f t="shared" si="5"/>
        <v>18700</v>
      </c>
      <c r="N11" s="453">
        <f t="shared" si="5"/>
        <v>18700</v>
      </c>
      <c r="O11" s="453">
        <f t="shared" si="5"/>
        <v>18700</v>
      </c>
      <c r="P11" s="453">
        <f t="shared" si="5"/>
        <v>18700</v>
      </c>
      <c r="Q11" s="453">
        <f t="shared" si="5"/>
        <v>18700</v>
      </c>
      <c r="R11" s="453">
        <f t="shared" si="5"/>
        <v>18700</v>
      </c>
      <c r="S11" s="453">
        <f t="shared" si="5"/>
        <v>18700</v>
      </c>
      <c r="T11" s="453">
        <f t="shared" si="5"/>
        <v>16830</v>
      </c>
      <c r="U11" s="453">
        <f t="shared" si="5"/>
        <v>15895</v>
      </c>
      <c r="V11" s="453">
        <f t="shared" si="5"/>
        <v>9350</v>
      </c>
      <c r="W11" s="453">
        <f t="shared" si="5"/>
        <v>12155</v>
      </c>
      <c r="X11" s="453">
        <f t="shared" si="5"/>
        <v>9350</v>
      </c>
      <c r="Y11" s="453">
        <f t="shared" si="5"/>
        <v>12155</v>
      </c>
      <c r="Z11" s="453">
        <f t="shared" si="5"/>
        <v>12155</v>
      </c>
      <c r="AA11" s="453">
        <f t="shared" si="5"/>
        <v>16830</v>
      </c>
      <c r="AB11" s="453">
        <f>ADR!AA20</f>
        <v>14436.569956477213</v>
      </c>
      <c r="AC11" s="503"/>
      <c r="AD11" s="503"/>
    </row>
    <row r="12" spans="1:55" ht="26">
      <c r="A12" s="458" t="str">
        <f>Инфраструктура!A13</f>
        <v xml:space="preserve">Президентский сьюит                         </v>
      </c>
      <c r="B12" s="493">
        <v>4</v>
      </c>
      <c r="C12" s="493">
        <f>Инфраструктура!B13</f>
        <v>1</v>
      </c>
      <c r="D12" s="494">
        <f>D9*2.5</f>
        <v>20625</v>
      </c>
      <c r="E12" s="494">
        <f t="shared" ref="E12:AA12" si="6">E9*2.5</f>
        <v>27500</v>
      </c>
      <c r="F12" s="494">
        <f t="shared" si="6"/>
        <v>16500</v>
      </c>
      <c r="G12" s="494">
        <f t="shared" si="6"/>
        <v>19249.999999999996</v>
      </c>
      <c r="H12" s="494">
        <f t="shared" si="6"/>
        <v>16500</v>
      </c>
      <c r="I12" s="494">
        <f t="shared" si="6"/>
        <v>19249.999999999996</v>
      </c>
      <c r="J12" s="494">
        <f t="shared" si="6"/>
        <v>16500</v>
      </c>
      <c r="K12" s="494">
        <f t="shared" si="6"/>
        <v>19249.999999999996</v>
      </c>
      <c r="L12" s="494">
        <f t="shared" si="6"/>
        <v>19249.999999999996</v>
      </c>
      <c r="M12" s="494">
        <f t="shared" si="6"/>
        <v>27500</v>
      </c>
      <c r="N12" s="494">
        <f t="shared" si="6"/>
        <v>27500</v>
      </c>
      <c r="O12" s="494">
        <f t="shared" si="6"/>
        <v>27500</v>
      </c>
      <c r="P12" s="494">
        <f t="shared" si="6"/>
        <v>27500</v>
      </c>
      <c r="Q12" s="494">
        <f t="shared" si="6"/>
        <v>27500</v>
      </c>
      <c r="R12" s="494">
        <f t="shared" si="6"/>
        <v>27500</v>
      </c>
      <c r="S12" s="494">
        <f t="shared" si="6"/>
        <v>27500</v>
      </c>
      <c r="T12" s="494">
        <f t="shared" si="6"/>
        <v>24750</v>
      </c>
      <c r="U12" s="494">
        <f t="shared" si="6"/>
        <v>23375</v>
      </c>
      <c r="V12" s="494">
        <f t="shared" si="6"/>
        <v>13750</v>
      </c>
      <c r="W12" s="494">
        <f t="shared" si="6"/>
        <v>17875</v>
      </c>
      <c r="X12" s="494">
        <f t="shared" si="6"/>
        <v>13750</v>
      </c>
      <c r="Y12" s="494">
        <f t="shared" si="6"/>
        <v>17875</v>
      </c>
      <c r="Z12" s="494">
        <f t="shared" si="6"/>
        <v>17875</v>
      </c>
      <c r="AA12" s="494">
        <f t="shared" si="6"/>
        <v>24750</v>
      </c>
      <c r="AB12" s="494">
        <f>ADR!AA23</f>
        <v>21230.249935995904</v>
      </c>
      <c r="AC12" s="503"/>
      <c r="AD12" s="503"/>
    </row>
    <row r="13" spans="1:55" ht="26">
      <c r="A13" s="492" t="s">
        <v>774</v>
      </c>
      <c r="B13" s="459"/>
      <c r="C13" s="459"/>
      <c r="D13" s="823">
        <f>((E7*E6+D7*D6)*$C$7+(E8*E6+D8*D6)*$C$8+(E9*E6+D9*D6)*$C$9+(E10*E6+D10*D6)*$C$10+(E11*E6+D11*D6)*$C$11+(E12*E6+D12*D6)*$C$12)/$C$6/SUM(D6:E6)</f>
        <v>10813.56182795699</v>
      </c>
      <c r="E13" s="824"/>
      <c r="F13" s="823">
        <f t="shared" ref="F13" si="7">((G7*G6+F7*F6)*$C$7+(G8*G6+F8*F6)*$C$8+(G9*G6+F9*F6)*$C$9+(G10*G6+F10*F6)*$C$10+(G11*G6+F11*F6)*$C$11+(G12*G6+F12*F6)*$C$12)/$C$6/SUM(F6:G6)</f>
        <v>7732.4761904761908</v>
      </c>
      <c r="G13" s="824"/>
      <c r="H13" s="823">
        <f t="shared" ref="H13" si="8">((I7*I6+H7*H6)*$C$7+(I8*I6+H8*H6)*$C$8+(I9*I6+H9*H6)*$C$9+(I10*I6+H10*H6)*$C$10+(I11*I6+H11*H6)*$C$11+(I12*I6+H12*H6)*$C$12)/$C$6/SUM(H6:I6)</f>
        <v>7817.510752688172</v>
      </c>
      <c r="I13" s="824"/>
      <c r="J13" s="823">
        <f t="shared" ref="J13" si="9">((K7*K6+J7*J6)*$C$7+(K8*K6+J8*J6)*$C$8+(K9*K6+J9*J6)*$C$9+(K10*K6+J10*J6)*$C$10+(K11*K6+J11*J6)*$C$11+(K12*K6+J12*J6)*$C$12)/$C$6/SUM(J6:K6)</f>
        <v>7709.0444444444447</v>
      </c>
      <c r="K13" s="824"/>
      <c r="L13" s="823">
        <f t="shared" ref="L13" si="10">((M7*M6+L7*L6)*$C$7+(M8*M6+L8*L6)*$C$8+(M9*M6+L9*L6)*$C$9+(M10*M6+L10*L6)*$C$10+(M11*M6+L11*L6)*$C$11+(M12*M6+L12*L6)*$C$12)/$C$6/SUM(L6:M6)</f>
        <v>10039.747311827958</v>
      </c>
      <c r="M13" s="824"/>
      <c r="N13" s="823">
        <f t="shared" ref="N13" si="11">((O7*O6+N7*N6)*$C$7+(O8*O6+N8*N6)*$C$8+(O9*O6+N9*N6)*$C$9+(O10*O6+N10*N6)*$C$10+(O11*O6+N11*N6)*$C$11+(O12*O6+N12*N6)*$C$12)/$C$6/SUM(N6:O6)</f>
        <v>12301.666666666666</v>
      </c>
      <c r="O13" s="824"/>
      <c r="P13" s="823">
        <f t="shared" ref="P13" si="12">((Q7*Q6+P7*P6)*$C$7+(Q8*Q6+P8*P6)*$C$8+(Q9*Q6+P9*P6)*$C$9+(Q10*Q6+P10*P6)*$C$10+(Q11*Q6+P11*P6)*$C$11+(Q12*Q6+P12*P6)*$C$12)/$C$6/SUM(P6:Q6)</f>
        <v>12301.666666666668</v>
      </c>
      <c r="Q13" s="824"/>
      <c r="R13" s="823">
        <f t="shared" ref="R13" si="13">((S7*S6+R7*R6)*$C$7+(S8*S6+R8*R6)*$C$8+(S9*S6+R9*R6)*$C$9+(S10*S6+R10*R6)*$C$10+(S11*S6+R11*R6)*$C$11+(S12*S6+R12*R6)*$C$12)/$C$6/SUM(R6:S6)</f>
        <v>12301.666666666668</v>
      </c>
      <c r="S13" s="824"/>
      <c r="T13" s="823">
        <f t="shared" ref="T13" si="14">((U7*U6+T7*T6)*$C$7+(U8*U6+T8*T6)*$C$8+(U9*U6+T9*T6)*$C$9+(U10*U6+T10*T6)*$C$10+(U11*U6+T11*T6)*$C$11+(U12*U6+T12*T6)*$C$12)/$C$6/SUM(T6:U6)</f>
        <v>10886.975</v>
      </c>
      <c r="U13" s="824"/>
      <c r="V13" s="823">
        <f t="shared" ref="V13" si="15">((W7*W6+V7*V6)*$C$7+(W8*W6+V8*V6)*$C$8+(W9*W6+V9*V6)*$C$9+(W10*W6+V10*V6)*$C$10+(W11*W6+V11*V6)*$C$11+(W12*W6+V12*V6)*$C$12)/$C$6/SUM(V6:W6)</f>
        <v>6627.0268817204305</v>
      </c>
      <c r="W13" s="824"/>
      <c r="X13" s="823">
        <f t="shared" ref="X13" si="16">((Y7*Y6+X7*X6)*$C$7+(Y8*Y6+X8*X6)*$C$8+(Y9*Y6+X9*X6)*$C$9+(Y10*Y6+X10*X6)*$C$10+(Y11*Y6+X11*X6)*$C$11+(Y12*Y6+X12*X6)*$C$12)/$C$6/SUM(X6:Y6)</f>
        <v>6642.9</v>
      </c>
      <c r="Y13" s="824"/>
      <c r="Z13" s="823">
        <f t="shared" ref="Z13" si="17">((AA7*AA6+Z7*Z6)*$C$7+(AA8*AA6+Z8*Z6)*$C$8+(AA9*AA6+Z9*Z6)*$C$9+(AA10*AA6+Z10*Z6)*$C$10+(AA11*AA6+Z11*Z6)*$C$11+(AA12*AA6+Z12*Z6)*$C$12)/$C$6/SUM(Z6:AA6)</f>
        <v>8789.7392473118289</v>
      </c>
      <c r="AA13" s="824"/>
      <c r="AB13" s="502">
        <f>(AB7*$C$7+AB8*$C$8+AB9*$C$9+AB10*$C$10+AB11*$C$11+AB12*$C$12)/$C$6</f>
        <v>9496.9984713688336</v>
      </c>
      <c r="AC13" s="502"/>
      <c r="AD13" s="513"/>
    </row>
    <row r="14" spans="1:55" ht="13">
      <c r="A14" s="492"/>
      <c r="B14" s="511"/>
      <c r="C14" s="511"/>
      <c r="D14" s="512" t="s">
        <v>370</v>
      </c>
      <c r="E14" s="512" t="s">
        <v>371</v>
      </c>
      <c r="F14" s="512" t="s">
        <v>372</v>
      </c>
      <c r="G14" s="512" t="s">
        <v>373</v>
      </c>
      <c r="H14" s="512" t="s">
        <v>331</v>
      </c>
      <c r="I14" s="512" t="s">
        <v>374</v>
      </c>
      <c r="J14" s="512" t="s">
        <v>375</v>
      </c>
      <c r="K14" s="512" t="s">
        <v>376</v>
      </c>
      <c r="L14" s="512" t="s">
        <v>377</v>
      </c>
      <c r="M14" s="512" t="s">
        <v>378</v>
      </c>
      <c r="N14" s="512" t="s">
        <v>379</v>
      </c>
      <c r="O14" s="512" t="s">
        <v>380</v>
      </c>
      <c r="P14" s="512"/>
      <c r="Q14" s="512"/>
      <c r="R14" s="512"/>
      <c r="S14" s="512"/>
      <c r="T14" s="512"/>
      <c r="U14" s="512"/>
      <c r="V14" s="512"/>
      <c r="W14" s="512"/>
      <c r="X14" s="512"/>
      <c r="Y14" s="512"/>
      <c r="Z14" s="512"/>
      <c r="AA14" s="512"/>
      <c r="AB14" s="513"/>
      <c r="AC14" s="513"/>
      <c r="AD14" s="513"/>
    </row>
    <row r="15" spans="1:55" ht="13">
      <c r="A15" s="492"/>
      <c r="B15" s="511"/>
      <c r="C15" s="511"/>
      <c r="D15" s="512">
        <f>D13</f>
        <v>10813.56182795699</v>
      </c>
      <c r="E15" s="512">
        <f>F13</f>
        <v>7732.4761904761908</v>
      </c>
      <c r="F15" s="512">
        <f>H13</f>
        <v>7817.510752688172</v>
      </c>
      <c r="G15" s="512">
        <f>J13</f>
        <v>7709.0444444444447</v>
      </c>
      <c r="H15" s="512">
        <f>L13</f>
        <v>10039.747311827958</v>
      </c>
      <c r="I15" s="512">
        <f>N13</f>
        <v>12301.666666666666</v>
      </c>
      <c r="J15" s="512">
        <f>P13</f>
        <v>12301.666666666668</v>
      </c>
      <c r="K15" s="512">
        <f>R13</f>
        <v>12301.666666666668</v>
      </c>
      <c r="L15" s="512">
        <f>T13</f>
        <v>10886.975</v>
      </c>
      <c r="M15" s="512">
        <f>V13</f>
        <v>6627.0268817204305</v>
      </c>
      <c r="N15" s="512">
        <f>X13</f>
        <v>6642.9</v>
      </c>
      <c r="O15" s="512">
        <f>Z13</f>
        <v>8789.7392473118289</v>
      </c>
      <c r="P15" s="512"/>
      <c r="Q15" s="512"/>
      <c r="R15" s="512"/>
      <c r="S15" s="512"/>
      <c r="T15" s="512"/>
      <c r="U15" s="512"/>
      <c r="V15" s="512"/>
      <c r="W15" s="512"/>
      <c r="X15" s="512"/>
      <c r="Y15" s="512"/>
      <c r="Z15" s="512"/>
      <c r="AA15" s="512"/>
      <c r="AB15" s="513"/>
      <c r="AC15" s="513"/>
      <c r="AD15" s="513"/>
    </row>
    <row r="16" spans="1:55" ht="13">
      <c r="A16" s="492"/>
      <c r="B16" s="511"/>
      <c r="C16" s="511"/>
      <c r="D16" s="512"/>
      <c r="E16" s="512"/>
      <c r="F16" s="512"/>
      <c r="G16" s="512"/>
      <c r="H16" s="512"/>
      <c r="I16" s="512"/>
      <c r="J16" s="512"/>
      <c r="K16" s="512"/>
      <c r="L16" s="512"/>
      <c r="M16" s="512"/>
      <c r="N16" s="512"/>
      <c r="O16" s="512"/>
      <c r="P16" s="512"/>
      <c r="Q16" s="512"/>
      <c r="R16" s="512"/>
      <c r="S16" s="512"/>
      <c r="T16" s="512"/>
      <c r="U16" s="512"/>
      <c r="V16" s="512"/>
      <c r="W16" s="512"/>
      <c r="X16" s="512"/>
      <c r="Y16" s="512"/>
      <c r="Z16" s="512"/>
      <c r="AA16" s="512"/>
      <c r="AB16" s="513"/>
      <c r="AC16" s="513"/>
      <c r="AD16" s="513"/>
    </row>
    <row r="17" spans="1:28" ht="13">
      <c r="A17" s="825" t="s">
        <v>403</v>
      </c>
      <c r="B17" s="838"/>
      <c r="C17" s="495"/>
      <c r="D17" s="457">
        <v>800</v>
      </c>
      <c r="E17" s="457"/>
      <c r="F17" s="457"/>
      <c r="G17" s="498"/>
      <c r="H17" s="498"/>
      <c r="I17" s="498"/>
      <c r="J17" s="498"/>
      <c r="K17" s="498"/>
      <c r="L17" s="498"/>
      <c r="M17" s="498"/>
      <c r="N17" s="498"/>
      <c r="O17" s="498"/>
      <c r="P17" s="498"/>
      <c r="Q17" s="498"/>
      <c r="R17" s="498"/>
      <c r="S17" s="498"/>
      <c r="T17" s="498"/>
      <c r="U17" s="498"/>
      <c r="V17" s="498"/>
      <c r="W17" s="498"/>
      <c r="X17" s="498"/>
      <c r="Y17" s="498"/>
      <c r="Z17" s="498"/>
      <c r="AA17" s="499"/>
      <c r="AB17" s="500"/>
    </row>
    <row r="18" spans="1:28" ht="13">
      <c r="A18" s="460" t="s">
        <v>721</v>
      </c>
      <c r="B18" s="466"/>
      <c r="C18" s="460"/>
      <c r="D18" s="496">
        <v>1100</v>
      </c>
      <c r="E18" s="497"/>
      <c r="F18" s="497"/>
      <c r="G18" s="221"/>
      <c r="H18" s="221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21"/>
      <c r="Y18" s="221"/>
      <c r="Z18" s="221"/>
      <c r="AA18" s="218"/>
      <c r="AB18" s="219"/>
    </row>
    <row r="19" spans="1:28" ht="51" customHeight="1">
      <c r="A19" s="825" t="s">
        <v>720</v>
      </c>
      <c r="B19" s="826"/>
      <c r="C19" s="460"/>
      <c r="D19" s="454">
        <v>300</v>
      </c>
      <c r="E19" s="226"/>
      <c r="F19" s="227"/>
      <c r="G19" s="221"/>
      <c r="H19" s="221"/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Y19" s="221"/>
      <c r="Z19" s="221"/>
      <c r="AA19" s="218"/>
      <c r="AB19" s="219"/>
    </row>
    <row r="20" spans="1:28" ht="25.5" customHeight="1">
      <c r="A20" s="832"/>
      <c r="B20" s="833"/>
      <c r="C20" s="460"/>
      <c r="D20" s="454">
        <v>0</v>
      </c>
      <c r="E20" s="226"/>
      <c r="F20" s="227"/>
      <c r="G20" s="221"/>
      <c r="H20" s="218"/>
      <c r="I20" s="218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18"/>
      <c r="AB20" s="219"/>
    </row>
    <row r="21" spans="1:28" ht="13">
      <c r="A21" s="220"/>
      <c r="B21" s="220"/>
      <c r="C21" s="220"/>
      <c r="D21" s="221"/>
      <c r="E21" s="218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18"/>
      <c r="AB21" s="219"/>
    </row>
    <row r="22" spans="1:28" ht="24" customHeight="1">
      <c r="A22" s="485" t="str">
        <f>'Итого выручка 1 этапа'!A11</f>
        <v>Действующий корпус санатория с новым бальнеологическим комплексом</v>
      </c>
      <c r="B22" s="220"/>
      <c r="C22" s="220"/>
      <c r="D22" s="221"/>
      <c r="E22" s="218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18"/>
      <c r="AB22" s="219"/>
    </row>
    <row r="23" spans="1:28" ht="13">
      <c r="A23" s="492" t="s">
        <v>320</v>
      </c>
      <c r="B23" s="460"/>
      <c r="C23" s="486">
        <f>SUM(C25:C31)</f>
        <v>122</v>
      </c>
      <c r="D23" s="457"/>
      <c r="E23" s="457" t="s">
        <v>370</v>
      </c>
      <c r="F23" s="457" t="s">
        <v>371</v>
      </c>
      <c r="G23" s="457" t="s">
        <v>372</v>
      </c>
      <c r="H23" s="457" t="s">
        <v>373</v>
      </c>
      <c r="I23" s="457" t="s">
        <v>331</v>
      </c>
      <c r="J23" s="457" t="s">
        <v>374</v>
      </c>
      <c r="K23" s="457" t="s">
        <v>375</v>
      </c>
      <c r="L23" s="457" t="s">
        <v>376</v>
      </c>
      <c r="M23" s="457" t="s">
        <v>377</v>
      </c>
      <c r="N23" s="457" t="s">
        <v>378</v>
      </c>
      <c r="O23" s="457" t="s">
        <v>379</v>
      </c>
      <c r="P23" s="457" t="s">
        <v>380</v>
      </c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18"/>
      <c r="AB23" s="219"/>
    </row>
    <row r="24" spans="1:28" ht="13">
      <c r="A24" s="492"/>
      <c r="B24" s="460"/>
      <c r="C24" s="486"/>
      <c r="D24" s="457"/>
      <c r="E24" s="457">
        <v>1.1000000000000001</v>
      </c>
      <c r="F24" s="457">
        <v>1</v>
      </c>
      <c r="G24" s="457">
        <v>1</v>
      </c>
      <c r="H24" s="457">
        <v>1</v>
      </c>
      <c r="I24" s="457">
        <v>1.1000000000000001</v>
      </c>
      <c r="J24" s="457">
        <v>1.1000000000000001</v>
      </c>
      <c r="K24" s="457">
        <v>1.1000000000000001</v>
      </c>
      <c r="L24" s="457">
        <v>1.1000000000000001</v>
      </c>
      <c r="M24" s="457">
        <v>1</v>
      </c>
      <c r="N24" s="457">
        <v>1</v>
      </c>
      <c r="O24" s="457">
        <v>1</v>
      </c>
      <c r="P24" s="457">
        <v>1</v>
      </c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18"/>
      <c r="AB24" s="219"/>
    </row>
    <row r="25" spans="1:28" ht="13">
      <c r="A25" s="460" t="str">
        <f>Инфраструктура!A56</f>
        <v>СТД1М</v>
      </c>
      <c r="B25" s="460"/>
      <c r="C25" s="455">
        <f>Инфраструктура!B56</f>
        <v>8</v>
      </c>
      <c r="D25" s="501">
        <f>Q25/$D$33</f>
        <v>2361.7647058823532</v>
      </c>
      <c r="E25" s="501">
        <f>$D25*E24</f>
        <v>2597.9411764705887</v>
      </c>
      <c r="F25" s="501">
        <f t="shared" ref="F25:P25" si="18">$D25*F24</f>
        <v>2361.7647058823532</v>
      </c>
      <c r="G25" s="501">
        <f t="shared" si="18"/>
        <v>2361.7647058823532</v>
      </c>
      <c r="H25" s="501">
        <f t="shared" si="18"/>
        <v>2361.7647058823532</v>
      </c>
      <c r="I25" s="501">
        <f t="shared" si="18"/>
        <v>2597.9411764705887</v>
      </c>
      <c r="J25" s="501">
        <f t="shared" si="18"/>
        <v>2597.9411764705887</v>
      </c>
      <c r="K25" s="501">
        <f t="shared" si="18"/>
        <v>2597.9411764705887</v>
      </c>
      <c r="L25" s="501">
        <f t="shared" si="18"/>
        <v>2597.9411764705887</v>
      </c>
      <c r="M25" s="501">
        <f t="shared" si="18"/>
        <v>2361.7647058823532</v>
      </c>
      <c r="N25" s="501">
        <f t="shared" si="18"/>
        <v>2361.7647058823532</v>
      </c>
      <c r="O25" s="501">
        <f t="shared" si="18"/>
        <v>2361.7647058823532</v>
      </c>
      <c r="P25" s="501">
        <f t="shared" si="18"/>
        <v>2361.7647058823532</v>
      </c>
      <c r="Q25" s="218">
        <v>4015</v>
      </c>
      <c r="R25" s="221"/>
      <c r="S25" s="221"/>
      <c r="T25" s="221"/>
      <c r="U25" s="221"/>
      <c r="V25" s="221"/>
      <c r="W25" s="221"/>
      <c r="X25" s="221"/>
      <c r="Y25" s="221"/>
      <c r="Z25" s="221"/>
      <c r="AA25" s="218"/>
      <c r="AB25" s="219"/>
    </row>
    <row r="26" spans="1:28" ht="13">
      <c r="A26" s="460" t="str">
        <f>Инфраструктура!A57</f>
        <v>СТД2М</v>
      </c>
      <c r="B26" s="460"/>
      <c r="C26" s="455">
        <f>Инфраструктура!B57</f>
        <v>85</v>
      </c>
      <c r="D26" s="501">
        <f t="shared" ref="D26:D31" si="19">Q26/$D$33</f>
        <v>3623.5294117647063</v>
      </c>
      <c r="E26" s="501">
        <f>$D$26*E24</f>
        <v>3985.8823529411775</v>
      </c>
      <c r="F26" s="501">
        <f t="shared" ref="F26:P26" si="20">$D$26*F24</f>
        <v>3623.5294117647063</v>
      </c>
      <c r="G26" s="501">
        <f t="shared" si="20"/>
        <v>3623.5294117647063</v>
      </c>
      <c r="H26" s="501">
        <f t="shared" si="20"/>
        <v>3623.5294117647063</v>
      </c>
      <c r="I26" s="501">
        <f t="shared" si="20"/>
        <v>3985.8823529411775</v>
      </c>
      <c r="J26" s="501">
        <f t="shared" si="20"/>
        <v>3985.8823529411775</v>
      </c>
      <c r="K26" s="501">
        <f t="shared" si="20"/>
        <v>3985.8823529411775</v>
      </c>
      <c r="L26" s="501">
        <f t="shared" si="20"/>
        <v>3985.8823529411775</v>
      </c>
      <c r="M26" s="501">
        <f t="shared" si="20"/>
        <v>3623.5294117647063</v>
      </c>
      <c r="N26" s="501">
        <f t="shared" si="20"/>
        <v>3623.5294117647063</v>
      </c>
      <c r="O26" s="501">
        <f t="shared" si="20"/>
        <v>3623.5294117647063</v>
      </c>
      <c r="P26" s="501">
        <f t="shared" si="20"/>
        <v>3623.5294117647063</v>
      </c>
      <c r="Q26" s="218">
        <v>6160.0000000000009</v>
      </c>
      <c r="R26" s="221"/>
      <c r="S26" s="221"/>
      <c r="T26" s="221"/>
      <c r="U26" s="221"/>
      <c r="V26" s="221"/>
      <c r="W26" s="221"/>
      <c r="X26" s="221"/>
      <c r="Y26" s="221"/>
      <c r="Z26" s="221"/>
      <c r="AA26" s="218"/>
      <c r="AB26" s="219"/>
    </row>
    <row r="27" spans="1:28" ht="13">
      <c r="A27" s="460" t="str">
        <f>Инфраструктура!A58</f>
        <v>СТД3М</v>
      </c>
      <c r="B27" s="460"/>
      <c r="C27" s="455">
        <f>Инфраструктура!B58</f>
        <v>9</v>
      </c>
      <c r="D27" s="501">
        <f t="shared" si="19"/>
        <v>5435.2941176470586</v>
      </c>
      <c r="E27" s="501">
        <f>$D$27*E24</f>
        <v>5978.8235294117649</v>
      </c>
      <c r="F27" s="501">
        <f t="shared" ref="F27:P27" si="21">$D$27*F24</f>
        <v>5435.2941176470586</v>
      </c>
      <c r="G27" s="501">
        <f t="shared" si="21"/>
        <v>5435.2941176470586</v>
      </c>
      <c r="H27" s="501">
        <f t="shared" si="21"/>
        <v>5435.2941176470586</v>
      </c>
      <c r="I27" s="501">
        <f t="shared" si="21"/>
        <v>5978.8235294117649</v>
      </c>
      <c r="J27" s="501">
        <f t="shared" si="21"/>
        <v>5978.8235294117649</v>
      </c>
      <c r="K27" s="501">
        <f t="shared" si="21"/>
        <v>5978.8235294117649</v>
      </c>
      <c r="L27" s="501">
        <f t="shared" si="21"/>
        <v>5978.8235294117649</v>
      </c>
      <c r="M27" s="501">
        <f t="shared" si="21"/>
        <v>5435.2941176470586</v>
      </c>
      <c r="N27" s="501">
        <f t="shared" si="21"/>
        <v>5435.2941176470586</v>
      </c>
      <c r="O27" s="501">
        <f t="shared" si="21"/>
        <v>5435.2941176470586</v>
      </c>
      <c r="P27" s="501">
        <f t="shared" si="21"/>
        <v>5435.2941176470586</v>
      </c>
      <c r="Q27" s="218">
        <v>9240</v>
      </c>
      <c r="R27" s="221"/>
      <c r="S27" s="221"/>
      <c r="T27" s="221"/>
      <c r="U27" s="221"/>
      <c r="V27" s="221"/>
      <c r="W27" s="221"/>
      <c r="X27" s="221"/>
      <c r="Y27" s="221"/>
      <c r="Z27" s="221"/>
      <c r="AA27" s="218"/>
      <c r="AB27" s="219"/>
    </row>
    <row r="28" spans="1:28" ht="13">
      <c r="A28" s="460" t="str">
        <f>Инфраструктура!A59</f>
        <v>П/ЛЮКС</v>
      </c>
      <c r="B28" s="460"/>
      <c r="C28" s="455">
        <f>Инфраструктура!B59</f>
        <v>8</v>
      </c>
      <c r="D28" s="501">
        <f t="shared" si="19"/>
        <v>3882.3529411764712</v>
      </c>
      <c r="E28" s="501">
        <f>$D$28*E24</f>
        <v>4270.5882352941189</v>
      </c>
      <c r="F28" s="501">
        <f t="shared" ref="F28:P28" si="22">$D$28*F24</f>
        <v>3882.3529411764712</v>
      </c>
      <c r="G28" s="501">
        <f t="shared" si="22"/>
        <v>3882.3529411764712</v>
      </c>
      <c r="H28" s="501">
        <f t="shared" si="22"/>
        <v>3882.3529411764712</v>
      </c>
      <c r="I28" s="501">
        <f t="shared" si="22"/>
        <v>4270.5882352941189</v>
      </c>
      <c r="J28" s="501">
        <f t="shared" si="22"/>
        <v>4270.5882352941189</v>
      </c>
      <c r="K28" s="501">
        <f t="shared" si="22"/>
        <v>4270.5882352941189</v>
      </c>
      <c r="L28" s="501">
        <f t="shared" si="22"/>
        <v>4270.5882352941189</v>
      </c>
      <c r="M28" s="501">
        <f t="shared" si="22"/>
        <v>3882.3529411764712</v>
      </c>
      <c r="N28" s="501">
        <f t="shared" si="22"/>
        <v>3882.3529411764712</v>
      </c>
      <c r="O28" s="501">
        <f t="shared" si="22"/>
        <v>3882.3529411764712</v>
      </c>
      <c r="P28" s="501">
        <f t="shared" si="22"/>
        <v>3882.3529411764712</v>
      </c>
      <c r="Q28" s="218">
        <v>6600.0000000000009</v>
      </c>
      <c r="R28" s="221"/>
      <c r="S28" s="221"/>
      <c r="T28" s="221"/>
      <c r="U28" s="221"/>
      <c r="V28" s="221"/>
      <c r="W28" s="221"/>
      <c r="X28" s="221"/>
      <c r="Y28" s="221"/>
      <c r="Z28" s="221"/>
      <c r="AA28" s="218"/>
      <c r="AB28" s="219"/>
    </row>
    <row r="29" spans="1:28" ht="13">
      <c r="A29" s="460" t="str">
        <f>Инфраструктура!A60</f>
        <v>ЛЮКС (джуниор сюит)</v>
      </c>
      <c r="B29" s="460"/>
      <c r="C29" s="455">
        <f>Инфраструктура!B60</f>
        <v>8</v>
      </c>
      <c r="D29" s="501">
        <f t="shared" si="19"/>
        <v>4393.5294117647063</v>
      </c>
      <c r="E29" s="501">
        <f>$D$29*E24</f>
        <v>4832.8823529411775</v>
      </c>
      <c r="F29" s="501">
        <f t="shared" ref="F29:P29" si="23">$D$29*F24</f>
        <v>4393.5294117647063</v>
      </c>
      <c r="G29" s="501">
        <f t="shared" si="23"/>
        <v>4393.5294117647063</v>
      </c>
      <c r="H29" s="501">
        <f t="shared" si="23"/>
        <v>4393.5294117647063</v>
      </c>
      <c r="I29" s="501">
        <f t="shared" si="23"/>
        <v>4832.8823529411775</v>
      </c>
      <c r="J29" s="501">
        <f t="shared" si="23"/>
        <v>4832.8823529411775</v>
      </c>
      <c r="K29" s="501">
        <f t="shared" si="23"/>
        <v>4832.8823529411775</v>
      </c>
      <c r="L29" s="501">
        <f t="shared" si="23"/>
        <v>4832.8823529411775</v>
      </c>
      <c r="M29" s="501">
        <f t="shared" si="23"/>
        <v>4393.5294117647063</v>
      </c>
      <c r="N29" s="501">
        <f t="shared" si="23"/>
        <v>4393.5294117647063</v>
      </c>
      <c r="O29" s="501">
        <f t="shared" si="23"/>
        <v>4393.5294117647063</v>
      </c>
      <c r="P29" s="501">
        <f t="shared" si="23"/>
        <v>4393.5294117647063</v>
      </c>
      <c r="Q29" s="218">
        <v>7469.0000000000009</v>
      </c>
      <c r="R29" s="221"/>
      <c r="S29" s="221"/>
      <c r="T29" s="221"/>
      <c r="U29" s="221"/>
      <c r="V29" s="221"/>
      <c r="W29" s="221"/>
      <c r="X29" s="221"/>
      <c r="Y29" s="221"/>
      <c r="Z29" s="221"/>
      <c r="AA29" s="218"/>
      <c r="AB29" s="219"/>
    </row>
    <row r="30" spans="1:28" ht="13">
      <c r="A30" s="460" t="str">
        <f>Инфраструктура!A61</f>
        <v>VIP (Аппартаменты)</v>
      </c>
      <c r="B30" s="460"/>
      <c r="C30" s="455">
        <f>Инфраструктура!B61</f>
        <v>3</v>
      </c>
      <c r="D30" s="501">
        <f t="shared" si="19"/>
        <v>4917.6470588235297</v>
      </c>
      <c r="E30" s="501">
        <f>$D$30*E24</f>
        <v>5409.4117647058829</v>
      </c>
      <c r="F30" s="501">
        <f t="shared" ref="F30:P30" si="24">$D$30*F24</f>
        <v>4917.6470588235297</v>
      </c>
      <c r="G30" s="501">
        <f t="shared" si="24"/>
        <v>4917.6470588235297</v>
      </c>
      <c r="H30" s="501">
        <f t="shared" si="24"/>
        <v>4917.6470588235297</v>
      </c>
      <c r="I30" s="501">
        <f t="shared" si="24"/>
        <v>5409.4117647058829</v>
      </c>
      <c r="J30" s="501">
        <f t="shared" si="24"/>
        <v>5409.4117647058829</v>
      </c>
      <c r="K30" s="501">
        <f t="shared" si="24"/>
        <v>5409.4117647058829</v>
      </c>
      <c r="L30" s="501">
        <f t="shared" si="24"/>
        <v>5409.4117647058829</v>
      </c>
      <c r="M30" s="501">
        <f t="shared" si="24"/>
        <v>4917.6470588235297</v>
      </c>
      <c r="N30" s="501">
        <f t="shared" si="24"/>
        <v>4917.6470588235297</v>
      </c>
      <c r="O30" s="501">
        <f t="shared" si="24"/>
        <v>4917.6470588235297</v>
      </c>
      <c r="P30" s="501">
        <f t="shared" si="24"/>
        <v>4917.6470588235297</v>
      </c>
      <c r="Q30" s="218">
        <v>8360</v>
      </c>
      <c r="R30" s="221"/>
      <c r="S30" s="221"/>
      <c r="T30" s="221"/>
      <c r="U30" s="221"/>
      <c r="V30" s="221"/>
      <c r="W30" s="221"/>
      <c r="X30" s="221"/>
      <c r="Y30" s="221"/>
      <c r="Z30" s="221"/>
      <c r="AA30" s="218"/>
      <c r="AB30" s="219"/>
    </row>
    <row r="31" spans="1:28" ht="13">
      <c r="A31" s="460" t="str">
        <f>Инфраструктура!A62</f>
        <v>Гостевой 518</v>
      </c>
      <c r="B31" s="460"/>
      <c r="C31" s="455">
        <f>Инфраструктура!B62</f>
        <v>1</v>
      </c>
      <c r="D31" s="501">
        <f t="shared" si="19"/>
        <v>4335.2941176470595</v>
      </c>
      <c r="E31" s="501">
        <f>$D$31*E24</f>
        <v>4768.8235294117658</v>
      </c>
      <c r="F31" s="501">
        <f t="shared" ref="F31:P31" si="25">$D$31*F24</f>
        <v>4335.2941176470595</v>
      </c>
      <c r="G31" s="501">
        <f t="shared" si="25"/>
        <v>4335.2941176470595</v>
      </c>
      <c r="H31" s="501">
        <f t="shared" si="25"/>
        <v>4335.2941176470595</v>
      </c>
      <c r="I31" s="501">
        <f t="shared" si="25"/>
        <v>4768.8235294117658</v>
      </c>
      <c r="J31" s="501">
        <f t="shared" si="25"/>
        <v>4768.8235294117658</v>
      </c>
      <c r="K31" s="501">
        <f t="shared" si="25"/>
        <v>4768.8235294117658</v>
      </c>
      <c r="L31" s="501">
        <f t="shared" si="25"/>
        <v>4768.8235294117658</v>
      </c>
      <c r="M31" s="501">
        <f t="shared" si="25"/>
        <v>4335.2941176470595</v>
      </c>
      <c r="N31" s="501">
        <f t="shared" si="25"/>
        <v>4335.2941176470595</v>
      </c>
      <c r="O31" s="501">
        <f t="shared" si="25"/>
        <v>4335.2941176470595</v>
      </c>
      <c r="P31" s="501">
        <f t="shared" si="25"/>
        <v>4335.2941176470595</v>
      </c>
      <c r="Q31" s="218">
        <v>7370.0000000000009</v>
      </c>
      <c r="R31" s="221"/>
      <c r="S31" s="221"/>
      <c r="T31" s="221"/>
      <c r="U31" s="221"/>
      <c r="V31" s="221"/>
      <c r="W31" s="221"/>
      <c r="X31" s="221"/>
      <c r="Y31" s="221"/>
      <c r="Z31" s="221"/>
      <c r="AA31" s="218"/>
      <c r="AB31" s="219"/>
    </row>
    <row r="32" spans="1:28" ht="26">
      <c r="A32" s="460" t="s">
        <v>459</v>
      </c>
      <c r="B32" s="460"/>
      <c r="C32" s="460"/>
      <c r="D32" s="457">
        <f>(D25*$C$25+D26*$C$26+D27*$C$27+D28*$C$28+D29*$C$29+D30*$C$30+D31*$C$31)/$C$23</f>
        <v>3779.5660559305693</v>
      </c>
      <c r="E32" s="501">
        <f t="shared" ref="E32:P32" si="26">(E25*$C$25+E26*$C$26+E27*$C$27+E28*$C$28+E29*$C$29+E30*$C$30+E31*$C$31)/$C$23</f>
        <v>4157.5226615236261</v>
      </c>
      <c r="F32" s="501">
        <f t="shared" si="26"/>
        <v>3779.5660559305693</v>
      </c>
      <c r="G32" s="501">
        <f t="shared" si="26"/>
        <v>3779.5660559305693</v>
      </c>
      <c r="H32" s="501">
        <f t="shared" si="26"/>
        <v>3779.5660559305693</v>
      </c>
      <c r="I32" s="501">
        <f t="shared" si="26"/>
        <v>4157.5226615236261</v>
      </c>
      <c r="J32" s="501">
        <f t="shared" si="26"/>
        <v>4157.5226615236261</v>
      </c>
      <c r="K32" s="501">
        <f t="shared" si="26"/>
        <v>4157.5226615236261</v>
      </c>
      <c r="L32" s="501">
        <f t="shared" si="26"/>
        <v>4157.5226615236261</v>
      </c>
      <c r="M32" s="501">
        <f t="shared" si="26"/>
        <v>3779.5660559305693</v>
      </c>
      <c r="N32" s="501">
        <f t="shared" si="26"/>
        <v>3779.5660559305693</v>
      </c>
      <c r="O32" s="501">
        <f t="shared" si="26"/>
        <v>3779.5660559305693</v>
      </c>
      <c r="P32" s="501">
        <f t="shared" si="26"/>
        <v>3779.5660559305693</v>
      </c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18"/>
      <c r="AB32" s="219"/>
    </row>
    <row r="33" spans="1:30" ht="13">
      <c r="A33" s="220"/>
      <c r="B33" s="220"/>
      <c r="C33" s="220"/>
      <c r="D33" s="221">
        <v>1.7</v>
      </c>
      <c r="E33" s="218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18"/>
      <c r="AB33" s="219"/>
    </row>
    <row r="34" spans="1:30" ht="13">
      <c r="A34" s="485" t="str">
        <f>Инфраструктура!A100</f>
        <v>Эко-вилладж 4*</v>
      </c>
      <c r="B34" s="229"/>
      <c r="C34" s="229"/>
      <c r="D34" s="219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30"/>
    </row>
    <row r="35" spans="1:30">
      <c r="A35" s="219"/>
      <c r="B35" s="229"/>
      <c r="C35" s="229"/>
      <c r="D35" s="219"/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</row>
    <row r="36" spans="1:30" ht="39">
      <c r="A36" s="455" t="s">
        <v>395</v>
      </c>
      <c r="B36" s="455" t="s">
        <v>396</v>
      </c>
      <c r="C36" s="455" t="s">
        <v>397</v>
      </c>
      <c r="D36" s="827" t="s">
        <v>398</v>
      </c>
      <c r="E36" s="828"/>
      <c r="F36" s="828"/>
      <c r="G36" s="828"/>
      <c r="H36" s="828"/>
      <c r="I36" s="828"/>
      <c r="J36" s="828"/>
      <c r="K36" s="828"/>
      <c r="L36" s="828"/>
      <c r="M36" s="828"/>
      <c r="N36" s="828"/>
      <c r="O36" s="828"/>
      <c r="P36" s="828"/>
      <c r="Q36" s="828"/>
      <c r="R36" s="828"/>
      <c r="S36" s="828"/>
      <c r="T36" s="828"/>
      <c r="U36" s="828"/>
      <c r="V36" s="828"/>
      <c r="W36" s="828"/>
      <c r="X36" s="828"/>
      <c r="Y36" s="828"/>
      <c r="Z36" s="828"/>
      <c r="AA36" s="828"/>
      <c r="AB36" s="219"/>
    </row>
    <row r="37" spans="1:30" ht="13">
      <c r="A37" s="455"/>
      <c r="B37" s="455"/>
      <c r="C37" s="455"/>
      <c r="D37" s="829" t="s">
        <v>370</v>
      </c>
      <c r="E37" s="813"/>
      <c r="F37" s="830" t="s">
        <v>371</v>
      </c>
      <c r="G37" s="813"/>
      <c r="H37" s="830" t="s">
        <v>372</v>
      </c>
      <c r="I37" s="813"/>
      <c r="J37" s="830" t="s">
        <v>373</v>
      </c>
      <c r="K37" s="813"/>
      <c r="L37" s="830" t="s">
        <v>331</v>
      </c>
      <c r="M37" s="813"/>
      <c r="N37" s="830" t="s">
        <v>374</v>
      </c>
      <c r="O37" s="813"/>
      <c r="P37" s="830" t="s">
        <v>375</v>
      </c>
      <c r="Q37" s="813"/>
      <c r="R37" s="830" t="s">
        <v>376</v>
      </c>
      <c r="S37" s="813"/>
      <c r="T37" s="830" t="s">
        <v>377</v>
      </c>
      <c r="U37" s="813"/>
      <c r="V37" s="830" t="s">
        <v>378</v>
      </c>
      <c r="W37" s="813"/>
      <c r="X37" s="830" t="s">
        <v>379</v>
      </c>
      <c r="Y37" s="813"/>
      <c r="Z37" s="830" t="s">
        <v>380</v>
      </c>
      <c r="AA37" s="813"/>
      <c r="AB37" s="219"/>
    </row>
    <row r="38" spans="1:30" ht="27.5">
      <c r="A38" s="456"/>
      <c r="B38" s="456"/>
      <c r="C38" s="456"/>
      <c r="D38" s="451" t="s">
        <v>400</v>
      </c>
      <c r="E38" s="222" t="s">
        <v>401</v>
      </c>
      <c r="F38" s="222" t="s">
        <v>400</v>
      </c>
      <c r="G38" s="222" t="s">
        <v>401</v>
      </c>
      <c r="H38" s="222" t="s">
        <v>400</v>
      </c>
      <c r="I38" s="222" t="s">
        <v>401</v>
      </c>
      <c r="J38" s="222" t="s">
        <v>400</v>
      </c>
      <c r="K38" s="222" t="s">
        <v>401</v>
      </c>
      <c r="L38" s="222" t="s">
        <v>400</v>
      </c>
      <c r="M38" s="222" t="s">
        <v>401</v>
      </c>
      <c r="N38" s="222" t="s">
        <v>400</v>
      </c>
      <c r="O38" s="222" t="s">
        <v>401</v>
      </c>
      <c r="P38" s="222" t="s">
        <v>400</v>
      </c>
      <c r="Q38" s="222" t="s">
        <v>401</v>
      </c>
      <c r="R38" s="222" t="s">
        <v>400</v>
      </c>
      <c r="S38" s="222" t="s">
        <v>401</v>
      </c>
      <c r="T38" s="222" t="s">
        <v>400</v>
      </c>
      <c r="U38" s="222" t="s">
        <v>401</v>
      </c>
      <c r="V38" s="222" t="s">
        <v>400</v>
      </c>
      <c r="W38" s="222" t="s">
        <v>401</v>
      </c>
      <c r="X38" s="222" t="s">
        <v>400</v>
      </c>
      <c r="Y38" s="222" t="s">
        <v>401</v>
      </c>
      <c r="Z38" s="222" t="s">
        <v>400</v>
      </c>
      <c r="AA38" s="223" t="s">
        <v>401</v>
      </c>
      <c r="AB38" s="219"/>
    </row>
    <row r="39" spans="1:30" ht="13">
      <c r="A39" s="478" t="s">
        <v>320</v>
      </c>
      <c r="B39" s="455"/>
      <c r="C39" s="486">
        <f>SUM(C40:C43)</f>
        <v>32</v>
      </c>
      <c r="D39" s="452">
        <v>15</v>
      </c>
      <c r="E39" s="204">
        <v>16</v>
      </c>
      <c r="F39" s="204">
        <v>20</v>
      </c>
      <c r="G39" s="204">
        <v>8</v>
      </c>
      <c r="H39" s="204">
        <v>20</v>
      </c>
      <c r="I39" s="204">
        <v>11</v>
      </c>
      <c r="J39" s="204">
        <v>22</v>
      </c>
      <c r="K39" s="204">
        <v>8</v>
      </c>
      <c r="L39" s="204">
        <v>19</v>
      </c>
      <c r="M39" s="204">
        <v>12</v>
      </c>
      <c r="N39" s="204">
        <v>21</v>
      </c>
      <c r="O39" s="204">
        <v>9</v>
      </c>
      <c r="P39" s="204">
        <v>23</v>
      </c>
      <c r="Q39" s="204">
        <v>8</v>
      </c>
      <c r="R39" s="204">
        <v>22</v>
      </c>
      <c r="S39" s="204">
        <v>9</v>
      </c>
      <c r="T39" s="204">
        <v>21</v>
      </c>
      <c r="U39" s="204">
        <v>9</v>
      </c>
      <c r="V39" s="204">
        <v>23</v>
      </c>
      <c r="W39" s="204">
        <v>8</v>
      </c>
      <c r="X39" s="204">
        <v>22</v>
      </c>
      <c r="Y39" s="204">
        <v>8</v>
      </c>
      <c r="Z39" s="204">
        <v>23</v>
      </c>
      <c r="AA39" s="225">
        <v>8</v>
      </c>
      <c r="AB39" s="219"/>
    </row>
    <row r="40" spans="1:30" ht="39">
      <c r="A40" s="458" t="str">
        <f>Инфраструктура!A104</f>
        <v>Шале Тип №1 с террасой Эко-Вилладж</v>
      </c>
      <c r="B40" s="455">
        <v>4</v>
      </c>
      <c r="C40" s="455">
        <f>Инфраструктура!B104</f>
        <v>12</v>
      </c>
      <c r="D40" s="453">
        <f t="shared" ref="D40:AA40" si="27">D11*1.1</f>
        <v>15427.500000000002</v>
      </c>
      <c r="E40" s="453">
        <f t="shared" si="27"/>
        <v>20570</v>
      </c>
      <c r="F40" s="453">
        <f t="shared" si="27"/>
        <v>12342.000000000002</v>
      </c>
      <c r="G40" s="453">
        <f t="shared" si="27"/>
        <v>14399</v>
      </c>
      <c r="H40" s="453">
        <f t="shared" si="27"/>
        <v>12342.000000000002</v>
      </c>
      <c r="I40" s="453">
        <f t="shared" si="27"/>
        <v>14399</v>
      </c>
      <c r="J40" s="453">
        <f t="shared" si="27"/>
        <v>12342.000000000002</v>
      </c>
      <c r="K40" s="453">
        <f t="shared" si="27"/>
        <v>14399</v>
      </c>
      <c r="L40" s="453">
        <f t="shared" si="27"/>
        <v>14399</v>
      </c>
      <c r="M40" s="453">
        <f t="shared" si="27"/>
        <v>20570</v>
      </c>
      <c r="N40" s="453">
        <f t="shared" si="27"/>
        <v>20570</v>
      </c>
      <c r="O40" s="453">
        <f t="shared" si="27"/>
        <v>20570</v>
      </c>
      <c r="P40" s="453">
        <f t="shared" si="27"/>
        <v>20570</v>
      </c>
      <c r="Q40" s="453">
        <f t="shared" si="27"/>
        <v>20570</v>
      </c>
      <c r="R40" s="453">
        <f t="shared" si="27"/>
        <v>20570</v>
      </c>
      <c r="S40" s="453">
        <f t="shared" si="27"/>
        <v>20570</v>
      </c>
      <c r="T40" s="453">
        <f t="shared" si="27"/>
        <v>18513</v>
      </c>
      <c r="U40" s="453">
        <f t="shared" si="27"/>
        <v>17484.5</v>
      </c>
      <c r="V40" s="453">
        <f t="shared" si="27"/>
        <v>10285</v>
      </c>
      <c r="W40" s="453">
        <f t="shared" si="27"/>
        <v>13370.500000000002</v>
      </c>
      <c r="X40" s="453">
        <f t="shared" si="27"/>
        <v>10285</v>
      </c>
      <c r="Y40" s="453">
        <f t="shared" si="27"/>
        <v>13370.500000000002</v>
      </c>
      <c r="Z40" s="453">
        <f t="shared" si="27"/>
        <v>13370.500000000002</v>
      </c>
      <c r="AA40" s="453">
        <f t="shared" si="27"/>
        <v>18513</v>
      </c>
      <c r="AB40" s="491">
        <f>(D40*D39+E40*E39+F40*F39+G40*G39+H40*H39+I40*I39+J40*J39+K40*K39+L40*L39+M40*M39+N40*N39+O40*O39+P40*P39+Q40*Q39+R40*R39+S40*S39+T40*T39+U40*U39+V40*V39+W40*W39+X40*X39+Y40*Y39+Z40*Z39+AA40*AA39)/SUM(D39:AA39)</f>
        <v>15906.527397260274</v>
      </c>
    </row>
    <row r="41" spans="1:30" ht="39">
      <c r="A41" s="458" t="str">
        <f>Инфраструктура!A105</f>
        <v>Шале Тип №2 с террасой Эко-Вилладж</v>
      </c>
      <c r="B41" s="455">
        <v>4</v>
      </c>
      <c r="C41" s="455">
        <f>Инфраструктура!B105</f>
        <v>8</v>
      </c>
      <c r="D41" s="453">
        <f>D40*1.3</f>
        <v>20055.750000000004</v>
      </c>
      <c r="E41" s="453">
        <f t="shared" ref="E41:AA41" si="28">E40*1.3</f>
        <v>26741</v>
      </c>
      <c r="F41" s="453">
        <f t="shared" si="28"/>
        <v>16044.600000000002</v>
      </c>
      <c r="G41" s="453">
        <f t="shared" si="28"/>
        <v>18718.7</v>
      </c>
      <c r="H41" s="453">
        <f t="shared" si="28"/>
        <v>16044.600000000002</v>
      </c>
      <c r="I41" s="453">
        <f t="shared" si="28"/>
        <v>18718.7</v>
      </c>
      <c r="J41" s="453">
        <f t="shared" si="28"/>
        <v>16044.600000000002</v>
      </c>
      <c r="K41" s="453">
        <f t="shared" si="28"/>
        <v>18718.7</v>
      </c>
      <c r="L41" s="453">
        <f t="shared" si="28"/>
        <v>18718.7</v>
      </c>
      <c r="M41" s="453">
        <f t="shared" si="28"/>
        <v>26741</v>
      </c>
      <c r="N41" s="453">
        <f t="shared" si="28"/>
        <v>26741</v>
      </c>
      <c r="O41" s="453">
        <f t="shared" si="28"/>
        <v>26741</v>
      </c>
      <c r="P41" s="453">
        <f t="shared" si="28"/>
        <v>26741</v>
      </c>
      <c r="Q41" s="453">
        <f t="shared" si="28"/>
        <v>26741</v>
      </c>
      <c r="R41" s="453">
        <f t="shared" si="28"/>
        <v>26741</v>
      </c>
      <c r="S41" s="453">
        <f t="shared" si="28"/>
        <v>26741</v>
      </c>
      <c r="T41" s="453">
        <f t="shared" si="28"/>
        <v>24066.9</v>
      </c>
      <c r="U41" s="453">
        <f t="shared" si="28"/>
        <v>22729.850000000002</v>
      </c>
      <c r="V41" s="453">
        <f t="shared" si="28"/>
        <v>13370.5</v>
      </c>
      <c r="W41" s="453">
        <f t="shared" si="28"/>
        <v>17381.650000000001</v>
      </c>
      <c r="X41" s="453">
        <f t="shared" si="28"/>
        <v>13370.5</v>
      </c>
      <c r="Y41" s="453">
        <f t="shared" si="28"/>
        <v>17381.650000000001</v>
      </c>
      <c r="Z41" s="453">
        <f t="shared" si="28"/>
        <v>17381.650000000001</v>
      </c>
      <c r="AA41" s="453">
        <f t="shared" si="28"/>
        <v>24066.9</v>
      </c>
      <c r="AB41" s="491">
        <f t="shared" ref="AB41:AB43" si="29">(D41*D40+E41*E40+F41*F40+G41*G40+H41*H40+I41*I40+J41*J40+K41*K40+L41*L40+M41*M40+N41*N40+O41*O40+P41*P40+Q41*Q40+R41*R40+S41*S40+T41*T40+U41*U40+V41*V40+W41*W40+X41*X40+Y41*Y40+Z41*Z40+AA41*AA40)/SUM(D40:AA40)</f>
        <v>22172.451846965698</v>
      </c>
    </row>
    <row r="42" spans="1:30" ht="39">
      <c r="A42" s="458" t="str">
        <f>Инфраструктура!A106</f>
        <v>Шале Тип №3 с террасой Эко-Вилладж</v>
      </c>
      <c r="B42" s="455">
        <v>6</v>
      </c>
      <c r="C42" s="455">
        <f>Инфраструктура!B106</f>
        <v>6</v>
      </c>
      <c r="D42" s="453">
        <f>D40*1.6</f>
        <v>24684.000000000004</v>
      </c>
      <c r="E42" s="453">
        <f t="shared" ref="E42:AA42" si="30">E40*1.6</f>
        <v>32912</v>
      </c>
      <c r="F42" s="453">
        <f t="shared" si="30"/>
        <v>19747.200000000004</v>
      </c>
      <c r="G42" s="453">
        <f t="shared" si="30"/>
        <v>23038.400000000001</v>
      </c>
      <c r="H42" s="453">
        <f t="shared" si="30"/>
        <v>19747.200000000004</v>
      </c>
      <c r="I42" s="453">
        <f t="shared" si="30"/>
        <v>23038.400000000001</v>
      </c>
      <c r="J42" s="453">
        <f t="shared" si="30"/>
        <v>19747.200000000004</v>
      </c>
      <c r="K42" s="453">
        <f t="shared" si="30"/>
        <v>23038.400000000001</v>
      </c>
      <c r="L42" s="453">
        <f t="shared" si="30"/>
        <v>23038.400000000001</v>
      </c>
      <c r="M42" s="453">
        <f t="shared" si="30"/>
        <v>32912</v>
      </c>
      <c r="N42" s="453">
        <f t="shared" si="30"/>
        <v>32912</v>
      </c>
      <c r="O42" s="453">
        <f t="shared" si="30"/>
        <v>32912</v>
      </c>
      <c r="P42" s="453">
        <f t="shared" si="30"/>
        <v>32912</v>
      </c>
      <c r="Q42" s="453">
        <f t="shared" si="30"/>
        <v>32912</v>
      </c>
      <c r="R42" s="453">
        <f t="shared" si="30"/>
        <v>32912</v>
      </c>
      <c r="S42" s="453">
        <f t="shared" si="30"/>
        <v>32912</v>
      </c>
      <c r="T42" s="453">
        <f t="shared" si="30"/>
        <v>29620.800000000003</v>
      </c>
      <c r="U42" s="453">
        <f t="shared" si="30"/>
        <v>27975.200000000001</v>
      </c>
      <c r="V42" s="453">
        <f t="shared" si="30"/>
        <v>16456</v>
      </c>
      <c r="W42" s="453">
        <f t="shared" si="30"/>
        <v>21392.800000000003</v>
      </c>
      <c r="X42" s="453">
        <f t="shared" si="30"/>
        <v>16456</v>
      </c>
      <c r="Y42" s="453">
        <f t="shared" si="30"/>
        <v>21392.800000000003</v>
      </c>
      <c r="Z42" s="453">
        <f t="shared" si="30"/>
        <v>21392.800000000003</v>
      </c>
      <c r="AA42" s="453">
        <f t="shared" si="30"/>
        <v>29620.800000000003</v>
      </c>
      <c r="AB42" s="491">
        <f t="shared" si="29"/>
        <v>27289.171503957783</v>
      </c>
    </row>
    <row r="43" spans="1:30" ht="39">
      <c r="A43" s="504" t="str">
        <f>Инфраструктура!A107</f>
        <v>Шале Тип №4 с террасой Эко-Вилладж</v>
      </c>
      <c r="B43" s="493">
        <v>6</v>
      </c>
      <c r="C43" s="493">
        <f>Инфраструктура!B107</f>
        <v>6</v>
      </c>
      <c r="D43" s="494">
        <f>D40*2.2</f>
        <v>33940.500000000007</v>
      </c>
      <c r="E43" s="494">
        <f t="shared" ref="E43:AA43" si="31">E40*2.2</f>
        <v>45254.000000000007</v>
      </c>
      <c r="F43" s="494">
        <f t="shared" si="31"/>
        <v>27152.400000000005</v>
      </c>
      <c r="G43" s="494">
        <f t="shared" si="31"/>
        <v>31677.800000000003</v>
      </c>
      <c r="H43" s="494">
        <f t="shared" si="31"/>
        <v>27152.400000000005</v>
      </c>
      <c r="I43" s="494">
        <f t="shared" si="31"/>
        <v>31677.800000000003</v>
      </c>
      <c r="J43" s="494">
        <f t="shared" si="31"/>
        <v>27152.400000000005</v>
      </c>
      <c r="K43" s="494">
        <f t="shared" si="31"/>
        <v>31677.800000000003</v>
      </c>
      <c r="L43" s="494">
        <f t="shared" si="31"/>
        <v>31677.800000000003</v>
      </c>
      <c r="M43" s="494">
        <f t="shared" si="31"/>
        <v>45254.000000000007</v>
      </c>
      <c r="N43" s="494">
        <f t="shared" si="31"/>
        <v>45254.000000000007</v>
      </c>
      <c r="O43" s="494">
        <f t="shared" si="31"/>
        <v>45254.000000000007</v>
      </c>
      <c r="P43" s="494">
        <f t="shared" si="31"/>
        <v>45254.000000000007</v>
      </c>
      <c r="Q43" s="494">
        <f t="shared" si="31"/>
        <v>45254.000000000007</v>
      </c>
      <c r="R43" s="494">
        <f t="shared" si="31"/>
        <v>45254.000000000007</v>
      </c>
      <c r="S43" s="494">
        <f t="shared" si="31"/>
        <v>45254.000000000007</v>
      </c>
      <c r="T43" s="494">
        <f t="shared" si="31"/>
        <v>40728.600000000006</v>
      </c>
      <c r="U43" s="494">
        <f t="shared" si="31"/>
        <v>38465.9</v>
      </c>
      <c r="V43" s="494">
        <f t="shared" si="31"/>
        <v>22627.000000000004</v>
      </c>
      <c r="W43" s="494">
        <f t="shared" si="31"/>
        <v>29415.100000000006</v>
      </c>
      <c r="X43" s="494">
        <f t="shared" si="31"/>
        <v>22627.000000000004</v>
      </c>
      <c r="Y43" s="494">
        <f t="shared" si="31"/>
        <v>29415.100000000006</v>
      </c>
      <c r="Z43" s="494">
        <f t="shared" si="31"/>
        <v>29415.100000000006</v>
      </c>
      <c r="AA43" s="494">
        <f t="shared" si="31"/>
        <v>40728.600000000006</v>
      </c>
      <c r="AB43" s="505">
        <f t="shared" si="29"/>
        <v>37522.610817941946</v>
      </c>
    </row>
    <row r="44" spans="1:30" ht="27.65" customHeight="1">
      <c r="A44" s="492" t="str">
        <f>A13</f>
        <v>Средняя стоимость (ADR)</v>
      </c>
      <c r="B44" s="459"/>
      <c r="C44" s="459"/>
      <c r="D44" s="823">
        <f>((E40*E39+D40*D39)*$C$40+(E41*E39+D41*D39)*$C$41+(E42*E39+D42*D39)*$C$42+(E43*E39+D43*D39)*$C$43)/$C$39/SUM(D39:E39)</f>
        <v>25540.392137096773</v>
      </c>
      <c r="E44" s="824"/>
      <c r="F44" s="823">
        <f t="shared" ref="F44" si="32">((G40*G39+F40*F39)*$C$40+(G41*G39+F41*F39)*$C$41+(G42*G39+F42*F39)*$C$42+(G43*G39+F43*F39)*$C$43)/$C$39/SUM(F39:G39)</f>
        <v>18263.221428571433</v>
      </c>
      <c r="G44" s="824"/>
      <c r="H44" s="823">
        <f t="shared" ref="H44" si="33">((I40*I39+H40*H39)*$C$40+(I41*I39+H41*H39)*$C$41+(I42*I39+H42*H39)*$C$42+(I43*I39+H43*H39)*$C$43)/$C$39/SUM(H39:I39)</f>
        <v>18464.063306451619</v>
      </c>
      <c r="I44" s="824"/>
      <c r="J44" s="823">
        <f t="shared" ref="J44" si="34">((K40*K39+J40*J39)*$C$40+(K41*K39+J41*J39)*$C$41+(K42*K39+J42*J39)*$C$42+(K43*K39+J43*J39)*$C$43)/$C$39/SUM(J39:K39)</f>
        <v>18207.878333333338</v>
      </c>
      <c r="K44" s="824"/>
      <c r="L44" s="823">
        <f t="shared" ref="L44" si="35">((M40*M39+L40*L39)*$C$40+(M41*M39+L41*L39)*$C$41+(M42*M39+L42*L39)*$C$42+(M43*M39+L43*L39)*$C$43)/$C$39/SUM(L39:M39)</f>
        <v>23712.731048387101</v>
      </c>
      <c r="M44" s="824"/>
      <c r="N44" s="823">
        <f t="shared" ref="N44" si="36">((O40*O39+N40*N39)*$C$40+(O41*O39+N41*N39)*$C$41+(O42*O39+N42*N39)*$C$42+(O43*O39+N43*N39)*$C$43)/$C$39/SUM(N39:O39)</f>
        <v>29055.125</v>
      </c>
      <c r="O44" s="824"/>
      <c r="P44" s="823">
        <f t="shared" ref="P44" si="37">((Q40*Q39+P40*P39)*$C$40+(Q41*Q39+P41*P39)*$C$41+(Q42*Q39+P42*P39)*$C$42+(Q43*Q39+P43*P39)*$C$43)/$C$39/SUM(P39:Q39)</f>
        <v>29055.125</v>
      </c>
      <c r="Q44" s="824"/>
      <c r="R44" s="823">
        <f t="shared" ref="R44" si="38">((S40*S39+R40*R39)*$C$40+(S41*S39+R41*R39)*$C$41+(S42*S39+R42*R39)*$C$42+(S43*S39+R43*R39)*$C$43)/$C$39/SUM(R39:S39)</f>
        <v>29055.125</v>
      </c>
      <c r="S44" s="824"/>
      <c r="T44" s="823">
        <f t="shared" ref="T44" si="39">((U40*U39+T40*T39)*$C$40+(U41*U39+T41*T39)*$C$41+(U42*U39+T42*T39)*$C$42+(U43*U39+T43*T39)*$C$43)/$C$39/SUM(T39:U39)</f>
        <v>25713.785625000004</v>
      </c>
      <c r="U44" s="824"/>
      <c r="V44" s="823">
        <f t="shared" ref="V44" si="40">((W40*W39+V40*V39)*$C$40+(W41*W39+V41*V39)*$C$41+(W42*W39+V42*V39)*$C$42+(W43*W39+V43*V39)*$C$43)/$C$39/SUM(V39:W39)</f>
        <v>15652.277016129034</v>
      </c>
      <c r="W44" s="824"/>
      <c r="X44" s="823">
        <f>((Y40*Y39+X40*X39)*$C$40+(Y41*Y39+X41*X39)*$C$41+(Y42*Y39+X42*X39)*$C$42+(Y43*Y39+X43*X39)*$C$43)/$C$39/SUM(X39:Y39)</f>
        <v>15689.7675</v>
      </c>
      <c r="Y44" s="824"/>
      <c r="Z44" s="823">
        <f t="shared" ref="Z44" si="41">((AA40*AA39+Z40*Z39)*$C$40+(AA41*AA39+Z41*Z39)*$C$41+(AA42*AA39+Z42*Z39)*$C$42+(AA43*AA39+Z43*Z39)*$C$43)/$C$39/SUM(Z39:AA39)</f>
        <v>20760.355443548389</v>
      </c>
      <c r="AA44" s="824"/>
      <c r="AB44" s="502"/>
      <c r="AC44" s="503"/>
      <c r="AD44" s="503"/>
    </row>
    <row r="45" spans="1:30" ht="27.65" customHeight="1">
      <c r="A45" s="514"/>
      <c r="B45" s="511"/>
      <c r="C45" s="511"/>
      <c r="D45" s="512" t="str">
        <f t="shared" ref="D45:O45" si="42">D14</f>
        <v>янв</v>
      </c>
      <c r="E45" s="512" t="str">
        <f t="shared" si="42"/>
        <v>фев</v>
      </c>
      <c r="F45" s="512" t="str">
        <f t="shared" si="42"/>
        <v>мар</v>
      </c>
      <c r="G45" s="512" t="str">
        <f t="shared" si="42"/>
        <v>апр</v>
      </c>
      <c r="H45" s="512" t="str">
        <f t="shared" si="42"/>
        <v>май</v>
      </c>
      <c r="I45" s="512" t="str">
        <f t="shared" si="42"/>
        <v>июн</v>
      </c>
      <c r="J45" s="512" t="str">
        <f t="shared" si="42"/>
        <v>июл</v>
      </c>
      <c r="K45" s="512" t="str">
        <f t="shared" si="42"/>
        <v>авг</v>
      </c>
      <c r="L45" s="512" t="str">
        <f t="shared" si="42"/>
        <v>сен</v>
      </c>
      <c r="M45" s="512" t="str">
        <f t="shared" si="42"/>
        <v>окт</v>
      </c>
      <c r="N45" s="512" t="str">
        <f t="shared" si="42"/>
        <v>ноя</v>
      </c>
      <c r="O45" s="512" t="str">
        <f t="shared" si="42"/>
        <v>дек</v>
      </c>
      <c r="P45" s="515"/>
      <c r="Q45" s="515"/>
      <c r="R45" s="515"/>
      <c r="S45" s="515"/>
      <c r="T45" s="515"/>
      <c r="U45" s="515"/>
      <c r="V45" s="515"/>
      <c r="W45" s="515"/>
      <c r="X45" s="515"/>
      <c r="Y45" s="515"/>
      <c r="Z45" s="515"/>
      <c r="AA45" s="515"/>
      <c r="AB45" s="513"/>
    </row>
    <row r="46" spans="1:30" ht="27.65" customHeight="1">
      <c r="A46" s="514"/>
      <c r="B46" s="511"/>
      <c r="C46" s="511"/>
      <c r="D46" s="516">
        <f>D44</f>
        <v>25540.392137096773</v>
      </c>
      <c r="E46" s="516">
        <f>F44</f>
        <v>18263.221428571433</v>
      </c>
      <c r="F46" s="516">
        <f>H44</f>
        <v>18464.063306451619</v>
      </c>
      <c r="G46" s="516">
        <f>J44</f>
        <v>18207.878333333338</v>
      </c>
      <c r="H46" s="516">
        <f>L44</f>
        <v>23712.731048387101</v>
      </c>
      <c r="I46" s="516">
        <f>N44</f>
        <v>29055.125</v>
      </c>
      <c r="J46" s="516">
        <f>P44</f>
        <v>29055.125</v>
      </c>
      <c r="K46" s="516">
        <f>R44</f>
        <v>29055.125</v>
      </c>
      <c r="L46" s="516">
        <f>T44</f>
        <v>25713.785625000004</v>
      </c>
      <c r="M46" s="516">
        <f>V44</f>
        <v>15652.277016129034</v>
      </c>
      <c r="N46" s="512">
        <f>X44</f>
        <v>15689.7675</v>
      </c>
      <c r="O46" s="516">
        <f>Z44</f>
        <v>20760.355443548389</v>
      </c>
      <c r="P46" s="515"/>
      <c r="Q46" s="515"/>
      <c r="R46" s="515"/>
      <c r="S46" s="515"/>
      <c r="T46" s="515"/>
      <c r="U46" s="515"/>
      <c r="V46" s="515"/>
      <c r="W46" s="515"/>
      <c r="X46" s="515"/>
      <c r="Y46" s="515"/>
      <c r="Z46" s="515"/>
      <c r="AA46" s="515"/>
      <c r="AB46" s="513"/>
    </row>
    <row r="47" spans="1:30">
      <c r="A47" s="219"/>
      <c r="B47" s="229"/>
      <c r="C47" s="22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</row>
    <row r="48" spans="1:30" ht="13">
      <c r="A48" s="485" t="str">
        <f>Инфраструктура!A162</f>
        <v>Гостиничный комплекс 3* в Этно-Деревне</v>
      </c>
      <c r="B48" s="229"/>
      <c r="C48" s="22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</row>
    <row r="49" spans="1:30">
      <c r="A49" s="219"/>
      <c r="B49" s="229"/>
      <c r="C49" s="22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</row>
    <row r="50" spans="1:30" ht="39">
      <c r="A50" s="455" t="s">
        <v>395</v>
      </c>
      <c r="B50" s="455" t="s">
        <v>396</v>
      </c>
      <c r="C50" s="455" t="s">
        <v>397</v>
      </c>
      <c r="D50" s="827" t="s">
        <v>398</v>
      </c>
      <c r="E50" s="828"/>
      <c r="F50" s="828"/>
      <c r="G50" s="828"/>
      <c r="H50" s="828"/>
      <c r="I50" s="828"/>
      <c r="J50" s="828"/>
      <c r="K50" s="828"/>
      <c r="L50" s="828"/>
      <c r="M50" s="828"/>
      <c r="N50" s="828"/>
      <c r="O50" s="828"/>
      <c r="P50" s="828"/>
      <c r="Q50" s="828"/>
      <c r="R50" s="828"/>
      <c r="S50" s="828"/>
      <c r="T50" s="828"/>
      <c r="U50" s="828"/>
      <c r="V50" s="828"/>
      <c r="W50" s="828"/>
      <c r="X50" s="828"/>
      <c r="Y50" s="828"/>
      <c r="Z50" s="828"/>
      <c r="AA50" s="828"/>
      <c r="AB50" s="219"/>
    </row>
    <row r="51" spans="1:30" ht="13">
      <c r="A51" s="455"/>
      <c r="B51" s="455"/>
      <c r="C51" s="455"/>
      <c r="D51" s="829" t="s">
        <v>370</v>
      </c>
      <c r="E51" s="813"/>
      <c r="F51" s="830" t="s">
        <v>371</v>
      </c>
      <c r="G51" s="813"/>
      <c r="H51" s="830" t="s">
        <v>372</v>
      </c>
      <c r="I51" s="813"/>
      <c r="J51" s="830" t="s">
        <v>373</v>
      </c>
      <c r="K51" s="813"/>
      <c r="L51" s="830" t="s">
        <v>331</v>
      </c>
      <c r="M51" s="813"/>
      <c r="N51" s="830" t="s">
        <v>374</v>
      </c>
      <c r="O51" s="813"/>
      <c r="P51" s="830" t="s">
        <v>375</v>
      </c>
      <c r="Q51" s="813"/>
      <c r="R51" s="830" t="s">
        <v>376</v>
      </c>
      <c r="S51" s="813"/>
      <c r="T51" s="830" t="s">
        <v>377</v>
      </c>
      <c r="U51" s="813"/>
      <c r="V51" s="830" t="s">
        <v>378</v>
      </c>
      <c r="W51" s="813"/>
      <c r="X51" s="830" t="s">
        <v>379</v>
      </c>
      <c r="Y51" s="813"/>
      <c r="Z51" s="830" t="s">
        <v>380</v>
      </c>
      <c r="AA51" s="813"/>
      <c r="AB51" s="219"/>
    </row>
    <row r="52" spans="1:30" ht="27.5">
      <c r="A52" s="456"/>
      <c r="B52" s="456"/>
      <c r="C52" s="456"/>
      <c r="D52" s="451" t="s">
        <v>400</v>
      </c>
      <c r="E52" s="222" t="s">
        <v>401</v>
      </c>
      <c r="F52" s="222" t="s">
        <v>400</v>
      </c>
      <c r="G52" s="222" t="s">
        <v>401</v>
      </c>
      <c r="H52" s="222" t="s">
        <v>400</v>
      </c>
      <c r="I52" s="222" t="s">
        <v>401</v>
      </c>
      <c r="J52" s="222" t="s">
        <v>400</v>
      </c>
      <c r="K52" s="222" t="s">
        <v>401</v>
      </c>
      <c r="L52" s="222" t="s">
        <v>400</v>
      </c>
      <c r="M52" s="222" t="s">
        <v>401</v>
      </c>
      <c r="N52" s="222" t="s">
        <v>400</v>
      </c>
      <c r="O52" s="222" t="s">
        <v>401</v>
      </c>
      <c r="P52" s="222" t="s">
        <v>400</v>
      </c>
      <c r="Q52" s="222" t="s">
        <v>401</v>
      </c>
      <c r="R52" s="222" t="s">
        <v>400</v>
      </c>
      <c r="S52" s="222" t="s">
        <v>401</v>
      </c>
      <c r="T52" s="222" t="s">
        <v>400</v>
      </c>
      <c r="U52" s="222" t="s">
        <v>401</v>
      </c>
      <c r="V52" s="222" t="s">
        <v>400</v>
      </c>
      <c r="W52" s="222" t="s">
        <v>401</v>
      </c>
      <c r="X52" s="222" t="s">
        <v>400</v>
      </c>
      <c r="Y52" s="222" t="s">
        <v>401</v>
      </c>
      <c r="Z52" s="222" t="s">
        <v>400</v>
      </c>
      <c r="AA52" s="223" t="s">
        <v>401</v>
      </c>
      <c r="AB52" s="219"/>
    </row>
    <row r="53" spans="1:30" ht="13">
      <c r="A53" s="478" t="s">
        <v>320</v>
      </c>
      <c r="B53" s="455"/>
      <c r="C53" s="507">
        <f>SUM(C54:C58)</f>
        <v>50</v>
      </c>
      <c r="D53" s="508">
        <v>15</v>
      </c>
      <c r="E53" s="509">
        <v>16</v>
      </c>
      <c r="F53" s="509">
        <v>20</v>
      </c>
      <c r="G53" s="509">
        <v>8</v>
      </c>
      <c r="H53" s="509">
        <v>20</v>
      </c>
      <c r="I53" s="509">
        <v>11</v>
      </c>
      <c r="J53" s="509">
        <v>22</v>
      </c>
      <c r="K53" s="509">
        <v>8</v>
      </c>
      <c r="L53" s="509">
        <v>19</v>
      </c>
      <c r="M53" s="509">
        <v>12</v>
      </c>
      <c r="N53" s="509">
        <v>21</v>
      </c>
      <c r="O53" s="509">
        <v>9</v>
      </c>
      <c r="P53" s="509">
        <v>23</v>
      </c>
      <c r="Q53" s="509">
        <v>8</v>
      </c>
      <c r="R53" s="509">
        <v>22</v>
      </c>
      <c r="S53" s="509">
        <v>9</v>
      </c>
      <c r="T53" s="509">
        <v>21</v>
      </c>
      <c r="U53" s="509">
        <v>9</v>
      </c>
      <c r="V53" s="509">
        <v>23</v>
      </c>
      <c r="W53" s="509">
        <v>8</v>
      </c>
      <c r="X53" s="509">
        <v>22</v>
      </c>
      <c r="Y53" s="509">
        <v>8</v>
      </c>
      <c r="Z53" s="509">
        <v>23</v>
      </c>
      <c r="AA53" s="510">
        <v>8</v>
      </c>
      <c r="AB53" s="506"/>
    </row>
    <row r="54" spans="1:30" ht="26">
      <c r="A54" s="458" t="str">
        <f>Инфраструктура!A163</f>
        <v xml:space="preserve">Стандарт  Двухместный    </v>
      </c>
      <c r="B54" s="455">
        <v>2</v>
      </c>
      <c r="C54" s="455">
        <f>Инфраструктура!B163</f>
        <v>21</v>
      </c>
      <c r="D54" s="501">
        <f>$AE$7*AF7</f>
        <v>4425</v>
      </c>
      <c r="E54" s="501">
        <f t="shared" ref="E54:AA54" si="43">$AE$7*AG7</f>
        <v>5900</v>
      </c>
      <c r="F54" s="501">
        <f t="shared" si="43"/>
        <v>3540</v>
      </c>
      <c r="G54" s="501">
        <f t="shared" si="43"/>
        <v>4130</v>
      </c>
      <c r="H54" s="501">
        <f t="shared" si="43"/>
        <v>3540</v>
      </c>
      <c r="I54" s="501">
        <f t="shared" si="43"/>
        <v>4130</v>
      </c>
      <c r="J54" s="501">
        <f t="shared" si="43"/>
        <v>3540</v>
      </c>
      <c r="K54" s="501">
        <f t="shared" si="43"/>
        <v>4130</v>
      </c>
      <c r="L54" s="501">
        <f t="shared" si="43"/>
        <v>4130</v>
      </c>
      <c r="M54" s="501">
        <f t="shared" si="43"/>
        <v>5900</v>
      </c>
      <c r="N54" s="501">
        <f t="shared" si="43"/>
        <v>5900</v>
      </c>
      <c r="O54" s="501">
        <f t="shared" si="43"/>
        <v>5900</v>
      </c>
      <c r="P54" s="501">
        <f t="shared" si="43"/>
        <v>5900</v>
      </c>
      <c r="Q54" s="501">
        <f t="shared" si="43"/>
        <v>5900</v>
      </c>
      <c r="R54" s="501">
        <f t="shared" si="43"/>
        <v>5900</v>
      </c>
      <c r="S54" s="501">
        <f t="shared" si="43"/>
        <v>5900</v>
      </c>
      <c r="T54" s="501">
        <f t="shared" si="43"/>
        <v>5310</v>
      </c>
      <c r="U54" s="501">
        <f t="shared" si="43"/>
        <v>5015</v>
      </c>
      <c r="V54" s="501">
        <f t="shared" si="43"/>
        <v>2950</v>
      </c>
      <c r="W54" s="501">
        <f t="shared" si="43"/>
        <v>3835</v>
      </c>
      <c r="X54" s="501">
        <f t="shared" si="43"/>
        <v>2950</v>
      </c>
      <c r="Y54" s="501">
        <f t="shared" si="43"/>
        <v>3835</v>
      </c>
      <c r="Z54" s="501">
        <f t="shared" si="43"/>
        <v>3835</v>
      </c>
      <c r="AA54" s="501">
        <f t="shared" si="43"/>
        <v>5310</v>
      </c>
      <c r="AB54" s="502">
        <f>(D54*D53+E54*E53+F54*F53+G54*G53+H54*H53+I54*I53+J54*J53+K54*K53+L54*L53+M54*M53+N54*N53+O54*O53+P54*P53+Q54*Q53+R54*R53+S54*S53+T54*T53+U54*U53+V54*V53+W54*W53+X54*X53+Y54*Y53+Z54*Z53+AA54*AA53)/SUM(D53:AA53)</f>
        <v>4562.3972602739723</v>
      </c>
    </row>
    <row r="55" spans="1:30" ht="13">
      <c r="A55" s="458" t="str">
        <f>Инфраструктура!A164</f>
        <v xml:space="preserve">Семейный номер </v>
      </c>
      <c r="B55" s="455">
        <v>4</v>
      </c>
      <c r="C55" s="455">
        <f>Инфраструктура!B164</f>
        <v>11</v>
      </c>
      <c r="D55" s="501">
        <f>D54*1.25</f>
        <v>5531.25</v>
      </c>
      <c r="E55" s="501">
        <f t="shared" ref="E55:AA55" si="44">E54*1.25</f>
        <v>7375</v>
      </c>
      <c r="F55" s="501">
        <f t="shared" si="44"/>
        <v>4425</v>
      </c>
      <c r="G55" s="501">
        <f t="shared" si="44"/>
        <v>5162.5</v>
      </c>
      <c r="H55" s="501">
        <f t="shared" si="44"/>
        <v>4425</v>
      </c>
      <c r="I55" s="501">
        <f t="shared" si="44"/>
        <v>5162.5</v>
      </c>
      <c r="J55" s="501">
        <f t="shared" si="44"/>
        <v>4425</v>
      </c>
      <c r="K55" s="501">
        <f t="shared" si="44"/>
        <v>5162.5</v>
      </c>
      <c r="L55" s="501">
        <f t="shared" si="44"/>
        <v>5162.5</v>
      </c>
      <c r="M55" s="501">
        <f t="shared" si="44"/>
        <v>7375</v>
      </c>
      <c r="N55" s="501">
        <f t="shared" si="44"/>
        <v>7375</v>
      </c>
      <c r="O55" s="501">
        <f t="shared" si="44"/>
        <v>7375</v>
      </c>
      <c r="P55" s="501">
        <f t="shared" si="44"/>
        <v>7375</v>
      </c>
      <c r="Q55" s="501">
        <f t="shared" si="44"/>
        <v>7375</v>
      </c>
      <c r="R55" s="501">
        <f t="shared" si="44"/>
        <v>7375</v>
      </c>
      <c r="S55" s="501">
        <f t="shared" si="44"/>
        <v>7375</v>
      </c>
      <c r="T55" s="501">
        <f t="shared" si="44"/>
        <v>6637.5</v>
      </c>
      <c r="U55" s="501">
        <f t="shared" si="44"/>
        <v>6268.75</v>
      </c>
      <c r="V55" s="501">
        <f t="shared" si="44"/>
        <v>3687.5</v>
      </c>
      <c r="W55" s="501">
        <f t="shared" si="44"/>
        <v>4793.75</v>
      </c>
      <c r="X55" s="501">
        <f t="shared" si="44"/>
        <v>3687.5</v>
      </c>
      <c r="Y55" s="501">
        <f t="shared" si="44"/>
        <v>4793.75</v>
      </c>
      <c r="Z55" s="501">
        <f t="shared" si="44"/>
        <v>4793.75</v>
      </c>
      <c r="AA55" s="501">
        <f t="shared" si="44"/>
        <v>6637.5</v>
      </c>
      <c r="AB55" s="502">
        <f t="shared" ref="AB55:AB58" si="45">(D55*D54+E55*E54+F55*F54+G55*G54+H55*H54+I55*I54+J55*J54+K55*K54+L55*L54+M55*M54+N55*N54+O55*O54+P55*P54+Q55*Q54+R55*R54+S55*S54+T55*T54+U55*U54+V55*V54+W55*W54+X55*X54+Y55*Y54+Z55*Z54+AA55*AA54)/SUM(D54:AA54)</f>
        <v>6115.0230870712403</v>
      </c>
    </row>
    <row r="56" spans="1:30" ht="13">
      <c r="A56" s="458" t="str">
        <f>Инфраструктура!A165</f>
        <v xml:space="preserve">Четырехместный  </v>
      </c>
      <c r="B56" s="455">
        <v>4</v>
      </c>
      <c r="C56" s="455">
        <f>Инфраструктура!B165</f>
        <v>8</v>
      </c>
      <c r="D56" s="501">
        <f>D54*0.9</f>
        <v>3982.5</v>
      </c>
      <c r="E56" s="501">
        <f t="shared" ref="E56:AA56" si="46">E54*0.9</f>
        <v>5310</v>
      </c>
      <c r="F56" s="501">
        <f t="shared" si="46"/>
        <v>3186</v>
      </c>
      <c r="G56" s="501">
        <f t="shared" si="46"/>
        <v>3717</v>
      </c>
      <c r="H56" s="501">
        <f t="shared" si="46"/>
        <v>3186</v>
      </c>
      <c r="I56" s="501">
        <f t="shared" si="46"/>
        <v>3717</v>
      </c>
      <c r="J56" s="501">
        <f t="shared" si="46"/>
        <v>3186</v>
      </c>
      <c r="K56" s="501">
        <f t="shared" si="46"/>
        <v>3717</v>
      </c>
      <c r="L56" s="501">
        <f t="shared" si="46"/>
        <v>3717</v>
      </c>
      <c r="M56" s="501">
        <f t="shared" si="46"/>
        <v>5310</v>
      </c>
      <c r="N56" s="501">
        <f t="shared" si="46"/>
        <v>5310</v>
      </c>
      <c r="O56" s="501">
        <f t="shared" si="46"/>
        <v>5310</v>
      </c>
      <c r="P56" s="501">
        <f t="shared" si="46"/>
        <v>5310</v>
      </c>
      <c r="Q56" s="501">
        <f t="shared" si="46"/>
        <v>5310</v>
      </c>
      <c r="R56" s="501">
        <f t="shared" si="46"/>
        <v>5310</v>
      </c>
      <c r="S56" s="501">
        <f t="shared" si="46"/>
        <v>5310</v>
      </c>
      <c r="T56" s="501">
        <f t="shared" si="46"/>
        <v>4779</v>
      </c>
      <c r="U56" s="501">
        <f t="shared" si="46"/>
        <v>4513.5</v>
      </c>
      <c r="V56" s="501">
        <f t="shared" si="46"/>
        <v>2655</v>
      </c>
      <c r="W56" s="501">
        <f t="shared" si="46"/>
        <v>3451.5</v>
      </c>
      <c r="X56" s="501">
        <f t="shared" si="46"/>
        <v>2655</v>
      </c>
      <c r="Y56" s="501">
        <f t="shared" si="46"/>
        <v>3451.5</v>
      </c>
      <c r="Z56" s="501">
        <f t="shared" si="46"/>
        <v>3451.5</v>
      </c>
      <c r="AA56" s="501">
        <f t="shared" si="46"/>
        <v>4779</v>
      </c>
      <c r="AB56" s="502">
        <f t="shared" si="45"/>
        <v>4402.8166226912927</v>
      </c>
    </row>
    <row r="57" spans="1:30" ht="24" customHeight="1">
      <c r="A57" s="458" t="str">
        <f>Инфраструктура!A168</f>
        <v xml:space="preserve">Дом в Этно-деревне Тип 1 </v>
      </c>
      <c r="B57" s="455">
        <v>3</v>
      </c>
      <c r="C57" s="455">
        <f>Инфраструктура!B168</f>
        <v>5</v>
      </c>
      <c r="D57" s="549">
        <f>D55*1.25</f>
        <v>6914.0625</v>
      </c>
      <c r="E57" s="549">
        <f t="shared" ref="E57:AA57" si="47">E55*1.25</f>
        <v>9218.75</v>
      </c>
      <c r="F57" s="549">
        <f t="shared" si="47"/>
        <v>5531.25</v>
      </c>
      <c r="G57" s="549">
        <f t="shared" si="47"/>
        <v>6453.125</v>
      </c>
      <c r="H57" s="549">
        <f t="shared" si="47"/>
        <v>5531.25</v>
      </c>
      <c r="I57" s="549">
        <f t="shared" si="47"/>
        <v>6453.125</v>
      </c>
      <c r="J57" s="549">
        <f t="shared" si="47"/>
        <v>5531.25</v>
      </c>
      <c r="K57" s="549">
        <f t="shared" si="47"/>
        <v>6453.125</v>
      </c>
      <c r="L57" s="549">
        <f t="shared" si="47"/>
        <v>6453.125</v>
      </c>
      <c r="M57" s="549">
        <f t="shared" si="47"/>
        <v>9218.75</v>
      </c>
      <c r="N57" s="549">
        <f t="shared" si="47"/>
        <v>9218.75</v>
      </c>
      <c r="O57" s="549">
        <f t="shared" si="47"/>
        <v>9218.75</v>
      </c>
      <c r="P57" s="549">
        <f t="shared" si="47"/>
        <v>9218.75</v>
      </c>
      <c r="Q57" s="549">
        <f t="shared" si="47"/>
        <v>9218.75</v>
      </c>
      <c r="R57" s="549">
        <f t="shared" si="47"/>
        <v>9218.75</v>
      </c>
      <c r="S57" s="549">
        <f t="shared" si="47"/>
        <v>9218.75</v>
      </c>
      <c r="T57" s="549">
        <f t="shared" si="47"/>
        <v>8296.875</v>
      </c>
      <c r="U57" s="549">
        <f t="shared" si="47"/>
        <v>7835.9375</v>
      </c>
      <c r="V57" s="549">
        <f t="shared" si="47"/>
        <v>4609.375</v>
      </c>
      <c r="W57" s="549">
        <f t="shared" si="47"/>
        <v>5992.1875</v>
      </c>
      <c r="X57" s="549">
        <f t="shared" si="47"/>
        <v>4609.375</v>
      </c>
      <c r="Y57" s="549">
        <f t="shared" si="47"/>
        <v>5992.1875</v>
      </c>
      <c r="Z57" s="549">
        <f t="shared" si="47"/>
        <v>5992.1875</v>
      </c>
      <c r="AA57" s="549">
        <f t="shared" si="47"/>
        <v>8296.875</v>
      </c>
      <c r="AB57" s="502">
        <f t="shared" si="45"/>
        <v>7643.7788588390504</v>
      </c>
    </row>
    <row r="58" spans="1:30" ht="26">
      <c r="A58" s="458" t="str">
        <f>Инфраструктура!A169</f>
        <v>Дом в Этно-деревне Тип 2</v>
      </c>
      <c r="B58" s="455">
        <v>4</v>
      </c>
      <c r="C58" s="455">
        <f>Инфраструктура!B169</f>
        <v>5</v>
      </c>
      <c r="D58" s="549">
        <f>D55*1.4</f>
        <v>7743.7499999999991</v>
      </c>
      <c r="E58" s="549">
        <f t="shared" ref="E58:AA58" si="48">E55*1.4</f>
        <v>10325</v>
      </c>
      <c r="F58" s="549">
        <f t="shared" si="48"/>
        <v>6195</v>
      </c>
      <c r="G58" s="549">
        <f t="shared" si="48"/>
        <v>7227.4999999999991</v>
      </c>
      <c r="H58" s="549">
        <f t="shared" si="48"/>
        <v>6195</v>
      </c>
      <c r="I58" s="549">
        <f t="shared" si="48"/>
        <v>7227.4999999999991</v>
      </c>
      <c r="J58" s="549">
        <f t="shared" si="48"/>
        <v>6195</v>
      </c>
      <c r="K58" s="549">
        <f t="shared" si="48"/>
        <v>7227.4999999999991</v>
      </c>
      <c r="L58" s="549">
        <f t="shared" si="48"/>
        <v>7227.4999999999991</v>
      </c>
      <c r="M58" s="549">
        <f t="shared" si="48"/>
        <v>10325</v>
      </c>
      <c r="N58" s="549">
        <f t="shared" si="48"/>
        <v>10325</v>
      </c>
      <c r="O58" s="549">
        <f t="shared" si="48"/>
        <v>10325</v>
      </c>
      <c r="P58" s="549">
        <f t="shared" si="48"/>
        <v>10325</v>
      </c>
      <c r="Q58" s="549">
        <f t="shared" si="48"/>
        <v>10325</v>
      </c>
      <c r="R58" s="549">
        <f t="shared" si="48"/>
        <v>10325</v>
      </c>
      <c r="S58" s="549">
        <f t="shared" si="48"/>
        <v>10325</v>
      </c>
      <c r="T58" s="549">
        <f t="shared" si="48"/>
        <v>9292.5</v>
      </c>
      <c r="U58" s="549">
        <f t="shared" si="48"/>
        <v>8776.25</v>
      </c>
      <c r="V58" s="549">
        <f t="shared" si="48"/>
        <v>5162.5</v>
      </c>
      <c r="W58" s="549">
        <f t="shared" si="48"/>
        <v>6711.25</v>
      </c>
      <c r="X58" s="549">
        <f t="shared" si="48"/>
        <v>5162.5</v>
      </c>
      <c r="Y58" s="549">
        <f t="shared" si="48"/>
        <v>6711.25</v>
      </c>
      <c r="Z58" s="549">
        <f t="shared" si="48"/>
        <v>6711.25</v>
      </c>
      <c r="AA58" s="549">
        <f t="shared" si="48"/>
        <v>9292.5</v>
      </c>
      <c r="AB58" s="502">
        <f t="shared" si="45"/>
        <v>8561.0323218997364</v>
      </c>
    </row>
    <row r="59" spans="1:30" ht="13">
      <c r="A59" s="458"/>
      <c r="B59" s="455"/>
      <c r="C59" s="455"/>
      <c r="D59" s="549"/>
      <c r="E59" s="550"/>
      <c r="F59" s="549"/>
      <c r="G59" s="550"/>
      <c r="H59" s="549"/>
      <c r="I59" s="550"/>
      <c r="J59" s="549"/>
      <c r="K59" s="550"/>
      <c r="L59" s="549"/>
      <c r="M59" s="550"/>
      <c r="N59" s="549"/>
      <c r="O59" s="550"/>
      <c r="P59" s="549"/>
      <c r="Q59" s="550"/>
      <c r="R59" s="549"/>
      <c r="S59" s="550"/>
      <c r="T59" s="549"/>
      <c r="U59" s="550"/>
      <c r="V59" s="549"/>
      <c r="W59" s="550"/>
      <c r="X59" s="549"/>
      <c r="Y59" s="550"/>
      <c r="Z59" s="549"/>
      <c r="AA59" s="550"/>
      <c r="AB59" s="502"/>
    </row>
    <row r="60" spans="1:30" ht="26">
      <c r="A60" s="492" t="str">
        <f>A44</f>
        <v>Средняя стоимость (ADR)</v>
      </c>
      <c r="B60" s="459"/>
      <c r="C60" s="459"/>
      <c r="D60" s="823">
        <f>((E54*E53+D54*D53)*$C$54+(E55*E53+D55*D53)*$C$55+(E56*E53+D56*D53)*$C$56+(E57*E53+D57*D53)*$C$57+(E58*E53+D58*C58)*$C$58)/$C$53/SUM(D53:E53)</f>
        <v>5819.4578629032258</v>
      </c>
      <c r="E60" s="824"/>
      <c r="F60" s="823">
        <f>((G54*G53+F54*F53)*$C$54+(G55*G53+F55*F53)*$C$55+(G56*G53+F56*F53)*$C$56)/$C$39/SUM(F53:G53)</f>
        <v>4861.7053571428569</v>
      </c>
      <c r="G60" s="824"/>
      <c r="H60" s="823">
        <f>((I54*I53+H54*H53)*$C$54+(I55*I53+H55*H53)*$C$55+(I56*I53+H56*H53)*$C$56)/$C$39/SUM(H53:I53)</f>
        <v>4915.1698588709678</v>
      </c>
      <c r="I60" s="824"/>
      <c r="J60" s="823">
        <f>((K54*K53+J54*J53)*$C$54+(K55*K53+J55*J53)*$C$55+(K56*K53+J56*J53)*$C$56)/$C$39/SUM(J53:K53)</f>
        <v>4846.9729166666666</v>
      </c>
      <c r="K60" s="824"/>
      <c r="L60" s="823">
        <f>((M54*M53+L54*L53)*$C$54+(M55*M53+L55*L53)*$C$55+(M56*M53+L56*L53)*$C$56)/$C$39/SUM(L53:M53)</f>
        <v>6312.3755040322585</v>
      </c>
      <c r="M60" s="824"/>
      <c r="N60" s="823">
        <f>((O54*O53+N54*N53)*$C$54+(O55*O53+N55*N53)*$C$55+(O56*O53+N56*N53)*$C$56)/$C$39/SUM(N53:O53)</f>
        <v>7734.53125</v>
      </c>
      <c r="O60" s="824"/>
      <c r="P60" s="823">
        <f>((Q54*Q53+P54*P53)*$C$54+(Q55*Q53+P55*P53)*$C$55+(Q56*Q53+P56*P53)*$C$56)/$C$39/SUM(P53:Q53)</f>
        <v>7734.53125</v>
      </c>
      <c r="Q60" s="824"/>
      <c r="R60" s="823">
        <f>((S54*S53+R54*R53)*$C$54+(S55*S53+R55*R53)*$C$55+(S56*S53+R56*R53)*$C$56)/$C$39/SUM(R53:S53)</f>
        <v>7734.53125</v>
      </c>
      <c r="S60" s="824"/>
      <c r="T60" s="823">
        <f>((U54*U53+T54*T53)*$C$54+(U55*U53+T55*T53)*$C$55+(U56*U53+T56*T53)*$C$56)/$C$39/SUM(T53:U53)</f>
        <v>6845.0601562499996</v>
      </c>
      <c r="U60" s="824"/>
      <c r="V60" s="823">
        <f>((W54*W53+V54*V53)*$C$54+(W55*W53+V55*V53)*$C$55+(W56*W53+V56*V53)*$C$56)/$C$39/SUM(V53:W53)</f>
        <v>4166.6668346774195</v>
      </c>
      <c r="W60" s="824"/>
      <c r="X60" s="823">
        <f>((Y54*Y53+X54*X53)*$C$54+(Y55*Y53+X55*X53)*$C$55+(Y56*Y53+X56*X53)*$C$56)/$C$39/SUM(X53:Y53)</f>
        <v>4176.6468750000004</v>
      </c>
      <c r="Y60" s="824"/>
      <c r="Z60" s="823">
        <f>((AA54*AA53+Z54*Z53)*$C$54+(AA55*AA53+Z55*Z53)*$C$55+(AA56*AA53+Z56*Z53)*$C$56)/$C$39/SUM(Z53:AA53)</f>
        <v>5526.4473286290322</v>
      </c>
      <c r="AA60" s="824"/>
      <c r="AB60" s="502"/>
      <c r="AC60" s="503"/>
      <c r="AD60" s="503"/>
    </row>
    <row r="61" spans="1:30" ht="13">
      <c r="A61" s="492"/>
      <c r="B61" s="459"/>
      <c r="C61" s="511"/>
      <c r="D61" s="512" t="str">
        <f>D45</f>
        <v>янв</v>
      </c>
      <c r="E61" s="512" t="str">
        <f t="shared" ref="E61:O61" si="49">E45</f>
        <v>фев</v>
      </c>
      <c r="F61" s="512" t="str">
        <f t="shared" si="49"/>
        <v>мар</v>
      </c>
      <c r="G61" s="512" t="str">
        <f t="shared" si="49"/>
        <v>апр</v>
      </c>
      <c r="H61" s="512" t="str">
        <f t="shared" si="49"/>
        <v>май</v>
      </c>
      <c r="I61" s="512" t="str">
        <f t="shared" si="49"/>
        <v>июн</v>
      </c>
      <c r="J61" s="512" t="str">
        <f t="shared" si="49"/>
        <v>июл</v>
      </c>
      <c r="K61" s="512" t="str">
        <f t="shared" si="49"/>
        <v>авг</v>
      </c>
      <c r="L61" s="512" t="str">
        <f t="shared" si="49"/>
        <v>сен</v>
      </c>
      <c r="M61" s="512" t="str">
        <f t="shared" si="49"/>
        <v>окт</v>
      </c>
      <c r="N61" s="512" t="str">
        <f t="shared" si="49"/>
        <v>ноя</v>
      </c>
      <c r="O61" s="512" t="str">
        <f t="shared" si="49"/>
        <v>дек</v>
      </c>
      <c r="P61" s="515"/>
      <c r="Q61" s="515"/>
      <c r="R61" s="515"/>
      <c r="S61" s="515"/>
      <c r="T61" s="515"/>
      <c r="U61" s="515"/>
      <c r="V61" s="515"/>
      <c r="W61" s="515"/>
      <c r="X61" s="515"/>
      <c r="Y61" s="515"/>
      <c r="Z61" s="515"/>
      <c r="AA61" s="515"/>
      <c r="AB61" s="513"/>
    </row>
    <row r="62" spans="1:30" ht="13">
      <c r="A62" s="492"/>
      <c r="B62" s="459"/>
      <c r="C62" s="511"/>
      <c r="D62" s="516">
        <f>D60</f>
        <v>5819.4578629032258</v>
      </c>
      <c r="E62" s="516">
        <f>F60</f>
        <v>4861.7053571428569</v>
      </c>
      <c r="F62" s="516">
        <f>H60</f>
        <v>4915.1698588709678</v>
      </c>
      <c r="G62" s="516">
        <f>J60</f>
        <v>4846.9729166666666</v>
      </c>
      <c r="H62" s="516">
        <f>L60</f>
        <v>6312.3755040322585</v>
      </c>
      <c r="I62" s="516">
        <f>N60</f>
        <v>7734.53125</v>
      </c>
      <c r="J62" s="516">
        <f>P60</f>
        <v>7734.53125</v>
      </c>
      <c r="K62" s="516">
        <f>R60</f>
        <v>7734.53125</v>
      </c>
      <c r="L62" s="516">
        <f>T60</f>
        <v>6845.0601562499996</v>
      </c>
      <c r="M62" s="516">
        <f>V60</f>
        <v>4166.6668346774195</v>
      </c>
      <c r="N62" s="512">
        <f>X60</f>
        <v>4176.6468750000004</v>
      </c>
      <c r="O62" s="512">
        <f>Z60</f>
        <v>5526.4473286290322</v>
      </c>
      <c r="P62" s="515"/>
      <c r="Q62" s="515"/>
      <c r="R62" s="515"/>
      <c r="S62" s="515"/>
      <c r="T62" s="515"/>
      <c r="U62" s="515"/>
      <c r="V62" s="515"/>
      <c r="W62" s="515"/>
      <c r="X62" s="515"/>
      <c r="Y62" s="515"/>
      <c r="Z62" s="515"/>
      <c r="AA62" s="515"/>
      <c r="AB62" s="513"/>
    </row>
    <row r="63" spans="1:30" ht="16.5" customHeight="1">
      <c r="A63" s="825" t="s">
        <v>403</v>
      </c>
      <c r="B63" s="826"/>
      <c r="C63" s="495"/>
      <c r="D63" s="496">
        <v>650</v>
      </c>
      <c r="E63" s="497"/>
      <c r="F63" s="497"/>
      <c r="G63" s="498"/>
      <c r="H63" s="498"/>
      <c r="I63" s="498"/>
      <c r="J63" s="498"/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  <c r="Y63" s="498"/>
      <c r="Z63" s="498"/>
      <c r="AA63" s="499"/>
      <c r="AB63" s="506"/>
    </row>
    <row r="64" spans="1:30">
      <c r="A64" s="219"/>
      <c r="B64" s="229"/>
      <c r="C64" s="22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</row>
    <row r="65" spans="1:28">
      <c r="A65" s="219"/>
      <c r="B65" s="229"/>
      <c r="C65" s="22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</row>
    <row r="66" spans="1:28">
      <c r="A66" s="219"/>
      <c r="B66" s="229"/>
      <c r="C66" s="22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</row>
    <row r="67" spans="1:28">
      <c r="A67" s="219"/>
      <c r="B67" s="229"/>
      <c r="C67" s="22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</row>
    <row r="68" spans="1:28">
      <c r="A68" s="219"/>
      <c r="B68" s="229"/>
      <c r="C68" s="22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</row>
    <row r="69" spans="1:28">
      <c r="A69" s="219"/>
      <c r="B69" s="229"/>
      <c r="C69" s="22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</row>
    <row r="70" spans="1:28">
      <c r="A70" s="219"/>
      <c r="B70" s="229"/>
      <c r="C70" s="22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</row>
    <row r="71" spans="1:28">
      <c r="A71" s="219"/>
      <c r="B71" s="229"/>
      <c r="C71" s="22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</row>
    <row r="72" spans="1:28">
      <c r="A72" s="219"/>
      <c r="B72" s="229"/>
      <c r="C72" s="22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</row>
    <row r="73" spans="1:28">
      <c r="A73" s="219"/>
      <c r="B73" s="229"/>
      <c r="C73" s="22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</row>
    <row r="74" spans="1:28">
      <c r="A74" s="219"/>
      <c r="B74" s="229"/>
      <c r="C74" s="22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</row>
    <row r="75" spans="1:28">
      <c r="A75" s="219"/>
      <c r="B75" s="229"/>
      <c r="C75" s="22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</row>
    <row r="76" spans="1:28">
      <c r="A76" s="219"/>
      <c r="B76" s="229"/>
      <c r="C76" s="22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</row>
    <row r="77" spans="1:28">
      <c r="A77" s="219"/>
      <c r="B77" s="229"/>
      <c r="C77" s="22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</row>
    <row r="78" spans="1:28">
      <c r="A78" s="219"/>
      <c r="B78" s="229"/>
      <c r="C78" s="22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</row>
    <row r="79" spans="1:28">
      <c r="A79" s="219"/>
      <c r="B79" s="229"/>
      <c r="C79" s="22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</row>
    <row r="80" spans="1:28">
      <c r="A80" s="219"/>
      <c r="B80" s="229"/>
      <c r="C80" s="22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</row>
    <row r="81" spans="1:28">
      <c r="A81" s="219"/>
      <c r="B81" s="229"/>
      <c r="C81" s="22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</row>
    <row r="82" spans="1:28">
      <c r="A82" s="219"/>
      <c r="B82" s="229"/>
      <c r="C82" s="22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</row>
    <row r="83" spans="1:28">
      <c r="A83" s="219"/>
      <c r="B83" s="229"/>
      <c r="C83" s="22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</row>
    <row r="84" spans="1:28">
      <c r="A84" s="219"/>
      <c r="B84" s="229"/>
      <c r="C84" s="22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</row>
    <row r="85" spans="1:28">
      <c r="A85" s="219"/>
      <c r="B85" s="229"/>
      <c r="C85" s="22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</row>
    <row r="86" spans="1:28">
      <c r="A86" s="219"/>
      <c r="B86" s="229"/>
      <c r="C86" s="22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</row>
    <row r="87" spans="1:28">
      <c r="A87" s="219"/>
      <c r="B87" s="229"/>
      <c r="C87" s="22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</row>
    <row r="88" spans="1:28">
      <c r="A88" s="219"/>
      <c r="B88" s="229"/>
      <c r="C88" s="22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</row>
  </sheetData>
  <mergeCells count="93">
    <mergeCell ref="A1:Z1"/>
    <mergeCell ref="J4:K4"/>
    <mergeCell ref="X4:Y4"/>
    <mergeCell ref="L4:M4"/>
    <mergeCell ref="A19:B19"/>
    <mergeCell ref="A17:B17"/>
    <mergeCell ref="D4:E4"/>
    <mergeCell ref="F4:G4"/>
    <mergeCell ref="P4:Q4"/>
    <mergeCell ref="R4:S4"/>
    <mergeCell ref="T4:U4"/>
    <mergeCell ref="V4:W4"/>
    <mergeCell ref="N4:O4"/>
    <mergeCell ref="J13:K13"/>
    <mergeCell ref="A20:B20"/>
    <mergeCell ref="H4:I4"/>
    <mergeCell ref="D3:AA3"/>
    <mergeCell ref="Z4:AA4"/>
    <mergeCell ref="A2:B2"/>
    <mergeCell ref="L13:M13"/>
    <mergeCell ref="N13:O13"/>
    <mergeCell ref="P13:Q13"/>
    <mergeCell ref="R13:S13"/>
    <mergeCell ref="T13:U13"/>
    <mergeCell ref="V13:W13"/>
    <mergeCell ref="X13:Y13"/>
    <mergeCell ref="Z13:AA13"/>
    <mergeCell ref="D13:E13"/>
    <mergeCell ref="F13:G13"/>
    <mergeCell ref="H13:I13"/>
    <mergeCell ref="AN4:AO4"/>
    <mergeCell ref="AZ4:BA4"/>
    <mergeCell ref="BB4:BC4"/>
    <mergeCell ref="AX4:AY4"/>
    <mergeCell ref="AP4:AQ4"/>
    <mergeCell ref="AR4:AS4"/>
    <mergeCell ref="AT4:AU4"/>
    <mergeCell ref="AV4:AW4"/>
    <mergeCell ref="D44:E44"/>
    <mergeCell ref="AF4:AG4"/>
    <mergeCell ref="AH4:AI4"/>
    <mergeCell ref="AJ4:AK4"/>
    <mergeCell ref="AL4:AM4"/>
    <mergeCell ref="D36:AA36"/>
    <mergeCell ref="D37:E37"/>
    <mergeCell ref="F37:G37"/>
    <mergeCell ref="H37:I37"/>
    <mergeCell ref="J37:K37"/>
    <mergeCell ref="L37:M37"/>
    <mergeCell ref="N37:O37"/>
    <mergeCell ref="P37:Q37"/>
    <mergeCell ref="R37:S37"/>
    <mergeCell ref="T37:U37"/>
    <mergeCell ref="V37:W37"/>
    <mergeCell ref="X37:Y37"/>
    <mergeCell ref="Z37:AA37"/>
    <mergeCell ref="V44:W44"/>
    <mergeCell ref="X44:Y44"/>
    <mergeCell ref="F44:G44"/>
    <mergeCell ref="H44:I44"/>
    <mergeCell ref="J44:K44"/>
    <mergeCell ref="N44:O44"/>
    <mergeCell ref="P44:Q44"/>
    <mergeCell ref="Z44:AA44"/>
    <mergeCell ref="L44:M44"/>
    <mergeCell ref="R44:S44"/>
    <mergeCell ref="T44:U44"/>
    <mergeCell ref="A63:B63"/>
    <mergeCell ref="D50:AA50"/>
    <mergeCell ref="D51:E51"/>
    <mergeCell ref="F51:G51"/>
    <mergeCell ref="H51:I51"/>
    <mergeCell ref="J51:K51"/>
    <mergeCell ref="L51:M51"/>
    <mergeCell ref="N51:O51"/>
    <mergeCell ref="P51:Q51"/>
    <mergeCell ref="R51:S51"/>
    <mergeCell ref="T51:U51"/>
    <mergeCell ref="V51:W51"/>
    <mergeCell ref="X51:Y51"/>
    <mergeCell ref="Z51:AA51"/>
    <mergeCell ref="D60: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</mergeCells>
  <phoneticPr fontId="77" type="noConversion"/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/>
  <dimension ref="A1:K100"/>
  <sheetViews>
    <sheetView workbookViewId="0">
      <selection activeCell="F42" sqref="F42"/>
    </sheetView>
  </sheetViews>
  <sheetFormatPr defaultColWidth="14.453125" defaultRowHeight="15" customHeight="1"/>
  <cols>
    <col min="1" max="1" width="42" customWidth="1"/>
    <col min="2" max="2" width="10" customWidth="1"/>
    <col min="3" max="3" width="11.26953125" customWidth="1"/>
    <col min="4" max="4" width="15" customWidth="1"/>
    <col min="5" max="5" width="16.1796875" customWidth="1"/>
    <col min="6" max="6" width="45" customWidth="1"/>
    <col min="7" max="11" width="8.81640625" customWidth="1"/>
  </cols>
  <sheetData>
    <row r="1" spans="1:11" ht="12.7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</row>
    <row r="2" spans="1:11" ht="12.75" customHeight="1">
      <c r="A2" s="839" t="s">
        <v>405</v>
      </c>
      <c r="B2" s="813"/>
      <c r="C2" s="231" t="s">
        <v>406</v>
      </c>
      <c r="D2" s="231" t="s">
        <v>407</v>
      </c>
      <c r="E2" s="231" t="s">
        <v>408</v>
      </c>
      <c r="F2" s="3"/>
      <c r="G2" s="3"/>
      <c r="H2" s="3"/>
      <c r="I2" s="3"/>
      <c r="J2" s="3"/>
      <c r="K2" s="3"/>
    </row>
    <row r="3" spans="1:11" ht="12.75" hidden="1" customHeight="1">
      <c r="A3" s="231" t="s">
        <v>409</v>
      </c>
      <c r="B3" s="231" t="s">
        <v>410</v>
      </c>
      <c r="C3" s="163">
        <v>0</v>
      </c>
      <c r="D3" s="163">
        <v>0</v>
      </c>
      <c r="E3" s="231">
        <v>0</v>
      </c>
      <c r="F3" s="3"/>
      <c r="G3" s="3"/>
      <c r="H3" s="3"/>
      <c r="I3" s="3"/>
      <c r="J3" s="3"/>
      <c r="K3" s="3"/>
    </row>
    <row r="4" spans="1:11" ht="12.75" customHeight="1">
      <c r="A4" s="231" t="s">
        <v>411</v>
      </c>
      <c r="B4" s="3" t="s">
        <v>412</v>
      </c>
      <c r="C4" s="163">
        <v>0.15</v>
      </c>
      <c r="D4" s="163">
        <v>0.37</v>
      </c>
      <c r="E4" s="231">
        <v>1.9</v>
      </c>
      <c r="F4" s="232"/>
      <c r="G4" s="3"/>
      <c r="H4" s="3"/>
      <c r="I4" s="3"/>
      <c r="J4" s="3"/>
      <c r="K4" s="3"/>
    </row>
    <row r="5" spans="1:11" ht="12.75" customHeight="1">
      <c r="A5" s="231" t="s">
        <v>413</v>
      </c>
      <c r="B5" s="231" t="s">
        <v>414</v>
      </c>
      <c r="C5" s="163">
        <v>0.05</v>
      </c>
      <c r="D5" s="163">
        <v>0.3</v>
      </c>
      <c r="E5" s="231">
        <v>1.9</v>
      </c>
      <c r="F5" s="232"/>
      <c r="G5" s="3"/>
      <c r="H5" s="3"/>
      <c r="I5" s="3"/>
      <c r="J5" s="3"/>
      <c r="K5" s="3"/>
    </row>
    <row r="6" spans="1:11" ht="12.75" customHeight="1">
      <c r="A6" s="231" t="s">
        <v>722</v>
      </c>
      <c r="B6" s="231" t="s">
        <v>415</v>
      </c>
      <c r="C6" s="163">
        <v>0.15</v>
      </c>
      <c r="D6" s="163">
        <v>0.2</v>
      </c>
      <c r="E6" s="231">
        <v>1.5</v>
      </c>
      <c r="F6" s="232"/>
      <c r="G6" s="3"/>
      <c r="H6" s="3"/>
      <c r="I6" s="3"/>
      <c r="J6" s="3"/>
      <c r="K6" s="3"/>
    </row>
    <row r="7" spans="1:11" ht="12.75" customHeight="1">
      <c r="A7" s="231" t="s">
        <v>416</v>
      </c>
      <c r="B7" s="231" t="s">
        <v>417</v>
      </c>
      <c r="C7" s="163">
        <v>0.1</v>
      </c>
      <c r="D7" s="163">
        <v>0.1</v>
      </c>
      <c r="E7" s="231">
        <v>2</v>
      </c>
      <c r="F7" s="232"/>
      <c r="G7" s="3"/>
      <c r="H7" s="3"/>
      <c r="I7" s="3"/>
      <c r="J7" s="3"/>
      <c r="K7" s="3"/>
    </row>
    <row r="8" spans="1:11" ht="12.75" customHeight="1">
      <c r="A8" s="231" t="s">
        <v>418</v>
      </c>
      <c r="B8" s="231" t="s">
        <v>419</v>
      </c>
      <c r="C8" s="163">
        <v>0.15</v>
      </c>
      <c r="D8" s="163">
        <v>0.03</v>
      </c>
      <c r="E8" s="231">
        <v>1.1000000000000001</v>
      </c>
      <c r="F8" s="3"/>
      <c r="G8" s="3"/>
      <c r="H8" s="3"/>
      <c r="I8" s="3"/>
      <c r="J8" s="3"/>
      <c r="K8" s="3"/>
    </row>
    <row r="9" spans="1:11" ht="12.75" customHeight="1">
      <c r="A9" s="3"/>
      <c r="B9" s="3"/>
      <c r="C9" s="233"/>
      <c r="D9" s="234">
        <f>SUM(D3:D8)</f>
        <v>0.99999999999999989</v>
      </c>
      <c r="E9" s="3"/>
      <c r="F9" s="3"/>
      <c r="G9" s="3"/>
      <c r="H9" s="3"/>
      <c r="I9" s="3"/>
      <c r="J9" s="3"/>
      <c r="K9" s="3"/>
    </row>
    <row r="10" spans="1:11" ht="12.75" customHeight="1">
      <c r="A10" s="235" t="s">
        <v>420</v>
      </c>
      <c r="B10" s="236">
        <f>(D4*C4+D5*C5+D6*C6+D7*C7+D8*C8)/D9</f>
        <v>0.11500000000000003</v>
      </c>
      <c r="C10" s="3"/>
      <c r="D10" s="3"/>
      <c r="E10" s="3"/>
      <c r="F10" s="3"/>
      <c r="G10" s="3"/>
      <c r="H10" s="3"/>
      <c r="I10" s="3"/>
      <c r="J10" s="3"/>
      <c r="K10" s="3"/>
    </row>
    <row r="11" spans="1:11" ht="12.75" customHeight="1">
      <c r="A11" s="231" t="s">
        <v>404</v>
      </c>
      <c r="B11" s="237">
        <f>(E4*D4+E6*D6+E5*D5+E7*D7+E8*D8)</f>
        <v>1.8059999999999998</v>
      </c>
      <c r="C11" s="3"/>
      <c r="D11" s="238"/>
      <c r="E11" s="3"/>
      <c r="F11" s="3"/>
      <c r="G11" s="3"/>
      <c r="H11" s="3"/>
      <c r="I11" s="3"/>
      <c r="J11" s="3"/>
      <c r="K11" s="3"/>
    </row>
    <row r="12" spans="1:11" ht="12.75" customHeight="1">
      <c r="A12" s="3"/>
      <c r="B12" s="3"/>
      <c r="C12" s="3"/>
      <c r="D12" s="239"/>
      <c r="E12" s="3"/>
      <c r="F12" s="3"/>
      <c r="G12" s="3"/>
      <c r="H12" s="3"/>
      <c r="I12" s="3"/>
      <c r="J12" s="3"/>
      <c r="K12" s="3"/>
    </row>
    <row r="13" spans="1:11" ht="12.7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</row>
    <row r="14" spans="1:11" ht="12.7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</row>
    <row r="15" spans="1:11" ht="12.7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</row>
    <row r="16" spans="1:11" ht="12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</row>
    <row r="17" spans="1:11" ht="12.7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</row>
    <row r="18" spans="1:11" ht="12.7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</row>
    <row r="19" spans="1:11" ht="12.7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</row>
    <row r="20" spans="1:11" ht="12.7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</row>
    <row r="21" spans="1:11" ht="12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</row>
    <row r="22" spans="1:11" ht="12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</row>
    <row r="23" spans="1:11" ht="12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</row>
    <row r="24" spans="1:11" ht="12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</row>
    <row r="25" spans="1:11" ht="12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</row>
    <row r="26" spans="1:11" ht="12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</row>
    <row r="27" spans="1:11" ht="12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</row>
    <row r="28" spans="1:11" ht="12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</row>
    <row r="29" spans="1:11" ht="12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</row>
    <row r="30" spans="1:11" ht="12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</row>
    <row r="31" spans="1:11" ht="12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</row>
    <row r="32" spans="1:11" ht="12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</row>
    <row r="33" spans="1:11" ht="12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</row>
    <row r="34" spans="1:11" ht="12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</row>
    <row r="35" spans="1:11" ht="12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</row>
    <row r="36" spans="1:11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</row>
    <row r="37" spans="1:11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</row>
    <row r="38" spans="1:11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</row>
    <row r="39" spans="1:11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</row>
    <row r="40" spans="1:11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</row>
    <row r="41" spans="1:1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</row>
    <row r="42" spans="1:11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</row>
    <row r="43" spans="1:11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</row>
    <row r="44" spans="1:11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</row>
    <row r="45" spans="1:11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</row>
    <row r="46" spans="1:11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1:11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</row>
    <row r="48" spans="1:11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</row>
    <row r="49" spans="1:11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</row>
    <row r="50" spans="1:11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</row>
    <row r="51" spans="1:1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</row>
    <row r="52" spans="1:11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</row>
    <row r="53" spans="1:11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</row>
    <row r="54" spans="1:11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</row>
    <row r="55" spans="1:11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</row>
    <row r="56" spans="1:11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</row>
    <row r="57" spans="1:11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</row>
    <row r="58" spans="1:11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</row>
    <row r="59" spans="1:11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</row>
    <row r="60" spans="1:11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</row>
    <row r="61" spans="1:1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</row>
    <row r="62" spans="1:11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</row>
    <row r="63" spans="1:11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</row>
    <row r="64" spans="1:11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</row>
    <row r="65" spans="1:11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</row>
    <row r="66" spans="1:11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</row>
    <row r="67" spans="1:11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</row>
    <row r="68" spans="1:11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</row>
    <row r="69" spans="1:11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</row>
    <row r="70" spans="1:11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</row>
    <row r="71" spans="1:1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</row>
    <row r="72" spans="1:11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</row>
    <row r="73" spans="1:11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</row>
    <row r="74" spans="1:11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</row>
    <row r="75" spans="1:11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</row>
    <row r="76" spans="1:11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</row>
    <row r="77" spans="1:11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</row>
    <row r="78" spans="1:11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</row>
    <row r="79" spans="1:11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</row>
    <row r="80" spans="1:11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</row>
    <row r="81" spans="1:1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</row>
    <row r="82" spans="1:11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</row>
    <row r="83" spans="1:11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</row>
    <row r="84" spans="1:11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</row>
    <row r="85" spans="1:11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</row>
    <row r="86" spans="1:11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</row>
    <row r="87" spans="1:11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</row>
    <row r="88" spans="1:11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</row>
    <row r="89" spans="1:11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</row>
    <row r="90" spans="1:11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</row>
    <row r="91" spans="1:1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</row>
    <row r="92" spans="1:11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</row>
    <row r="93" spans="1:11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</row>
    <row r="94" spans="1:11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</row>
    <row r="95" spans="1:11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</row>
    <row r="96" spans="1:11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</row>
    <row r="97" spans="1:11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</row>
    <row r="98" spans="1:11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</row>
    <row r="99" spans="1:11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</row>
    <row r="100" spans="1:11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</row>
  </sheetData>
  <mergeCells count="1">
    <mergeCell ref="A2:B2"/>
  </mergeCells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/>
  <dimension ref="A1:BA100"/>
  <sheetViews>
    <sheetView workbookViewId="0">
      <pane ySplit="6" topLeftCell="A7" activePane="bottomLeft" state="frozen"/>
      <selection pane="bottomLeft" activeCell="P37" sqref="P37"/>
    </sheetView>
  </sheetViews>
  <sheetFormatPr defaultColWidth="14.453125" defaultRowHeight="15" customHeight="1"/>
  <cols>
    <col min="1" max="1" width="17.26953125" customWidth="1"/>
    <col min="2" max="2" width="9.7265625" customWidth="1"/>
    <col min="3" max="10" width="6.453125" customWidth="1"/>
    <col min="11" max="11" width="7.1796875" customWidth="1"/>
    <col min="12" max="13" width="5.7265625" customWidth="1"/>
    <col min="14" max="14" width="6.7265625" customWidth="1"/>
    <col min="15" max="24" width="5.26953125" customWidth="1"/>
    <col min="25" max="25" width="6.453125" customWidth="1"/>
    <col min="26" max="26" width="5.26953125" customWidth="1"/>
    <col min="27" max="27" width="11.7265625" customWidth="1"/>
    <col min="28" max="51" width="9.26953125" hidden="1" customWidth="1"/>
    <col min="52" max="52" width="10" customWidth="1"/>
    <col min="53" max="53" width="9.26953125" customWidth="1"/>
  </cols>
  <sheetData>
    <row r="1" spans="1:53" ht="12.75" customHeight="1">
      <c r="A1" s="220"/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221"/>
      <c r="AS1" s="221"/>
      <c r="AT1" s="221"/>
      <c r="AU1" s="221"/>
      <c r="AV1" s="221"/>
      <c r="AW1" s="221"/>
      <c r="AX1" s="221"/>
      <c r="AY1" s="221"/>
      <c r="AZ1" s="221"/>
      <c r="BA1" s="221"/>
    </row>
    <row r="2" spans="1:53" ht="15.75" customHeight="1">
      <c r="A2" s="846" t="s">
        <v>421</v>
      </c>
      <c r="B2" s="846" t="s">
        <v>422</v>
      </c>
      <c r="C2" s="845" t="s">
        <v>423</v>
      </c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3"/>
      <c r="AA2" s="842" t="s">
        <v>424</v>
      </c>
      <c r="AB2" s="240"/>
      <c r="AC2" s="240"/>
      <c r="AD2" s="240"/>
      <c r="AE2" s="240"/>
      <c r="AF2" s="240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7"/>
      <c r="AT2" s="217"/>
      <c r="AU2" s="217"/>
      <c r="AV2" s="217"/>
      <c r="AW2" s="217"/>
      <c r="AX2" s="217"/>
      <c r="AY2" s="217"/>
      <c r="AZ2" s="217"/>
      <c r="BA2" s="217"/>
    </row>
    <row r="3" spans="1:53" ht="12.75" customHeight="1">
      <c r="A3" s="843"/>
      <c r="B3" s="843"/>
      <c r="C3" s="830" t="s">
        <v>370</v>
      </c>
      <c r="D3" s="813"/>
      <c r="E3" s="830" t="s">
        <v>371</v>
      </c>
      <c r="F3" s="813"/>
      <c r="G3" s="830" t="s">
        <v>372</v>
      </c>
      <c r="H3" s="813"/>
      <c r="I3" s="830" t="s">
        <v>373</v>
      </c>
      <c r="J3" s="813"/>
      <c r="K3" s="830" t="s">
        <v>331</v>
      </c>
      <c r="L3" s="813"/>
      <c r="M3" s="830" t="s">
        <v>374</v>
      </c>
      <c r="N3" s="813"/>
      <c r="O3" s="830" t="s">
        <v>375</v>
      </c>
      <c r="P3" s="813"/>
      <c r="Q3" s="830" t="s">
        <v>376</v>
      </c>
      <c r="R3" s="813"/>
      <c r="S3" s="830" t="s">
        <v>377</v>
      </c>
      <c r="T3" s="813"/>
      <c r="U3" s="830" t="s">
        <v>378</v>
      </c>
      <c r="V3" s="813"/>
      <c r="W3" s="830" t="s">
        <v>379</v>
      </c>
      <c r="X3" s="813"/>
      <c r="Y3" s="830" t="s">
        <v>380</v>
      </c>
      <c r="Z3" s="813"/>
      <c r="AA3" s="843"/>
      <c r="AB3" s="241"/>
      <c r="AC3" s="241"/>
      <c r="AD3" s="241"/>
      <c r="AE3" s="241"/>
      <c r="AF3" s="241"/>
      <c r="AG3" s="241"/>
      <c r="AH3" s="241"/>
      <c r="AI3" s="241"/>
      <c r="AJ3" s="241"/>
      <c r="AK3" s="241"/>
      <c r="AL3" s="241"/>
      <c r="AM3" s="241"/>
      <c r="AN3" s="241"/>
      <c r="AO3" s="241"/>
      <c r="AP3" s="241"/>
      <c r="AQ3" s="241"/>
      <c r="AR3" s="241"/>
      <c r="AS3" s="241"/>
      <c r="AT3" s="241"/>
      <c r="AU3" s="241"/>
      <c r="AV3" s="241"/>
      <c r="AW3" s="241"/>
      <c r="AX3" s="241"/>
      <c r="AY3" s="241"/>
      <c r="AZ3" s="241"/>
      <c r="BA3" s="241"/>
    </row>
    <row r="4" spans="1:53" ht="12.75" customHeight="1">
      <c r="A4" s="843"/>
      <c r="B4" s="843"/>
      <c r="C4" s="841">
        <v>31</v>
      </c>
      <c r="D4" s="813"/>
      <c r="E4" s="841">
        <v>28</v>
      </c>
      <c r="F4" s="813"/>
      <c r="G4" s="841">
        <v>31</v>
      </c>
      <c r="H4" s="813"/>
      <c r="I4" s="841">
        <v>30</v>
      </c>
      <c r="J4" s="813"/>
      <c r="K4" s="841">
        <v>31</v>
      </c>
      <c r="L4" s="813"/>
      <c r="M4" s="841">
        <v>30</v>
      </c>
      <c r="N4" s="813"/>
      <c r="O4" s="841">
        <v>31</v>
      </c>
      <c r="P4" s="813"/>
      <c r="Q4" s="841">
        <v>31</v>
      </c>
      <c r="R4" s="813"/>
      <c r="S4" s="841">
        <v>30</v>
      </c>
      <c r="T4" s="813"/>
      <c r="U4" s="841">
        <v>31</v>
      </c>
      <c r="V4" s="813"/>
      <c r="W4" s="841">
        <v>30</v>
      </c>
      <c r="X4" s="813"/>
      <c r="Y4" s="841">
        <v>31</v>
      </c>
      <c r="Z4" s="813"/>
      <c r="AA4" s="843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</row>
    <row r="5" spans="1:53" ht="27.75" customHeight="1">
      <c r="A5" s="843"/>
      <c r="B5" s="843"/>
      <c r="C5" s="222" t="s">
        <v>400</v>
      </c>
      <c r="D5" s="222" t="s">
        <v>401</v>
      </c>
      <c r="E5" s="222" t="s">
        <v>400</v>
      </c>
      <c r="F5" s="222" t="s">
        <v>401</v>
      </c>
      <c r="G5" s="222" t="s">
        <v>400</v>
      </c>
      <c r="H5" s="222" t="s">
        <v>401</v>
      </c>
      <c r="I5" s="222" t="s">
        <v>400</v>
      </c>
      <c r="J5" s="222" t="s">
        <v>401</v>
      </c>
      <c r="K5" s="222" t="s">
        <v>400</v>
      </c>
      <c r="L5" s="222" t="s">
        <v>401</v>
      </c>
      <c r="M5" s="222" t="s">
        <v>400</v>
      </c>
      <c r="N5" s="222" t="s">
        <v>401</v>
      </c>
      <c r="O5" s="222" t="s">
        <v>400</v>
      </c>
      <c r="P5" s="222" t="s">
        <v>401</v>
      </c>
      <c r="Q5" s="222" t="s">
        <v>400</v>
      </c>
      <c r="R5" s="222" t="s">
        <v>401</v>
      </c>
      <c r="S5" s="222" t="s">
        <v>400</v>
      </c>
      <c r="T5" s="222" t="s">
        <v>401</v>
      </c>
      <c r="U5" s="222" t="s">
        <v>400</v>
      </c>
      <c r="V5" s="222" t="s">
        <v>401</v>
      </c>
      <c r="W5" s="222" t="s">
        <v>400</v>
      </c>
      <c r="X5" s="222" t="s">
        <v>401</v>
      </c>
      <c r="Y5" s="222" t="s">
        <v>400</v>
      </c>
      <c r="Z5" s="223" t="s">
        <v>401</v>
      </c>
      <c r="AA5" s="843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1"/>
      <c r="AV5" s="221"/>
      <c r="AW5" s="221"/>
      <c r="AX5" s="221"/>
      <c r="AY5" s="221"/>
      <c r="AZ5" s="221"/>
      <c r="BA5" s="221"/>
    </row>
    <row r="6" spans="1:53" ht="12.75" customHeight="1">
      <c r="A6" s="844"/>
      <c r="B6" s="844"/>
      <c r="C6" s="204">
        <v>15</v>
      </c>
      <c r="D6" s="204">
        <v>16</v>
      </c>
      <c r="E6" s="204">
        <v>20</v>
      </c>
      <c r="F6" s="204">
        <v>8</v>
      </c>
      <c r="G6" s="204">
        <v>20</v>
      </c>
      <c r="H6" s="204">
        <v>11</v>
      </c>
      <c r="I6" s="204">
        <v>22</v>
      </c>
      <c r="J6" s="204">
        <v>8</v>
      </c>
      <c r="K6" s="204">
        <v>19</v>
      </c>
      <c r="L6" s="204">
        <v>12</v>
      </c>
      <c r="M6" s="204">
        <v>21</v>
      </c>
      <c r="N6" s="204">
        <v>9</v>
      </c>
      <c r="O6" s="204">
        <v>23</v>
      </c>
      <c r="P6" s="204">
        <v>8</v>
      </c>
      <c r="Q6" s="204">
        <v>22</v>
      </c>
      <c r="R6" s="204">
        <v>9</v>
      </c>
      <c r="S6" s="204">
        <v>21</v>
      </c>
      <c r="T6" s="204">
        <v>9</v>
      </c>
      <c r="U6" s="204">
        <v>23</v>
      </c>
      <c r="V6" s="204">
        <v>8</v>
      </c>
      <c r="W6" s="204">
        <v>22</v>
      </c>
      <c r="X6" s="204">
        <v>8</v>
      </c>
      <c r="Y6" s="204">
        <v>23</v>
      </c>
      <c r="Z6" s="225">
        <v>8</v>
      </c>
      <c r="AA6" s="844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</row>
    <row r="7" spans="1:53" ht="39" customHeight="1">
      <c r="A7" s="242" t="str">
        <f>'Открытые тарифы '!A7</f>
        <v xml:space="preserve">Стандарт  Одноместный   </v>
      </c>
      <c r="B7" s="243">
        <f>'Открытые тарифы '!C7</f>
        <v>13</v>
      </c>
      <c r="C7" s="243">
        <f>'Открытые тарифы '!D7</f>
        <v>6600</v>
      </c>
      <c r="D7" s="243">
        <f>'Открытые тарифы '!E7</f>
        <v>8800</v>
      </c>
      <c r="E7" s="243">
        <f>'Открытые тарифы '!F7</f>
        <v>5280</v>
      </c>
      <c r="F7" s="243">
        <f>'Открытые тарифы '!G7</f>
        <v>6160</v>
      </c>
      <c r="G7" s="243">
        <f>'Открытые тарифы '!H7</f>
        <v>5280</v>
      </c>
      <c r="H7" s="243">
        <f>'Открытые тарифы '!I7</f>
        <v>6160</v>
      </c>
      <c r="I7" s="243">
        <f>'Открытые тарифы '!J7</f>
        <v>5280</v>
      </c>
      <c r="J7" s="243">
        <f>'Открытые тарифы '!K7</f>
        <v>6160</v>
      </c>
      <c r="K7" s="243">
        <f>'Открытые тарифы '!L7</f>
        <v>6160</v>
      </c>
      <c r="L7" s="243">
        <f>'Открытые тарифы '!M7</f>
        <v>8800</v>
      </c>
      <c r="M7" s="243">
        <f>'Открытые тарифы '!N7</f>
        <v>8800</v>
      </c>
      <c r="N7" s="243">
        <f>'Открытые тарифы '!O7</f>
        <v>8800</v>
      </c>
      <c r="O7" s="243">
        <f>'Открытые тарифы '!P7</f>
        <v>8800</v>
      </c>
      <c r="P7" s="243">
        <f>'Открытые тарифы '!Q7</f>
        <v>8800</v>
      </c>
      <c r="Q7" s="243">
        <f>'Открытые тарифы '!R7</f>
        <v>8800</v>
      </c>
      <c r="R7" s="243">
        <f>'Открытые тарифы '!S7</f>
        <v>8800</v>
      </c>
      <c r="S7" s="243">
        <f>'Открытые тарифы '!T7</f>
        <v>7920</v>
      </c>
      <c r="T7" s="243">
        <f>'Открытые тарифы '!U7</f>
        <v>7480</v>
      </c>
      <c r="U7" s="243">
        <f>'Открытые тарифы '!V7</f>
        <v>4400</v>
      </c>
      <c r="V7" s="243">
        <f>'Открытые тарифы '!W7</f>
        <v>5720</v>
      </c>
      <c r="W7" s="243">
        <f>'Открытые тарифы '!X7</f>
        <v>4400</v>
      </c>
      <c r="X7" s="243">
        <f>'Открытые тарифы '!Y7</f>
        <v>5720</v>
      </c>
      <c r="Y7" s="243">
        <f>'Открытые тарифы '!Z7</f>
        <v>5720</v>
      </c>
      <c r="Z7" s="243">
        <f>'Открытые тарифы '!AA7</f>
        <v>7920</v>
      </c>
      <c r="AA7" s="227"/>
      <c r="AB7" s="244">
        <v>3900</v>
      </c>
      <c r="AC7" s="245">
        <v>4200</v>
      </c>
      <c r="AD7" s="245">
        <v>3000</v>
      </c>
      <c r="AE7" s="245">
        <v>3300</v>
      </c>
      <c r="AF7" s="245">
        <v>3000</v>
      </c>
      <c r="AG7" s="245">
        <v>3300</v>
      </c>
      <c r="AH7" s="245">
        <v>3000</v>
      </c>
      <c r="AI7" s="245">
        <v>3300</v>
      </c>
      <c r="AJ7" s="245">
        <v>4200</v>
      </c>
      <c r="AK7" s="245">
        <v>4800</v>
      </c>
      <c r="AL7" s="245">
        <v>4200</v>
      </c>
      <c r="AM7" s="245">
        <v>4800</v>
      </c>
      <c r="AN7" s="245">
        <v>4200</v>
      </c>
      <c r="AO7" s="245">
        <v>4800</v>
      </c>
      <c r="AP7" s="245">
        <v>4200</v>
      </c>
      <c r="AQ7" s="245">
        <v>4800</v>
      </c>
      <c r="AR7" s="245">
        <v>3900</v>
      </c>
      <c r="AS7" s="245">
        <v>4200</v>
      </c>
      <c r="AT7" s="245">
        <v>3000</v>
      </c>
      <c r="AU7" s="245">
        <v>3300</v>
      </c>
      <c r="AV7" s="245">
        <v>3000</v>
      </c>
      <c r="AW7" s="245">
        <v>3300</v>
      </c>
      <c r="AX7" s="245">
        <v>4200</v>
      </c>
      <c r="AY7" s="245">
        <v>4800</v>
      </c>
      <c r="AZ7" s="221"/>
      <c r="BA7" s="221"/>
    </row>
    <row r="8" spans="1:53" ht="28.5" customHeight="1">
      <c r="A8" s="242" t="s">
        <v>425</v>
      </c>
      <c r="B8" s="243"/>
      <c r="C8" s="840">
        <f>(C7*C6+D7*D6)/SUM(C6:D6)</f>
        <v>7735.4838709677415</v>
      </c>
      <c r="D8" s="813"/>
      <c r="E8" s="840">
        <f>(E7*E6+F7*F6)/SUM(E6:F6)</f>
        <v>5531.4285714285716</v>
      </c>
      <c r="F8" s="813"/>
      <c r="G8" s="840">
        <f>(G7*G6+H7*H6)/SUM(G6:H6)</f>
        <v>5592.2580645161288</v>
      </c>
      <c r="H8" s="813"/>
      <c r="I8" s="840">
        <f>(I7*I6+J7*J6)/SUM(I6:J6)</f>
        <v>5514.666666666667</v>
      </c>
      <c r="J8" s="813"/>
      <c r="K8" s="840">
        <f>(K7*K6+L7*L6)/SUM(K6:L6)</f>
        <v>7181.9354838709678</v>
      </c>
      <c r="L8" s="813"/>
      <c r="M8" s="840">
        <f>(M7*M6+N7*N6)/SUM(M6:N6)</f>
        <v>8800</v>
      </c>
      <c r="N8" s="813"/>
      <c r="O8" s="840">
        <f>(O7*O6+P7*P6)/SUM(O6:P6)</f>
        <v>8800</v>
      </c>
      <c r="P8" s="813"/>
      <c r="Q8" s="840">
        <f>(Q7*Q6+R7*R6)/SUM(Q6:R6)</f>
        <v>8800</v>
      </c>
      <c r="R8" s="813"/>
      <c r="S8" s="840">
        <f>(S7*S6+T7*T6)/SUM(S6:T6)</f>
        <v>7788</v>
      </c>
      <c r="T8" s="813"/>
      <c r="U8" s="840">
        <f>(U7*U6+V7*V6)/SUM(U6:V6)</f>
        <v>4740.6451612903229</v>
      </c>
      <c r="V8" s="813"/>
      <c r="W8" s="840">
        <f>(W7*W6+X7*X6)/SUM(W6:X6)</f>
        <v>4752</v>
      </c>
      <c r="X8" s="813"/>
      <c r="Y8" s="840">
        <f>(Y7*Y6+Z7*Z6)/SUM(Y6:Z6)</f>
        <v>6287.7419354838712</v>
      </c>
      <c r="Z8" s="813"/>
      <c r="AA8" s="247">
        <f>AVERAGE(C8:Z8)</f>
        <v>6793.6799795186889</v>
      </c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241"/>
      <c r="AM8" s="241"/>
      <c r="AN8" s="241"/>
      <c r="AO8" s="241"/>
      <c r="AP8" s="241"/>
      <c r="AQ8" s="241"/>
      <c r="AR8" s="241"/>
      <c r="AS8" s="241"/>
      <c r="AT8" s="241"/>
      <c r="AU8" s="241"/>
      <c r="AV8" s="241"/>
      <c r="AW8" s="241"/>
      <c r="AX8" s="241"/>
      <c r="AY8" s="241"/>
      <c r="AZ8" s="241"/>
      <c r="BA8" s="248"/>
    </row>
    <row r="9" spans="1:53" ht="3.75" customHeight="1">
      <c r="A9" s="242"/>
      <c r="B9" s="243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Y9" s="243"/>
      <c r="Z9" s="249"/>
      <c r="AA9" s="247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</row>
    <row r="10" spans="1:53" ht="26.5" customHeight="1">
      <c r="A10" s="250" t="str">
        <f>'Открытые тарифы '!A8</f>
        <v>МГН</v>
      </c>
      <c r="B10" s="243">
        <f>'Открытые тарифы '!C8</f>
        <v>2</v>
      </c>
      <c r="C10" s="243">
        <f>'Открытые тарифы '!D8</f>
        <v>8250</v>
      </c>
      <c r="D10" s="243">
        <f>'Открытые тарифы '!E8</f>
        <v>11000</v>
      </c>
      <c r="E10" s="243">
        <f>'Открытые тарифы '!F8</f>
        <v>6600</v>
      </c>
      <c r="F10" s="243">
        <f>'Открытые тарифы '!G8</f>
        <v>7699.9999999999991</v>
      </c>
      <c r="G10" s="243">
        <f>'Открытые тарифы '!H8</f>
        <v>6600</v>
      </c>
      <c r="H10" s="243">
        <f>'Открытые тарифы '!I8</f>
        <v>7699.9999999999991</v>
      </c>
      <c r="I10" s="243">
        <f>'Открытые тарифы '!J8</f>
        <v>6600</v>
      </c>
      <c r="J10" s="243">
        <f>'Открытые тарифы '!K8</f>
        <v>7699.9999999999991</v>
      </c>
      <c r="K10" s="243">
        <f>'Открытые тарифы '!L8</f>
        <v>7699.9999999999991</v>
      </c>
      <c r="L10" s="243">
        <f>'Открытые тарифы '!M8</f>
        <v>11000</v>
      </c>
      <c r="M10" s="243">
        <f>'Открытые тарифы '!N8</f>
        <v>11000</v>
      </c>
      <c r="N10" s="243">
        <f>'Открытые тарифы '!O8</f>
        <v>11000</v>
      </c>
      <c r="O10" s="243">
        <f>'Открытые тарифы '!P8</f>
        <v>11000</v>
      </c>
      <c r="P10" s="243">
        <f>'Открытые тарифы '!Q8</f>
        <v>11000</v>
      </c>
      <c r="Q10" s="243">
        <f>'Открытые тарифы '!R8</f>
        <v>11000</v>
      </c>
      <c r="R10" s="243">
        <f>'Открытые тарифы '!S8</f>
        <v>11000</v>
      </c>
      <c r="S10" s="243">
        <f>'Открытые тарифы '!T8</f>
        <v>9900</v>
      </c>
      <c r="T10" s="243">
        <f>'Открытые тарифы '!U8</f>
        <v>9350</v>
      </c>
      <c r="U10" s="243">
        <f>'Открытые тарифы '!V8</f>
        <v>5500</v>
      </c>
      <c r="V10" s="243">
        <f>'Открытые тарифы '!W8</f>
        <v>7150</v>
      </c>
      <c r="W10" s="243">
        <f>'Открытые тарифы '!X8</f>
        <v>5500</v>
      </c>
      <c r="X10" s="243">
        <f>'Открытые тарифы '!Y8</f>
        <v>7150</v>
      </c>
      <c r="Y10" s="243">
        <f>'Открытые тарифы '!Z8</f>
        <v>7150</v>
      </c>
      <c r="Z10" s="243">
        <f>'Открытые тарифы '!AA8</f>
        <v>9900</v>
      </c>
      <c r="AA10" s="247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51"/>
    </row>
    <row r="11" spans="1:53" ht="22.75" customHeight="1">
      <c r="A11" s="242" t="s">
        <v>425</v>
      </c>
      <c r="B11" s="243"/>
      <c r="C11" s="840">
        <f>(C10*C6+D10*D6)/SUM(C6:D6)</f>
        <v>9669.354838709678</v>
      </c>
      <c r="D11" s="813"/>
      <c r="E11" s="840">
        <f>(E10*E6+F10*F6)/SUM(E6:F6)</f>
        <v>6914.2857142857147</v>
      </c>
      <c r="F11" s="813"/>
      <c r="G11" s="840">
        <f>(G10*G6+H10*H6)/SUM(G6:H6)</f>
        <v>6990.322580645161</v>
      </c>
      <c r="H11" s="813"/>
      <c r="I11" s="840">
        <f>(I10*I6+J10*J6)/SUM(I6:J6)</f>
        <v>6893.333333333333</v>
      </c>
      <c r="J11" s="813"/>
      <c r="K11" s="840">
        <f>(K10*K6+L10*L6)/SUM(K6:L6)</f>
        <v>8977.4193548387102</v>
      </c>
      <c r="L11" s="813"/>
      <c r="M11" s="840">
        <f>(M10*M6+N10*N6)/SUM(M6:N6)</f>
        <v>11000</v>
      </c>
      <c r="N11" s="813"/>
      <c r="O11" s="840">
        <f>(O10*O6+P10*P6)/SUM(O6:P6)</f>
        <v>11000</v>
      </c>
      <c r="P11" s="813"/>
      <c r="Q11" s="840">
        <f>(Q10*Q6+R10*R6)/SUM(Q6:R6)</f>
        <v>11000</v>
      </c>
      <c r="R11" s="813"/>
      <c r="S11" s="840">
        <f>(S10*S6+T10*T6)/SUM(S6:T6)</f>
        <v>9735</v>
      </c>
      <c r="T11" s="813"/>
      <c r="U11" s="840">
        <f>(U10*U6+V10*V6)/SUM(U6:V6)</f>
        <v>5925.8064516129034</v>
      </c>
      <c r="V11" s="813"/>
      <c r="W11" s="840">
        <f>(W10*W6+X10*X6)/SUM(W6:X6)</f>
        <v>5940</v>
      </c>
      <c r="X11" s="813"/>
      <c r="Y11" s="840">
        <f>(Y10*Y6+Z10*Z6)/SUM(Y6:Z6)</f>
        <v>7859.677419354839</v>
      </c>
      <c r="Z11" s="813"/>
      <c r="AA11" s="247">
        <f>AVERAGE(C11:Z11)</f>
        <v>8492.0999743983612</v>
      </c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241"/>
      <c r="AP11" s="241"/>
      <c r="AQ11" s="241"/>
      <c r="AR11" s="241"/>
      <c r="AS11" s="241"/>
      <c r="AT11" s="241"/>
      <c r="AU11" s="241"/>
      <c r="AV11" s="241"/>
      <c r="AW11" s="241"/>
      <c r="AX11" s="241"/>
      <c r="AY11" s="241"/>
      <c r="AZ11" s="241"/>
      <c r="BA11" s="252"/>
    </row>
    <row r="12" spans="1:53" ht="6.75" customHeight="1">
      <c r="A12" s="242"/>
      <c r="B12" s="243"/>
      <c r="C12" s="243"/>
      <c r="D12" s="243"/>
      <c r="E12" s="243"/>
      <c r="F12" s="243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243"/>
      <c r="X12" s="243"/>
      <c r="Y12" s="243"/>
      <c r="Z12" s="249"/>
      <c r="AA12" s="247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</row>
    <row r="13" spans="1:53" ht="25.5" customHeight="1">
      <c r="A13" s="242" t="str">
        <f>'Открытые тарифы '!A9</f>
        <v>Стандарт  Двухместный</v>
      </c>
      <c r="B13" s="243">
        <f>'Открытые тарифы '!C9</f>
        <v>65</v>
      </c>
      <c r="C13" s="243">
        <f>'Открытые тарифы '!D9</f>
        <v>8250</v>
      </c>
      <c r="D13" s="243">
        <f>'Открытые тарифы '!E9</f>
        <v>11000</v>
      </c>
      <c r="E13" s="243">
        <f>'Открытые тарифы '!F9</f>
        <v>6600</v>
      </c>
      <c r="F13" s="243">
        <f>'Открытые тарифы '!G9</f>
        <v>7699.9999999999991</v>
      </c>
      <c r="G13" s="243">
        <f>'Открытые тарифы '!H9</f>
        <v>6600</v>
      </c>
      <c r="H13" s="243">
        <f>'Открытые тарифы '!I9</f>
        <v>7699.9999999999991</v>
      </c>
      <c r="I13" s="243">
        <f>'Открытые тарифы '!J9</f>
        <v>6600</v>
      </c>
      <c r="J13" s="243">
        <f>'Открытые тарифы '!K9</f>
        <v>7699.9999999999991</v>
      </c>
      <c r="K13" s="243">
        <f>'Открытые тарифы '!L9</f>
        <v>7699.9999999999991</v>
      </c>
      <c r="L13" s="243">
        <f>'Открытые тарифы '!M9</f>
        <v>11000</v>
      </c>
      <c r="M13" s="243">
        <f>'Открытые тарифы '!N9</f>
        <v>11000</v>
      </c>
      <c r="N13" s="243">
        <f>'Открытые тарифы '!O9</f>
        <v>11000</v>
      </c>
      <c r="O13" s="243">
        <f>'Открытые тарифы '!P9</f>
        <v>11000</v>
      </c>
      <c r="P13" s="243">
        <f>'Открытые тарифы '!Q9</f>
        <v>11000</v>
      </c>
      <c r="Q13" s="243">
        <f>'Открытые тарифы '!R9</f>
        <v>11000</v>
      </c>
      <c r="R13" s="243">
        <f>'Открытые тарифы '!S9</f>
        <v>11000</v>
      </c>
      <c r="S13" s="243">
        <f>'Открытые тарифы '!T9</f>
        <v>9900</v>
      </c>
      <c r="T13" s="243">
        <f>'Открытые тарифы '!U9</f>
        <v>9350</v>
      </c>
      <c r="U13" s="243">
        <f>'Открытые тарифы '!V9</f>
        <v>5500</v>
      </c>
      <c r="V13" s="243">
        <f>'Открытые тарифы '!W9</f>
        <v>7150</v>
      </c>
      <c r="W13" s="243">
        <f>'Открытые тарифы '!X9</f>
        <v>5500</v>
      </c>
      <c r="X13" s="243">
        <f>'Открытые тарифы '!Y9</f>
        <v>7150</v>
      </c>
      <c r="Y13" s="243">
        <f>'Открытые тарифы '!Z9</f>
        <v>7150</v>
      </c>
      <c r="Z13" s="243">
        <f>'Открытые тарифы '!AA9</f>
        <v>9900</v>
      </c>
      <c r="AA13" s="247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</row>
    <row r="14" spans="1:53" ht="24" customHeight="1">
      <c r="A14" s="242" t="s">
        <v>425</v>
      </c>
      <c r="B14" s="243"/>
      <c r="C14" s="840">
        <f>(C13*C6+D13*D6)/SUM(C6:D6)</f>
        <v>9669.354838709678</v>
      </c>
      <c r="D14" s="813"/>
      <c r="E14" s="840">
        <f>(E13*E6+F13*F6)/SUM(E6:F6)</f>
        <v>6914.2857142857147</v>
      </c>
      <c r="F14" s="813"/>
      <c r="G14" s="840">
        <f>(G13*G6+H13*H6)/SUM(G6:H6)</f>
        <v>6990.322580645161</v>
      </c>
      <c r="H14" s="813"/>
      <c r="I14" s="840">
        <f>(I13*I6+J13*J6)/SUM(I6:J6)</f>
        <v>6893.333333333333</v>
      </c>
      <c r="J14" s="813"/>
      <c r="K14" s="840">
        <f>(K13*K6+L13*L6)/SUM(K6:L6)</f>
        <v>8977.4193548387102</v>
      </c>
      <c r="L14" s="813"/>
      <c r="M14" s="840">
        <f>(M13*M6+N13*N6)/SUM(M6:N6)</f>
        <v>11000</v>
      </c>
      <c r="N14" s="813"/>
      <c r="O14" s="840">
        <f>(O13*O6+P13*P6)/SUM(O6:P6)</f>
        <v>11000</v>
      </c>
      <c r="P14" s="813"/>
      <c r="Q14" s="840">
        <f>(Q13*Q6+R13*R6)/SUM(Q6:R6)</f>
        <v>11000</v>
      </c>
      <c r="R14" s="813"/>
      <c r="S14" s="840">
        <f>(S13*S6+T13*T6)/SUM(S6:T6)</f>
        <v>9735</v>
      </c>
      <c r="T14" s="813"/>
      <c r="U14" s="840">
        <f>(U13*U6+V13*V6)/SUM(U6:V6)</f>
        <v>5925.8064516129034</v>
      </c>
      <c r="V14" s="813"/>
      <c r="W14" s="840">
        <f>(W13*W6+X13*X6)/SUM(W6:X6)</f>
        <v>5940</v>
      </c>
      <c r="X14" s="813"/>
      <c r="Y14" s="840">
        <f>(Y13*Y6+Z13*Z6)/SUM(Y6:Z6)</f>
        <v>7859.677419354839</v>
      </c>
      <c r="Z14" s="813"/>
      <c r="AA14" s="247">
        <f>AVERAGE(C14:Z14)</f>
        <v>8492.0999743983612</v>
      </c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</row>
    <row r="15" spans="1:53" ht="5.25" customHeight="1">
      <c r="A15" s="242"/>
      <c r="B15" s="243"/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46"/>
      <c r="AA15" s="247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/>
      <c r="BA15" s="221"/>
    </row>
    <row r="16" spans="1:53" ht="33" customHeight="1">
      <c r="A16" s="242" t="str">
        <f>'Открытые тарифы '!A10</f>
        <v>Джуниор Сьюит</v>
      </c>
      <c r="B16" s="243">
        <f>'Открытые тарифы '!C10</f>
        <v>30</v>
      </c>
      <c r="C16" s="243">
        <f>'Открытые тарифы '!D10</f>
        <v>10725</v>
      </c>
      <c r="D16" s="243">
        <f>'Открытые тарифы '!E10</f>
        <v>14300</v>
      </c>
      <c r="E16" s="243">
        <f>'Открытые тарифы '!F10</f>
        <v>8580</v>
      </c>
      <c r="F16" s="243">
        <f>'Открытые тарифы '!G10</f>
        <v>10010</v>
      </c>
      <c r="G16" s="243">
        <f>'Открытые тарифы '!H10</f>
        <v>8580</v>
      </c>
      <c r="H16" s="243">
        <f>'Открытые тарифы '!I10</f>
        <v>10010</v>
      </c>
      <c r="I16" s="243">
        <f>'Открытые тарифы '!J10</f>
        <v>8580</v>
      </c>
      <c r="J16" s="243">
        <f>'Открытые тарифы '!K10</f>
        <v>10010</v>
      </c>
      <c r="K16" s="243">
        <f>'Открытые тарифы '!L10</f>
        <v>10010</v>
      </c>
      <c r="L16" s="243">
        <f>'Открытые тарифы '!M10</f>
        <v>14300</v>
      </c>
      <c r="M16" s="243">
        <f>'Открытые тарифы '!N10</f>
        <v>14300</v>
      </c>
      <c r="N16" s="243">
        <f>'Открытые тарифы '!O10</f>
        <v>14300</v>
      </c>
      <c r="O16" s="243">
        <f>'Открытые тарифы '!P10</f>
        <v>14300</v>
      </c>
      <c r="P16" s="243">
        <f>'Открытые тарифы '!Q10</f>
        <v>14300</v>
      </c>
      <c r="Q16" s="243">
        <f>'Открытые тарифы '!R10</f>
        <v>14300</v>
      </c>
      <c r="R16" s="243">
        <f>'Открытые тарифы '!S10</f>
        <v>14300</v>
      </c>
      <c r="S16" s="243">
        <f>'Открытые тарифы '!T10</f>
        <v>12870</v>
      </c>
      <c r="T16" s="243">
        <f>'Открытые тарифы '!U10</f>
        <v>12155</v>
      </c>
      <c r="U16" s="243">
        <f>'Открытые тарифы '!V10</f>
        <v>7150</v>
      </c>
      <c r="V16" s="243">
        <f>'Открытые тарифы '!W10</f>
        <v>9295</v>
      </c>
      <c r="W16" s="243">
        <f>'Открытые тарифы '!X10</f>
        <v>7150</v>
      </c>
      <c r="X16" s="243">
        <f>'Открытые тарифы '!Y10</f>
        <v>9295</v>
      </c>
      <c r="Y16" s="243">
        <f>'Открытые тарифы '!Z10</f>
        <v>9295</v>
      </c>
      <c r="Z16" s="243">
        <f>'Открытые тарифы '!AA10</f>
        <v>12870</v>
      </c>
      <c r="AA16" s="247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</row>
    <row r="17" spans="1:53" ht="33" customHeight="1">
      <c r="A17" s="242" t="s">
        <v>425</v>
      </c>
      <c r="B17" s="243"/>
      <c r="C17" s="840">
        <f>(C16*C6+D16*D6)/SUM(C6:D6)</f>
        <v>12570.161290322581</v>
      </c>
      <c r="D17" s="813"/>
      <c r="E17" s="840">
        <f>(E16*E6+F16*F6)/SUM(E6:F6)</f>
        <v>8988.5714285714294</v>
      </c>
      <c r="F17" s="813"/>
      <c r="G17" s="840">
        <f>(G16*G6+H16*H6)/SUM(G6:H6)</f>
        <v>9087.4193548387102</v>
      </c>
      <c r="H17" s="813"/>
      <c r="I17" s="840">
        <f>(I16*I6+J16*J6)/SUM(I6:J6)</f>
        <v>8961.3333333333339</v>
      </c>
      <c r="J17" s="813"/>
      <c r="K17" s="840">
        <f>(K16*K6+L16*L6)/SUM(K6:L6)</f>
        <v>11670.645161290322</v>
      </c>
      <c r="L17" s="813"/>
      <c r="M17" s="840">
        <f>(M16*M6+N16*N6)/SUM(M6:N6)</f>
        <v>14300</v>
      </c>
      <c r="N17" s="813"/>
      <c r="O17" s="840">
        <f>(O16*O6+P16*P6)/SUM(O6:P6)</f>
        <v>14300</v>
      </c>
      <c r="P17" s="813"/>
      <c r="Q17" s="840">
        <f>(Q16*Q6+R16*R6)/SUM(Q6:R6)</f>
        <v>14300</v>
      </c>
      <c r="R17" s="813"/>
      <c r="S17" s="840">
        <f>(S16*S6+T16*T6)/SUM(S6:T6)</f>
        <v>12655.5</v>
      </c>
      <c r="T17" s="813"/>
      <c r="U17" s="840">
        <f>(U16*U6+V16*V6)/SUM(U6:V6)</f>
        <v>7703.5483870967746</v>
      </c>
      <c r="V17" s="813"/>
      <c r="W17" s="840">
        <f>(W16*W6+X16*X6)/SUM(W6:X6)</f>
        <v>7722</v>
      </c>
      <c r="X17" s="813"/>
      <c r="Y17" s="840">
        <f>(Y16*Y6+Z16*Z6)/SUM(Y6:Z6)</f>
        <v>10217.58064516129</v>
      </c>
      <c r="Z17" s="813"/>
      <c r="AA17" s="247">
        <f>AVERAGE(C17:Z17)</f>
        <v>11039.729966717872</v>
      </c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</row>
    <row r="18" spans="1:53" ht="6" customHeight="1">
      <c r="A18" s="242"/>
      <c r="B18" s="243"/>
      <c r="C18" s="253"/>
      <c r="D18" s="253"/>
      <c r="E18" s="253"/>
      <c r="F18" s="253"/>
      <c r="G18" s="253"/>
      <c r="H18" s="253"/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46"/>
      <c r="AA18" s="247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</row>
    <row r="19" spans="1:53" ht="32.25" customHeight="1">
      <c r="A19" s="242" t="str">
        <f>'Открытые тарифы '!A11</f>
        <v xml:space="preserve">Номер Люкс                                </v>
      </c>
      <c r="B19" s="243">
        <f>'Открытые тарифы '!C11</f>
        <v>9</v>
      </c>
      <c r="C19" s="243">
        <f>'Открытые тарифы '!D11</f>
        <v>14025</v>
      </c>
      <c r="D19" s="243">
        <f>'Открытые тарифы '!E11</f>
        <v>18700</v>
      </c>
      <c r="E19" s="243">
        <f>'Открытые тарифы '!F11</f>
        <v>11220</v>
      </c>
      <c r="F19" s="243">
        <f>'Открытые тарифы '!G11</f>
        <v>13089.999999999998</v>
      </c>
      <c r="G19" s="243">
        <f>'Открытые тарифы '!H11</f>
        <v>11220</v>
      </c>
      <c r="H19" s="243">
        <f>'Открытые тарифы '!I11</f>
        <v>13089.999999999998</v>
      </c>
      <c r="I19" s="243">
        <f>'Открытые тарифы '!J11</f>
        <v>11220</v>
      </c>
      <c r="J19" s="243">
        <f>'Открытые тарифы '!K11</f>
        <v>13089.999999999998</v>
      </c>
      <c r="K19" s="243">
        <f>'Открытые тарифы '!L11</f>
        <v>13089.999999999998</v>
      </c>
      <c r="L19" s="243">
        <f>'Открытые тарифы '!M11</f>
        <v>18700</v>
      </c>
      <c r="M19" s="243">
        <f>'Открытые тарифы '!N11</f>
        <v>18700</v>
      </c>
      <c r="N19" s="243">
        <f>'Открытые тарифы '!O11</f>
        <v>18700</v>
      </c>
      <c r="O19" s="243">
        <f>'Открытые тарифы '!P11</f>
        <v>18700</v>
      </c>
      <c r="P19" s="243">
        <f>'Открытые тарифы '!Q11</f>
        <v>18700</v>
      </c>
      <c r="Q19" s="243">
        <f>'Открытые тарифы '!R11</f>
        <v>18700</v>
      </c>
      <c r="R19" s="243">
        <f>'Открытые тарифы '!S11</f>
        <v>18700</v>
      </c>
      <c r="S19" s="243">
        <f>'Открытые тарифы '!T11</f>
        <v>16830</v>
      </c>
      <c r="T19" s="243">
        <f>'Открытые тарифы '!U11</f>
        <v>15895</v>
      </c>
      <c r="U19" s="243">
        <f>'Открытые тарифы '!V11</f>
        <v>9350</v>
      </c>
      <c r="V19" s="243">
        <f>'Открытые тарифы '!W11</f>
        <v>12155</v>
      </c>
      <c r="W19" s="243">
        <f>'Открытые тарифы '!X11</f>
        <v>9350</v>
      </c>
      <c r="X19" s="243">
        <f>'Открытые тарифы '!Y11</f>
        <v>12155</v>
      </c>
      <c r="Y19" s="243">
        <f>'Открытые тарифы '!Z11</f>
        <v>12155</v>
      </c>
      <c r="Z19" s="243">
        <f>'Открытые тарифы '!AA11</f>
        <v>16830</v>
      </c>
      <c r="AA19" s="247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21"/>
      <c r="AU19" s="221"/>
      <c r="AV19" s="221"/>
      <c r="AW19" s="221"/>
      <c r="AX19" s="221"/>
      <c r="AY19" s="221"/>
      <c r="AZ19" s="221"/>
      <c r="BA19" s="221"/>
    </row>
    <row r="20" spans="1:53" ht="32.25" customHeight="1">
      <c r="A20" s="242" t="s">
        <v>425</v>
      </c>
      <c r="B20" s="243"/>
      <c r="C20" s="840">
        <f>(C19*C6+D19*D6)/SUM(C6:D6)</f>
        <v>16437.903225806451</v>
      </c>
      <c r="D20" s="813"/>
      <c r="E20" s="840">
        <f>(E19*E6+F19*F6)/SUM(E6:F6)</f>
        <v>11754.285714285714</v>
      </c>
      <c r="F20" s="813"/>
      <c r="G20" s="840">
        <f>(G19*G6+H19*H6)/SUM(G6:H6)</f>
        <v>11883.548387096775</v>
      </c>
      <c r="H20" s="813"/>
      <c r="I20" s="840">
        <f>(I19*I6+J19*J6)/SUM(I6:J6)</f>
        <v>11718.666666666666</v>
      </c>
      <c r="J20" s="813"/>
      <c r="K20" s="840">
        <f>(K19*K6+L19*L6)/SUM(K6:L6)</f>
        <v>15261.612903225807</v>
      </c>
      <c r="L20" s="813"/>
      <c r="M20" s="840">
        <f>(M19*M6+N19*N6)/SUM(M6:N6)</f>
        <v>18700</v>
      </c>
      <c r="N20" s="813"/>
      <c r="O20" s="840">
        <f>(O19*O6+P19*P6)/SUM(O6:P6)</f>
        <v>18700</v>
      </c>
      <c r="P20" s="813"/>
      <c r="Q20" s="840">
        <f>(Q19*Q6+R19*R6)/SUM(Q6:R6)</f>
        <v>18700</v>
      </c>
      <c r="R20" s="813"/>
      <c r="S20" s="840">
        <f>(S19*S6+T19*T6)/SUM(S6:T6)</f>
        <v>16549.5</v>
      </c>
      <c r="T20" s="813"/>
      <c r="U20" s="840">
        <f>(U19*U6+V19*V6)/SUM(U6:V6)</f>
        <v>10073.870967741936</v>
      </c>
      <c r="V20" s="813"/>
      <c r="W20" s="840">
        <f>(W19*W6+X19*X6)/SUM(W6:X6)</f>
        <v>10098</v>
      </c>
      <c r="X20" s="813"/>
      <c r="Y20" s="840">
        <f>(Y19*Y6+Z19*Z6)/SUM(Y6:Z6)</f>
        <v>13361.451612903225</v>
      </c>
      <c r="Z20" s="812"/>
      <c r="AA20" s="247">
        <f>AVERAGE(C20:Z20)</f>
        <v>14436.569956477213</v>
      </c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</row>
    <row r="21" spans="1:53" ht="6" customHeight="1">
      <c r="A21" s="242"/>
      <c r="B21" s="243"/>
      <c r="C21" s="253"/>
      <c r="D21" s="253"/>
      <c r="E21" s="253"/>
      <c r="F21" s="253"/>
      <c r="G21" s="253"/>
      <c r="H21" s="253"/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46"/>
      <c r="AA21" s="247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</row>
    <row r="22" spans="1:53" ht="30" customHeight="1">
      <c r="A22" s="254" t="str">
        <f>'Открытые тарифы '!A12</f>
        <v xml:space="preserve">Президентский сьюит                         </v>
      </c>
      <c r="B22" s="249">
        <f>'Открытые тарифы '!C12</f>
        <v>1</v>
      </c>
      <c r="C22" s="243">
        <f>'Открытые тарифы '!D12</f>
        <v>20625</v>
      </c>
      <c r="D22" s="243">
        <f>'Открытые тарифы '!E12</f>
        <v>27500</v>
      </c>
      <c r="E22" s="243">
        <f>'Открытые тарифы '!F12</f>
        <v>16500</v>
      </c>
      <c r="F22" s="243">
        <f>'Открытые тарифы '!G12</f>
        <v>19249.999999999996</v>
      </c>
      <c r="G22" s="243">
        <f>'Открытые тарифы '!H12</f>
        <v>16500</v>
      </c>
      <c r="H22" s="243">
        <f>'Открытые тарифы '!I12</f>
        <v>19249.999999999996</v>
      </c>
      <c r="I22" s="243">
        <f>'Открытые тарифы '!J12</f>
        <v>16500</v>
      </c>
      <c r="J22" s="243">
        <f>'Открытые тарифы '!K12</f>
        <v>19249.999999999996</v>
      </c>
      <c r="K22" s="243">
        <f>'Открытые тарифы '!L12</f>
        <v>19249.999999999996</v>
      </c>
      <c r="L22" s="243">
        <f>'Открытые тарифы '!M12</f>
        <v>27500</v>
      </c>
      <c r="M22" s="243">
        <f>'Открытые тарифы '!N12</f>
        <v>27500</v>
      </c>
      <c r="N22" s="243">
        <f>'Открытые тарифы '!O12</f>
        <v>27500</v>
      </c>
      <c r="O22" s="243">
        <f>'Открытые тарифы '!P12</f>
        <v>27500</v>
      </c>
      <c r="P22" s="243">
        <f>'Открытые тарифы '!Q12</f>
        <v>27500</v>
      </c>
      <c r="Q22" s="243">
        <f>'Открытые тарифы '!R12</f>
        <v>27500</v>
      </c>
      <c r="R22" s="243">
        <f>'Открытые тарифы '!S12</f>
        <v>27500</v>
      </c>
      <c r="S22" s="243">
        <f>'Открытые тарифы '!T12</f>
        <v>24750</v>
      </c>
      <c r="T22" s="243">
        <f>'Открытые тарифы '!U12</f>
        <v>23375</v>
      </c>
      <c r="U22" s="243">
        <f>'Открытые тарифы '!V12</f>
        <v>13750</v>
      </c>
      <c r="V22" s="243">
        <f>'Открытые тарифы '!W12</f>
        <v>17875</v>
      </c>
      <c r="W22" s="243">
        <f>'Открытые тарифы '!X12</f>
        <v>13750</v>
      </c>
      <c r="X22" s="243">
        <f>'Открытые тарифы '!Y12</f>
        <v>17875</v>
      </c>
      <c r="Y22" s="243">
        <f>'Открытые тарифы '!Z12</f>
        <v>17875</v>
      </c>
      <c r="Z22" s="243">
        <f>'Открытые тарифы '!AA12</f>
        <v>24750</v>
      </c>
      <c r="AA22" s="247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</row>
    <row r="23" spans="1:53" ht="12.75" customHeight="1">
      <c r="A23" s="242" t="s">
        <v>425</v>
      </c>
      <c r="B23" s="221"/>
      <c r="C23" s="840">
        <f>(C22*C6+D22*D6)/SUM(C6:D6)</f>
        <v>24173.387096774193</v>
      </c>
      <c r="D23" s="813"/>
      <c r="E23" s="840">
        <f>(E22*E6+F22*F6)/SUM(E6:F6)</f>
        <v>17285.714285714286</v>
      </c>
      <c r="F23" s="813"/>
      <c r="G23" s="840">
        <f>(G22*G6+H22*H6)/SUM(G6:H6)</f>
        <v>17475.806451612902</v>
      </c>
      <c r="H23" s="813"/>
      <c r="I23" s="840">
        <f>(I22*I6+J22*J6)/SUM(I6:J6)</f>
        <v>17233.333333333332</v>
      </c>
      <c r="J23" s="813"/>
      <c r="K23" s="840">
        <f>(K22*K6+L22*L6)/SUM(K6:L6)</f>
        <v>22443.548387096773</v>
      </c>
      <c r="L23" s="813"/>
      <c r="M23" s="840">
        <f>(M22*M6+N22*N6)/SUM(M6:N6)</f>
        <v>27500</v>
      </c>
      <c r="N23" s="813"/>
      <c r="O23" s="840">
        <f>(O22*O6+P22*P6)/SUM(O6:P6)</f>
        <v>27500</v>
      </c>
      <c r="P23" s="813"/>
      <c r="Q23" s="840">
        <f>(Q22*Q6+R22*R6)/SUM(Q6:R6)</f>
        <v>27500</v>
      </c>
      <c r="R23" s="813"/>
      <c r="S23" s="840">
        <f>(S22*S6+T22*T6)/SUM(S6:T6)</f>
        <v>24337.5</v>
      </c>
      <c r="T23" s="813"/>
      <c r="U23" s="840">
        <f>(U22*U6+V22*V6)/SUM(U6:V6)</f>
        <v>14814.516129032258</v>
      </c>
      <c r="V23" s="813"/>
      <c r="W23" s="840">
        <f>(W22*W6+X22*X6)/SUM(W6:X6)</f>
        <v>14850</v>
      </c>
      <c r="X23" s="813"/>
      <c r="Y23" s="840">
        <f>(Y22*Y6+Z22*Z6)/SUM(Y6:Z6)</f>
        <v>19649.193548387098</v>
      </c>
      <c r="Z23" s="812"/>
      <c r="AA23" s="247">
        <f>AVERAGE(C23:Z23)</f>
        <v>21230.249935995904</v>
      </c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</row>
    <row r="24" spans="1:53" ht="5.25" customHeight="1">
      <c r="A24" s="242"/>
      <c r="B24" s="243"/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9"/>
      <c r="AA24" s="227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</row>
    <row r="25" spans="1:53" ht="3.75" customHeight="1">
      <c r="A25" s="255"/>
      <c r="B25" s="256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8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  <c r="AV25" s="241"/>
      <c r="AW25" s="241"/>
      <c r="AX25" s="241"/>
      <c r="AY25" s="241"/>
      <c r="AZ25" s="241"/>
      <c r="BA25" s="241"/>
    </row>
    <row r="26" spans="1:53" ht="12.75" customHeight="1">
      <c r="A26" s="242" t="s">
        <v>426</v>
      </c>
      <c r="B26" s="253">
        <f>SUM(B7:B24)</f>
        <v>120</v>
      </c>
      <c r="C26" s="253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27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</row>
    <row r="27" spans="1:53" ht="6" customHeight="1">
      <c r="A27" s="220"/>
      <c r="B27" s="256"/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  <c r="AA27" s="227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</row>
    <row r="28" spans="1:53" ht="12" customHeight="1">
      <c r="A28" s="259" t="s">
        <v>427</v>
      </c>
      <c r="B28" s="253"/>
      <c r="C28" s="840">
        <f>(C8*$B$7+C11*$B$10+C14*$B$13+C20*$B$19+C17*$B$16+C23*$B$22)/$B$26</f>
        <v>10813.56182795699</v>
      </c>
      <c r="D28" s="813"/>
      <c r="E28" s="840">
        <f>(E8*$B$7+E11*$B$10+E14*$B$13+E20*$B$19+E17*$B$16+E23*$B$22)/$B$26</f>
        <v>7732.4761904761917</v>
      </c>
      <c r="F28" s="813"/>
      <c r="G28" s="840">
        <f>(G8*$B$7+G11*$B$10+G14*$B$13+G20*$B$19+G17*$B$16+G23*$B$22)/$B$26</f>
        <v>7817.5107526881711</v>
      </c>
      <c r="H28" s="813"/>
      <c r="I28" s="840">
        <f>(I8*$B$7+I11*$B$10+I14*$B$13+I20*$B$19+I17*$B$16+I23*$B$22)/$B$26</f>
        <v>7709.0444444444447</v>
      </c>
      <c r="J28" s="813"/>
      <c r="K28" s="840">
        <f>(K8*$B$7+K11*$B$10+K14*$B$13+K20*$B$19+K17*$B$16+K23*$B$22)/$B$26</f>
        <v>10039.747311827956</v>
      </c>
      <c r="L28" s="813"/>
      <c r="M28" s="840">
        <f>(M8*$B$7+M11*$B$10+M14*$B$13+M20*$B$19+M17*$B$16+M23*$B$22)/$B$26</f>
        <v>12301.666666666666</v>
      </c>
      <c r="N28" s="813"/>
      <c r="O28" s="840">
        <f>(O8*$B$7+O11*$B$10+O14*$B$13+O20*$B$19+O17*$B$16+O23*$B$22)/$B$26</f>
        <v>12301.666666666666</v>
      </c>
      <c r="P28" s="813"/>
      <c r="Q28" s="840">
        <f>(Q8*$B$7+Q11*$B$10+Q14*$B$13+Q20*$B$19+Q17*$B$16+Q23*$B$22)/$B$26</f>
        <v>12301.666666666666</v>
      </c>
      <c r="R28" s="813"/>
      <c r="S28" s="840">
        <f>(S8*$B$7+S11*$B$10+S14*$B$13+S20*$B$19+S17*$B$16+S23*$B$22)/$B$26</f>
        <v>10886.975</v>
      </c>
      <c r="T28" s="813"/>
      <c r="U28" s="840">
        <f>(U8*$B$7+U11*$B$10+U14*$B$13+U20*$B$19+U17*$B$16+U23*$B$22)/$B$26</f>
        <v>6627.0268817204305</v>
      </c>
      <c r="V28" s="813"/>
      <c r="W28" s="840">
        <f>(W8*$B$7+W11*$B$10+W14*$B$13+W20*$B$19+W17*$B$16+W23*$B$22)/$B$26</f>
        <v>6642.9</v>
      </c>
      <c r="X28" s="813"/>
      <c r="Y28" s="840">
        <f>(Y8*$B$7+Y11*$B$10+Y14*$B$13+Y20*$B$19+Y17*$B$16+Y23*$B$22)/$B$26</f>
        <v>8789.7392473118289</v>
      </c>
      <c r="Z28" s="812"/>
      <c r="AA28" s="247">
        <f>AVERAGE(C28:Z28)</f>
        <v>9496.9984713688336</v>
      </c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  <c r="AV28" s="241"/>
      <c r="AW28" s="241"/>
      <c r="AX28" s="241"/>
      <c r="AY28" s="241"/>
      <c r="AZ28" s="241"/>
      <c r="BA28" s="241"/>
    </row>
    <row r="29" spans="1:53" ht="12" customHeight="1">
      <c r="A29" s="260"/>
      <c r="B29" s="217"/>
      <c r="C29" s="261" t="s">
        <v>370</v>
      </c>
      <c r="D29" s="261" t="s">
        <v>371</v>
      </c>
      <c r="E29" s="261" t="s">
        <v>372</v>
      </c>
      <c r="F29" s="261" t="s">
        <v>373</v>
      </c>
      <c r="G29" s="261" t="s">
        <v>331</v>
      </c>
      <c r="H29" s="261" t="s">
        <v>374</v>
      </c>
      <c r="I29" s="261" t="s">
        <v>375</v>
      </c>
      <c r="J29" s="261" t="s">
        <v>376</v>
      </c>
      <c r="K29" s="261" t="s">
        <v>377</v>
      </c>
      <c r="L29" s="261" t="s">
        <v>378</v>
      </c>
      <c r="M29" s="261" t="s">
        <v>379</v>
      </c>
      <c r="N29" s="261" t="s">
        <v>380</v>
      </c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Z29" s="26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241"/>
      <c r="AW29" s="241"/>
      <c r="AX29" s="241"/>
      <c r="AY29" s="241"/>
      <c r="AZ29" s="241"/>
      <c r="BA29" s="241"/>
    </row>
    <row r="30" spans="1:53" ht="12" customHeight="1">
      <c r="A30" s="260"/>
      <c r="B30" s="217"/>
      <c r="C30" s="261">
        <f>C28</f>
        <v>10813.56182795699</v>
      </c>
      <c r="D30" s="261">
        <f>E28</f>
        <v>7732.4761904761917</v>
      </c>
      <c r="E30" s="261">
        <f>G28</f>
        <v>7817.5107526881711</v>
      </c>
      <c r="F30" s="261">
        <f>I28</f>
        <v>7709.0444444444447</v>
      </c>
      <c r="G30" s="261">
        <f>K28</f>
        <v>10039.747311827956</v>
      </c>
      <c r="H30" s="261">
        <f>M28</f>
        <v>12301.666666666666</v>
      </c>
      <c r="I30" s="261">
        <f>O28</f>
        <v>12301.666666666666</v>
      </c>
      <c r="J30" s="261">
        <f>Q28</f>
        <v>12301.666666666666</v>
      </c>
      <c r="K30" s="261">
        <f>S28</f>
        <v>10886.975</v>
      </c>
      <c r="L30" s="261">
        <f>U28</f>
        <v>6627.0268817204305</v>
      </c>
      <c r="M30" s="261">
        <f>W28</f>
        <v>6642.9</v>
      </c>
      <c r="N30" s="261">
        <f>Y28</f>
        <v>8789.7392473118289</v>
      </c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  <c r="AV30" s="241"/>
      <c r="AW30" s="241"/>
      <c r="AX30" s="241"/>
      <c r="AY30" s="241"/>
      <c r="AZ30" s="241"/>
      <c r="BA30" s="241"/>
    </row>
    <row r="31" spans="1:53" ht="12" customHeight="1">
      <c r="A31" s="220"/>
      <c r="B31" s="221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  <c r="AX31" s="221"/>
      <c r="AY31" s="221"/>
      <c r="AZ31" s="221"/>
      <c r="BA31" s="221"/>
    </row>
    <row r="32" spans="1:53" ht="12.75" customHeight="1">
      <c r="A32" s="220"/>
      <c r="B32" s="221"/>
      <c r="C32" s="22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  <c r="O32" s="221"/>
      <c r="P32" s="221"/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21"/>
      <c r="AW32" s="221"/>
      <c r="AX32" s="221"/>
      <c r="AY32" s="221"/>
      <c r="AZ32" s="221"/>
      <c r="BA32" s="221"/>
    </row>
    <row r="33" spans="1:53" ht="12.75" customHeight="1">
      <c r="A33" s="220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  <c r="AS33" s="221"/>
      <c r="AT33" s="221"/>
      <c r="AU33" s="221"/>
      <c r="AV33" s="221"/>
      <c r="AW33" s="221"/>
      <c r="AX33" s="221"/>
      <c r="AY33" s="221"/>
      <c r="AZ33" s="221"/>
      <c r="BA33" s="221"/>
    </row>
    <row r="34" spans="1:53" ht="12.75" customHeight="1">
      <c r="A34" s="220"/>
      <c r="B34" s="221"/>
      <c r="C34" s="221"/>
      <c r="D34" s="221"/>
      <c r="E34" s="221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</row>
    <row r="35" spans="1:53" ht="12.75" customHeight="1">
      <c r="A35" s="220"/>
      <c r="B35" s="22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</row>
    <row r="36" spans="1:53" ht="12.75" customHeight="1">
      <c r="A36" s="220"/>
      <c r="B36" s="221"/>
      <c r="C36" s="221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</row>
    <row r="37" spans="1:53" ht="12.75" customHeight="1">
      <c r="A37" s="220"/>
      <c r="B37" s="221"/>
      <c r="C37" s="221"/>
      <c r="D37" s="221"/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</row>
    <row r="38" spans="1:53" ht="12.75" customHeight="1">
      <c r="A38" s="220"/>
      <c r="B38" s="221"/>
      <c r="C38" s="221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</row>
    <row r="39" spans="1:53" ht="12.75" customHeight="1">
      <c r="A39" s="220"/>
      <c r="B39" s="221"/>
      <c r="C39" s="221"/>
      <c r="D39" s="221"/>
      <c r="E39" s="221"/>
      <c r="F39" s="221"/>
      <c r="G39" s="221"/>
      <c r="H39" s="221"/>
      <c r="I39" s="221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  <c r="AH39" s="221"/>
      <c r="AI39" s="221"/>
      <c r="AJ39" s="221"/>
      <c r="AK39" s="221"/>
      <c r="AL39" s="221"/>
      <c r="AM39" s="221"/>
      <c r="AN39" s="221"/>
      <c r="AO39" s="221"/>
      <c r="AP39" s="221"/>
      <c r="AQ39" s="221"/>
      <c r="AR39" s="221"/>
      <c r="AS39" s="221"/>
      <c r="AT39" s="221"/>
      <c r="AU39" s="221"/>
      <c r="AV39" s="221"/>
      <c r="AW39" s="221"/>
      <c r="AX39" s="221"/>
      <c r="AY39" s="221"/>
      <c r="AZ39" s="221"/>
      <c r="BA39" s="221"/>
    </row>
    <row r="40" spans="1:53" ht="12.75" customHeight="1">
      <c r="A40" s="220"/>
      <c r="B40" s="221"/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21"/>
      <c r="V40" s="221"/>
      <c r="W40" s="221"/>
      <c r="X40" s="221"/>
      <c r="Y40" s="221"/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1"/>
      <c r="AO40" s="221"/>
      <c r="AP40" s="221"/>
      <c r="AQ40" s="221"/>
      <c r="AR40" s="221"/>
      <c r="AS40" s="221"/>
      <c r="AT40" s="221"/>
      <c r="AU40" s="221"/>
      <c r="AV40" s="221"/>
      <c r="AW40" s="221"/>
      <c r="AX40" s="221"/>
      <c r="AY40" s="221"/>
      <c r="AZ40" s="221"/>
      <c r="BA40" s="221"/>
    </row>
    <row r="41" spans="1:53" ht="12.75" customHeight="1">
      <c r="A41" s="220"/>
      <c r="B41" s="221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1"/>
      <c r="AG41" s="221"/>
      <c r="AH41" s="221"/>
      <c r="AI41" s="221"/>
      <c r="AJ41" s="221"/>
      <c r="AK41" s="221"/>
      <c r="AL41" s="221"/>
      <c r="AM41" s="221"/>
      <c r="AN41" s="221"/>
      <c r="AO41" s="221"/>
      <c r="AP41" s="221"/>
      <c r="AQ41" s="221"/>
      <c r="AR41" s="221"/>
      <c r="AS41" s="221"/>
      <c r="AT41" s="221"/>
      <c r="AU41" s="221"/>
      <c r="AV41" s="221"/>
      <c r="AW41" s="221"/>
      <c r="AX41" s="221"/>
      <c r="AY41" s="221"/>
      <c r="AZ41" s="221"/>
      <c r="BA41" s="221"/>
    </row>
    <row r="42" spans="1:53" ht="12.75" customHeight="1">
      <c r="A42" s="220"/>
      <c r="B42" s="22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</row>
    <row r="43" spans="1:53" ht="12.75" customHeight="1">
      <c r="A43" s="220"/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</row>
    <row r="44" spans="1:53" ht="12.75" customHeight="1">
      <c r="A44" s="220"/>
      <c r="B44" s="221"/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</row>
    <row r="45" spans="1:53" ht="12.75" customHeight="1">
      <c r="A45" s="220"/>
      <c r="B45" s="221"/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</row>
    <row r="46" spans="1:53" ht="12.75" customHeight="1">
      <c r="A46" s="220"/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</row>
    <row r="47" spans="1:53" ht="12.75" customHeight="1">
      <c r="A47" s="220"/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1"/>
      <c r="Y47" s="221"/>
      <c r="Z47" s="221"/>
      <c r="AA47" s="221"/>
      <c r="AB47" s="221"/>
      <c r="AC47" s="221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</row>
    <row r="48" spans="1:53" ht="12.75" customHeight="1">
      <c r="A48" s="220"/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</row>
    <row r="49" spans="1:53" ht="12.75" customHeight="1">
      <c r="A49" s="220"/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</row>
    <row r="50" spans="1:53" ht="12.75" customHeight="1">
      <c r="A50" s="220"/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</row>
    <row r="51" spans="1:53" ht="12.75" customHeight="1">
      <c r="A51" s="220"/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  <c r="AB51" s="221"/>
      <c r="AC51" s="221"/>
      <c r="AD51" s="221"/>
      <c r="AE51" s="221"/>
      <c r="AF51" s="221"/>
      <c r="AG51" s="221"/>
      <c r="AH51" s="221"/>
      <c r="AI51" s="221"/>
      <c r="AJ51" s="221"/>
      <c r="AK51" s="221"/>
      <c r="AL51" s="221"/>
      <c r="AM51" s="221"/>
      <c r="AN51" s="221"/>
      <c r="AO51" s="221"/>
      <c r="AP51" s="221"/>
      <c r="AQ51" s="221"/>
      <c r="AR51" s="221"/>
      <c r="AS51" s="221"/>
      <c r="AT51" s="221"/>
      <c r="AU51" s="221"/>
      <c r="AV51" s="221"/>
      <c r="AW51" s="221"/>
      <c r="AX51" s="221"/>
      <c r="AY51" s="221"/>
      <c r="AZ51" s="221"/>
      <c r="BA51" s="221"/>
    </row>
    <row r="52" spans="1:53" ht="12.75" customHeight="1">
      <c r="A52" s="220"/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  <c r="P52" s="221"/>
      <c r="Q52" s="221"/>
      <c r="R52" s="221"/>
      <c r="S52" s="221"/>
      <c r="T52" s="221"/>
      <c r="U52" s="221"/>
      <c r="V52" s="221"/>
      <c r="W52" s="221"/>
      <c r="X52" s="221"/>
      <c r="Y52" s="221"/>
      <c r="Z52" s="221"/>
      <c r="AA52" s="221"/>
      <c r="AB52" s="221"/>
      <c r="AC52" s="221"/>
      <c r="AD52" s="221"/>
      <c r="AE52" s="221"/>
      <c r="AF52" s="221"/>
      <c r="AG52" s="221"/>
      <c r="AH52" s="221"/>
      <c r="AI52" s="221"/>
      <c r="AJ52" s="221"/>
      <c r="AK52" s="221"/>
      <c r="AL52" s="221"/>
      <c r="AM52" s="221"/>
      <c r="AN52" s="221"/>
      <c r="AO52" s="221"/>
      <c r="AP52" s="221"/>
      <c r="AQ52" s="221"/>
      <c r="AR52" s="221"/>
      <c r="AS52" s="221"/>
      <c r="AT52" s="221"/>
      <c r="AU52" s="221"/>
      <c r="AV52" s="221"/>
      <c r="AW52" s="221"/>
      <c r="AX52" s="221"/>
      <c r="AY52" s="221"/>
      <c r="AZ52" s="221"/>
      <c r="BA52" s="221"/>
    </row>
    <row r="53" spans="1:53" ht="12.75" customHeight="1">
      <c r="A53" s="220"/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</row>
    <row r="54" spans="1:53" ht="12.75" customHeight="1">
      <c r="A54" s="220"/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  <c r="AH54" s="221"/>
      <c r="AI54" s="221"/>
      <c r="AJ54" s="221"/>
      <c r="AK54" s="221"/>
      <c r="AL54" s="221"/>
      <c r="AM54" s="221"/>
      <c r="AN54" s="221"/>
      <c r="AO54" s="221"/>
      <c r="AP54" s="221"/>
      <c r="AQ54" s="221"/>
      <c r="AR54" s="221"/>
      <c r="AS54" s="221"/>
      <c r="AT54" s="221"/>
      <c r="AU54" s="221"/>
      <c r="AV54" s="221"/>
      <c r="AW54" s="221"/>
      <c r="AX54" s="221"/>
      <c r="AY54" s="221"/>
      <c r="AZ54" s="221"/>
      <c r="BA54" s="221"/>
    </row>
    <row r="55" spans="1:53" ht="12.75" customHeight="1">
      <c r="A55" s="220"/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  <c r="AB55" s="221"/>
      <c r="AC55" s="221"/>
      <c r="AD55" s="221"/>
      <c r="AE55" s="221"/>
      <c r="AF55" s="221"/>
      <c r="AG55" s="221"/>
      <c r="AH55" s="221"/>
      <c r="AI55" s="221"/>
      <c r="AJ55" s="221"/>
      <c r="AK55" s="221"/>
      <c r="AL55" s="221"/>
      <c r="AM55" s="221"/>
      <c r="AN55" s="221"/>
      <c r="AO55" s="221"/>
      <c r="AP55" s="221"/>
      <c r="AQ55" s="221"/>
      <c r="AR55" s="221"/>
      <c r="AS55" s="221"/>
      <c r="AT55" s="221"/>
      <c r="AU55" s="221"/>
      <c r="AV55" s="221"/>
      <c r="AW55" s="221"/>
      <c r="AX55" s="221"/>
      <c r="AY55" s="221"/>
      <c r="AZ55" s="221"/>
      <c r="BA55" s="221"/>
    </row>
    <row r="56" spans="1:53" ht="12.75" customHeight="1">
      <c r="A56" s="220"/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  <c r="R56" s="221"/>
      <c r="S56" s="221"/>
      <c r="T56" s="221"/>
      <c r="U56" s="221"/>
      <c r="V56" s="221"/>
      <c r="W56" s="221"/>
      <c r="X56" s="221"/>
      <c r="Y56" s="221"/>
      <c r="Z56" s="221"/>
      <c r="AA56" s="221"/>
      <c r="AB56" s="221"/>
      <c r="AC56" s="221"/>
      <c r="AD56" s="221"/>
      <c r="AE56" s="221"/>
      <c r="AF56" s="221"/>
      <c r="AG56" s="221"/>
      <c r="AH56" s="221"/>
      <c r="AI56" s="221"/>
      <c r="AJ56" s="221"/>
      <c r="AK56" s="221"/>
      <c r="AL56" s="221"/>
      <c r="AM56" s="221"/>
      <c r="AN56" s="221"/>
      <c r="AO56" s="221"/>
      <c r="AP56" s="221"/>
      <c r="AQ56" s="221"/>
      <c r="AR56" s="221"/>
      <c r="AS56" s="221"/>
      <c r="AT56" s="221"/>
      <c r="AU56" s="221"/>
      <c r="AV56" s="221"/>
      <c r="AW56" s="221"/>
      <c r="AX56" s="221"/>
      <c r="AY56" s="221"/>
      <c r="AZ56" s="221"/>
      <c r="BA56" s="221"/>
    </row>
    <row r="57" spans="1:53" ht="12.75" customHeight="1">
      <c r="A57" s="220"/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1"/>
      <c r="AW57" s="221"/>
      <c r="AX57" s="221"/>
      <c r="AY57" s="221"/>
      <c r="AZ57" s="221"/>
      <c r="BA57" s="221"/>
    </row>
    <row r="58" spans="1:53" ht="12.75" customHeight="1">
      <c r="A58" s="220"/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  <c r="P58" s="221"/>
      <c r="Q58" s="221"/>
      <c r="R58" s="221"/>
      <c r="S58" s="221"/>
      <c r="T58" s="221"/>
      <c r="U58" s="221"/>
      <c r="V58" s="221"/>
      <c r="W58" s="221"/>
      <c r="X58" s="221"/>
      <c r="Y58" s="221"/>
      <c r="Z58" s="221"/>
      <c r="AA58" s="221"/>
      <c r="AB58" s="221"/>
      <c r="AC58" s="221"/>
      <c r="AD58" s="221"/>
      <c r="AE58" s="221"/>
      <c r="AF58" s="221"/>
      <c r="AG58" s="221"/>
      <c r="AH58" s="221"/>
      <c r="AI58" s="221"/>
      <c r="AJ58" s="221"/>
      <c r="AK58" s="221"/>
      <c r="AL58" s="221"/>
      <c r="AM58" s="221"/>
      <c r="AN58" s="221"/>
      <c r="AO58" s="221"/>
      <c r="AP58" s="221"/>
      <c r="AQ58" s="221"/>
      <c r="AR58" s="221"/>
      <c r="AS58" s="221"/>
      <c r="AT58" s="221"/>
      <c r="AU58" s="221"/>
      <c r="AV58" s="221"/>
      <c r="AW58" s="221"/>
      <c r="AX58" s="221"/>
      <c r="AY58" s="221"/>
      <c r="AZ58" s="221"/>
      <c r="BA58" s="221"/>
    </row>
    <row r="59" spans="1:53" ht="12.75" customHeight="1">
      <c r="A59" s="220"/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  <c r="R59" s="221"/>
      <c r="S59" s="221"/>
      <c r="T59" s="221"/>
      <c r="U59" s="221"/>
      <c r="V59" s="221"/>
      <c r="W59" s="221"/>
      <c r="X59" s="221"/>
      <c r="Y59" s="221"/>
      <c r="Z59" s="221"/>
      <c r="AA59" s="221"/>
      <c r="AB59" s="221"/>
      <c r="AC59" s="221"/>
      <c r="AD59" s="221"/>
      <c r="AE59" s="221"/>
      <c r="AF59" s="221"/>
      <c r="AG59" s="221"/>
      <c r="AH59" s="221"/>
      <c r="AI59" s="221"/>
      <c r="AJ59" s="221"/>
      <c r="AK59" s="221"/>
      <c r="AL59" s="221"/>
      <c r="AM59" s="221"/>
      <c r="AN59" s="221"/>
      <c r="AO59" s="221"/>
      <c r="AP59" s="221"/>
      <c r="AQ59" s="221"/>
      <c r="AR59" s="221"/>
      <c r="AS59" s="221"/>
      <c r="AT59" s="221"/>
      <c r="AU59" s="221"/>
      <c r="AV59" s="221"/>
      <c r="AW59" s="221"/>
      <c r="AX59" s="221"/>
      <c r="AY59" s="221"/>
      <c r="AZ59" s="221"/>
      <c r="BA59" s="221"/>
    </row>
    <row r="60" spans="1:53" ht="12.75" customHeight="1">
      <c r="A60" s="220"/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  <c r="AJ60" s="221"/>
      <c r="AK60" s="221"/>
      <c r="AL60" s="221"/>
      <c r="AM60" s="221"/>
      <c r="AN60" s="221"/>
      <c r="AO60" s="221"/>
      <c r="AP60" s="221"/>
      <c r="AQ60" s="221"/>
      <c r="AR60" s="221"/>
      <c r="AS60" s="221"/>
      <c r="AT60" s="221"/>
      <c r="AU60" s="221"/>
      <c r="AV60" s="221"/>
      <c r="AW60" s="221"/>
      <c r="AX60" s="221"/>
      <c r="AY60" s="221"/>
      <c r="AZ60" s="221"/>
      <c r="BA60" s="221"/>
    </row>
    <row r="61" spans="1:53" ht="12.75" customHeight="1">
      <c r="A61" s="220"/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1"/>
      <c r="Z61" s="221"/>
      <c r="AA61" s="221"/>
      <c r="AB61" s="221"/>
      <c r="AC61" s="221"/>
      <c r="AD61" s="221"/>
      <c r="AE61" s="221"/>
      <c r="AF61" s="221"/>
      <c r="AG61" s="221"/>
      <c r="AH61" s="221"/>
      <c r="AI61" s="221"/>
      <c r="AJ61" s="221"/>
      <c r="AK61" s="221"/>
      <c r="AL61" s="221"/>
      <c r="AM61" s="221"/>
      <c r="AN61" s="221"/>
      <c r="AO61" s="221"/>
      <c r="AP61" s="221"/>
      <c r="AQ61" s="221"/>
      <c r="AR61" s="221"/>
      <c r="AS61" s="221"/>
      <c r="AT61" s="221"/>
      <c r="AU61" s="221"/>
      <c r="AV61" s="221"/>
      <c r="AW61" s="221"/>
      <c r="AX61" s="221"/>
      <c r="AY61" s="221"/>
      <c r="AZ61" s="221"/>
      <c r="BA61" s="221"/>
    </row>
    <row r="62" spans="1:53" ht="12.75" customHeight="1">
      <c r="A62" s="220"/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221"/>
      <c r="AY62" s="221"/>
      <c r="AZ62" s="221"/>
      <c r="BA62" s="221"/>
    </row>
    <row r="63" spans="1:53" ht="12.75" customHeight="1">
      <c r="A63" s="220"/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</row>
    <row r="64" spans="1:53" ht="12.75" customHeight="1">
      <c r="A64" s="220"/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</row>
    <row r="65" spans="1:53" ht="12.75" customHeight="1">
      <c r="A65" s="220"/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W65" s="221"/>
      <c r="AX65" s="221"/>
      <c r="AY65" s="221"/>
      <c r="AZ65" s="221"/>
      <c r="BA65" s="221"/>
    </row>
    <row r="66" spans="1:53" ht="12.75" customHeight="1">
      <c r="A66" s="220"/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1"/>
      <c r="AL66" s="221"/>
      <c r="AM66" s="221"/>
      <c r="AN66" s="221"/>
      <c r="AO66" s="221"/>
      <c r="AP66" s="221"/>
      <c r="AQ66" s="221"/>
      <c r="AR66" s="221"/>
      <c r="AS66" s="221"/>
      <c r="AT66" s="221"/>
      <c r="AU66" s="221"/>
      <c r="AV66" s="221"/>
      <c r="AW66" s="221"/>
      <c r="AX66" s="221"/>
      <c r="AY66" s="221"/>
      <c r="AZ66" s="221"/>
      <c r="BA66" s="221"/>
    </row>
    <row r="67" spans="1:53" ht="12.75" customHeight="1">
      <c r="A67" s="220"/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1"/>
      <c r="AD67" s="221"/>
      <c r="AE67" s="221"/>
      <c r="AF67" s="221"/>
      <c r="AG67" s="221"/>
      <c r="AH67" s="221"/>
      <c r="AI67" s="221"/>
      <c r="AJ67" s="221"/>
      <c r="AK67" s="221"/>
      <c r="AL67" s="221"/>
      <c r="AM67" s="221"/>
      <c r="AN67" s="221"/>
      <c r="AO67" s="221"/>
      <c r="AP67" s="221"/>
      <c r="AQ67" s="221"/>
      <c r="AR67" s="221"/>
      <c r="AS67" s="221"/>
      <c r="AT67" s="221"/>
      <c r="AU67" s="221"/>
      <c r="AV67" s="221"/>
      <c r="AW67" s="221"/>
      <c r="AX67" s="221"/>
      <c r="AY67" s="221"/>
      <c r="AZ67" s="221"/>
      <c r="BA67" s="221"/>
    </row>
    <row r="68" spans="1:53" ht="12.75" customHeight="1">
      <c r="A68" s="220"/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</row>
    <row r="69" spans="1:53" ht="12.75" customHeight="1">
      <c r="A69" s="220"/>
      <c r="B69" s="221"/>
      <c r="C69" s="221"/>
      <c r="D69" s="221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  <c r="AB69" s="221"/>
      <c r="AC69" s="221"/>
      <c r="AD69" s="221"/>
      <c r="AE69" s="221"/>
      <c r="AF69" s="221"/>
      <c r="AG69" s="221"/>
      <c r="AH69" s="221"/>
      <c r="AI69" s="221"/>
      <c r="AJ69" s="221"/>
      <c r="AK69" s="221"/>
      <c r="AL69" s="221"/>
      <c r="AM69" s="221"/>
      <c r="AN69" s="221"/>
      <c r="AO69" s="221"/>
      <c r="AP69" s="221"/>
      <c r="AQ69" s="221"/>
      <c r="AR69" s="221"/>
      <c r="AS69" s="221"/>
      <c r="AT69" s="221"/>
      <c r="AU69" s="221"/>
      <c r="AV69" s="221"/>
      <c r="AW69" s="221"/>
      <c r="AX69" s="221"/>
      <c r="AY69" s="221"/>
      <c r="AZ69" s="221"/>
      <c r="BA69" s="221"/>
    </row>
    <row r="70" spans="1:53" ht="12.75" customHeight="1">
      <c r="A70" s="220"/>
      <c r="B70" s="221"/>
      <c r="C70" s="221"/>
      <c r="D70" s="221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21"/>
      <c r="P70" s="221"/>
      <c r="Q70" s="221"/>
      <c r="R70" s="221"/>
      <c r="S70" s="221"/>
      <c r="T70" s="221"/>
      <c r="U70" s="221"/>
      <c r="V70" s="221"/>
      <c r="W70" s="221"/>
      <c r="X70" s="221"/>
      <c r="Y70" s="221"/>
      <c r="Z70" s="221"/>
      <c r="AA70" s="221"/>
      <c r="AB70" s="221"/>
      <c r="AC70" s="221"/>
      <c r="AD70" s="221"/>
      <c r="AE70" s="221"/>
      <c r="AF70" s="221"/>
      <c r="AG70" s="221"/>
      <c r="AH70" s="221"/>
      <c r="AI70" s="221"/>
      <c r="AJ70" s="221"/>
      <c r="AK70" s="221"/>
      <c r="AL70" s="221"/>
      <c r="AM70" s="221"/>
      <c r="AN70" s="221"/>
      <c r="AO70" s="221"/>
      <c r="AP70" s="221"/>
      <c r="AQ70" s="221"/>
      <c r="AR70" s="221"/>
      <c r="AS70" s="221"/>
      <c r="AT70" s="221"/>
      <c r="AU70" s="221"/>
      <c r="AV70" s="221"/>
      <c r="AW70" s="221"/>
      <c r="AX70" s="221"/>
      <c r="AY70" s="221"/>
      <c r="AZ70" s="221"/>
      <c r="BA70" s="221"/>
    </row>
    <row r="71" spans="1:53" ht="12.75" customHeight="1">
      <c r="A71" s="220"/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1"/>
      <c r="Q71" s="221"/>
      <c r="R71" s="221"/>
      <c r="S71" s="221"/>
      <c r="T71" s="221"/>
      <c r="U71" s="221"/>
      <c r="V71" s="221"/>
      <c r="W71" s="221"/>
      <c r="X71" s="221"/>
      <c r="Y71" s="221"/>
      <c r="Z71" s="221"/>
      <c r="AA71" s="221"/>
      <c r="AB71" s="221"/>
      <c r="AC71" s="221"/>
      <c r="AD71" s="221"/>
      <c r="AE71" s="221"/>
      <c r="AF71" s="221"/>
      <c r="AG71" s="221"/>
      <c r="AH71" s="221"/>
      <c r="AI71" s="221"/>
      <c r="AJ71" s="221"/>
      <c r="AK71" s="221"/>
      <c r="AL71" s="221"/>
      <c r="AM71" s="221"/>
      <c r="AN71" s="221"/>
      <c r="AO71" s="221"/>
      <c r="AP71" s="221"/>
      <c r="AQ71" s="221"/>
      <c r="AR71" s="221"/>
      <c r="AS71" s="221"/>
      <c r="AT71" s="221"/>
      <c r="AU71" s="221"/>
      <c r="AV71" s="221"/>
      <c r="AW71" s="221"/>
      <c r="AX71" s="221"/>
      <c r="AY71" s="221"/>
      <c r="AZ71" s="221"/>
      <c r="BA71" s="221"/>
    </row>
    <row r="72" spans="1:53" ht="12.75" customHeight="1">
      <c r="A72" s="220"/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21"/>
      <c r="AD72" s="221"/>
      <c r="AE72" s="221"/>
      <c r="AF72" s="221"/>
      <c r="AG72" s="221"/>
      <c r="AH72" s="221"/>
      <c r="AI72" s="221"/>
      <c r="AJ72" s="221"/>
      <c r="AK72" s="221"/>
      <c r="AL72" s="221"/>
      <c r="AM72" s="221"/>
      <c r="AN72" s="221"/>
      <c r="AO72" s="221"/>
      <c r="AP72" s="221"/>
      <c r="AQ72" s="221"/>
      <c r="AR72" s="221"/>
      <c r="AS72" s="221"/>
      <c r="AT72" s="221"/>
      <c r="AU72" s="221"/>
      <c r="AV72" s="221"/>
      <c r="AW72" s="221"/>
      <c r="AX72" s="221"/>
      <c r="AY72" s="221"/>
      <c r="AZ72" s="221"/>
      <c r="BA72" s="221"/>
    </row>
    <row r="73" spans="1:53" ht="12.75" customHeight="1">
      <c r="A73" s="220"/>
      <c r="B73" s="221"/>
      <c r="C73" s="221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  <c r="R73" s="221"/>
      <c r="S73" s="221"/>
      <c r="T73" s="221"/>
      <c r="U73" s="221"/>
      <c r="V73" s="221"/>
      <c r="W73" s="221"/>
      <c r="X73" s="221"/>
      <c r="Y73" s="221"/>
      <c r="Z73" s="221"/>
      <c r="AA73" s="221"/>
      <c r="AB73" s="221"/>
      <c r="AC73" s="221"/>
      <c r="AD73" s="221"/>
      <c r="AE73" s="221"/>
      <c r="AF73" s="221"/>
      <c r="AG73" s="221"/>
      <c r="AH73" s="221"/>
      <c r="AI73" s="221"/>
      <c r="AJ73" s="221"/>
      <c r="AK73" s="221"/>
      <c r="AL73" s="221"/>
      <c r="AM73" s="221"/>
      <c r="AN73" s="221"/>
      <c r="AO73" s="221"/>
      <c r="AP73" s="221"/>
      <c r="AQ73" s="221"/>
      <c r="AR73" s="221"/>
      <c r="AS73" s="221"/>
      <c r="AT73" s="221"/>
      <c r="AU73" s="221"/>
      <c r="AV73" s="221"/>
      <c r="AW73" s="221"/>
      <c r="AX73" s="221"/>
      <c r="AY73" s="221"/>
      <c r="AZ73" s="221"/>
      <c r="BA73" s="221"/>
    </row>
    <row r="74" spans="1:53" ht="12.75" customHeight="1">
      <c r="A74" s="220"/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  <c r="Q74" s="221"/>
      <c r="R74" s="221"/>
      <c r="S74" s="221"/>
      <c r="T74" s="221"/>
      <c r="U74" s="221"/>
      <c r="V74" s="221"/>
      <c r="W74" s="221"/>
      <c r="X74" s="221"/>
      <c r="Y74" s="221"/>
      <c r="Z74" s="221"/>
      <c r="AA74" s="221"/>
      <c r="AB74" s="221"/>
      <c r="AC74" s="221"/>
      <c r="AD74" s="221"/>
      <c r="AE74" s="221"/>
      <c r="AF74" s="221"/>
      <c r="AG74" s="221"/>
      <c r="AH74" s="221"/>
      <c r="AI74" s="221"/>
      <c r="AJ74" s="221"/>
      <c r="AK74" s="221"/>
      <c r="AL74" s="221"/>
      <c r="AM74" s="221"/>
      <c r="AN74" s="221"/>
      <c r="AO74" s="221"/>
      <c r="AP74" s="221"/>
      <c r="AQ74" s="221"/>
      <c r="AR74" s="221"/>
      <c r="AS74" s="221"/>
      <c r="AT74" s="221"/>
      <c r="AU74" s="221"/>
      <c r="AV74" s="221"/>
      <c r="AW74" s="221"/>
      <c r="AX74" s="221"/>
      <c r="AY74" s="221"/>
      <c r="AZ74" s="221"/>
      <c r="BA74" s="221"/>
    </row>
    <row r="75" spans="1:53" ht="12.75" customHeight="1">
      <c r="A75" s="220"/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  <c r="P75" s="221"/>
      <c r="Q75" s="221"/>
      <c r="R75" s="221"/>
      <c r="S75" s="221"/>
      <c r="T75" s="221"/>
      <c r="U75" s="221"/>
      <c r="V75" s="221"/>
      <c r="W75" s="221"/>
      <c r="X75" s="221"/>
      <c r="Y75" s="221"/>
      <c r="Z75" s="221"/>
      <c r="AA75" s="221"/>
      <c r="AB75" s="221"/>
      <c r="AC75" s="221"/>
      <c r="AD75" s="221"/>
      <c r="AE75" s="221"/>
      <c r="AF75" s="221"/>
      <c r="AG75" s="221"/>
      <c r="AH75" s="221"/>
      <c r="AI75" s="221"/>
      <c r="AJ75" s="221"/>
      <c r="AK75" s="221"/>
      <c r="AL75" s="221"/>
      <c r="AM75" s="221"/>
      <c r="AN75" s="221"/>
      <c r="AO75" s="221"/>
      <c r="AP75" s="221"/>
      <c r="AQ75" s="221"/>
      <c r="AR75" s="221"/>
      <c r="AS75" s="221"/>
      <c r="AT75" s="221"/>
      <c r="AU75" s="221"/>
      <c r="AV75" s="221"/>
      <c r="AW75" s="221"/>
      <c r="AX75" s="221"/>
      <c r="AY75" s="221"/>
      <c r="AZ75" s="221"/>
      <c r="BA75" s="221"/>
    </row>
    <row r="76" spans="1:53" ht="12.75" customHeight="1">
      <c r="A76" s="220"/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  <c r="Q76" s="221"/>
      <c r="R76" s="221"/>
      <c r="S76" s="221"/>
      <c r="T76" s="221"/>
      <c r="U76" s="221"/>
      <c r="V76" s="221"/>
      <c r="W76" s="221"/>
      <c r="X76" s="221"/>
      <c r="Y76" s="221"/>
      <c r="Z76" s="221"/>
      <c r="AA76" s="221"/>
      <c r="AB76" s="221"/>
      <c r="AC76" s="221"/>
      <c r="AD76" s="221"/>
      <c r="AE76" s="221"/>
      <c r="AF76" s="221"/>
      <c r="AG76" s="221"/>
      <c r="AH76" s="221"/>
      <c r="AI76" s="221"/>
      <c r="AJ76" s="221"/>
      <c r="AK76" s="221"/>
      <c r="AL76" s="221"/>
      <c r="AM76" s="221"/>
      <c r="AN76" s="221"/>
      <c r="AO76" s="221"/>
      <c r="AP76" s="221"/>
      <c r="AQ76" s="221"/>
      <c r="AR76" s="221"/>
      <c r="AS76" s="221"/>
      <c r="AT76" s="221"/>
      <c r="AU76" s="221"/>
      <c r="AV76" s="221"/>
      <c r="AW76" s="221"/>
      <c r="AX76" s="221"/>
      <c r="AY76" s="221"/>
      <c r="AZ76" s="221"/>
      <c r="BA76" s="221"/>
    </row>
    <row r="77" spans="1:53" ht="12.75" customHeight="1">
      <c r="A77" s="220"/>
      <c r="B77" s="221"/>
      <c r="C77" s="221"/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221"/>
      <c r="O77" s="221"/>
      <c r="P77" s="221"/>
      <c r="Q77" s="221"/>
      <c r="R77" s="221"/>
      <c r="S77" s="221"/>
      <c r="T77" s="221"/>
      <c r="U77" s="221"/>
      <c r="V77" s="221"/>
      <c r="W77" s="221"/>
      <c r="X77" s="221"/>
      <c r="Y77" s="221"/>
      <c r="Z77" s="221"/>
      <c r="AA77" s="221"/>
      <c r="AB77" s="221"/>
      <c r="AC77" s="221"/>
      <c r="AD77" s="221"/>
      <c r="AE77" s="221"/>
      <c r="AF77" s="221"/>
      <c r="AG77" s="221"/>
      <c r="AH77" s="221"/>
      <c r="AI77" s="221"/>
      <c r="AJ77" s="221"/>
      <c r="AK77" s="221"/>
      <c r="AL77" s="221"/>
      <c r="AM77" s="221"/>
      <c r="AN77" s="221"/>
      <c r="AO77" s="221"/>
      <c r="AP77" s="221"/>
      <c r="AQ77" s="221"/>
      <c r="AR77" s="221"/>
      <c r="AS77" s="221"/>
      <c r="AT77" s="221"/>
      <c r="AU77" s="221"/>
      <c r="AV77" s="221"/>
      <c r="AW77" s="221"/>
      <c r="AX77" s="221"/>
      <c r="AY77" s="221"/>
      <c r="AZ77" s="221"/>
      <c r="BA77" s="221"/>
    </row>
    <row r="78" spans="1:53" ht="12.75" customHeight="1">
      <c r="A78" s="220"/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  <c r="Z78" s="221"/>
      <c r="AA78" s="221"/>
      <c r="AB78" s="221"/>
      <c r="AC78" s="221"/>
      <c r="AD78" s="221"/>
      <c r="AE78" s="221"/>
      <c r="AF78" s="221"/>
      <c r="AG78" s="221"/>
      <c r="AH78" s="221"/>
      <c r="AI78" s="221"/>
      <c r="AJ78" s="221"/>
      <c r="AK78" s="221"/>
      <c r="AL78" s="221"/>
      <c r="AM78" s="221"/>
      <c r="AN78" s="221"/>
      <c r="AO78" s="221"/>
      <c r="AP78" s="221"/>
      <c r="AQ78" s="221"/>
      <c r="AR78" s="221"/>
      <c r="AS78" s="221"/>
      <c r="AT78" s="221"/>
      <c r="AU78" s="221"/>
      <c r="AV78" s="221"/>
      <c r="AW78" s="221"/>
      <c r="AX78" s="221"/>
      <c r="AY78" s="221"/>
      <c r="AZ78" s="221"/>
      <c r="BA78" s="221"/>
    </row>
    <row r="79" spans="1:53" ht="12.75" customHeight="1">
      <c r="A79" s="220"/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221"/>
      <c r="O79" s="221"/>
      <c r="P79" s="221"/>
      <c r="Q79" s="221"/>
      <c r="R79" s="221"/>
      <c r="S79" s="221"/>
      <c r="T79" s="221"/>
      <c r="U79" s="221"/>
      <c r="V79" s="221"/>
      <c r="W79" s="221"/>
      <c r="X79" s="221"/>
      <c r="Y79" s="221"/>
      <c r="Z79" s="221"/>
      <c r="AA79" s="221"/>
      <c r="AB79" s="221"/>
      <c r="AC79" s="221"/>
      <c r="AD79" s="221"/>
      <c r="AE79" s="221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</row>
    <row r="80" spans="1:53" ht="12.75" customHeight="1">
      <c r="A80" s="220"/>
      <c r="B80" s="221"/>
      <c r="C80" s="221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21"/>
      <c r="Q80" s="221"/>
      <c r="R80" s="221"/>
      <c r="S80" s="221"/>
      <c r="T80" s="221"/>
      <c r="U80" s="221"/>
      <c r="V80" s="221"/>
      <c r="W80" s="221"/>
      <c r="X80" s="221"/>
      <c r="Y80" s="221"/>
      <c r="Z80" s="221"/>
      <c r="AA80" s="221"/>
      <c r="AB80" s="221"/>
      <c r="AC80" s="221"/>
      <c r="AD80" s="221"/>
      <c r="AE80" s="221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</row>
    <row r="81" spans="1:53" ht="12.75" customHeight="1">
      <c r="A81" s="220"/>
      <c r="B81" s="221"/>
      <c r="C81" s="221"/>
      <c r="D81" s="221"/>
      <c r="E81" s="221"/>
      <c r="F81" s="221"/>
      <c r="G81" s="221"/>
      <c r="H81" s="221"/>
      <c r="I81" s="221"/>
      <c r="J81" s="221"/>
      <c r="K81" s="221"/>
      <c r="L81" s="221"/>
      <c r="M81" s="221"/>
      <c r="N81" s="221"/>
      <c r="O81" s="221"/>
      <c r="P81" s="221"/>
      <c r="Q81" s="221"/>
      <c r="R81" s="221"/>
      <c r="S81" s="221"/>
      <c r="T81" s="221"/>
      <c r="U81" s="221"/>
      <c r="V81" s="221"/>
      <c r="W81" s="221"/>
      <c r="X81" s="221"/>
      <c r="Y81" s="221"/>
      <c r="Z81" s="221"/>
      <c r="AA81" s="221"/>
      <c r="AB81" s="221"/>
      <c r="AC81" s="221"/>
      <c r="AD81" s="221"/>
      <c r="AE81" s="221"/>
      <c r="AF81" s="221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</row>
    <row r="82" spans="1:53" ht="12.75" customHeight="1">
      <c r="A82" s="220"/>
      <c r="B82" s="221"/>
      <c r="C82" s="221"/>
      <c r="D82" s="221"/>
      <c r="E82" s="221"/>
      <c r="F82" s="221"/>
      <c r="G82" s="221"/>
      <c r="H82" s="221"/>
      <c r="I82" s="221"/>
      <c r="J82" s="221"/>
      <c r="K82" s="221"/>
      <c r="L82" s="221"/>
      <c r="M82" s="221"/>
      <c r="N82" s="221"/>
      <c r="O82" s="221"/>
      <c r="P82" s="221"/>
      <c r="Q82" s="221"/>
      <c r="R82" s="221"/>
      <c r="S82" s="221"/>
      <c r="T82" s="221"/>
      <c r="U82" s="221"/>
      <c r="V82" s="221"/>
      <c r="W82" s="221"/>
      <c r="X82" s="221"/>
      <c r="Y82" s="221"/>
      <c r="Z82" s="221"/>
      <c r="AA82" s="221"/>
      <c r="AB82" s="221"/>
      <c r="AC82" s="221"/>
      <c r="AD82" s="221"/>
      <c r="AE82" s="221"/>
      <c r="AF82" s="221"/>
      <c r="AG82" s="221"/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1"/>
      <c r="AW82" s="221"/>
      <c r="AX82" s="221"/>
      <c r="AY82" s="221"/>
      <c r="AZ82" s="221"/>
      <c r="BA82" s="221"/>
    </row>
    <row r="83" spans="1:53" ht="12.75" customHeight="1">
      <c r="A83" s="220"/>
      <c r="B83" s="221"/>
      <c r="C83" s="221"/>
      <c r="D83" s="221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1"/>
      <c r="P83" s="221"/>
      <c r="Q83" s="221"/>
      <c r="R83" s="221"/>
      <c r="S83" s="221"/>
      <c r="T83" s="221"/>
      <c r="U83" s="221"/>
      <c r="V83" s="221"/>
      <c r="W83" s="221"/>
      <c r="X83" s="221"/>
      <c r="Y83" s="221"/>
      <c r="Z83" s="221"/>
      <c r="AA83" s="221"/>
      <c r="AB83" s="221"/>
      <c r="AC83" s="221"/>
      <c r="AD83" s="221"/>
      <c r="AE83" s="221"/>
      <c r="AF83" s="221"/>
      <c r="AG83" s="221"/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1"/>
      <c r="AW83" s="221"/>
      <c r="AX83" s="221"/>
      <c r="AY83" s="221"/>
      <c r="AZ83" s="221"/>
      <c r="BA83" s="221"/>
    </row>
    <row r="84" spans="1:53" ht="12.75" customHeight="1">
      <c r="A84" s="220"/>
      <c r="B84" s="221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1"/>
      <c r="Q84" s="221"/>
      <c r="R84" s="221"/>
      <c r="S84" s="221"/>
      <c r="T84" s="221"/>
      <c r="U84" s="221"/>
      <c r="V84" s="221"/>
      <c r="W84" s="221"/>
      <c r="X84" s="221"/>
      <c r="Y84" s="221"/>
      <c r="Z84" s="221"/>
      <c r="AA84" s="221"/>
      <c r="AB84" s="221"/>
      <c r="AC84" s="221"/>
      <c r="AD84" s="221"/>
      <c r="AE84" s="221"/>
      <c r="AF84" s="221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</row>
    <row r="85" spans="1:53" ht="12.75" customHeight="1">
      <c r="A85" s="220"/>
      <c r="B85" s="221"/>
      <c r="C85" s="221"/>
      <c r="D85" s="221"/>
      <c r="E85" s="221"/>
      <c r="F85" s="221"/>
      <c r="G85" s="221"/>
      <c r="H85" s="221"/>
      <c r="I85" s="221"/>
      <c r="J85" s="221"/>
      <c r="K85" s="221"/>
      <c r="L85" s="221"/>
      <c r="M85" s="221"/>
      <c r="N85" s="221"/>
      <c r="O85" s="221"/>
      <c r="P85" s="221"/>
      <c r="Q85" s="221"/>
      <c r="R85" s="221"/>
      <c r="S85" s="221"/>
      <c r="T85" s="221"/>
      <c r="U85" s="221"/>
      <c r="V85" s="221"/>
      <c r="W85" s="221"/>
      <c r="X85" s="221"/>
      <c r="Y85" s="221"/>
      <c r="Z85" s="221"/>
      <c r="AA85" s="221"/>
      <c r="AB85" s="221"/>
      <c r="AC85" s="221"/>
      <c r="AD85" s="221"/>
      <c r="AE85" s="221"/>
      <c r="AF85" s="221"/>
      <c r="AG85" s="221"/>
      <c r="AH85" s="221"/>
      <c r="AI85" s="221"/>
      <c r="AJ85" s="221"/>
      <c r="AK85" s="221"/>
      <c r="AL85" s="221"/>
      <c r="AM85" s="221"/>
      <c r="AN85" s="221"/>
      <c r="AO85" s="221"/>
      <c r="AP85" s="221"/>
      <c r="AQ85" s="221"/>
      <c r="AR85" s="221"/>
      <c r="AS85" s="221"/>
      <c r="AT85" s="221"/>
      <c r="AU85" s="221"/>
      <c r="AV85" s="221"/>
      <c r="AW85" s="221"/>
      <c r="AX85" s="221"/>
      <c r="AY85" s="221"/>
      <c r="AZ85" s="221"/>
      <c r="BA85" s="221"/>
    </row>
    <row r="86" spans="1:53" ht="12.75" customHeight="1">
      <c r="A86" s="220"/>
      <c r="B86" s="221"/>
      <c r="C86" s="221"/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221"/>
      <c r="O86" s="221"/>
      <c r="P86" s="221"/>
      <c r="Q86" s="221"/>
      <c r="R86" s="221"/>
      <c r="S86" s="221"/>
      <c r="T86" s="221"/>
      <c r="U86" s="221"/>
      <c r="V86" s="221"/>
      <c r="W86" s="221"/>
      <c r="X86" s="221"/>
      <c r="Y86" s="221"/>
      <c r="Z86" s="221"/>
      <c r="AA86" s="221"/>
      <c r="AB86" s="221"/>
      <c r="AC86" s="221"/>
      <c r="AD86" s="221"/>
      <c r="AE86" s="221"/>
      <c r="AF86" s="221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</row>
    <row r="87" spans="1:53" ht="12.75" customHeight="1">
      <c r="A87" s="220"/>
      <c r="B87" s="221"/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221"/>
      <c r="P87" s="221"/>
      <c r="Q87" s="221"/>
      <c r="R87" s="221"/>
      <c r="S87" s="221"/>
      <c r="T87" s="221"/>
      <c r="U87" s="221"/>
      <c r="V87" s="221"/>
      <c r="W87" s="221"/>
      <c r="X87" s="221"/>
      <c r="Y87" s="221"/>
      <c r="Z87" s="221"/>
      <c r="AA87" s="221"/>
      <c r="AB87" s="221"/>
      <c r="AC87" s="221"/>
      <c r="AD87" s="221"/>
      <c r="AE87" s="221"/>
      <c r="AF87" s="221"/>
      <c r="AG87" s="221"/>
      <c r="AH87" s="221"/>
      <c r="AI87" s="221"/>
      <c r="AJ87" s="221"/>
      <c r="AK87" s="221"/>
      <c r="AL87" s="221"/>
      <c r="AM87" s="221"/>
      <c r="AN87" s="221"/>
      <c r="AO87" s="221"/>
      <c r="AP87" s="221"/>
      <c r="AQ87" s="221"/>
      <c r="AR87" s="221"/>
      <c r="AS87" s="221"/>
      <c r="AT87" s="221"/>
      <c r="AU87" s="221"/>
      <c r="AV87" s="221"/>
      <c r="AW87" s="221"/>
      <c r="AX87" s="221"/>
      <c r="AY87" s="221"/>
      <c r="AZ87" s="221"/>
      <c r="BA87" s="221"/>
    </row>
    <row r="88" spans="1:53" ht="12.75" customHeight="1">
      <c r="A88" s="220"/>
      <c r="B88" s="221"/>
      <c r="C88" s="221"/>
      <c r="D88" s="221"/>
      <c r="E88" s="221"/>
      <c r="F88" s="221"/>
      <c r="G88" s="221"/>
      <c r="H88" s="221"/>
      <c r="I88" s="221"/>
      <c r="J88" s="221"/>
      <c r="K88" s="221"/>
      <c r="L88" s="221"/>
      <c r="M88" s="221"/>
      <c r="N88" s="221"/>
      <c r="O88" s="221"/>
      <c r="P88" s="221"/>
      <c r="Q88" s="221"/>
      <c r="R88" s="221"/>
      <c r="S88" s="221"/>
      <c r="T88" s="221"/>
      <c r="U88" s="221"/>
      <c r="V88" s="221"/>
      <c r="W88" s="221"/>
      <c r="X88" s="221"/>
      <c r="Y88" s="221"/>
      <c r="Z88" s="221"/>
      <c r="AA88" s="221"/>
      <c r="AB88" s="221"/>
      <c r="AC88" s="221"/>
      <c r="AD88" s="221"/>
      <c r="AE88" s="221"/>
      <c r="AF88" s="221"/>
      <c r="AG88" s="221"/>
      <c r="AH88" s="221"/>
      <c r="AI88" s="221"/>
      <c r="AJ88" s="221"/>
      <c r="AK88" s="221"/>
      <c r="AL88" s="221"/>
      <c r="AM88" s="221"/>
      <c r="AN88" s="221"/>
      <c r="AO88" s="221"/>
      <c r="AP88" s="221"/>
      <c r="AQ88" s="221"/>
      <c r="AR88" s="221"/>
      <c r="AS88" s="221"/>
      <c r="AT88" s="221"/>
      <c r="AU88" s="221"/>
      <c r="AV88" s="221"/>
      <c r="AW88" s="221"/>
      <c r="AX88" s="221"/>
      <c r="AY88" s="221"/>
      <c r="AZ88" s="221"/>
      <c r="BA88" s="221"/>
    </row>
    <row r="89" spans="1:53" ht="12.75" customHeight="1">
      <c r="A89" s="220"/>
      <c r="B89" s="221"/>
      <c r="C89" s="221"/>
      <c r="D89" s="221"/>
      <c r="E89" s="221"/>
      <c r="F89" s="221"/>
      <c r="G89" s="221"/>
      <c r="H89" s="221"/>
      <c r="I89" s="221"/>
      <c r="J89" s="221"/>
      <c r="K89" s="221"/>
      <c r="L89" s="221"/>
      <c r="M89" s="221"/>
      <c r="N89" s="221"/>
      <c r="O89" s="221"/>
      <c r="P89" s="221"/>
      <c r="Q89" s="221"/>
      <c r="R89" s="221"/>
      <c r="S89" s="221"/>
      <c r="T89" s="221"/>
      <c r="U89" s="221"/>
      <c r="V89" s="221"/>
      <c r="W89" s="221"/>
      <c r="X89" s="221"/>
      <c r="Y89" s="221"/>
      <c r="Z89" s="221"/>
      <c r="AA89" s="221"/>
      <c r="AB89" s="221"/>
      <c r="AC89" s="221"/>
      <c r="AD89" s="221"/>
      <c r="AE89" s="221"/>
      <c r="AF89" s="221"/>
      <c r="AG89" s="221"/>
      <c r="AH89" s="221"/>
      <c r="AI89" s="221"/>
      <c r="AJ89" s="221"/>
      <c r="AK89" s="221"/>
      <c r="AL89" s="221"/>
      <c r="AM89" s="221"/>
      <c r="AN89" s="221"/>
      <c r="AO89" s="221"/>
      <c r="AP89" s="221"/>
      <c r="AQ89" s="221"/>
      <c r="AR89" s="221"/>
      <c r="AS89" s="221"/>
      <c r="AT89" s="221"/>
      <c r="AU89" s="221"/>
      <c r="AV89" s="221"/>
      <c r="AW89" s="221"/>
      <c r="AX89" s="221"/>
      <c r="AY89" s="221"/>
      <c r="AZ89" s="221"/>
      <c r="BA89" s="221"/>
    </row>
    <row r="90" spans="1:53" ht="12.75" customHeight="1">
      <c r="A90" s="220"/>
      <c r="B90" s="221"/>
      <c r="C90" s="221"/>
      <c r="D90" s="221"/>
      <c r="E90" s="221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1"/>
      <c r="AD90" s="221"/>
      <c r="AE90" s="221"/>
      <c r="AF90" s="221"/>
      <c r="AG90" s="221"/>
      <c r="AH90" s="221"/>
      <c r="AI90" s="221"/>
      <c r="AJ90" s="221"/>
      <c r="AK90" s="221"/>
      <c r="AL90" s="221"/>
      <c r="AM90" s="221"/>
      <c r="AN90" s="221"/>
      <c r="AO90" s="221"/>
      <c r="AP90" s="221"/>
      <c r="AQ90" s="221"/>
      <c r="AR90" s="221"/>
      <c r="AS90" s="221"/>
      <c r="AT90" s="221"/>
      <c r="AU90" s="221"/>
      <c r="AV90" s="221"/>
      <c r="AW90" s="221"/>
      <c r="AX90" s="221"/>
      <c r="AY90" s="221"/>
      <c r="AZ90" s="221"/>
      <c r="BA90" s="221"/>
    </row>
    <row r="91" spans="1:53" ht="12.75" customHeight="1">
      <c r="A91" s="220"/>
      <c r="B91" s="221"/>
      <c r="C91" s="221"/>
      <c r="D91" s="221"/>
      <c r="E91" s="221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1"/>
      <c r="AD91" s="221"/>
      <c r="AE91" s="221"/>
      <c r="AF91" s="221"/>
      <c r="AG91" s="221"/>
      <c r="AH91" s="221"/>
      <c r="AI91" s="221"/>
      <c r="AJ91" s="221"/>
      <c r="AK91" s="221"/>
      <c r="AL91" s="221"/>
      <c r="AM91" s="221"/>
      <c r="AN91" s="221"/>
      <c r="AO91" s="221"/>
      <c r="AP91" s="221"/>
      <c r="AQ91" s="221"/>
      <c r="AR91" s="221"/>
      <c r="AS91" s="221"/>
      <c r="AT91" s="221"/>
      <c r="AU91" s="221"/>
      <c r="AV91" s="221"/>
      <c r="AW91" s="221"/>
      <c r="AX91" s="221"/>
      <c r="AY91" s="221"/>
      <c r="AZ91" s="221"/>
      <c r="BA91" s="221"/>
    </row>
    <row r="92" spans="1:53" ht="12.75" customHeight="1">
      <c r="A92" s="220"/>
      <c r="B92" s="221"/>
      <c r="C92" s="221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  <c r="Z92" s="221"/>
      <c r="AA92" s="221"/>
      <c r="AB92" s="221"/>
      <c r="AC92" s="221"/>
      <c r="AD92" s="221"/>
      <c r="AE92" s="221"/>
      <c r="AF92" s="221"/>
      <c r="AG92" s="221"/>
      <c r="AH92" s="221"/>
      <c r="AI92" s="221"/>
      <c r="AJ92" s="221"/>
      <c r="AK92" s="221"/>
      <c r="AL92" s="221"/>
      <c r="AM92" s="221"/>
      <c r="AN92" s="221"/>
      <c r="AO92" s="221"/>
      <c r="AP92" s="221"/>
      <c r="AQ92" s="221"/>
      <c r="AR92" s="221"/>
      <c r="AS92" s="221"/>
      <c r="AT92" s="221"/>
      <c r="AU92" s="221"/>
      <c r="AV92" s="221"/>
      <c r="AW92" s="221"/>
      <c r="AX92" s="221"/>
      <c r="AY92" s="221"/>
      <c r="AZ92" s="221"/>
      <c r="BA92" s="221"/>
    </row>
    <row r="93" spans="1:53" ht="12.75" customHeight="1">
      <c r="A93" s="220"/>
      <c r="B93" s="221"/>
      <c r="C93" s="221"/>
      <c r="D93" s="221"/>
      <c r="E93" s="221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  <c r="Z93" s="221"/>
      <c r="AA93" s="221"/>
      <c r="AB93" s="221"/>
      <c r="AC93" s="221"/>
      <c r="AD93" s="221"/>
      <c r="AE93" s="221"/>
      <c r="AF93" s="221"/>
      <c r="AG93" s="221"/>
      <c r="AH93" s="221"/>
      <c r="AI93" s="221"/>
      <c r="AJ93" s="221"/>
      <c r="AK93" s="221"/>
      <c r="AL93" s="221"/>
      <c r="AM93" s="221"/>
      <c r="AN93" s="221"/>
      <c r="AO93" s="221"/>
      <c r="AP93" s="221"/>
      <c r="AQ93" s="221"/>
      <c r="AR93" s="221"/>
      <c r="AS93" s="221"/>
      <c r="AT93" s="221"/>
      <c r="AU93" s="221"/>
      <c r="AV93" s="221"/>
      <c r="AW93" s="221"/>
      <c r="AX93" s="221"/>
      <c r="AY93" s="221"/>
      <c r="AZ93" s="221"/>
      <c r="BA93" s="221"/>
    </row>
    <row r="94" spans="1:53" ht="12.75" customHeight="1">
      <c r="A94" s="220"/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1"/>
      <c r="AW94" s="221"/>
      <c r="AX94" s="221"/>
      <c r="AY94" s="221"/>
      <c r="AZ94" s="221"/>
      <c r="BA94" s="221"/>
    </row>
    <row r="95" spans="1:53" ht="12.75" customHeight="1">
      <c r="A95" s="220"/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21"/>
      <c r="M95" s="221"/>
      <c r="N95" s="221"/>
      <c r="O95" s="221"/>
      <c r="P95" s="221"/>
      <c r="Q95" s="221"/>
      <c r="R95" s="221"/>
      <c r="S95" s="221"/>
      <c r="T95" s="221"/>
      <c r="U95" s="221"/>
      <c r="V95" s="221"/>
      <c r="W95" s="221"/>
      <c r="X95" s="221"/>
      <c r="Y95" s="221"/>
      <c r="Z95" s="221"/>
      <c r="AA95" s="221"/>
      <c r="AB95" s="221"/>
      <c r="AC95" s="221"/>
      <c r="AD95" s="221"/>
      <c r="AE95" s="221"/>
      <c r="AF95" s="221"/>
      <c r="AG95" s="221"/>
      <c r="AH95" s="221"/>
      <c r="AI95" s="221"/>
      <c r="AJ95" s="221"/>
      <c r="AK95" s="221"/>
      <c r="AL95" s="221"/>
      <c r="AM95" s="221"/>
      <c r="AN95" s="221"/>
      <c r="AO95" s="221"/>
      <c r="AP95" s="221"/>
      <c r="AQ95" s="221"/>
      <c r="AR95" s="221"/>
      <c r="AS95" s="221"/>
      <c r="AT95" s="221"/>
      <c r="AU95" s="221"/>
      <c r="AV95" s="221"/>
      <c r="AW95" s="221"/>
      <c r="AX95" s="221"/>
      <c r="AY95" s="221"/>
      <c r="AZ95" s="221"/>
      <c r="BA95" s="221"/>
    </row>
    <row r="96" spans="1:53" ht="12.75" customHeight="1">
      <c r="A96" s="220"/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  <c r="Z96" s="221"/>
      <c r="AA96" s="221"/>
      <c r="AB96" s="221"/>
      <c r="AC96" s="221"/>
      <c r="AD96" s="221"/>
      <c r="AE96" s="221"/>
      <c r="AF96" s="221"/>
      <c r="AG96" s="221"/>
      <c r="AH96" s="221"/>
      <c r="AI96" s="221"/>
      <c r="AJ96" s="221"/>
      <c r="AK96" s="221"/>
      <c r="AL96" s="221"/>
      <c r="AM96" s="221"/>
      <c r="AN96" s="221"/>
      <c r="AO96" s="221"/>
      <c r="AP96" s="221"/>
      <c r="AQ96" s="221"/>
      <c r="AR96" s="221"/>
      <c r="AS96" s="221"/>
      <c r="AT96" s="221"/>
      <c r="AU96" s="221"/>
      <c r="AV96" s="221"/>
      <c r="AW96" s="221"/>
      <c r="AX96" s="221"/>
      <c r="AY96" s="221"/>
      <c r="AZ96" s="221"/>
      <c r="BA96" s="221"/>
    </row>
    <row r="97" spans="1:53" ht="12.75" customHeight="1">
      <c r="A97" s="220"/>
      <c r="B97" s="221"/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1"/>
      <c r="Q97" s="221"/>
      <c r="R97" s="221"/>
      <c r="S97" s="221"/>
      <c r="T97" s="221"/>
      <c r="U97" s="221"/>
      <c r="V97" s="221"/>
      <c r="W97" s="221"/>
      <c r="X97" s="221"/>
      <c r="Y97" s="221"/>
      <c r="Z97" s="221"/>
      <c r="AA97" s="221"/>
      <c r="AB97" s="221"/>
      <c r="AC97" s="221"/>
      <c r="AD97" s="221"/>
      <c r="AE97" s="221"/>
      <c r="AF97" s="221"/>
      <c r="AG97" s="221"/>
      <c r="AH97" s="221"/>
      <c r="AI97" s="221"/>
      <c r="AJ97" s="221"/>
      <c r="AK97" s="221"/>
      <c r="AL97" s="221"/>
      <c r="AM97" s="221"/>
      <c r="AN97" s="221"/>
      <c r="AO97" s="221"/>
      <c r="AP97" s="221"/>
      <c r="AQ97" s="221"/>
      <c r="AR97" s="221"/>
      <c r="AS97" s="221"/>
      <c r="AT97" s="221"/>
      <c r="AU97" s="221"/>
      <c r="AV97" s="221"/>
      <c r="AW97" s="221"/>
      <c r="AX97" s="221"/>
      <c r="AY97" s="221"/>
      <c r="AZ97" s="221"/>
      <c r="BA97" s="221"/>
    </row>
    <row r="98" spans="1:53" ht="12.75" customHeight="1">
      <c r="A98" s="220"/>
      <c r="B98" s="221"/>
      <c r="C98" s="221"/>
      <c r="D98" s="221"/>
      <c r="E98" s="221"/>
      <c r="F98" s="221"/>
      <c r="G98" s="221"/>
      <c r="H98" s="221"/>
      <c r="I98" s="221"/>
      <c r="J98" s="221"/>
      <c r="K98" s="221"/>
      <c r="L98" s="2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  <c r="Z98" s="221"/>
      <c r="AA98" s="221"/>
      <c r="AB98" s="221"/>
      <c r="AC98" s="221"/>
      <c r="AD98" s="221"/>
      <c r="AE98" s="221"/>
      <c r="AF98" s="221"/>
      <c r="AG98" s="221"/>
      <c r="AH98" s="221"/>
      <c r="AI98" s="221"/>
      <c r="AJ98" s="221"/>
      <c r="AK98" s="221"/>
      <c r="AL98" s="221"/>
      <c r="AM98" s="221"/>
      <c r="AN98" s="221"/>
      <c r="AO98" s="221"/>
      <c r="AP98" s="221"/>
      <c r="AQ98" s="221"/>
      <c r="AR98" s="221"/>
      <c r="AS98" s="221"/>
      <c r="AT98" s="221"/>
      <c r="AU98" s="221"/>
      <c r="AV98" s="221"/>
      <c r="AW98" s="221"/>
      <c r="AX98" s="221"/>
      <c r="AY98" s="221"/>
      <c r="AZ98" s="221"/>
      <c r="BA98" s="221"/>
    </row>
    <row r="99" spans="1:53" ht="12.75" customHeight="1">
      <c r="A99" s="220"/>
      <c r="B99" s="221"/>
      <c r="C99" s="221"/>
      <c r="D99" s="221"/>
      <c r="E99" s="221"/>
      <c r="F99" s="221"/>
      <c r="G99" s="221"/>
      <c r="H99" s="221"/>
      <c r="I99" s="221"/>
      <c r="J99" s="221"/>
      <c r="K99" s="221"/>
      <c r="L99" s="221"/>
      <c r="M99" s="221"/>
      <c r="N99" s="221"/>
      <c r="O99" s="221"/>
      <c r="P99" s="221"/>
      <c r="Q99" s="221"/>
      <c r="R99" s="221"/>
      <c r="S99" s="221"/>
      <c r="T99" s="221"/>
      <c r="U99" s="221"/>
      <c r="V99" s="221"/>
      <c r="W99" s="221"/>
      <c r="X99" s="221"/>
      <c r="Y99" s="221"/>
      <c r="Z99" s="221"/>
      <c r="AA99" s="221"/>
      <c r="AB99" s="221"/>
      <c r="AC99" s="221"/>
      <c r="AD99" s="221"/>
      <c r="AE99" s="221"/>
      <c r="AF99" s="221"/>
      <c r="AG99" s="221"/>
      <c r="AH99" s="221"/>
      <c r="AI99" s="221"/>
      <c r="AJ99" s="221"/>
      <c r="AK99" s="221"/>
      <c r="AL99" s="221"/>
      <c r="AM99" s="221"/>
      <c r="AN99" s="221"/>
      <c r="AO99" s="221"/>
      <c r="AP99" s="221"/>
      <c r="AQ99" s="221"/>
      <c r="AR99" s="221"/>
      <c r="AS99" s="221"/>
      <c r="AT99" s="221"/>
      <c r="AU99" s="221"/>
      <c r="AV99" s="221"/>
      <c r="AW99" s="221"/>
      <c r="AX99" s="221"/>
      <c r="AY99" s="221"/>
      <c r="AZ99" s="221"/>
      <c r="BA99" s="221"/>
    </row>
    <row r="100" spans="1:53" ht="12.75" customHeight="1">
      <c r="A100" s="220"/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21"/>
      <c r="Z100" s="221"/>
      <c r="AA100" s="221"/>
      <c r="AB100" s="221"/>
      <c r="AC100" s="221"/>
      <c r="AD100" s="221"/>
      <c r="AE100" s="221"/>
      <c r="AF100" s="221"/>
      <c r="AG100" s="221"/>
      <c r="AH100" s="221"/>
      <c r="AI100" s="221"/>
      <c r="AJ100" s="221"/>
      <c r="AK100" s="221"/>
      <c r="AL100" s="221"/>
      <c r="AM100" s="221"/>
      <c r="AN100" s="221"/>
      <c r="AO100" s="221"/>
      <c r="AP100" s="221"/>
      <c r="AQ100" s="221"/>
      <c r="AR100" s="221"/>
      <c r="AS100" s="221"/>
      <c r="AT100" s="221"/>
      <c r="AU100" s="221"/>
      <c r="AV100" s="221"/>
      <c r="AW100" s="221"/>
      <c r="AX100" s="221"/>
      <c r="AY100" s="221"/>
      <c r="AZ100" s="221"/>
      <c r="BA100" s="221"/>
    </row>
  </sheetData>
  <mergeCells count="112">
    <mergeCell ref="A2:A6"/>
    <mergeCell ref="B2:B6"/>
    <mergeCell ref="C17:D17"/>
    <mergeCell ref="G17:H17"/>
    <mergeCell ref="I17:J17"/>
    <mergeCell ref="E4:F4"/>
    <mergeCell ref="I11:J11"/>
    <mergeCell ref="I8:J8"/>
    <mergeCell ref="I4:J4"/>
    <mergeCell ref="C14:D14"/>
    <mergeCell ref="C11:D11"/>
    <mergeCell ref="E17:F17"/>
    <mergeCell ref="E14:F14"/>
    <mergeCell ref="I3:J3"/>
    <mergeCell ref="Y28:Z28"/>
    <mergeCell ref="C23:D23"/>
    <mergeCell ref="E23:F23"/>
    <mergeCell ref="G23:H23"/>
    <mergeCell ref="I23:J23"/>
    <mergeCell ref="O28:P28"/>
    <mergeCell ref="Q28:R28"/>
    <mergeCell ref="S28:T28"/>
    <mergeCell ref="C28:D28"/>
    <mergeCell ref="W23:X23"/>
    <mergeCell ref="K23:L23"/>
    <mergeCell ref="Q3:R3"/>
    <mergeCell ref="Q8:R8"/>
    <mergeCell ref="M28:N28"/>
    <mergeCell ref="E28:F28"/>
    <mergeCell ref="G28:H28"/>
    <mergeCell ref="I28:J28"/>
    <mergeCell ref="K28:L28"/>
    <mergeCell ref="U28:V28"/>
    <mergeCell ref="W28:X28"/>
    <mergeCell ref="I20:J20"/>
    <mergeCell ref="G14:H14"/>
    <mergeCell ref="I14:J14"/>
    <mergeCell ref="K20:L20"/>
    <mergeCell ref="S17:T17"/>
    <mergeCell ref="W8:X8"/>
    <mergeCell ref="O8:P8"/>
    <mergeCell ref="Q4:R4"/>
    <mergeCell ref="W17:X17"/>
    <mergeCell ref="W11:X11"/>
    <mergeCell ref="K11:L11"/>
    <mergeCell ref="AA2:AA6"/>
    <mergeCell ref="C3:D3"/>
    <mergeCell ref="E3:F3"/>
    <mergeCell ref="C2:Z2"/>
    <mergeCell ref="Y8:Z8"/>
    <mergeCell ref="U4:V4"/>
    <mergeCell ref="S4:T4"/>
    <mergeCell ref="Y3:Z3"/>
    <mergeCell ref="S3:T3"/>
    <mergeCell ref="U3:V3"/>
    <mergeCell ref="W3:X3"/>
    <mergeCell ref="W4:X4"/>
    <mergeCell ref="Y4:Z4"/>
    <mergeCell ref="S8:T8"/>
    <mergeCell ref="U8:V8"/>
    <mergeCell ref="G3:H3"/>
    <mergeCell ref="M3:N3"/>
    <mergeCell ref="O3:P3"/>
    <mergeCell ref="E8:F8"/>
    <mergeCell ref="G8:H8"/>
    <mergeCell ref="K3:L3"/>
    <mergeCell ref="K8:L8"/>
    <mergeCell ref="K4:L4"/>
    <mergeCell ref="O4:P4"/>
    <mergeCell ref="C20:D20"/>
    <mergeCell ref="E20:F20"/>
    <mergeCell ref="G20:H20"/>
    <mergeCell ref="U17:V17"/>
    <mergeCell ref="U20:V20"/>
    <mergeCell ref="G4:H4"/>
    <mergeCell ref="M4:N4"/>
    <mergeCell ref="E11:F11"/>
    <mergeCell ref="G11:H11"/>
    <mergeCell ref="M8:N8"/>
    <mergeCell ref="C4:D4"/>
    <mergeCell ref="C8:D8"/>
    <mergeCell ref="M20:N20"/>
    <mergeCell ref="O20:P20"/>
    <mergeCell ref="Q20:R20"/>
    <mergeCell ref="S20:T20"/>
    <mergeCell ref="K17:L17"/>
    <mergeCell ref="M17:N17"/>
    <mergeCell ref="O17:P17"/>
    <mergeCell ref="M11:N11"/>
    <mergeCell ref="O11:P11"/>
    <mergeCell ref="Q11:R11"/>
    <mergeCell ref="S11:T11"/>
    <mergeCell ref="U11:V11"/>
    <mergeCell ref="Y17:Z17"/>
    <mergeCell ref="W20:X20"/>
    <mergeCell ref="Y20:Z20"/>
    <mergeCell ref="Y23:Z23"/>
    <mergeCell ref="M23:N23"/>
    <mergeCell ref="O23:P23"/>
    <mergeCell ref="Q23:R23"/>
    <mergeCell ref="S23:T23"/>
    <mergeCell ref="U23:V23"/>
    <mergeCell ref="Q17:R17"/>
    <mergeCell ref="Y11:Z11"/>
    <mergeCell ref="U14:V14"/>
    <mergeCell ref="W14:X14"/>
    <mergeCell ref="Y14:Z14"/>
    <mergeCell ref="K14:L14"/>
    <mergeCell ref="M14:N14"/>
    <mergeCell ref="O14:P14"/>
    <mergeCell ref="Q14:R14"/>
    <mergeCell ref="S14:T14"/>
  </mergeCells>
  <pageMargins left="0.43307086614173229" right="0.27559055118110237" top="0.70866141732283472" bottom="0.35433070866141736" header="0" footer="0"/>
  <pageSetup paperSize="9" scale="76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9"/>
  <dimension ref="A1:AH175"/>
  <sheetViews>
    <sheetView topLeftCell="A35" zoomScale="80" zoomScaleNormal="80" workbookViewId="0">
      <selection activeCell="A35" sqref="A1:XFD1048576"/>
    </sheetView>
  </sheetViews>
  <sheetFormatPr defaultColWidth="14.453125" defaultRowHeight="15" customHeight="1"/>
  <cols>
    <col min="1" max="1" width="26.7265625" customWidth="1"/>
    <col min="2" max="2" width="5.81640625" hidden="1" customWidth="1"/>
    <col min="3" max="14" width="11" customWidth="1"/>
    <col min="15" max="15" width="11.1796875" customWidth="1"/>
    <col min="16" max="16" width="4.7265625" customWidth="1"/>
    <col min="17" max="18" width="7.7265625" hidden="1" customWidth="1"/>
    <col min="19" max="19" width="33.453125" customWidth="1"/>
    <col min="20" max="20" width="16.26953125" customWidth="1"/>
    <col min="21" max="34" width="9.26953125" customWidth="1"/>
  </cols>
  <sheetData>
    <row r="1" spans="1:34" ht="15.65" customHeight="1">
      <c r="A1" s="262"/>
      <c r="B1" s="262"/>
      <c r="C1" s="847" t="s">
        <v>428</v>
      </c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262"/>
      <c r="Q1" s="262"/>
      <c r="R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</row>
    <row r="2" spans="1:34" ht="12.75" customHeight="1">
      <c r="A2" s="262"/>
      <c r="B2" s="3" t="s">
        <v>627</v>
      </c>
      <c r="C2" s="3" t="s">
        <v>429</v>
      </c>
      <c r="D2" s="3" t="s">
        <v>430</v>
      </c>
      <c r="E2" s="3" t="s">
        <v>431</v>
      </c>
      <c r="F2" s="3" t="s">
        <v>432</v>
      </c>
      <c r="G2" s="3" t="s">
        <v>433</v>
      </c>
      <c r="H2" s="3" t="s">
        <v>434</v>
      </c>
      <c r="I2" s="3" t="s">
        <v>435</v>
      </c>
      <c r="J2" s="3" t="s">
        <v>436</v>
      </c>
      <c r="K2" s="3" t="s">
        <v>437</v>
      </c>
      <c r="L2" s="3" t="s">
        <v>438</v>
      </c>
      <c r="M2" s="3" t="s">
        <v>439</v>
      </c>
      <c r="N2" s="3" t="s">
        <v>440</v>
      </c>
      <c r="O2" s="3" t="s">
        <v>441</v>
      </c>
      <c r="P2" s="3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</row>
    <row r="3" spans="1:34" ht="63.65" customHeight="1">
      <c r="A3" s="263" t="s">
        <v>620</v>
      </c>
      <c r="B3" s="440">
        <v>0</v>
      </c>
      <c r="C3" s="264">
        <v>0.05</v>
      </c>
      <c r="D3" s="264">
        <v>0.05</v>
      </c>
      <c r="E3" s="264">
        <v>0.05</v>
      </c>
      <c r="F3" s="264">
        <v>0.05</v>
      </c>
      <c r="G3" s="264">
        <v>0.05</v>
      </c>
      <c r="H3" s="264">
        <v>0.05</v>
      </c>
      <c r="I3" s="264">
        <v>0.05</v>
      </c>
      <c r="J3" s="264">
        <v>0.05</v>
      </c>
      <c r="K3" s="264">
        <v>0.05</v>
      </c>
      <c r="L3" s="264">
        <v>0.05</v>
      </c>
      <c r="M3" s="264">
        <v>0.05</v>
      </c>
      <c r="N3" s="264">
        <v>0.05</v>
      </c>
      <c r="O3" s="264">
        <v>0.05</v>
      </c>
      <c r="P3" s="265"/>
      <c r="Q3" s="266">
        <v>85</v>
      </c>
      <c r="R3" s="265">
        <v>1</v>
      </c>
      <c r="S3" s="265"/>
      <c r="T3" s="265"/>
      <c r="U3" s="265"/>
      <c r="V3" s="265"/>
      <c r="W3" s="265"/>
      <c r="X3" s="265"/>
      <c r="Y3" s="265"/>
      <c r="Z3" s="265"/>
      <c r="AA3" s="265"/>
      <c r="AB3" s="265"/>
      <c r="AC3" s="265"/>
      <c r="AD3" s="265"/>
      <c r="AE3" s="265"/>
      <c r="AF3" s="265"/>
      <c r="AG3" s="265"/>
      <c r="AH3" s="265"/>
    </row>
    <row r="4" spans="1:34" ht="37.5" customHeight="1">
      <c r="A4" s="263" t="s">
        <v>618</v>
      </c>
      <c r="B4" s="263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5"/>
      <c r="Q4" s="266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</row>
    <row r="5" spans="1:34" ht="23.5" customHeight="1">
      <c r="A5" s="263" t="s">
        <v>619</v>
      </c>
      <c r="B5" s="264">
        <f t="shared" ref="B5:O5" si="0">B3+B4</f>
        <v>0</v>
      </c>
      <c r="C5" s="264">
        <f t="shared" si="0"/>
        <v>0.05</v>
      </c>
      <c r="D5" s="264">
        <f t="shared" si="0"/>
        <v>0.05</v>
      </c>
      <c r="E5" s="264">
        <f t="shared" si="0"/>
        <v>0.05</v>
      </c>
      <c r="F5" s="264">
        <f t="shared" si="0"/>
        <v>0.05</v>
      </c>
      <c r="G5" s="264">
        <f t="shared" si="0"/>
        <v>0.05</v>
      </c>
      <c r="H5" s="264">
        <f t="shared" si="0"/>
        <v>0.05</v>
      </c>
      <c r="I5" s="264">
        <f t="shared" si="0"/>
        <v>0.05</v>
      </c>
      <c r="J5" s="264">
        <f t="shared" si="0"/>
        <v>0.05</v>
      </c>
      <c r="K5" s="264">
        <f t="shared" si="0"/>
        <v>0.05</v>
      </c>
      <c r="L5" s="264">
        <f t="shared" si="0"/>
        <v>0.05</v>
      </c>
      <c r="M5" s="264">
        <f t="shared" si="0"/>
        <v>0.05</v>
      </c>
      <c r="N5" s="264">
        <f t="shared" si="0"/>
        <v>0.05</v>
      </c>
      <c r="O5" s="264">
        <f t="shared" si="0"/>
        <v>0.05</v>
      </c>
      <c r="P5" s="265"/>
      <c r="Q5" s="266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</row>
    <row r="6" spans="1:34" ht="32.15" customHeight="1">
      <c r="A6" s="855" t="s">
        <v>442</v>
      </c>
      <c r="B6" s="856"/>
      <c r="C6" s="857"/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8"/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7"/>
      <c r="AC6" s="267"/>
      <c r="AD6" s="267"/>
      <c r="AE6" s="267"/>
      <c r="AF6" s="267"/>
      <c r="AG6" s="267"/>
      <c r="AH6" s="267"/>
    </row>
    <row r="7" spans="1:34" ht="12.75" customHeight="1">
      <c r="A7" s="268"/>
      <c r="B7" s="268"/>
      <c r="C7" s="263" t="s">
        <v>443</v>
      </c>
      <c r="D7" s="263" t="s">
        <v>444</v>
      </c>
      <c r="E7" s="263" t="s">
        <v>445</v>
      </c>
      <c r="F7" s="263" t="s">
        <v>446</v>
      </c>
      <c r="G7" s="263" t="s">
        <v>447</v>
      </c>
      <c r="H7" s="263" t="s">
        <v>448</v>
      </c>
      <c r="I7" s="263" t="s">
        <v>449</v>
      </c>
      <c r="J7" s="263" t="s">
        <v>450</v>
      </c>
      <c r="K7" s="263" t="s">
        <v>451</v>
      </c>
      <c r="L7" s="263" t="s">
        <v>452</v>
      </c>
      <c r="M7" s="263" t="s">
        <v>453</v>
      </c>
      <c r="N7" s="263" t="s">
        <v>454</v>
      </c>
      <c r="O7" s="263" t="s">
        <v>383</v>
      </c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</row>
    <row r="8" spans="1:34" ht="22.5" customHeight="1">
      <c r="A8" s="263" t="s">
        <v>455</v>
      </c>
      <c r="B8" s="263"/>
      <c r="C8" s="270">
        <v>31</v>
      </c>
      <c r="D8" s="270">
        <v>28</v>
      </c>
      <c r="E8" s="270">
        <v>31</v>
      </c>
      <c r="F8" s="270">
        <v>30</v>
      </c>
      <c r="G8" s="270">
        <v>31</v>
      </c>
      <c r="H8" s="270">
        <v>30</v>
      </c>
      <c r="I8" s="270">
        <v>31</v>
      </c>
      <c r="J8" s="270">
        <v>31</v>
      </c>
      <c r="K8" s="270">
        <v>30</v>
      </c>
      <c r="L8" s="270">
        <v>31</v>
      </c>
      <c r="M8" s="270">
        <v>30</v>
      </c>
      <c r="N8" s="270">
        <v>31</v>
      </c>
      <c r="O8" s="253">
        <f t="shared" ref="O8:O11" si="1">SUM(C8:N8)</f>
        <v>365</v>
      </c>
      <c r="P8" s="262"/>
      <c r="Q8" s="262"/>
      <c r="R8" s="262"/>
      <c r="S8" s="543" t="s">
        <v>798</v>
      </c>
      <c r="T8" s="543"/>
      <c r="U8" s="543" t="s">
        <v>370</v>
      </c>
      <c r="V8" s="543" t="s">
        <v>371</v>
      </c>
      <c r="W8" s="543" t="s">
        <v>372</v>
      </c>
      <c r="X8" s="543" t="s">
        <v>373</v>
      </c>
      <c r="Y8" s="543" t="s">
        <v>331</v>
      </c>
      <c r="Z8" s="543" t="s">
        <v>374</v>
      </c>
      <c r="AA8" s="543" t="s">
        <v>375</v>
      </c>
      <c r="AB8" s="543" t="s">
        <v>376</v>
      </c>
      <c r="AC8" s="543" t="s">
        <v>377</v>
      </c>
      <c r="AD8" s="543" t="s">
        <v>378</v>
      </c>
      <c r="AE8" s="543" t="s">
        <v>379</v>
      </c>
      <c r="AF8" s="543" t="s">
        <v>380</v>
      </c>
      <c r="AG8" s="543" t="s">
        <v>383</v>
      </c>
      <c r="AH8" s="262"/>
    </row>
    <row r="9" spans="1:34" ht="54" customHeight="1">
      <c r="A9" s="490" t="str">
        <f>Инфраструктура!A6</f>
        <v>Гостиничный комплекс 4* "У Бювета"</v>
      </c>
      <c r="B9" s="263"/>
      <c r="C9" s="270"/>
      <c r="D9" s="270"/>
      <c r="E9" s="270"/>
      <c r="F9" s="270"/>
      <c r="G9" s="270"/>
      <c r="H9" s="270"/>
      <c r="I9" s="270"/>
      <c r="J9" s="270"/>
      <c r="K9" s="270"/>
      <c r="L9" s="270"/>
      <c r="M9" s="270"/>
      <c r="N9" s="270"/>
      <c r="O9" s="253"/>
      <c r="P9" s="262"/>
      <c r="Q9" s="262"/>
      <c r="R9" s="262"/>
      <c r="S9" s="544"/>
      <c r="T9" s="545" t="s">
        <v>799</v>
      </c>
      <c r="U9" s="544"/>
      <c r="V9" s="543"/>
      <c r="W9" s="543"/>
      <c r="X9" s="543"/>
      <c r="Y9" s="543"/>
      <c r="Z9" s="543"/>
      <c r="AA9" s="543"/>
      <c r="AB9" s="543"/>
      <c r="AC9" s="543"/>
      <c r="AD9" s="543"/>
      <c r="AE9" s="543"/>
      <c r="AF9" s="543"/>
      <c r="AG9" s="543"/>
      <c r="AH9" s="262"/>
    </row>
    <row r="10" spans="1:34" ht="12.75" customHeight="1">
      <c r="A10" s="263" t="s">
        <v>456</v>
      </c>
      <c r="B10" s="263"/>
      <c r="C10" s="270">
        <f>C8*ADR!$B$26</f>
        <v>3720</v>
      </c>
      <c r="D10" s="270">
        <f>D8*ADR!$B$26</f>
        <v>3360</v>
      </c>
      <c r="E10" s="270">
        <f>E8*ADR!$B$26</f>
        <v>3720</v>
      </c>
      <c r="F10" s="270">
        <f>F8*ADR!$B$26</f>
        <v>3600</v>
      </c>
      <c r="G10" s="270">
        <f>G8*ADR!$B$26</f>
        <v>3720</v>
      </c>
      <c r="H10" s="270">
        <f>H8*ADR!$B$26</f>
        <v>3600</v>
      </c>
      <c r="I10" s="270">
        <f>I8*ADR!$B$26</f>
        <v>3720</v>
      </c>
      <c r="J10" s="270">
        <f>J8*ADR!$B$26</f>
        <v>3720</v>
      </c>
      <c r="K10" s="270">
        <f>K8*ADR!$B$26</f>
        <v>3600</v>
      </c>
      <c r="L10" s="270">
        <f>L8*ADR!$B$26</f>
        <v>3720</v>
      </c>
      <c r="M10" s="270">
        <f>M8*ADR!$B$26</f>
        <v>3600</v>
      </c>
      <c r="N10" s="270">
        <f>N8*ADR!$B$26</f>
        <v>3720</v>
      </c>
      <c r="O10" s="253">
        <f t="shared" si="1"/>
        <v>43800</v>
      </c>
      <c r="P10" s="262"/>
      <c r="Q10" s="262"/>
      <c r="R10" s="262"/>
      <c r="S10" s="546" t="str">
        <f>A9</f>
        <v>Гостиничный комплекс 4* "У Бювета"</v>
      </c>
      <c r="T10" s="543">
        <v>30</v>
      </c>
      <c r="U10" s="543">
        <f t="shared" ref="U10:AF10" si="2">$T$10*U13*C8</f>
        <v>744</v>
      </c>
      <c r="V10" s="543">
        <f t="shared" si="2"/>
        <v>210</v>
      </c>
      <c r="W10" s="543">
        <f t="shared" si="2"/>
        <v>279</v>
      </c>
      <c r="X10" s="543">
        <f t="shared" si="2"/>
        <v>360</v>
      </c>
      <c r="Y10" s="543">
        <f t="shared" si="2"/>
        <v>604.5</v>
      </c>
      <c r="Z10" s="543">
        <f t="shared" si="2"/>
        <v>675</v>
      </c>
      <c r="AA10" s="543">
        <f t="shared" si="2"/>
        <v>930</v>
      </c>
      <c r="AB10" s="543">
        <f t="shared" si="2"/>
        <v>790.5</v>
      </c>
      <c r="AC10" s="543">
        <f t="shared" si="2"/>
        <v>495</v>
      </c>
      <c r="AD10" s="543">
        <f t="shared" si="2"/>
        <v>232.5</v>
      </c>
      <c r="AE10" s="543">
        <f t="shared" si="2"/>
        <v>225</v>
      </c>
      <c r="AF10" s="543">
        <f t="shared" si="2"/>
        <v>604.5</v>
      </c>
      <c r="AG10" s="543"/>
      <c r="AH10" s="262"/>
    </row>
    <row r="11" spans="1:34" ht="12.75" customHeight="1">
      <c r="A11" s="263" t="s">
        <v>457</v>
      </c>
      <c r="B11" s="263"/>
      <c r="C11" s="270">
        <f t="shared" ref="C11:N11" si="3">C12*C10</f>
        <v>2790</v>
      </c>
      <c r="D11" s="270">
        <f t="shared" si="3"/>
        <v>1848.0000000000002</v>
      </c>
      <c r="E11" s="270">
        <f t="shared" si="3"/>
        <v>2046.0000000000002</v>
      </c>
      <c r="F11" s="270">
        <f t="shared" si="3"/>
        <v>1980.0000000000002</v>
      </c>
      <c r="G11" s="270">
        <f t="shared" si="3"/>
        <v>2790</v>
      </c>
      <c r="H11" s="270">
        <f t="shared" si="3"/>
        <v>3060</v>
      </c>
      <c r="I11" s="270">
        <f t="shared" si="3"/>
        <v>3162</v>
      </c>
      <c r="J11" s="270">
        <f t="shared" si="3"/>
        <v>2976</v>
      </c>
      <c r="K11" s="270">
        <f t="shared" si="3"/>
        <v>2340</v>
      </c>
      <c r="L11" s="270">
        <f t="shared" si="3"/>
        <v>2046.0000000000002</v>
      </c>
      <c r="M11" s="270">
        <f t="shared" si="3"/>
        <v>1800</v>
      </c>
      <c r="N11" s="270">
        <f t="shared" si="3"/>
        <v>2418</v>
      </c>
      <c r="O11" s="253">
        <f t="shared" si="1"/>
        <v>29256</v>
      </c>
      <c r="P11" s="262"/>
      <c r="Q11" s="262"/>
      <c r="R11" s="262"/>
      <c r="S11" s="546" t="str">
        <f>A25</f>
        <v>Эко-вилладж 4*</v>
      </c>
      <c r="T11" s="543">
        <v>60</v>
      </c>
      <c r="U11" s="543">
        <f t="shared" ref="U11:AF11" si="4">$T$11*U13*C8</f>
        <v>1488</v>
      </c>
      <c r="V11" s="543">
        <f t="shared" si="4"/>
        <v>420</v>
      </c>
      <c r="W11" s="543">
        <f t="shared" si="4"/>
        <v>558</v>
      </c>
      <c r="X11" s="543">
        <f t="shared" si="4"/>
        <v>720</v>
      </c>
      <c r="Y11" s="543">
        <f t="shared" si="4"/>
        <v>1209</v>
      </c>
      <c r="Z11" s="543">
        <f t="shared" si="4"/>
        <v>1350</v>
      </c>
      <c r="AA11" s="543">
        <f t="shared" si="4"/>
        <v>1860</v>
      </c>
      <c r="AB11" s="543">
        <f t="shared" si="4"/>
        <v>1581</v>
      </c>
      <c r="AC11" s="543">
        <f t="shared" si="4"/>
        <v>990</v>
      </c>
      <c r="AD11" s="543">
        <f t="shared" si="4"/>
        <v>465</v>
      </c>
      <c r="AE11" s="543">
        <f t="shared" si="4"/>
        <v>450</v>
      </c>
      <c r="AF11" s="543">
        <f t="shared" si="4"/>
        <v>1209</v>
      </c>
      <c r="AG11" s="543"/>
      <c r="AH11" s="262"/>
    </row>
    <row r="12" spans="1:34" ht="12.75" customHeight="1">
      <c r="A12" s="271" t="s">
        <v>458</v>
      </c>
      <c r="B12" s="271"/>
      <c r="C12" s="272">
        <v>0.75</v>
      </c>
      <c r="D12" s="272">
        <v>0.55000000000000004</v>
      </c>
      <c r="E12" s="272">
        <v>0.55000000000000004</v>
      </c>
      <c r="F12" s="272">
        <v>0.55000000000000004</v>
      </c>
      <c r="G12" s="272">
        <v>0.75</v>
      </c>
      <c r="H12" s="272">
        <v>0.85</v>
      </c>
      <c r="I12" s="272">
        <v>0.85</v>
      </c>
      <c r="J12" s="272">
        <v>0.8</v>
      </c>
      <c r="K12" s="272">
        <v>0.65</v>
      </c>
      <c r="L12" s="272">
        <v>0.55000000000000004</v>
      </c>
      <c r="M12" s="272">
        <v>0.5</v>
      </c>
      <c r="N12" s="272">
        <v>0.65</v>
      </c>
      <c r="O12" s="271">
        <f t="shared" ref="O12:O15" si="5">AVERAGE(C12:N12)</f>
        <v>0.66666666666666663</v>
      </c>
      <c r="P12" s="265"/>
      <c r="Q12" s="262"/>
      <c r="R12" s="262"/>
      <c r="S12" s="546" t="str">
        <f>A32</f>
        <v>Гостиничный комплекс 3* в Этно-Деревне</v>
      </c>
      <c r="T12" s="543">
        <v>100</v>
      </c>
      <c r="U12" s="543">
        <f t="shared" ref="U12:AF12" si="6">$T$12*U13*C8</f>
        <v>2480</v>
      </c>
      <c r="V12" s="543">
        <f t="shared" si="6"/>
        <v>700</v>
      </c>
      <c r="W12" s="543">
        <f t="shared" si="6"/>
        <v>930</v>
      </c>
      <c r="X12" s="543">
        <f t="shared" si="6"/>
        <v>1200</v>
      </c>
      <c r="Y12" s="543">
        <f t="shared" si="6"/>
        <v>2015</v>
      </c>
      <c r="Z12" s="543">
        <f t="shared" si="6"/>
        <v>2250</v>
      </c>
      <c r="AA12" s="543">
        <f t="shared" si="6"/>
        <v>3100</v>
      </c>
      <c r="AB12" s="543">
        <f t="shared" si="6"/>
        <v>2635</v>
      </c>
      <c r="AC12" s="543">
        <f t="shared" si="6"/>
        <v>1650.0000000000002</v>
      </c>
      <c r="AD12" s="543">
        <f t="shared" si="6"/>
        <v>775</v>
      </c>
      <c r="AE12" s="543">
        <f t="shared" si="6"/>
        <v>750</v>
      </c>
      <c r="AF12" s="543">
        <f t="shared" si="6"/>
        <v>2015</v>
      </c>
      <c r="AG12" s="543"/>
      <c r="AH12" s="262"/>
    </row>
    <row r="13" spans="1:34" ht="12.75" customHeight="1">
      <c r="A13" s="263" t="s">
        <v>459</v>
      </c>
      <c r="B13" s="263"/>
      <c r="C13" s="270">
        <f>ADR!C$30</f>
        <v>10813.56182795699</v>
      </c>
      <c r="D13" s="270">
        <f>ADR!D$30</f>
        <v>7732.4761904761917</v>
      </c>
      <c r="E13" s="270">
        <f>ADR!E$30</f>
        <v>7817.5107526881711</v>
      </c>
      <c r="F13" s="270">
        <f>ADR!F$30</f>
        <v>7709.0444444444447</v>
      </c>
      <c r="G13" s="270">
        <f>ADR!G$30</f>
        <v>10039.747311827956</v>
      </c>
      <c r="H13" s="270">
        <f>ADR!H$30</f>
        <v>12301.666666666666</v>
      </c>
      <c r="I13" s="270">
        <f>ADR!I$30</f>
        <v>12301.666666666666</v>
      </c>
      <c r="J13" s="270">
        <f>ADR!J$30</f>
        <v>12301.666666666666</v>
      </c>
      <c r="K13" s="270">
        <f>ADR!K$30</f>
        <v>10886.975</v>
      </c>
      <c r="L13" s="270">
        <f>ADR!L$30</f>
        <v>6627.0268817204305</v>
      </c>
      <c r="M13" s="270">
        <f>ADR!M$30</f>
        <v>6642.9</v>
      </c>
      <c r="N13" s="270">
        <f>ADR!N$30</f>
        <v>8789.7392473118289</v>
      </c>
      <c r="O13" s="253">
        <f t="shared" si="5"/>
        <v>9496.9984713688336</v>
      </c>
      <c r="P13" s="262"/>
      <c r="Q13" s="262"/>
      <c r="R13" s="262"/>
      <c r="S13" s="544"/>
      <c r="T13" s="544"/>
      <c r="U13" s="547">
        <v>0.8</v>
      </c>
      <c r="V13" s="547">
        <v>0.25</v>
      </c>
      <c r="W13" s="547">
        <v>0.3</v>
      </c>
      <c r="X13" s="547">
        <v>0.4</v>
      </c>
      <c r="Y13" s="547">
        <v>0.65</v>
      </c>
      <c r="Z13" s="547">
        <v>0.75</v>
      </c>
      <c r="AA13" s="547">
        <v>1</v>
      </c>
      <c r="AB13" s="547">
        <v>0.85</v>
      </c>
      <c r="AC13" s="547">
        <v>0.55000000000000004</v>
      </c>
      <c r="AD13" s="547">
        <v>0.25</v>
      </c>
      <c r="AE13" s="547">
        <v>0.25</v>
      </c>
      <c r="AF13" s="547">
        <v>0.65</v>
      </c>
      <c r="AG13" s="543"/>
      <c r="AH13" s="262"/>
    </row>
    <row r="14" spans="1:34" ht="12.75" customHeight="1">
      <c r="A14" s="271" t="s">
        <v>460</v>
      </c>
      <c r="B14" s="271"/>
      <c r="C14" s="273">
        <f>'скидки для типов гостей'!$B$10</f>
        <v>0.11500000000000003</v>
      </c>
      <c r="D14" s="273">
        <f>'скидки для типов гостей'!$B$10</f>
        <v>0.11500000000000003</v>
      </c>
      <c r="E14" s="273">
        <f>'скидки для типов гостей'!$B$10</f>
        <v>0.11500000000000003</v>
      </c>
      <c r="F14" s="273">
        <f>'скидки для типов гостей'!$B$10</f>
        <v>0.11500000000000003</v>
      </c>
      <c r="G14" s="273">
        <f>'скидки для типов гостей'!$B$10</f>
        <v>0.11500000000000003</v>
      </c>
      <c r="H14" s="273">
        <f>'скидки для типов гостей'!$B$10</f>
        <v>0.11500000000000003</v>
      </c>
      <c r="I14" s="273">
        <f>'скидки для типов гостей'!$B$10</f>
        <v>0.11500000000000003</v>
      </c>
      <c r="J14" s="273">
        <f>'скидки для типов гостей'!$B$10</f>
        <v>0.11500000000000003</v>
      </c>
      <c r="K14" s="273">
        <f>'скидки для типов гостей'!$B$10</f>
        <v>0.11500000000000003</v>
      </c>
      <c r="L14" s="273">
        <f>'скидки для типов гостей'!$B$10</f>
        <v>0.11500000000000003</v>
      </c>
      <c r="M14" s="273">
        <f>'скидки для типов гостей'!$B$10</f>
        <v>0.11500000000000003</v>
      </c>
      <c r="N14" s="273">
        <f>'скидки для типов гостей'!$B$10</f>
        <v>0.11500000000000003</v>
      </c>
      <c r="O14" s="274">
        <f t="shared" si="5"/>
        <v>0.115</v>
      </c>
      <c r="P14" s="265"/>
      <c r="Q14" s="262"/>
      <c r="R14" s="262"/>
      <c r="S14" s="548" t="s">
        <v>383</v>
      </c>
      <c r="T14" s="548">
        <f>SUM(T10:T12)</f>
        <v>190</v>
      </c>
      <c r="U14" s="548">
        <f t="shared" ref="U14:AF14" si="7">$T$14*U13*C8</f>
        <v>4712</v>
      </c>
      <c r="V14" s="548">
        <f t="shared" si="7"/>
        <v>1330</v>
      </c>
      <c r="W14" s="548">
        <f t="shared" si="7"/>
        <v>1767</v>
      </c>
      <c r="X14" s="548">
        <f t="shared" si="7"/>
        <v>2280</v>
      </c>
      <c r="Y14" s="548">
        <f t="shared" si="7"/>
        <v>3828.5</v>
      </c>
      <c r="Z14" s="548">
        <f t="shared" si="7"/>
        <v>4275</v>
      </c>
      <c r="AA14" s="548">
        <f t="shared" si="7"/>
        <v>5890</v>
      </c>
      <c r="AB14" s="548">
        <f t="shared" si="7"/>
        <v>5006.5</v>
      </c>
      <c r="AC14" s="548">
        <f t="shared" si="7"/>
        <v>3135.0000000000005</v>
      </c>
      <c r="AD14" s="548">
        <f t="shared" si="7"/>
        <v>1472.5</v>
      </c>
      <c r="AE14" s="548">
        <f t="shared" si="7"/>
        <v>1425</v>
      </c>
      <c r="AF14" s="548">
        <f t="shared" si="7"/>
        <v>3828.5</v>
      </c>
      <c r="AG14" s="548">
        <f>SUM(U14:AF14)</f>
        <v>38950</v>
      </c>
      <c r="AH14" s="262"/>
    </row>
    <row r="15" spans="1:34" ht="12.75" customHeight="1">
      <c r="A15" s="271" t="s">
        <v>461</v>
      </c>
      <c r="B15" s="271"/>
      <c r="C15" s="270">
        <f t="shared" ref="C15:N15" si="8">C13-C13*C14</f>
        <v>9570.002217741936</v>
      </c>
      <c r="D15" s="270">
        <f t="shared" si="8"/>
        <v>6843.2414285714294</v>
      </c>
      <c r="E15" s="270">
        <f t="shared" si="8"/>
        <v>6918.4970161290312</v>
      </c>
      <c r="F15" s="270">
        <f t="shared" si="8"/>
        <v>6822.5043333333333</v>
      </c>
      <c r="G15" s="270">
        <f t="shared" si="8"/>
        <v>8885.1763709677398</v>
      </c>
      <c r="H15" s="270">
        <f t="shared" si="8"/>
        <v>10886.974999999999</v>
      </c>
      <c r="I15" s="270">
        <f t="shared" si="8"/>
        <v>10886.974999999999</v>
      </c>
      <c r="J15" s="270">
        <f t="shared" si="8"/>
        <v>10886.974999999999</v>
      </c>
      <c r="K15" s="270">
        <f t="shared" si="8"/>
        <v>9634.9728749999995</v>
      </c>
      <c r="L15" s="270">
        <f t="shared" si="8"/>
        <v>5864.9187903225811</v>
      </c>
      <c r="M15" s="270">
        <f t="shared" si="8"/>
        <v>5878.9664999999995</v>
      </c>
      <c r="N15" s="270">
        <f t="shared" si="8"/>
        <v>7778.9192338709681</v>
      </c>
      <c r="O15" s="253">
        <f t="shared" si="5"/>
        <v>8404.8436471614186</v>
      </c>
      <c r="P15" s="265"/>
      <c r="Q15" s="262"/>
      <c r="R15" s="262"/>
      <c r="S15" s="262"/>
      <c r="T15" s="262"/>
      <c r="U15" s="262"/>
      <c r="V15" s="262"/>
      <c r="W15" s="262"/>
      <c r="X15" s="262"/>
      <c r="Y15" s="262"/>
      <c r="Z15" s="262"/>
      <c r="AA15" s="262"/>
      <c r="AB15" s="262"/>
      <c r="AC15" s="262"/>
      <c r="AD15" s="262"/>
      <c r="AE15" s="262"/>
      <c r="AF15" s="262"/>
      <c r="AG15" s="262"/>
      <c r="AH15" s="262"/>
    </row>
    <row r="16" spans="1:34" ht="24.65" customHeight="1">
      <c r="A16" s="275" t="s">
        <v>462</v>
      </c>
      <c r="B16" s="275"/>
      <c r="C16" s="276">
        <f t="shared" ref="C16:N16" si="9">C11*C15</f>
        <v>26700306.1875</v>
      </c>
      <c r="D16" s="276">
        <f t="shared" si="9"/>
        <v>12646310.160000004</v>
      </c>
      <c r="E16" s="276">
        <f t="shared" si="9"/>
        <v>14155244.895</v>
      </c>
      <c r="F16" s="276">
        <f t="shared" si="9"/>
        <v>13508558.580000002</v>
      </c>
      <c r="G16" s="276">
        <f t="shared" si="9"/>
        <v>24789642.074999996</v>
      </c>
      <c r="H16" s="276">
        <f t="shared" si="9"/>
        <v>33314143.499999996</v>
      </c>
      <c r="I16" s="276">
        <f t="shared" si="9"/>
        <v>34424614.949999996</v>
      </c>
      <c r="J16" s="276">
        <f t="shared" si="9"/>
        <v>32399637.599999994</v>
      </c>
      <c r="K16" s="276">
        <f t="shared" si="9"/>
        <v>22545836.5275</v>
      </c>
      <c r="L16" s="276">
        <f t="shared" si="9"/>
        <v>11999623.845000003</v>
      </c>
      <c r="M16" s="276">
        <f t="shared" si="9"/>
        <v>10582139.699999999</v>
      </c>
      <c r="N16" s="276">
        <f t="shared" si="9"/>
        <v>18809426.7075</v>
      </c>
      <c r="O16" s="277">
        <f>SUM(C16:N16)</f>
        <v>255875484.72749999</v>
      </c>
      <c r="P16" s="262"/>
      <c r="Q16" s="262"/>
      <c r="R16" s="262"/>
      <c r="S16" s="262"/>
      <c r="T16" s="262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</row>
    <row r="17" spans="1:34" ht="12" customHeight="1">
      <c r="A17" s="487"/>
      <c r="B17" s="487"/>
      <c r="C17" s="488"/>
      <c r="D17" s="488"/>
      <c r="E17" s="488"/>
      <c r="F17" s="488"/>
      <c r="G17" s="488"/>
      <c r="H17" s="488"/>
      <c r="I17" s="488"/>
      <c r="J17" s="488"/>
      <c r="K17" s="488"/>
      <c r="L17" s="488"/>
      <c r="M17" s="488"/>
      <c r="N17" s="488"/>
      <c r="O17" s="489"/>
      <c r="P17" s="262"/>
      <c r="Q17" s="262"/>
      <c r="R17" s="262"/>
      <c r="S17" s="262"/>
      <c r="T17" s="262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</row>
    <row r="18" spans="1:34" ht="74.5" customHeight="1">
      <c r="A18" s="490" t="s">
        <v>778</v>
      </c>
      <c r="B18" s="487"/>
      <c r="C18" s="519"/>
      <c r="D18" s="519"/>
      <c r="E18" s="519"/>
      <c r="F18" s="519"/>
      <c r="G18" s="519"/>
      <c r="H18" s="519"/>
      <c r="I18" s="519"/>
      <c r="J18" s="519"/>
      <c r="K18" s="519"/>
      <c r="L18" s="519"/>
      <c r="M18" s="519"/>
      <c r="N18" s="519"/>
      <c r="O18" s="520"/>
      <c r="P18" s="262"/>
      <c r="Q18" s="262"/>
      <c r="R18" s="262"/>
      <c r="S18" s="262"/>
      <c r="T18" s="262"/>
      <c r="U18" s="262"/>
      <c r="V18" s="262"/>
      <c r="W18" s="262"/>
      <c r="X18" s="262"/>
      <c r="Y18" s="262"/>
      <c r="Z18" s="262"/>
      <c r="AA18" s="262"/>
      <c r="AB18" s="262"/>
      <c r="AC18" s="262"/>
      <c r="AD18" s="262"/>
      <c r="AE18" s="262"/>
      <c r="AF18" s="262"/>
      <c r="AG18" s="262"/>
      <c r="AH18" s="262"/>
    </row>
    <row r="19" spans="1:34" ht="16" customHeight="1">
      <c r="A19" s="263" t="str">
        <f>A10</f>
        <v>Потенциал номеро-суток</v>
      </c>
      <c r="B19" s="487"/>
      <c r="C19" s="521">
        <f>Инфраструктура!$B$55*'выручка номеров'!C8</f>
        <v>3782</v>
      </c>
      <c r="D19" s="521">
        <f>Инфраструктура!$B$55*'выручка номеров'!D8</f>
        <v>3416</v>
      </c>
      <c r="E19" s="521">
        <f>Инфраструктура!$B$55*'выручка номеров'!E8</f>
        <v>3782</v>
      </c>
      <c r="F19" s="521">
        <f>Инфраструктура!$B$55*'выручка номеров'!F8</f>
        <v>3660</v>
      </c>
      <c r="G19" s="521">
        <f>Инфраструктура!$B$55*'выручка номеров'!G8</f>
        <v>3782</v>
      </c>
      <c r="H19" s="521">
        <f>Инфраструктура!$B$55*'выручка номеров'!H8</f>
        <v>3660</v>
      </c>
      <c r="I19" s="521">
        <f>Инфраструктура!$B$55*'выручка номеров'!I8</f>
        <v>3782</v>
      </c>
      <c r="J19" s="521">
        <f>Инфраструктура!$B$55*'выручка номеров'!J8</f>
        <v>3782</v>
      </c>
      <c r="K19" s="521">
        <f>Инфраструктура!$B$55*'выручка номеров'!K8</f>
        <v>3660</v>
      </c>
      <c r="L19" s="521">
        <f>Инфраструктура!$B$55*'выручка номеров'!L8</f>
        <v>3782</v>
      </c>
      <c r="M19" s="521">
        <f>Инфраструктура!$B$55*'выручка номеров'!M8</f>
        <v>3660</v>
      </c>
      <c r="N19" s="521">
        <f>Инфраструктура!$B$55*'выручка номеров'!N8</f>
        <v>3782</v>
      </c>
      <c r="O19" s="520">
        <f>SUM(C19:N19)</f>
        <v>44530</v>
      </c>
      <c r="P19" s="262"/>
      <c r="Q19" s="262"/>
      <c r="R19" s="262"/>
      <c r="S19" s="262"/>
      <c r="T19" s="262"/>
      <c r="U19" s="262"/>
      <c r="V19" s="262"/>
      <c r="W19" s="262"/>
      <c r="X19" s="262"/>
      <c r="Y19" s="262"/>
      <c r="Z19" s="262"/>
      <c r="AA19" s="262"/>
      <c r="AB19" s="262"/>
      <c r="AC19" s="262"/>
      <c r="AD19" s="262"/>
      <c r="AE19" s="262"/>
      <c r="AF19" s="262"/>
      <c r="AG19" s="262"/>
      <c r="AH19" s="262"/>
    </row>
    <row r="20" spans="1:34" ht="16" customHeight="1">
      <c r="A20" s="263" t="str">
        <f t="shared" ref="A20:A21" si="10">A11</f>
        <v>Продано номеро-суток</v>
      </c>
      <c r="B20" s="487"/>
      <c r="C20" s="521">
        <f>C19*C21</f>
        <v>2836.5</v>
      </c>
      <c r="D20" s="521">
        <f t="shared" ref="D20:N20" si="11">D19*D21</f>
        <v>2903.6</v>
      </c>
      <c r="E20" s="521">
        <f t="shared" si="11"/>
        <v>3214.7</v>
      </c>
      <c r="F20" s="521">
        <f t="shared" si="11"/>
        <v>2818.2000000000003</v>
      </c>
      <c r="G20" s="521">
        <f t="shared" si="11"/>
        <v>2647.3999999999996</v>
      </c>
      <c r="H20" s="521">
        <f t="shared" si="11"/>
        <v>3111</v>
      </c>
      <c r="I20" s="521">
        <f t="shared" si="11"/>
        <v>3214.7</v>
      </c>
      <c r="J20" s="521">
        <f t="shared" si="11"/>
        <v>2458.3000000000002</v>
      </c>
      <c r="K20" s="521">
        <f t="shared" si="11"/>
        <v>3111</v>
      </c>
      <c r="L20" s="521">
        <f t="shared" si="11"/>
        <v>3101.24</v>
      </c>
      <c r="M20" s="521">
        <f t="shared" si="11"/>
        <v>2854.8</v>
      </c>
      <c r="N20" s="521">
        <f t="shared" si="11"/>
        <v>3214.7</v>
      </c>
      <c r="O20" s="520">
        <f>SUM(C20:N20)</f>
        <v>35486.14</v>
      </c>
      <c r="P20" s="262"/>
      <c r="Q20" s="262"/>
      <c r="R20" s="262"/>
      <c r="S20" s="262"/>
      <c r="T20" s="262"/>
      <c r="U20" s="262"/>
      <c r="V20" s="262"/>
      <c r="W20" s="262"/>
      <c r="X20" s="262"/>
      <c r="Y20" s="262"/>
      <c r="Z20" s="262"/>
      <c r="AA20" s="262"/>
      <c r="AB20" s="262"/>
      <c r="AC20" s="262"/>
      <c r="AD20" s="262"/>
      <c r="AE20" s="262"/>
      <c r="AF20" s="262"/>
      <c r="AG20" s="262"/>
      <c r="AH20" s="262"/>
    </row>
    <row r="21" spans="1:34" ht="16" customHeight="1">
      <c r="A21" s="263" t="str">
        <f t="shared" si="10"/>
        <v>Загрузка номеров, %</v>
      </c>
      <c r="B21" s="487"/>
      <c r="C21" s="522">
        <v>0.75</v>
      </c>
      <c r="D21" s="522">
        <v>0.85</v>
      </c>
      <c r="E21" s="522">
        <v>0.85</v>
      </c>
      <c r="F21" s="522">
        <v>0.77</v>
      </c>
      <c r="G21" s="522">
        <v>0.7</v>
      </c>
      <c r="H21" s="522">
        <v>0.85</v>
      </c>
      <c r="I21" s="522">
        <v>0.85</v>
      </c>
      <c r="J21" s="522">
        <v>0.65</v>
      </c>
      <c r="K21" s="522">
        <v>0.85</v>
      </c>
      <c r="L21" s="522">
        <v>0.82</v>
      </c>
      <c r="M21" s="522">
        <v>0.78</v>
      </c>
      <c r="N21" s="522">
        <v>0.85</v>
      </c>
      <c r="O21" s="523">
        <f>AVERAGE(C21:N21)</f>
        <v>0.79749999999999988</v>
      </c>
      <c r="P21" s="262"/>
      <c r="Q21" s="262"/>
      <c r="R21" s="262"/>
      <c r="S21" s="262"/>
      <c r="T21" s="262"/>
      <c r="U21" s="262"/>
      <c r="V21" s="262"/>
      <c r="W21" s="262"/>
      <c r="X21" s="262"/>
      <c r="Y21" s="262"/>
      <c r="Z21" s="262"/>
      <c r="AA21" s="262"/>
      <c r="AB21" s="262"/>
      <c r="AC21" s="262"/>
      <c r="AD21" s="262"/>
      <c r="AE21" s="262"/>
      <c r="AF21" s="262"/>
      <c r="AG21" s="262"/>
      <c r="AH21" s="262"/>
    </row>
    <row r="22" spans="1:34" ht="28" customHeight="1">
      <c r="A22" s="263" t="s">
        <v>1103</v>
      </c>
      <c r="B22" s="487"/>
      <c r="C22" s="521">
        <f>'Открытые тарифы '!E32</f>
        <v>4157.5226615236261</v>
      </c>
      <c r="D22" s="521">
        <f>'Открытые тарифы '!F32</f>
        <v>3779.5660559305693</v>
      </c>
      <c r="E22" s="521">
        <f>'Открытые тарифы '!G32</f>
        <v>3779.5660559305693</v>
      </c>
      <c r="F22" s="521">
        <f>'Открытые тарифы '!H32</f>
        <v>3779.5660559305693</v>
      </c>
      <c r="G22" s="521">
        <f>'Открытые тарифы '!I32</f>
        <v>4157.5226615236261</v>
      </c>
      <c r="H22" s="521">
        <f>'Открытые тарифы '!J32</f>
        <v>4157.5226615236261</v>
      </c>
      <c r="I22" s="521">
        <f>'Открытые тарифы '!K32</f>
        <v>4157.5226615236261</v>
      </c>
      <c r="J22" s="521">
        <f>'Открытые тарифы '!L32</f>
        <v>4157.5226615236261</v>
      </c>
      <c r="K22" s="521">
        <f>'Открытые тарифы '!M32</f>
        <v>3779.5660559305693</v>
      </c>
      <c r="L22" s="521">
        <f>'Открытые тарифы '!N32</f>
        <v>3779.5660559305693</v>
      </c>
      <c r="M22" s="521">
        <f>'Открытые тарифы '!O32</f>
        <v>3779.5660559305693</v>
      </c>
      <c r="N22" s="521">
        <f>'Открытые тарифы '!P32</f>
        <v>3779.5660559305693</v>
      </c>
      <c r="O22" s="520">
        <f>AVERAGE(C22:N22)</f>
        <v>3937.047974927676</v>
      </c>
      <c r="P22" s="262"/>
      <c r="Q22" s="262"/>
      <c r="R22" s="262"/>
      <c r="S22" s="262"/>
      <c r="T22" s="262"/>
      <c r="U22" s="262"/>
      <c r="V22" s="262"/>
      <c r="W22" s="262"/>
      <c r="X22" s="262"/>
      <c r="Y22" s="262"/>
      <c r="Z22" s="262"/>
      <c r="AA22" s="262"/>
      <c r="AB22" s="262"/>
      <c r="AC22" s="262"/>
      <c r="AD22" s="262"/>
      <c r="AE22" s="262"/>
      <c r="AF22" s="262"/>
      <c r="AG22" s="262"/>
      <c r="AH22" s="262"/>
    </row>
    <row r="23" spans="1:34" ht="24.65" customHeight="1">
      <c r="A23" s="275" t="str">
        <f>A16</f>
        <v>Выручка от продажи номеров, руб.</v>
      </c>
      <c r="B23" s="518"/>
      <c r="C23" s="524">
        <f>C22*C20</f>
        <v>11792813.029411765</v>
      </c>
      <c r="D23" s="524">
        <f t="shared" ref="D23:N23" si="12">D22*D20</f>
        <v>10974348</v>
      </c>
      <c r="E23" s="524">
        <f t="shared" si="12"/>
        <v>12150171</v>
      </c>
      <c r="F23" s="524">
        <f t="shared" si="12"/>
        <v>10651573.058823531</v>
      </c>
      <c r="G23" s="524">
        <f t="shared" si="12"/>
        <v>11006625.494117646</v>
      </c>
      <c r="H23" s="524">
        <f t="shared" si="12"/>
        <v>12934053</v>
      </c>
      <c r="I23" s="524">
        <f t="shared" si="12"/>
        <v>13365188.1</v>
      </c>
      <c r="J23" s="524">
        <f t="shared" si="12"/>
        <v>10220437.95882353</v>
      </c>
      <c r="K23" s="524">
        <f t="shared" si="12"/>
        <v>11758230.000000002</v>
      </c>
      <c r="L23" s="524">
        <f t="shared" si="12"/>
        <v>11721341.435294118</v>
      </c>
      <c r="M23" s="524">
        <f t="shared" si="12"/>
        <v>10789905.176470591</v>
      </c>
      <c r="N23" s="524">
        <f t="shared" si="12"/>
        <v>12150171</v>
      </c>
      <c r="O23" s="524">
        <f>SUM(C23:N23)</f>
        <v>139514857.25294119</v>
      </c>
      <c r="P23" s="262"/>
      <c r="Q23" s="262"/>
      <c r="R23" s="262"/>
      <c r="S23" s="262"/>
      <c r="T23" s="262"/>
      <c r="U23" s="262"/>
      <c r="V23" s="262"/>
      <c r="W23" s="262"/>
      <c r="X23" s="262"/>
      <c r="Y23" s="262"/>
      <c r="Z23" s="262"/>
      <c r="AA23" s="262"/>
      <c r="AB23" s="262"/>
      <c r="AC23" s="262"/>
      <c r="AD23" s="262"/>
      <c r="AE23" s="262"/>
      <c r="AF23" s="262"/>
      <c r="AG23" s="262"/>
      <c r="AH23" s="262"/>
    </row>
    <row r="24" spans="1:34" ht="12.75" customHeight="1">
      <c r="A24" s="487"/>
      <c r="B24" s="487"/>
      <c r="C24" s="488"/>
      <c r="D24" s="488"/>
      <c r="E24" s="488"/>
      <c r="F24" s="488"/>
      <c r="G24" s="488"/>
      <c r="H24" s="488"/>
      <c r="I24" s="488"/>
      <c r="J24" s="488"/>
      <c r="K24" s="488"/>
      <c r="L24" s="488"/>
      <c r="M24" s="488"/>
      <c r="N24" s="488"/>
      <c r="O24" s="489"/>
      <c r="P24" s="262"/>
      <c r="Q24" s="262"/>
      <c r="R24" s="262"/>
      <c r="S24" s="262"/>
      <c r="T24" s="262"/>
      <c r="U24" s="262"/>
      <c r="V24" s="262"/>
      <c r="W24" s="262"/>
      <c r="X24" s="262"/>
      <c r="Y24" s="262"/>
      <c r="Z24" s="262"/>
      <c r="AA24" s="262"/>
      <c r="AB24" s="262"/>
      <c r="AC24" s="262"/>
      <c r="AD24" s="262"/>
      <c r="AE24" s="262"/>
      <c r="AF24" s="262"/>
      <c r="AG24" s="262"/>
      <c r="AH24" s="262"/>
    </row>
    <row r="25" spans="1:34" ht="30.65" customHeight="1">
      <c r="A25" s="490" t="str">
        <f>Инфраструктура!$A$100</f>
        <v>Эко-вилладж 4*</v>
      </c>
      <c r="B25" s="487"/>
      <c r="C25" s="488"/>
      <c r="D25" s="488"/>
      <c r="E25" s="488"/>
      <c r="F25" s="488"/>
      <c r="G25" s="488"/>
      <c r="H25" s="488"/>
      <c r="I25" s="488"/>
      <c r="J25" s="488"/>
      <c r="K25" s="488"/>
      <c r="L25" s="488"/>
      <c r="M25" s="488"/>
      <c r="N25" s="488"/>
      <c r="O25" s="489"/>
      <c r="P25" s="262"/>
      <c r="Q25" s="262"/>
      <c r="R25" s="262"/>
      <c r="S25" s="262"/>
      <c r="T25" s="262"/>
      <c r="U25" s="262"/>
      <c r="V25" s="262"/>
      <c r="W25" s="262"/>
      <c r="X25" s="262"/>
      <c r="Y25" s="262"/>
      <c r="Z25" s="262"/>
      <c r="AA25" s="262"/>
      <c r="AB25" s="262"/>
      <c r="AC25" s="262"/>
      <c r="AD25" s="262"/>
      <c r="AE25" s="262"/>
      <c r="AF25" s="262"/>
      <c r="AG25" s="262"/>
      <c r="AH25" s="262"/>
    </row>
    <row r="26" spans="1:34" ht="12.75" customHeight="1">
      <c r="A26" s="263" t="s">
        <v>456</v>
      </c>
      <c r="B26" s="263"/>
      <c r="C26" s="270">
        <f>'Открытые тарифы '!$C$39*C8</f>
        <v>992</v>
      </c>
      <c r="D26" s="270">
        <f>'Открытые тарифы '!$C$39*D8</f>
        <v>896</v>
      </c>
      <c r="E26" s="270">
        <f>'Открытые тарифы '!$C$39*E8</f>
        <v>992</v>
      </c>
      <c r="F26" s="270">
        <f>'Открытые тарифы '!$C$39*F8</f>
        <v>960</v>
      </c>
      <c r="G26" s="270">
        <f>'Открытые тарифы '!$C$39*G8</f>
        <v>992</v>
      </c>
      <c r="H26" s="270">
        <f>'Открытые тарифы '!$C$39*H8</f>
        <v>960</v>
      </c>
      <c r="I26" s="270">
        <f>'Открытые тарифы '!$C$39*I8</f>
        <v>992</v>
      </c>
      <c r="J26" s="270">
        <f>'Открытые тарифы '!$C$39*J8</f>
        <v>992</v>
      </c>
      <c r="K26" s="270">
        <f>'Открытые тарифы '!$C$39*K8</f>
        <v>960</v>
      </c>
      <c r="L26" s="270">
        <f>'Открытые тарифы '!$C$39*L8</f>
        <v>992</v>
      </c>
      <c r="M26" s="270">
        <f>'Открытые тарифы '!$C$39*M8</f>
        <v>960</v>
      </c>
      <c r="N26" s="270">
        <f>'Открытые тарифы '!$C$39*N8</f>
        <v>992</v>
      </c>
      <c r="O26" s="253">
        <f t="shared" ref="O26:O27" si="13">SUM(C26:N26)</f>
        <v>11680</v>
      </c>
      <c r="P26" s="262"/>
      <c r="Q26" s="262"/>
      <c r="R26" s="262"/>
      <c r="S26" s="262"/>
      <c r="T26" s="262"/>
      <c r="U26" s="262"/>
      <c r="V26" s="262"/>
      <c r="W26" s="262"/>
      <c r="X26" s="262"/>
      <c r="Y26" s="262"/>
      <c r="Z26" s="262"/>
      <c r="AA26" s="262"/>
      <c r="AB26" s="262"/>
      <c r="AC26" s="262"/>
      <c r="AD26" s="262"/>
      <c r="AE26" s="262"/>
      <c r="AF26" s="262"/>
      <c r="AG26" s="262"/>
      <c r="AH26" s="262"/>
    </row>
    <row r="27" spans="1:34" ht="12.75" customHeight="1">
      <c r="A27" s="263" t="s">
        <v>457</v>
      </c>
      <c r="B27" s="263"/>
      <c r="C27" s="270">
        <f t="shared" ref="C27:N27" si="14">C28*C26</f>
        <v>644.80000000000007</v>
      </c>
      <c r="D27" s="270">
        <f t="shared" si="14"/>
        <v>358.40000000000003</v>
      </c>
      <c r="E27" s="270">
        <f t="shared" si="14"/>
        <v>396.8</v>
      </c>
      <c r="F27" s="270">
        <f t="shared" si="14"/>
        <v>432</v>
      </c>
      <c r="G27" s="270">
        <f t="shared" si="14"/>
        <v>545.6</v>
      </c>
      <c r="H27" s="270">
        <f t="shared" si="14"/>
        <v>816</v>
      </c>
      <c r="I27" s="270">
        <f t="shared" si="14"/>
        <v>843.19999999999993</v>
      </c>
      <c r="J27" s="270">
        <f t="shared" si="14"/>
        <v>744</v>
      </c>
      <c r="K27" s="270">
        <f t="shared" si="14"/>
        <v>528</v>
      </c>
      <c r="L27" s="270">
        <f t="shared" si="14"/>
        <v>347.2</v>
      </c>
      <c r="M27" s="270">
        <f t="shared" si="14"/>
        <v>336</v>
      </c>
      <c r="N27" s="270">
        <f t="shared" si="14"/>
        <v>446.40000000000003</v>
      </c>
      <c r="O27" s="253">
        <f t="shared" si="13"/>
        <v>6438.3999999999987</v>
      </c>
      <c r="P27" s="262"/>
      <c r="Q27" s="262"/>
      <c r="R27" s="262"/>
      <c r="S27" s="262"/>
      <c r="T27" s="262"/>
      <c r="U27" s="262"/>
      <c r="V27" s="262"/>
      <c r="W27" s="262"/>
      <c r="X27" s="262"/>
      <c r="Y27" s="262"/>
      <c r="Z27" s="262"/>
      <c r="AA27" s="262"/>
      <c r="AB27" s="262"/>
      <c r="AC27" s="262"/>
      <c r="AD27" s="262"/>
      <c r="AE27" s="262"/>
      <c r="AF27" s="262"/>
      <c r="AG27" s="262"/>
      <c r="AH27" s="262"/>
    </row>
    <row r="28" spans="1:34" ht="12.75" customHeight="1">
      <c r="A28" s="271" t="s">
        <v>458</v>
      </c>
      <c r="B28" s="271"/>
      <c r="C28" s="272">
        <v>0.65</v>
      </c>
      <c r="D28" s="272">
        <v>0.4</v>
      </c>
      <c r="E28" s="272">
        <v>0.4</v>
      </c>
      <c r="F28" s="272">
        <v>0.45</v>
      </c>
      <c r="G28" s="272">
        <v>0.55000000000000004</v>
      </c>
      <c r="H28" s="272">
        <v>0.85</v>
      </c>
      <c r="I28" s="272">
        <v>0.85</v>
      </c>
      <c r="J28" s="272">
        <v>0.75</v>
      </c>
      <c r="K28" s="272">
        <v>0.55000000000000004</v>
      </c>
      <c r="L28" s="272">
        <v>0.35</v>
      </c>
      <c r="M28" s="272">
        <v>0.35</v>
      </c>
      <c r="N28" s="272">
        <v>0.45</v>
      </c>
      <c r="O28" s="271">
        <f t="shared" ref="O28:O29" si="15">AVERAGE(C28:N28)</f>
        <v>0.54999999999999993</v>
      </c>
      <c r="P28" s="265"/>
      <c r="Q28" s="262"/>
      <c r="R28" s="262"/>
      <c r="S28" s="262"/>
      <c r="T28" s="262"/>
      <c r="U28" s="262"/>
      <c r="V28" s="262"/>
      <c r="W28" s="262"/>
      <c r="X28" s="262"/>
      <c r="Y28" s="262"/>
      <c r="Z28" s="262"/>
      <c r="AA28" s="262"/>
      <c r="AB28" s="262"/>
      <c r="AC28" s="262"/>
      <c r="AD28" s="262"/>
      <c r="AE28" s="262"/>
      <c r="AF28" s="262"/>
      <c r="AG28" s="262"/>
      <c r="AH28" s="262"/>
    </row>
    <row r="29" spans="1:34" ht="12.75" customHeight="1">
      <c r="A29" s="263" t="s">
        <v>773</v>
      </c>
      <c r="B29" s="263"/>
      <c r="C29" s="270">
        <f>'Открытые тарифы '!D46</f>
        <v>25540.392137096773</v>
      </c>
      <c r="D29" s="270">
        <f>'Открытые тарифы '!E46</f>
        <v>18263.221428571433</v>
      </c>
      <c r="E29" s="270">
        <f>'Открытые тарифы '!F46</f>
        <v>18464.063306451619</v>
      </c>
      <c r="F29" s="270">
        <f>'Открытые тарифы '!G46</f>
        <v>18207.878333333338</v>
      </c>
      <c r="G29" s="270">
        <f>'Открытые тарифы '!H46</f>
        <v>23712.731048387101</v>
      </c>
      <c r="H29" s="270">
        <f>'Открытые тарифы '!I46</f>
        <v>29055.125</v>
      </c>
      <c r="I29" s="270">
        <f>'Открытые тарифы '!J46</f>
        <v>29055.125</v>
      </c>
      <c r="J29" s="270">
        <f>'Открытые тарифы '!K46</f>
        <v>29055.125</v>
      </c>
      <c r="K29" s="270">
        <f>'Открытые тарифы '!L46</f>
        <v>25713.785625000004</v>
      </c>
      <c r="L29" s="270">
        <f>'Открытые тарифы '!M46</f>
        <v>15652.277016129034</v>
      </c>
      <c r="M29" s="270">
        <f>'Открытые тарифы '!N46</f>
        <v>15689.7675</v>
      </c>
      <c r="N29" s="270">
        <f>'Открытые тарифы '!O46</f>
        <v>20760.355443548389</v>
      </c>
      <c r="O29" s="253">
        <f t="shared" si="15"/>
        <v>22430.820569876476</v>
      </c>
      <c r="P29" s="262"/>
      <c r="Q29" s="262"/>
      <c r="R29" s="262"/>
      <c r="S29" s="262"/>
      <c r="T29" s="262"/>
      <c r="U29" s="262"/>
      <c r="V29" s="262"/>
      <c r="W29" s="262"/>
      <c r="X29" s="262"/>
      <c r="Y29" s="262"/>
      <c r="Z29" s="262"/>
      <c r="AA29" s="262"/>
      <c r="AB29" s="262"/>
      <c r="AC29" s="262"/>
      <c r="AD29" s="262"/>
      <c r="AE29" s="262"/>
      <c r="AF29" s="262"/>
      <c r="AG29" s="262"/>
      <c r="AH29" s="262"/>
    </row>
    <row r="30" spans="1:34" ht="12.75" customHeight="1">
      <c r="A30" s="275" t="s">
        <v>462</v>
      </c>
      <c r="B30" s="275"/>
      <c r="C30" s="276">
        <f>C29*C27</f>
        <v>16468444.850000001</v>
      </c>
      <c r="D30" s="276">
        <f t="shared" ref="D30:N30" si="16">D29*D27</f>
        <v>6545538.5600000024</v>
      </c>
      <c r="E30" s="276">
        <f t="shared" si="16"/>
        <v>7326540.3200000022</v>
      </c>
      <c r="F30" s="276">
        <f t="shared" si="16"/>
        <v>7865803.4400000023</v>
      </c>
      <c r="G30" s="276">
        <f t="shared" si="16"/>
        <v>12937666.060000002</v>
      </c>
      <c r="H30" s="276">
        <f t="shared" si="16"/>
        <v>23708982</v>
      </c>
      <c r="I30" s="276">
        <f t="shared" si="16"/>
        <v>24499281.399999999</v>
      </c>
      <c r="J30" s="276">
        <f t="shared" si="16"/>
        <v>21617013</v>
      </c>
      <c r="K30" s="276">
        <f t="shared" si="16"/>
        <v>13576878.810000002</v>
      </c>
      <c r="L30" s="276">
        <f t="shared" si="16"/>
        <v>5434470.5800000001</v>
      </c>
      <c r="M30" s="276">
        <f t="shared" si="16"/>
        <v>5271761.88</v>
      </c>
      <c r="N30" s="276">
        <f t="shared" si="16"/>
        <v>9267422.6700000018</v>
      </c>
      <c r="O30" s="277">
        <f>SUM(C30:N30)</f>
        <v>154519803.57000005</v>
      </c>
      <c r="P30" s="262"/>
      <c r="Q30" s="262"/>
      <c r="R30" s="262"/>
      <c r="S30" s="262"/>
      <c r="T30" s="262"/>
      <c r="U30" s="262"/>
      <c r="V30" s="262"/>
      <c r="W30" s="262"/>
      <c r="X30" s="262"/>
      <c r="Y30" s="262"/>
      <c r="Z30" s="262"/>
      <c r="AA30" s="262"/>
      <c r="AB30" s="262"/>
      <c r="AC30" s="262"/>
      <c r="AD30" s="262"/>
      <c r="AE30" s="262"/>
      <c r="AF30" s="262"/>
      <c r="AG30" s="262"/>
      <c r="AH30" s="262"/>
    </row>
    <row r="31" spans="1:34" ht="12.75" customHeight="1">
      <c r="A31" s="487"/>
      <c r="B31" s="487"/>
      <c r="C31" s="488"/>
      <c r="D31" s="488"/>
      <c r="E31" s="488"/>
      <c r="F31" s="488"/>
      <c r="G31" s="488"/>
      <c r="H31" s="488"/>
      <c r="I31" s="488"/>
      <c r="J31" s="488"/>
      <c r="K31" s="488"/>
      <c r="L31" s="488"/>
      <c r="M31" s="488"/>
      <c r="N31" s="488"/>
      <c r="O31" s="489"/>
      <c r="P31" s="262"/>
      <c r="Q31" s="262"/>
      <c r="R31" s="262"/>
      <c r="S31" s="262"/>
      <c r="T31" s="262"/>
      <c r="U31" s="262"/>
      <c r="V31" s="262"/>
      <c r="W31" s="262"/>
      <c r="X31" s="262"/>
      <c r="Y31" s="262"/>
      <c r="Z31" s="262"/>
      <c r="AA31" s="262"/>
      <c r="AB31" s="262"/>
      <c r="AC31" s="262"/>
      <c r="AD31" s="262"/>
      <c r="AE31" s="262"/>
      <c r="AF31" s="262"/>
      <c r="AG31" s="262"/>
      <c r="AH31" s="262"/>
    </row>
    <row r="32" spans="1:34" ht="42" customHeight="1">
      <c r="A32" s="490" t="str">
        <f>'Открытые тарифы '!$A$48</f>
        <v>Гостиничный комплекс 3* в Этно-Деревне</v>
      </c>
      <c r="B32" s="487"/>
      <c r="C32" s="488"/>
      <c r="D32" s="488"/>
      <c r="E32" s="488"/>
      <c r="F32" s="488"/>
      <c r="G32" s="488"/>
      <c r="H32" s="488"/>
      <c r="I32" s="488"/>
      <c r="J32" s="488"/>
      <c r="K32" s="488"/>
      <c r="L32" s="488"/>
      <c r="M32" s="488"/>
      <c r="N32" s="488"/>
      <c r="O32" s="489"/>
      <c r="P32" s="262"/>
      <c r="Q32" s="262"/>
      <c r="R32" s="262"/>
      <c r="S32" s="262"/>
      <c r="T32" s="262"/>
      <c r="U32" s="262"/>
      <c r="V32" s="262"/>
      <c r="W32" s="262"/>
      <c r="X32" s="262"/>
      <c r="Y32" s="262"/>
      <c r="Z32" s="262"/>
      <c r="AA32" s="262"/>
      <c r="AB32" s="262"/>
      <c r="AC32" s="262"/>
      <c r="AD32" s="262"/>
      <c r="AE32" s="262"/>
      <c r="AF32" s="262"/>
      <c r="AG32" s="262"/>
      <c r="AH32" s="262"/>
    </row>
    <row r="33" spans="1:34" ht="12.75" customHeight="1">
      <c r="A33" s="263" t="s">
        <v>456</v>
      </c>
      <c r="B33" s="263"/>
      <c r="C33" s="270">
        <f>'Открытые тарифы '!$C$53*'выручка номеров'!C8</f>
        <v>1550</v>
      </c>
      <c r="D33" s="270">
        <f>'Открытые тарифы '!$C$53*'выручка номеров'!D8</f>
        <v>1400</v>
      </c>
      <c r="E33" s="270">
        <f>'Открытые тарифы '!$C$53*'выручка номеров'!E8</f>
        <v>1550</v>
      </c>
      <c r="F33" s="270">
        <f>'Открытые тарифы '!$C$53*'выручка номеров'!F8</f>
        <v>1500</v>
      </c>
      <c r="G33" s="270">
        <f>'Открытые тарифы '!$C$53*'выручка номеров'!G8</f>
        <v>1550</v>
      </c>
      <c r="H33" s="270">
        <f>'Открытые тарифы '!$C$53*'выручка номеров'!H8</f>
        <v>1500</v>
      </c>
      <c r="I33" s="270">
        <f>'Открытые тарифы '!$C$53*'выручка номеров'!I8</f>
        <v>1550</v>
      </c>
      <c r="J33" s="270">
        <f>'Открытые тарифы '!$C$53*'выручка номеров'!J8</f>
        <v>1550</v>
      </c>
      <c r="K33" s="270">
        <f>'Открытые тарифы '!$C$53*'выручка номеров'!K8</f>
        <v>1500</v>
      </c>
      <c r="L33" s="270">
        <f>'Открытые тарифы '!$C$53*'выручка номеров'!L8</f>
        <v>1550</v>
      </c>
      <c r="M33" s="270">
        <f>'Открытые тарифы '!$C$53*'выручка номеров'!M8</f>
        <v>1500</v>
      </c>
      <c r="N33" s="270">
        <f>'Открытые тарифы '!$C$53*'выручка номеров'!N8</f>
        <v>1550</v>
      </c>
      <c r="O33" s="253">
        <f>SUM(C33:N33)</f>
        <v>18250</v>
      </c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  <c r="AA33" s="262"/>
      <c r="AB33" s="262"/>
      <c r="AC33" s="262"/>
      <c r="AD33" s="262"/>
      <c r="AE33" s="262"/>
      <c r="AF33" s="262"/>
      <c r="AG33" s="262"/>
      <c r="AH33" s="262"/>
    </row>
    <row r="34" spans="1:34" ht="12.75" customHeight="1">
      <c r="A34" s="263" t="s">
        <v>457</v>
      </c>
      <c r="B34" s="263"/>
      <c r="C34" s="270">
        <f t="shared" ref="C34:N34" si="17">C35*C33</f>
        <v>930</v>
      </c>
      <c r="D34" s="270">
        <f t="shared" si="17"/>
        <v>350</v>
      </c>
      <c r="E34" s="270">
        <f t="shared" si="17"/>
        <v>387.5</v>
      </c>
      <c r="F34" s="270">
        <f t="shared" si="17"/>
        <v>450</v>
      </c>
      <c r="G34" s="270">
        <f t="shared" si="17"/>
        <v>775</v>
      </c>
      <c r="H34" s="270">
        <f t="shared" si="17"/>
        <v>1125</v>
      </c>
      <c r="I34" s="270">
        <f t="shared" si="17"/>
        <v>1162.5</v>
      </c>
      <c r="J34" s="270">
        <f t="shared" si="17"/>
        <v>1085</v>
      </c>
      <c r="K34" s="270">
        <f t="shared" si="17"/>
        <v>750</v>
      </c>
      <c r="L34" s="270">
        <f t="shared" si="17"/>
        <v>387.5</v>
      </c>
      <c r="M34" s="270">
        <f t="shared" si="17"/>
        <v>375</v>
      </c>
      <c r="N34" s="270">
        <f t="shared" si="17"/>
        <v>620</v>
      </c>
      <c r="O34" s="253">
        <f t="shared" ref="O34" si="18">SUM(C34:N34)</f>
        <v>8397.5</v>
      </c>
      <c r="P34" s="262"/>
      <c r="Q34" s="262"/>
      <c r="R34" s="262"/>
      <c r="S34" s="262"/>
      <c r="T34" s="262"/>
      <c r="U34" s="262"/>
      <c r="V34" s="262"/>
      <c r="W34" s="262"/>
      <c r="X34" s="262"/>
      <c r="Y34" s="262"/>
      <c r="Z34" s="262"/>
      <c r="AA34" s="262"/>
      <c r="AB34" s="262"/>
      <c r="AC34" s="262"/>
      <c r="AD34" s="262"/>
      <c r="AE34" s="262"/>
      <c r="AF34" s="262"/>
      <c r="AG34" s="262"/>
      <c r="AH34" s="262"/>
    </row>
    <row r="35" spans="1:34" ht="12.75" customHeight="1">
      <c r="A35" s="271" t="s">
        <v>458</v>
      </c>
      <c r="B35" s="271"/>
      <c r="C35" s="272">
        <v>0.6</v>
      </c>
      <c r="D35" s="272">
        <v>0.25</v>
      </c>
      <c r="E35" s="272">
        <v>0.25</v>
      </c>
      <c r="F35" s="272">
        <v>0.3</v>
      </c>
      <c r="G35" s="272">
        <v>0.5</v>
      </c>
      <c r="H35" s="272">
        <v>0.75</v>
      </c>
      <c r="I35" s="272">
        <v>0.75</v>
      </c>
      <c r="J35" s="272">
        <v>0.7</v>
      </c>
      <c r="K35" s="272">
        <v>0.5</v>
      </c>
      <c r="L35" s="272">
        <v>0.25</v>
      </c>
      <c r="M35" s="272">
        <v>0.25</v>
      </c>
      <c r="N35" s="272">
        <v>0.4</v>
      </c>
      <c r="O35" s="271">
        <f t="shared" ref="O35:O36" si="19">AVERAGE(C35:N35)</f>
        <v>0.45833333333333343</v>
      </c>
      <c r="P35" s="262"/>
      <c r="Q35" s="262"/>
      <c r="R35" s="262"/>
      <c r="S35" s="262"/>
      <c r="T35" s="262"/>
      <c r="U35" s="262"/>
      <c r="V35" s="262"/>
      <c r="W35" s="262"/>
      <c r="X35" s="262"/>
      <c r="Y35" s="262"/>
      <c r="Z35" s="262"/>
      <c r="AA35" s="262"/>
      <c r="AB35" s="262"/>
      <c r="AC35" s="262"/>
      <c r="AD35" s="262"/>
      <c r="AE35" s="262"/>
      <c r="AF35" s="262"/>
      <c r="AG35" s="262"/>
      <c r="AH35" s="262"/>
    </row>
    <row r="36" spans="1:34" ht="12.75" customHeight="1">
      <c r="A36" s="263" t="s">
        <v>459</v>
      </c>
      <c r="B36" s="263"/>
      <c r="C36" s="270">
        <f>'Открытые тарифы '!D62</f>
        <v>5819.4578629032258</v>
      </c>
      <c r="D36" s="270">
        <f>'Открытые тарифы '!E62</f>
        <v>4861.7053571428569</v>
      </c>
      <c r="E36" s="270">
        <f>'Открытые тарифы '!F62</f>
        <v>4915.1698588709678</v>
      </c>
      <c r="F36" s="270">
        <f>'Открытые тарифы '!G62</f>
        <v>4846.9729166666666</v>
      </c>
      <c r="G36" s="270">
        <f>'Открытые тарифы '!H62</f>
        <v>6312.3755040322585</v>
      </c>
      <c r="H36" s="270">
        <f>'Открытые тарифы '!I62</f>
        <v>7734.53125</v>
      </c>
      <c r="I36" s="270">
        <f>'Открытые тарифы '!J62</f>
        <v>7734.53125</v>
      </c>
      <c r="J36" s="270">
        <f>'Открытые тарифы '!K62</f>
        <v>7734.53125</v>
      </c>
      <c r="K36" s="270">
        <f>'Открытые тарифы '!L62</f>
        <v>6845.0601562499996</v>
      </c>
      <c r="L36" s="270">
        <f>'Открытые тарифы '!M62</f>
        <v>4166.6668346774195</v>
      </c>
      <c r="M36" s="270">
        <f>'Открытые тарифы '!N62</f>
        <v>4176.6468750000004</v>
      </c>
      <c r="N36" s="270">
        <f>'Открытые тарифы '!O62</f>
        <v>5526.4473286290322</v>
      </c>
      <c r="O36" s="253">
        <f t="shared" si="19"/>
        <v>5889.5080370143687</v>
      </c>
      <c r="P36" s="262"/>
      <c r="Q36" s="262"/>
      <c r="R36" s="262"/>
      <c r="S36" s="262"/>
      <c r="T36" s="262"/>
      <c r="U36" s="262"/>
      <c r="V36" s="262"/>
      <c r="W36" s="262"/>
      <c r="X36" s="262"/>
      <c r="Y36" s="262"/>
      <c r="Z36" s="262"/>
      <c r="AA36" s="262"/>
      <c r="AB36" s="262"/>
      <c r="AC36" s="262"/>
      <c r="AD36" s="262"/>
      <c r="AE36" s="262"/>
      <c r="AF36" s="262"/>
      <c r="AG36" s="262"/>
      <c r="AH36" s="262"/>
    </row>
    <row r="37" spans="1:34" ht="12.75" customHeight="1">
      <c r="A37" s="275" t="s">
        <v>462</v>
      </c>
      <c r="B37" s="275"/>
      <c r="C37" s="276">
        <f>C34*C36</f>
        <v>5412095.8125</v>
      </c>
      <c r="D37" s="276">
        <f t="shared" ref="D37:N37" si="20">D34*D36</f>
        <v>1701596.875</v>
      </c>
      <c r="E37" s="276">
        <f t="shared" si="20"/>
        <v>1904628.3203125</v>
      </c>
      <c r="F37" s="276">
        <f t="shared" si="20"/>
        <v>2181137.8125</v>
      </c>
      <c r="G37" s="276">
        <f t="shared" si="20"/>
        <v>4892091.015625</v>
      </c>
      <c r="H37" s="276">
        <f t="shared" si="20"/>
        <v>8701347.65625</v>
      </c>
      <c r="I37" s="276">
        <f t="shared" si="20"/>
        <v>8991392.578125</v>
      </c>
      <c r="J37" s="276">
        <f t="shared" si="20"/>
        <v>8391966.40625</v>
      </c>
      <c r="K37" s="276">
        <f t="shared" si="20"/>
        <v>5133795.1171875</v>
      </c>
      <c r="L37" s="276">
        <f t="shared" si="20"/>
        <v>1614583.3984375</v>
      </c>
      <c r="M37" s="276">
        <f t="shared" si="20"/>
        <v>1566242.5781250002</v>
      </c>
      <c r="N37" s="276">
        <f t="shared" si="20"/>
        <v>3426397.34375</v>
      </c>
      <c r="O37" s="277">
        <f>SUM(C37:N37)</f>
        <v>53917274.9140625</v>
      </c>
      <c r="P37" s="262"/>
      <c r="Q37" s="262"/>
      <c r="R37" s="262"/>
      <c r="S37" s="262"/>
      <c r="T37" s="262"/>
      <c r="U37" s="262"/>
      <c r="V37" s="262"/>
      <c r="W37" s="262"/>
      <c r="X37" s="262"/>
      <c r="Y37" s="262"/>
      <c r="Z37" s="262"/>
      <c r="AA37" s="262"/>
      <c r="AB37" s="262"/>
      <c r="AC37" s="262"/>
      <c r="AD37" s="262"/>
      <c r="AE37" s="262"/>
      <c r="AF37" s="262"/>
      <c r="AG37" s="262"/>
      <c r="AH37" s="262"/>
    </row>
    <row r="38" spans="1:34" ht="12.75" customHeight="1">
      <c r="A38" s="487"/>
      <c r="B38" s="487"/>
      <c r="C38" s="488"/>
      <c r="D38" s="488"/>
      <c r="E38" s="488"/>
      <c r="F38" s="488"/>
      <c r="G38" s="488"/>
      <c r="H38" s="488"/>
      <c r="I38" s="488"/>
      <c r="J38" s="488"/>
      <c r="K38" s="488"/>
      <c r="L38" s="488"/>
      <c r="M38" s="488"/>
      <c r="N38" s="488"/>
      <c r="O38" s="489"/>
      <c r="P38" s="262"/>
      <c r="Q38" s="262"/>
      <c r="R38" s="262"/>
      <c r="S38" s="262"/>
      <c r="T38" s="262"/>
      <c r="U38" s="262"/>
      <c r="V38" s="262"/>
      <c r="W38" s="262"/>
      <c r="X38" s="262"/>
      <c r="Y38" s="262"/>
      <c r="Z38" s="262"/>
      <c r="AA38" s="262"/>
      <c r="AB38" s="262"/>
      <c r="AC38" s="262"/>
      <c r="AD38" s="262"/>
      <c r="AE38" s="262"/>
      <c r="AF38" s="262"/>
      <c r="AG38" s="262"/>
      <c r="AH38" s="262"/>
    </row>
    <row r="39" spans="1:34" ht="29.15" customHeight="1">
      <c r="A39" s="525" t="s">
        <v>775</v>
      </c>
      <c r="B39" s="526"/>
      <c r="C39" s="527">
        <f t="shared" ref="C39:N39" si="21">SUM(C16,C23,C30,C37)</f>
        <v>60373659.879411764</v>
      </c>
      <c r="D39" s="527">
        <f t="shared" si="21"/>
        <v>31867793.595000006</v>
      </c>
      <c r="E39" s="527">
        <f t="shared" si="21"/>
        <v>35536584.535312504</v>
      </c>
      <c r="F39" s="527">
        <f t="shared" si="21"/>
        <v>34207072.891323537</v>
      </c>
      <c r="G39" s="527">
        <f t="shared" si="21"/>
        <v>53626024.644742645</v>
      </c>
      <c r="H39" s="527">
        <f t="shared" si="21"/>
        <v>78658526.15625</v>
      </c>
      <c r="I39" s="527">
        <f t="shared" si="21"/>
        <v>81280477.028124988</v>
      </c>
      <c r="J39" s="527">
        <f t="shared" si="21"/>
        <v>72629054.965073526</v>
      </c>
      <c r="K39" s="527">
        <f t="shared" si="21"/>
        <v>53014740.454687506</v>
      </c>
      <c r="L39" s="527">
        <f t="shared" si="21"/>
        <v>30770019.258731619</v>
      </c>
      <c r="M39" s="527">
        <f t="shared" si="21"/>
        <v>28210049.334595587</v>
      </c>
      <c r="N39" s="527">
        <f t="shared" si="21"/>
        <v>43653417.721249998</v>
      </c>
      <c r="O39" s="528">
        <f>SUM(C39:N39)</f>
        <v>603827420.46450353</v>
      </c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</row>
    <row r="40" spans="1:34" ht="12.75" customHeight="1">
      <c r="A40" s="487"/>
      <c r="B40" s="487"/>
      <c r="C40" s="488"/>
      <c r="D40" s="488"/>
      <c r="E40" s="488"/>
      <c r="F40" s="488"/>
      <c r="G40" s="488"/>
      <c r="H40" s="488"/>
      <c r="I40" s="488"/>
      <c r="J40" s="488"/>
      <c r="K40" s="488"/>
      <c r="L40" s="488"/>
      <c r="M40" s="488"/>
      <c r="N40" s="488"/>
      <c r="O40" s="489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</row>
    <row r="41" spans="1:34" ht="12.75" customHeight="1">
      <c r="A41" s="278"/>
      <c r="B41" s="278"/>
      <c r="C41" s="278"/>
      <c r="D41" s="278"/>
      <c r="E41" s="278"/>
      <c r="F41" s="278"/>
      <c r="G41" s="278"/>
      <c r="H41" s="278"/>
      <c r="I41" s="278"/>
      <c r="J41" s="278"/>
      <c r="K41" s="278"/>
      <c r="L41" s="278"/>
      <c r="M41" s="278"/>
      <c r="N41" s="278"/>
      <c r="O41" s="278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</row>
    <row r="42" spans="1:34" ht="33.65" customHeight="1">
      <c r="A42" s="855" t="s">
        <v>463</v>
      </c>
      <c r="B42" s="856"/>
      <c r="C42" s="857"/>
      <c r="D42" s="857"/>
      <c r="E42" s="857"/>
      <c r="F42" s="857"/>
      <c r="G42" s="857"/>
      <c r="H42" s="857"/>
      <c r="I42" s="857"/>
      <c r="J42" s="857"/>
      <c r="K42" s="857"/>
      <c r="L42" s="857"/>
      <c r="M42" s="857"/>
      <c r="N42" s="857"/>
      <c r="O42" s="858"/>
      <c r="P42" s="267"/>
      <c r="Q42" s="267"/>
      <c r="R42" s="267"/>
      <c r="S42" s="267"/>
      <c r="T42" s="267"/>
      <c r="U42" s="267"/>
      <c r="V42" s="267"/>
      <c r="W42" s="267"/>
      <c r="X42" s="267"/>
      <c r="Y42" s="267"/>
      <c r="Z42" s="267"/>
      <c r="AA42" s="267"/>
      <c r="AB42" s="267"/>
      <c r="AC42" s="267"/>
      <c r="AD42" s="267"/>
      <c r="AE42" s="267"/>
      <c r="AF42" s="267"/>
      <c r="AG42" s="267"/>
      <c r="AH42" s="267"/>
    </row>
    <row r="43" spans="1:34" ht="12.75" customHeight="1">
      <c r="A43" s="268"/>
      <c r="B43" s="268"/>
      <c r="C43" s="263" t="s">
        <v>443</v>
      </c>
      <c r="D43" s="263" t="s">
        <v>444</v>
      </c>
      <c r="E43" s="263" t="s">
        <v>445</v>
      </c>
      <c r="F43" s="263" t="s">
        <v>446</v>
      </c>
      <c r="G43" s="263" t="s">
        <v>447</v>
      </c>
      <c r="H43" s="263" t="s">
        <v>448</v>
      </c>
      <c r="I43" s="263" t="s">
        <v>449</v>
      </c>
      <c r="J43" s="263" t="s">
        <v>450</v>
      </c>
      <c r="K43" s="263" t="s">
        <v>451</v>
      </c>
      <c r="L43" s="263" t="s">
        <v>452</v>
      </c>
      <c r="M43" s="263" t="s">
        <v>453</v>
      </c>
      <c r="N43" s="263" t="s">
        <v>454</v>
      </c>
      <c r="O43" s="263" t="s">
        <v>383</v>
      </c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</row>
    <row r="44" spans="1:34" ht="12.75" customHeight="1">
      <c r="A44" s="263" t="s">
        <v>455</v>
      </c>
      <c r="B44" s="263"/>
      <c r="C44" s="270">
        <v>31</v>
      </c>
      <c r="D44" s="270">
        <v>28</v>
      </c>
      <c r="E44" s="270">
        <v>31</v>
      </c>
      <c r="F44" s="270">
        <v>30</v>
      </c>
      <c r="G44" s="270">
        <v>31</v>
      </c>
      <c r="H44" s="270">
        <v>30</v>
      </c>
      <c r="I44" s="270">
        <v>31</v>
      </c>
      <c r="J44" s="270">
        <v>31</v>
      </c>
      <c r="K44" s="270">
        <v>30</v>
      </c>
      <c r="L44" s="270">
        <v>31</v>
      </c>
      <c r="M44" s="270">
        <v>30</v>
      </c>
      <c r="N44" s="270">
        <v>31</v>
      </c>
      <c r="O44" s="253">
        <f t="shared" ref="O44:O47" si="22">SUM(C44:N44)</f>
        <v>365</v>
      </c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</row>
    <row r="45" spans="1:34" ht="37.5" customHeight="1">
      <c r="A45" s="490" t="str">
        <f>A9</f>
        <v>Гостиничный комплекс 4* "У Бювета"</v>
      </c>
      <c r="B45" s="263"/>
      <c r="C45" s="270"/>
      <c r="D45" s="270"/>
      <c r="E45" s="270"/>
      <c r="F45" s="270"/>
      <c r="G45" s="270"/>
      <c r="H45" s="270"/>
      <c r="I45" s="270"/>
      <c r="J45" s="270"/>
      <c r="K45" s="270"/>
      <c r="L45" s="270"/>
      <c r="M45" s="270"/>
      <c r="N45" s="270"/>
      <c r="O45" s="253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</row>
    <row r="46" spans="1:34" ht="12.75" customHeight="1">
      <c r="A46" s="263" t="s">
        <v>456</v>
      </c>
      <c r="B46" s="263"/>
      <c r="C46" s="270">
        <f>C44*ADR!$B$26</f>
        <v>3720</v>
      </c>
      <c r="D46" s="270">
        <f>D44*ADR!$B$26</f>
        <v>3360</v>
      </c>
      <c r="E46" s="270">
        <f>E44*ADR!$B$26</f>
        <v>3720</v>
      </c>
      <c r="F46" s="270">
        <f>F44*ADR!$B$26</f>
        <v>3600</v>
      </c>
      <c r="G46" s="270">
        <f>G44*ADR!$B$26</f>
        <v>3720</v>
      </c>
      <c r="H46" s="270">
        <f>H44*ADR!$B$26</f>
        <v>3600</v>
      </c>
      <c r="I46" s="270">
        <f>I44*ADR!$B$26</f>
        <v>3720</v>
      </c>
      <c r="J46" s="270">
        <f>J44*ADR!$B$26</f>
        <v>3720</v>
      </c>
      <c r="K46" s="270">
        <f>K44*ADR!$B$26</f>
        <v>3600</v>
      </c>
      <c r="L46" s="270">
        <f>L44*ADR!$B$26</f>
        <v>3720</v>
      </c>
      <c r="M46" s="270">
        <f>M44*ADR!$B$26</f>
        <v>3600</v>
      </c>
      <c r="N46" s="270">
        <f>N44*ADR!$B$26</f>
        <v>3720</v>
      </c>
      <c r="O46" s="253">
        <f t="shared" si="22"/>
        <v>43800</v>
      </c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</row>
    <row r="47" spans="1:34" ht="12.75" customHeight="1">
      <c r="A47" s="263" t="s">
        <v>457</v>
      </c>
      <c r="B47" s="263"/>
      <c r="C47" s="270">
        <f t="shared" ref="C47:N47" si="23">C48*C46</f>
        <v>2790</v>
      </c>
      <c r="D47" s="270">
        <f t="shared" si="23"/>
        <v>1848.0000000000002</v>
      </c>
      <c r="E47" s="270">
        <f t="shared" si="23"/>
        <v>2046.0000000000002</v>
      </c>
      <c r="F47" s="270">
        <f t="shared" si="23"/>
        <v>1980.0000000000002</v>
      </c>
      <c r="G47" s="270">
        <f t="shared" si="23"/>
        <v>2790</v>
      </c>
      <c r="H47" s="270">
        <f t="shared" si="23"/>
        <v>3060</v>
      </c>
      <c r="I47" s="270">
        <f t="shared" si="23"/>
        <v>3162</v>
      </c>
      <c r="J47" s="270">
        <f t="shared" si="23"/>
        <v>2976</v>
      </c>
      <c r="K47" s="270">
        <f t="shared" si="23"/>
        <v>2340</v>
      </c>
      <c r="L47" s="270">
        <f t="shared" si="23"/>
        <v>2046.0000000000002</v>
      </c>
      <c r="M47" s="270">
        <f t="shared" si="23"/>
        <v>1800</v>
      </c>
      <c r="N47" s="270">
        <f t="shared" si="23"/>
        <v>2418</v>
      </c>
      <c r="O47" s="253">
        <f t="shared" si="22"/>
        <v>29256</v>
      </c>
      <c r="P47" s="262"/>
      <c r="Q47" s="262"/>
      <c r="R47" s="262"/>
      <c r="S47" s="262"/>
      <c r="T47" s="262"/>
      <c r="U47" s="262"/>
      <c r="V47" s="262"/>
      <c r="W47" s="262"/>
      <c r="X47" s="262"/>
      <c r="Y47" s="262"/>
      <c r="Z47" s="262"/>
      <c r="AA47" s="262"/>
      <c r="AB47" s="262"/>
      <c r="AC47" s="262"/>
      <c r="AD47" s="262"/>
      <c r="AE47" s="262"/>
      <c r="AF47" s="262"/>
      <c r="AG47" s="262"/>
      <c r="AH47" s="262"/>
    </row>
    <row r="48" spans="1:34" ht="12.75" customHeight="1">
      <c r="A48" s="271" t="s">
        <v>458</v>
      </c>
      <c r="B48" s="271"/>
      <c r="C48" s="272">
        <f t="shared" ref="C48:N48" si="24">C12</f>
        <v>0.75</v>
      </c>
      <c r="D48" s="272">
        <f t="shared" si="24"/>
        <v>0.55000000000000004</v>
      </c>
      <c r="E48" s="272">
        <f t="shared" si="24"/>
        <v>0.55000000000000004</v>
      </c>
      <c r="F48" s="272">
        <f t="shared" si="24"/>
        <v>0.55000000000000004</v>
      </c>
      <c r="G48" s="272">
        <f t="shared" si="24"/>
        <v>0.75</v>
      </c>
      <c r="H48" s="272">
        <f t="shared" si="24"/>
        <v>0.85</v>
      </c>
      <c r="I48" s="272">
        <f t="shared" si="24"/>
        <v>0.85</v>
      </c>
      <c r="J48" s="272">
        <f t="shared" si="24"/>
        <v>0.8</v>
      </c>
      <c r="K48" s="272">
        <f t="shared" si="24"/>
        <v>0.65</v>
      </c>
      <c r="L48" s="272">
        <f t="shared" si="24"/>
        <v>0.55000000000000004</v>
      </c>
      <c r="M48" s="272">
        <f t="shared" si="24"/>
        <v>0.5</v>
      </c>
      <c r="N48" s="272">
        <f t="shared" si="24"/>
        <v>0.65</v>
      </c>
      <c r="O48" s="271">
        <f t="shared" ref="O48:O51" si="25">AVERAGE(C48:N48)</f>
        <v>0.66666666666666663</v>
      </c>
      <c r="P48" s="262"/>
      <c r="Q48" s="262"/>
      <c r="R48" s="262"/>
      <c r="S48" s="262"/>
      <c r="T48" s="262"/>
      <c r="U48" s="262"/>
      <c r="V48" s="262"/>
      <c r="W48" s="262"/>
      <c r="X48" s="262"/>
      <c r="Y48" s="262"/>
      <c r="Z48" s="262"/>
      <c r="AA48" s="262"/>
      <c r="AB48" s="262"/>
      <c r="AC48" s="262"/>
      <c r="AD48" s="262"/>
      <c r="AE48" s="262"/>
      <c r="AF48" s="262"/>
      <c r="AG48" s="262"/>
      <c r="AH48" s="262"/>
    </row>
    <row r="49" spans="1:34" ht="12.75" customHeight="1">
      <c r="A49" s="263" t="s">
        <v>459</v>
      </c>
      <c r="B49" s="263"/>
      <c r="C49" s="270">
        <f>ADR!C$30+ADR!C$30*$C$5</f>
        <v>11354.239919354839</v>
      </c>
      <c r="D49" s="270">
        <f>ADR!D$30+ADR!D$30*$C$5</f>
        <v>8119.1000000000013</v>
      </c>
      <c r="E49" s="270">
        <f>ADR!E$30+ADR!E$30*$C$5</f>
        <v>8208.38629032258</v>
      </c>
      <c r="F49" s="270">
        <f>ADR!F$30+ADR!F$30*$C$5</f>
        <v>8094.4966666666669</v>
      </c>
      <c r="G49" s="270">
        <f>ADR!G$30+ADR!G$30*$C$5</f>
        <v>10541.734677419354</v>
      </c>
      <c r="H49" s="270">
        <f>ADR!H$30+ADR!H$30*$C$5</f>
        <v>12916.75</v>
      </c>
      <c r="I49" s="270">
        <f>ADR!I$30+ADR!I$30*$C$5</f>
        <v>12916.75</v>
      </c>
      <c r="J49" s="270">
        <f>ADR!J$30+ADR!J$30*$C$5</f>
        <v>12916.75</v>
      </c>
      <c r="K49" s="270">
        <f>ADR!K$30+ADR!K$30*$C$5</f>
        <v>11431.32375</v>
      </c>
      <c r="L49" s="270">
        <f>ADR!L$30+ADR!L$30*$C$5</f>
        <v>6958.3782258064521</v>
      </c>
      <c r="M49" s="270">
        <f>ADR!M$30+ADR!M$30*$C$5</f>
        <v>6975.0450000000001</v>
      </c>
      <c r="N49" s="270">
        <f>ADR!N$30+ADR!N$30*$C$5</f>
        <v>9229.2262096774211</v>
      </c>
      <c r="O49" s="253">
        <f t="shared" si="25"/>
        <v>9971.8483949372749</v>
      </c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</row>
    <row r="50" spans="1:34" ht="12.75" customHeight="1">
      <c r="A50" s="271" t="s">
        <v>460</v>
      </c>
      <c r="B50" s="271"/>
      <c r="C50" s="273">
        <f>'скидки для типов гостей'!$B$10</f>
        <v>0.11500000000000003</v>
      </c>
      <c r="D50" s="273">
        <f>'скидки для типов гостей'!$B$10</f>
        <v>0.11500000000000003</v>
      </c>
      <c r="E50" s="273">
        <f>'скидки для типов гостей'!$B$10</f>
        <v>0.11500000000000003</v>
      </c>
      <c r="F50" s="273">
        <f>'скидки для типов гостей'!$B$10</f>
        <v>0.11500000000000003</v>
      </c>
      <c r="G50" s="273">
        <f>'скидки для типов гостей'!$B$10</f>
        <v>0.11500000000000003</v>
      </c>
      <c r="H50" s="273">
        <f>'скидки для типов гостей'!$B$10</f>
        <v>0.11500000000000003</v>
      </c>
      <c r="I50" s="273">
        <f>'скидки для типов гостей'!$B$10</f>
        <v>0.11500000000000003</v>
      </c>
      <c r="J50" s="273">
        <f>'скидки для типов гостей'!$B$10</f>
        <v>0.11500000000000003</v>
      </c>
      <c r="K50" s="273">
        <f>'скидки для типов гостей'!$B$10</f>
        <v>0.11500000000000003</v>
      </c>
      <c r="L50" s="273">
        <f>'скидки для типов гостей'!$B$10</f>
        <v>0.11500000000000003</v>
      </c>
      <c r="M50" s="273">
        <f>'скидки для типов гостей'!$B$10</f>
        <v>0.11500000000000003</v>
      </c>
      <c r="N50" s="273">
        <f>'скидки для типов гостей'!$B$10</f>
        <v>0.11500000000000003</v>
      </c>
      <c r="O50" s="274">
        <f t="shared" si="25"/>
        <v>0.115</v>
      </c>
      <c r="P50" s="262"/>
      <c r="Q50" s="262"/>
      <c r="R50" s="262"/>
      <c r="S50" s="262"/>
      <c r="T50" s="262"/>
      <c r="U50" s="262"/>
      <c r="V50" s="262"/>
      <c r="W50" s="262"/>
      <c r="X50" s="262"/>
      <c r="Y50" s="262"/>
      <c r="Z50" s="262"/>
      <c r="AA50" s="262"/>
      <c r="AB50" s="262"/>
      <c r="AC50" s="262"/>
      <c r="AD50" s="262"/>
      <c r="AE50" s="262"/>
      <c r="AF50" s="262"/>
      <c r="AG50" s="262"/>
      <c r="AH50" s="262"/>
    </row>
    <row r="51" spans="1:34" ht="12.75" customHeight="1">
      <c r="A51" s="271" t="s">
        <v>461</v>
      </c>
      <c r="B51" s="271"/>
      <c r="C51" s="270">
        <f t="shared" ref="C51:N51" si="26">C49-C49*C50</f>
        <v>10048.502328629032</v>
      </c>
      <c r="D51" s="270">
        <f t="shared" si="26"/>
        <v>7185.4035000000013</v>
      </c>
      <c r="E51" s="270">
        <f t="shared" si="26"/>
        <v>7264.4218669354832</v>
      </c>
      <c r="F51" s="270">
        <f t="shared" si="26"/>
        <v>7163.6295499999997</v>
      </c>
      <c r="G51" s="270">
        <f t="shared" si="26"/>
        <v>9329.4351895161271</v>
      </c>
      <c r="H51" s="270">
        <f t="shared" si="26"/>
        <v>11431.32375</v>
      </c>
      <c r="I51" s="270">
        <f t="shared" si="26"/>
        <v>11431.32375</v>
      </c>
      <c r="J51" s="270">
        <f t="shared" si="26"/>
        <v>11431.32375</v>
      </c>
      <c r="K51" s="270">
        <f t="shared" si="26"/>
        <v>10116.721518749999</v>
      </c>
      <c r="L51" s="270">
        <f t="shared" si="26"/>
        <v>6158.1647298387097</v>
      </c>
      <c r="M51" s="270">
        <f t="shared" si="26"/>
        <v>6172.9148249999998</v>
      </c>
      <c r="N51" s="270">
        <f t="shared" si="26"/>
        <v>8167.8651955645173</v>
      </c>
      <c r="O51" s="253">
        <f t="shared" si="25"/>
        <v>8825.0858295194885</v>
      </c>
      <c r="P51" s="262"/>
      <c r="Q51" s="262"/>
      <c r="R51" s="262"/>
      <c r="S51" s="262"/>
      <c r="T51" s="262"/>
      <c r="U51" s="262"/>
      <c r="V51" s="262"/>
      <c r="W51" s="262"/>
      <c r="X51" s="262"/>
      <c r="Y51" s="262"/>
      <c r="Z51" s="262"/>
      <c r="AA51" s="262"/>
      <c r="AB51" s="262"/>
      <c r="AC51" s="262"/>
      <c r="AD51" s="262"/>
      <c r="AE51" s="262"/>
      <c r="AF51" s="262"/>
      <c r="AG51" s="262"/>
      <c r="AH51" s="262"/>
    </row>
    <row r="52" spans="1:34" ht="12.75" customHeight="1">
      <c r="A52" s="275" t="s">
        <v>462</v>
      </c>
      <c r="B52" s="275"/>
      <c r="C52" s="276">
        <f t="shared" ref="C52:N52" si="27">C47*C51</f>
        <v>28035321.496874999</v>
      </c>
      <c r="D52" s="276">
        <f t="shared" si="27"/>
        <v>13278625.668000003</v>
      </c>
      <c r="E52" s="276">
        <f t="shared" si="27"/>
        <v>14863007.13975</v>
      </c>
      <c r="F52" s="276">
        <f t="shared" si="27"/>
        <v>14183986.509000001</v>
      </c>
      <c r="G52" s="276">
        <f t="shared" si="27"/>
        <v>26029124.178749993</v>
      </c>
      <c r="H52" s="276">
        <f t="shared" si="27"/>
        <v>34979850.674999997</v>
      </c>
      <c r="I52" s="276">
        <f t="shared" si="27"/>
        <v>36145845.697499998</v>
      </c>
      <c r="J52" s="276">
        <f t="shared" si="27"/>
        <v>34019619.479999997</v>
      </c>
      <c r="K52" s="276">
        <f t="shared" si="27"/>
        <v>23673128.353874996</v>
      </c>
      <c r="L52" s="276">
        <f t="shared" si="27"/>
        <v>12599605.037250001</v>
      </c>
      <c r="M52" s="276">
        <f t="shared" si="27"/>
        <v>11111246.685000001</v>
      </c>
      <c r="N52" s="276">
        <f t="shared" si="27"/>
        <v>19749898.042875003</v>
      </c>
      <c r="O52" s="277">
        <f>SUM(C52:N52)</f>
        <v>268669258.963875</v>
      </c>
      <c r="P52" s="262"/>
      <c r="Q52" s="262"/>
      <c r="R52" s="262"/>
      <c r="S52" s="262"/>
      <c r="T52" s="262"/>
      <c r="U52" s="262"/>
      <c r="V52" s="262"/>
      <c r="W52" s="262"/>
      <c r="X52" s="262"/>
      <c r="Y52" s="262"/>
      <c r="Z52" s="262"/>
      <c r="AA52" s="262"/>
      <c r="AB52" s="262"/>
      <c r="AC52" s="262"/>
      <c r="AD52" s="262"/>
      <c r="AE52" s="262"/>
      <c r="AF52" s="262"/>
      <c r="AG52" s="262"/>
      <c r="AH52" s="262"/>
    </row>
    <row r="53" spans="1:34" ht="12.75" customHeight="1">
      <c r="A53" s="487"/>
      <c r="B53" s="487"/>
      <c r="C53" s="488"/>
      <c r="D53" s="488"/>
      <c r="E53" s="488"/>
      <c r="F53" s="488"/>
      <c r="G53" s="488"/>
      <c r="H53" s="488"/>
      <c r="I53" s="488"/>
      <c r="J53" s="488"/>
      <c r="K53" s="488"/>
      <c r="L53" s="488"/>
      <c r="M53" s="488"/>
      <c r="N53" s="488"/>
      <c r="O53" s="489"/>
      <c r="P53" s="262"/>
      <c r="Q53" s="262"/>
      <c r="R53" s="262"/>
      <c r="S53" s="262"/>
      <c r="T53" s="262"/>
      <c r="U53" s="262"/>
      <c r="V53" s="262"/>
      <c r="W53" s="262"/>
      <c r="X53" s="262"/>
      <c r="Y53" s="262"/>
      <c r="Z53" s="262"/>
      <c r="AA53" s="262"/>
      <c r="AB53" s="262"/>
      <c r="AC53" s="262"/>
      <c r="AD53" s="262"/>
      <c r="AE53" s="262"/>
      <c r="AF53" s="262"/>
      <c r="AG53" s="262"/>
      <c r="AH53" s="262"/>
    </row>
    <row r="54" spans="1:34" ht="74.5" customHeight="1">
      <c r="A54" s="490" t="s">
        <v>778</v>
      </c>
      <c r="B54" s="487"/>
      <c r="C54" s="519"/>
      <c r="D54" s="519"/>
      <c r="E54" s="519"/>
      <c r="F54" s="519"/>
      <c r="G54" s="519"/>
      <c r="H54" s="519"/>
      <c r="I54" s="519"/>
      <c r="J54" s="519"/>
      <c r="K54" s="519"/>
      <c r="L54" s="519"/>
      <c r="M54" s="519"/>
      <c r="N54" s="519"/>
      <c r="O54" s="520"/>
      <c r="P54" s="262"/>
      <c r="Q54" s="262"/>
      <c r="R54" s="262"/>
      <c r="S54" s="262"/>
      <c r="T54" s="262"/>
      <c r="U54" s="262"/>
      <c r="V54" s="262"/>
      <c r="W54" s="262"/>
      <c r="X54" s="262"/>
      <c r="Y54" s="262"/>
      <c r="Z54" s="262"/>
      <c r="AA54" s="262"/>
      <c r="AB54" s="262"/>
      <c r="AC54" s="262"/>
      <c r="AD54" s="262"/>
      <c r="AE54" s="262"/>
      <c r="AF54" s="262"/>
      <c r="AG54" s="262"/>
      <c r="AH54" s="262"/>
    </row>
    <row r="55" spans="1:34" ht="16" customHeight="1">
      <c r="A55" s="263" t="str">
        <f>A46</f>
        <v>Потенциал номеро-суток</v>
      </c>
      <c r="B55" s="487"/>
      <c r="C55" s="521">
        <f>Инфраструктура!$B$55*'выручка номеров'!C44</f>
        <v>3782</v>
      </c>
      <c r="D55" s="521">
        <f>Инфраструктура!$B$55*'выручка номеров'!D44</f>
        <v>3416</v>
      </c>
      <c r="E55" s="521">
        <f>Инфраструктура!$B$55*'выручка номеров'!E44</f>
        <v>3782</v>
      </c>
      <c r="F55" s="521">
        <f>Инфраструктура!$B$55*'выручка номеров'!F44</f>
        <v>3660</v>
      </c>
      <c r="G55" s="521">
        <f>Инфраструктура!$B$55*'выручка номеров'!G44</f>
        <v>3782</v>
      </c>
      <c r="H55" s="521">
        <f>Инфраструктура!$B$55*'выручка номеров'!H44</f>
        <v>3660</v>
      </c>
      <c r="I55" s="521">
        <f>Инфраструктура!$B$55*'выручка номеров'!I44</f>
        <v>3782</v>
      </c>
      <c r="J55" s="521">
        <f>Инфраструктура!$B$55*'выручка номеров'!J44</f>
        <v>3782</v>
      </c>
      <c r="K55" s="521">
        <f>Инфраструктура!$B$55*'выручка номеров'!K44</f>
        <v>3660</v>
      </c>
      <c r="L55" s="521">
        <f>Инфраструктура!$B$55*'выручка номеров'!L44</f>
        <v>3782</v>
      </c>
      <c r="M55" s="521">
        <f>Инфраструктура!$B$55*'выручка номеров'!M44</f>
        <v>3660</v>
      </c>
      <c r="N55" s="521">
        <f>Инфраструктура!$B$55*'выручка номеров'!N44</f>
        <v>3782</v>
      </c>
      <c r="O55" s="520">
        <f>SUM(C55:N55)</f>
        <v>44530</v>
      </c>
      <c r="P55" s="262"/>
      <c r="Q55" s="262"/>
      <c r="R55" s="262"/>
      <c r="S55" s="262"/>
      <c r="T55" s="262"/>
      <c r="U55" s="262"/>
      <c r="V55" s="262"/>
      <c r="W55" s="262"/>
      <c r="X55" s="262"/>
      <c r="Y55" s="262"/>
      <c r="Z55" s="262"/>
      <c r="AA55" s="262"/>
      <c r="AB55" s="262"/>
      <c r="AC55" s="262"/>
      <c r="AD55" s="262"/>
      <c r="AE55" s="262"/>
      <c r="AF55" s="262"/>
      <c r="AG55" s="262"/>
      <c r="AH55" s="262"/>
    </row>
    <row r="56" spans="1:34" ht="16" customHeight="1">
      <c r="A56" s="263" t="str">
        <f t="shared" ref="A56:A57" si="28">A47</f>
        <v>Продано номеро-суток</v>
      </c>
      <c r="B56" s="487"/>
      <c r="C56" s="521">
        <f>C55*C57</f>
        <v>2921.5949999999998</v>
      </c>
      <c r="D56" s="521">
        <f t="shared" ref="D56" si="29">D55*D57</f>
        <v>2990.7079999999996</v>
      </c>
      <c r="E56" s="521">
        <f t="shared" ref="E56" si="30">E55*E57</f>
        <v>3311.1409999999996</v>
      </c>
      <c r="F56" s="521">
        <f t="shared" ref="F56" si="31">F55*F57</f>
        <v>2902.7460000000001</v>
      </c>
      <c r="G56" s="521">
        <f t="shared" ref="G56" si="32">G55*G57</f>
        <v>2726.8220000000001</v>
      </c>
      <c r="H56" s="521">
        <f t="shared" ref="H56" si="33">H55*H57</f>
        <v>3204.33</v>
      </c>
      <c r="I56" s="521">
        <f t="shared" ref="I56" si="34">I55*I57</f>
        <v>3311.1409999999996</v>
      </c>
      <c r="J56" s="521">
        <f t="shared" ref="J56" si="35">J55*J57</f>
        <v>2532.0490000000004</v>
      </c>
      <c r="K56" s="521">
        <f t="shared" ref="K56" si="36">K55*K57</f>
        <v>3204.33</v>
      </c>
      <c r="L56" s="521">
        <f t="shared" ref="L56" si="37">L55*L57</f>
        <v>3194.2772</v>
      </c>
      <c r="M56" s="521">
        <f t="shared" ref="M56" si="38">M55*M57</f>
        <v>2940.444</v>
      </c>
      <c r="N56" s="521">
        <f t="shared" ref="N56" si="39">N55*N57</f>
        <v>3311.1409999999996</v>
      </c>
      <c r="O56" s="520">
        <f>SUM(C56:N56)</f>
        <v>36550.724199999997</v>
      </c>
      <c r="P56" s="262"/>
      <c r="Q56" s="262"/>
      <c r="R56" s="262"/>
      <c r="S56" s="262"/>
      <c r="T56" s="262"/>
      <c r="U56" s="262"/>
      <c r="V56" s="262"/>
      <c r="W56" s="262"/>
      <c r="X56" s="262"/>
      <c r="Y56" s="262"/>
      <c r="Z56" s="262"/>
      <c r="AA56" s="262"/>
      <c r="AB56" s="262"/>
      <c r="AC56" s="262"/>
      <c r="AD56" s="262"/>
      <c r="AE56" s="262"/>
      <c r="AF56" s="262"/>
      <c r="AG56" s="262"/>
      <c r="AH56" s="262"/>
    </row>
    <row r="57" spans="1:34" ht="16" customHeight="1">
      <c r="A57" s="263" t="str">
        <f t="shared" si="28"/>
        <v>Загрузка номеров, %</v>
      </c>
      <c r="B57" s="487"/>
      <c r="C57" s="522">
        <f t="shared" ref="C57:N57" si="40">C21*1.03</f>
        <v>0.77249999999999996</v>
      </c>
      <c r="D57" s="522">
        <f t="shared" si="40"/>
        <v>0.87549999999999994</v>
      </c>
      <c r="E57" s="522">
        <f t="shared" si="40"/>
        <v>0.87549999999999994</v>
      </c>
      <c r="F57" s="522">
        <f t="shared" si="40"/>
        <v>0.79310000000000003</v>
      </c>
      <c r="G57" s="522">
        <f t="shared" si="40"/>
        <v>0.72099999999999997</v>
      </c>
      <c r="H57" s="522">
        <f t="shared" si="40"/>
        <v>0.87549999999999994</v>
      </c>
      <c r="I57" s="522">
        <f t="shared" si="40"/>
        <v>0.87549999999999994</v>
      </c>
      <c r="J57" s="522">
        <f t="shared" si="40"/>
        <v>0.6695000000000001</v>
      </c>
      <c r="K57" s="522">
        <f t="shared" si="40"/>
        <v>0.87549999999999994</v>
      </c>
      <c r="L57" s="522">
        <f t="shared" si="40"/>
        <v>0.84460000000000002</v>
      </c>
      <c r="M57" s="522">
        <f t="shared" si="40"/>
        <v>0.8034</v>
      </c>
      <c r="N57" s="522">
        <f t="shared" si="40"/>
        <v>0.87549999999999994</v>
      </c>
      <c r="O57" s="523">
        <f>AVERAGE(C57:N57)</f>
        <v>0.82142499999999996</v>
      </c>
      <c r="P57" s="262"/>
      <c r="Q57" s="262"/>
      <c r="R57" s="262"/>
      <c r="S57" s="262"/>
      <c r="T57" s="262"/>
      <c r="U57" s="262"/>
      <c r="V57" s="262"/>
      <c r="W57" s="262"/>
      <c r="X57" s="262"/>
      <c r="Y57" s="262"/>
      <c r="Z57" s="262"/>
      <c r="AA57" s="262"/>
      <c r="AB57" s="262"/>
      <c r="AC57" s="262"/>
      <c r="AD57" s="262"/>
      <c r="AE57" s="262"/>
      <c r="AF57" s="262"/>
      <c r="AG57" s="262"/>
      <c r="AH57" s="262"/>
    </row>
    <row r="58" spans="1:34" ht="27" customHeight="1">
      <c r="A58" s="263" t="str">
        <f>A22</f>
        <v>Средняя стоимость пакета , включая питание и лечение</v>
      </c>
      <c r="B58" s="487"/>
      <c r="C58" s="521">
        <f>C22*1.04</f>
        <v>4323.8235679845711</v>
      </c>
      <c r="D58" s="521">
        <f t="shared" ref="D58:N58" si="41">D22*1.04</f>
        <v>3930.7486981677921</v>
      </c>
      <c r="E58" s="521">
        <f t="shared" si="41"/>
        <v>3930.7486981677921</v>
      </c>
      <c r="F58" s="521">
        <f t="shared" si="41"/>
        <v>3930.7486981677921</v>
      </c>
      <c r="G58" s="521">
        <f t="shared" si="41"/>
        <v>4323.8235679845711</v>
      </c>
      <c r="H58" s="521">
        <f t="shared" si="41"/>
        <v>4323.8235679845711</v>
      </c>
      <c r="I58" s="521">
        <f t="shared" si="41"/>
        <v>4323.8235679845711</v>
      </c>
      <c r="J58" s="521">
        <f t="shared" si="41"/>
        <v>4323.8235679845711</v>
      </c>
      <c r="K58" s="521">
        <f t="shared" si="41"/>
        <v>3930.7486981677921</v>
      </c>
      <c r="L58" s="521">
        <f t="shared" si="41"/>
        <v>3930.7486981677921</v>
      </c>
      <c r="M58" s="521">
        <f t="shared" si="41"/>
        <v>3930.7486981677921</v>
      </c>
      <c r="N58" s="521">
        <f t="shared" si="41"/>
        <v>3930.7486981677921</v>
      </c>
      <c r="O58" s="520">
        <f>AVERAGE(C58:N58)</f>
        <v>4094.5298939247841</v>
      </c>
      <c r="P58" s="262"/>
      <c r="Q58" s="262"/>
      <c r="R58" s="262"/>
      <c r="S58" s="262"/>
      <c r="T58" s="262"/>
      <c r="U58" s="262"/>
      <c r="V58" s="262"/>
      <c r="W58" s="262"/>
      <c r="X58" s="262"/>
      <c r="Y58" s="262"/>
      <c r="Z58" s="262"/>
      <c r="AA58" s="262"/>
      <c r="AB58" s="262"/>
      <c r="AC58" s="262"/>
      <c r="AD58" s="262"/>
      <c r="AE58" s="262"/>
      <c r="AF58" s="262"/>
      <c r="AG58" s="262"/>
      <c r="AH58" s="262"/>
    </row>
    <row r="59" spans="1:34" ht="24.65" customHeight="1">
      <c r="A59" s="275" t="str">
        <f>A52</f>
        <v>Выручка от продажи номеров, руб.</v>
      </c>
      <c r="B59" s="518"/>
      <c r="C59" s="524">
        <f>C58*C56</f>
        <v>12632461.317105882</v>
      </c>
      <c r="D59" s="524">
        <f t="shared" ref="D59" si="42">D58*D56</f>
        <v>11755721.5776</v>
      </c>
      <c r="E59" s="524">
        <f t="shared" ref="E59" si="43">E58*E56</f>
        <v>13015263.1752</v>
      </c>
      <c r="F59" s="524">
        <f t="shared" ref="F59" si="44">F58*F56</f>
        <v>11409965.060611766</v>
      </c>
      <c r="G59" s="524">
        <f t="shared" ref="G59" si="45">G58*G56</f>
        <v>11790297.229298824</v>
      </c>
      <c r="H59" s="524">
        <f t="shared" ref="H59" si="46">H58*H56</f>
        <v>13854957.5736</v>
      </c>
      <c r="I59" s="524">
        <f t="shared" ref="I59" si="47">I58*I56</f>
        <v>14316789.492719999</v>
      </c>
      <c r="J59" s="524">
        <f t="shared" ref="J59" si="48">J58*J56</f>
        <v>10948133.141491767</v>
      </c>
      <c r="K59" s="524">
        <f t="shared" ref="K59" si="49">K58*K56</f>
        <v>12595415.976000002</v>
      </c>
      <c r="L59" s="524">
        <f t="shared" ref="L59" si="50">L58*L56</f>
        <v>12555900.94548706</v>
      </c>
      <c r="M59" s="524">
        <f t="shared" ref="M59" si="51">M58*M56</f>
        <v>11558146.425035296</v>
      </c>
      <c r="N59" s="524">
        <f t="shared" ref="N59" si="52">N58*N56</f>
        <v>13015263.1752</v>
      </c>
      <c r="O59" s="524">
        <f>SUM(C59:N59)</f>
        <v>149448315.08935058</v>
      </c>
      <c r="P59" s="262"/>
      <c r="Q59" s="262"/>
      <c r="R59" s="262"/>
      <c r="S59" s="262"/>
      <c r="T59" s="262"/>
      <c r="U59" s="262"/>
      <c r="V59" s="262"/>
      <c r="W59" s="262"/>
      <c r="X59" s="262"/>
      <c r="Y59" s="262"/>
      <c r="Z59" s="262"/>
      <c r="AA59" s="262"/>
      <c r="AB59" s="262"/>
      <c r="AC59" s="262"/>
      <c r="AD59" s="262"/>
      <c r="AE59" s="262"/>
      <c r="AF59" s="262"/>
      <c r="AG59" s="262"/>
      <c r="AH59" s="262"/>
    </row>
    <row r="60" spans="1:34" ht="12.75" customHeight="1">
      <c r="A60" s="487"/>
      <c r="B60" s="487"/>
      <c r="C60" s="488"/>
      <c r="D60" s="488"/>
      <c r="E60" s="488"/>
      <c r="F60" s="488"/>
      <c r="G60" s="488"/>
      <c r="H60" s="488"/>
      <c r="I60" s="488"/>
      <c r="J60" s="488"/>
      <c r="K60" s="488"/>
      <c r="L60" s="488"/>
      <c r="M60" s="488"/>
      <c r="N60" s="488"/>
      <c r="O60" s="489"/>
      <c r="P60" s="262"/>
      <c r="Q60" s="262"/>
      <c r="R60" s="262"/>
      <c r="S60" s="262"/>
      <c r="T60" s="262"/>
      <c r="U60" s="262"/>
      <c r="V60" s="262"/>
      <c r="W60" s="262"/>
      <c r="X60" s="262"/>
      <c r="Y60" s="262"/>
      <c r="Z60" s="262"/>
      <c r="AA60" s="262"/>
      <c r="AB60" s="262"/>
      <c r="AC60" s="262"/>
      <c r="AD60" s="262"/>
      <c r="AE60" s="262"/>
      <c r="AF60" s="262"/>
      <c r="AG60" s="262"/>
      <c r="AH60" s="262"/>
    </row>
    <row r="61" spans="1:34" ht="30.65" customHeight="1">
      <c r="A61" s="490" t="str">
        <f>A25</f>
        <v>Эко-вилладж 4*</v>
      </c>
      <c r="B61" s="487"/>
      <c r="C61" s="488"/>
      <c r="D61" s="488"/>
      <c r="E61" s="488"/>
      <c r="F61" s="488"/>
      <c r="G61" s="488"/>
      <c r="H61" s="488"/>
      <c r="I61" s="488"/>
      <c r="J61" s="488"/>
      <c r="K61" s="488"/>
      <c r="L61" s="488"/>
      <c r="M61" s="488"/>
      <c r="N61" s="488"/>
      <c r="O61" s="489"/>
      <c r="P61" s="262"/>
      <c r="Q61" s="262"/>
      <c r="R61" s="262"/>
      <c r="S61" s="262"/>
      <c r="T61" s="262"/>
      <c r="U61" s="262"/>
      <c r="V61" s="262"/>
      <c r="W61" s="262"/>
      <c r="X61" s="262"/>
      <c r="Y61" s="262"/>
      <c r="Z61" s="262"/>
      <c r="AA61" s="262"/>
      <c r="AB61" s="262"/>
      <c r="AC61" s="262"/>
      <c r="AD61" s="262"/>
      <c r="AE61" s="262"/>
      <c r="AF61" s="262"/>
      <c r="AG61" s="262"/>
      <c r="AH61" s="262"/>
    </row>
    <row r="62" spans="1:34" ht="12.75" customHeight="1">
      <c r="A62" s="263" t="s">
        <v>456</v>
      </c>
      <c r="B62" s="263"/>
      <c r="C62" s="270">
        <f>'Открытые тарифы '!$C$39*C44</f>
        <v>992</v>
      </c>
      <c r="D62" s="270">
        <f>'Открытые тарифы '!$C$39*D44</f>
        <v>896</v>
      </c>
      <c r="E62" s="270">
        <f>'Открытые тарифы '!$C$39*E44</f>
        <v>992</v>
      </c>
      <c r="F62" s="270">
        <f>'Открытые тарифы '!$C$39*F44</f>
        <v>960</v>
      </c>
      <c r="G62" s="270">
        <f>'Открытые тарифы '!$C$39*G44</f>
        <v>992</v>
      </c>
      <c r="H62" s="270">
        <f>'Открытые тарифы '!$C$39*H44</f>
        <v>960</v>
      </c>
      <c r="I62" s="270">
        <f>'Открытые тарифы '!$C$39*I44</f>
        <v>992</v>
      </c>
      <c r="J62" s="270">
        <f>'Открытые тарифы '!$C$39*J44</f>
        <v>992</v>
      </c>
      <c r="K62" s="270">
        <f>'Открытые тарифы '!$C$39*K44</f>
        <v>960</v>
      </c>
      <c r="L62" s="270">
        <f>'Открытые тарифы '!$C$39*L44</f>
        <v>992</v>
      </c>
      <c r="M62" s="270">
        <f>'Открытые тарифы '!$C$39*M44</f>
        <v>960</v>
      </c>
      <c r="N62" s="270">
        <f>'Открытые тарифы '!$C$39*N44</f>
        <v>992</v>
      </c>
      <c r="O62" s="253">
        <f t="shared" ref="O62:O63" si="53">SUM(C62:N62)</f>
        <v>11680</v>
      </c>
      <c r="P62" s="262"/>
      <c r="Q62" s="262"/>
      <c r="R62" s="262"/>
      <c r="S62" s="262"/>
      <c r="T62" s="262"/>
      <c r="U62" s="262"/>
      <c r="V62" s="262"/>
      <c r="W62" s="262"/>
      <c r="X62" s="262"/>
      <c r="Y62" s="262"/>
      <c r="Z62" s="262"/>
      <c r="AA62" s="262"/>
      <c r="AB62" s="262"/>
      <c r="AC62" s="262"/>
      <c r="AD62" s="262"/>
      <c r="AE62" s="262"/>
      <c r="AF62" s="262"/>
      <c r="AG62" s="262"/>
      <c r="AH62" s="262"/>
    </row>
    <row r="63" spans="1:34" ht="12.75" customHeight="1">
      <c r="A63" s="263" t="s">
        <v>457</v>
      </c>
      <c r="B63" s="263"/>
      <c r="C63" s="270">
        <f t="shared" ref="C63:N63" si="54">C64*C62</f>
        <v>644.80000000000007</v>
      </c>
      <c r="D63" s="270">
        <f t="shared" si="54"/>
        <v>358.40000000000003</v>
      </c>
      <c r="E63" s="270">
        <f t="shared" si="54"/>
        <v>396.8</v>
      </c>
      <c r="F63" s="270">
        <f t="shared" si="54"/>
        <v>432</v>
      </c>
      <c r="G63" s="270">
        <f t="shared" si="54"/>
        <v>545.6</v>
      </c>
      <c r="H63" s="270">
        <f t="shared" si="54"/>
        <v>816</v>
      </c>
      <c r="I63" s="270">
        <f t="shared" si="54"/>
        <v>843.19999999999993</v>
      </c>
      <c r="J63" s="270">
        <f t="shared" si="54"/>
        <v>744</v>
      </c>
      <c r="K63" s="270">
        <f t="shared" si="54"/>
        <v>528</v>
      </c>
      <c r="L63" s="270">
        <f t="shared" si="54"/>
        <v>347.2</v>
      </c>
      <c r="M63" s="270">
        <f t="shared" si="54"/>
        <v>336</v>
      </c>
      <c r="N63" s="270">
        <f t="shared" si="54"/>
        <v>446.40000000000003</v>
      </c>
      <c r="O63" s="253">
        <f t="shared" si="53"/>
        <v>6438.3999999999987</v>
      </c>
      <c r="P63" s="262"/>
      <c r="Q63" s="262"/>
      <c r="R63" s="262"/>
      <c r="S63" s="262"/>
      <c r="T63" s="262"/>
      <c r="U63" s="262"/>
      <c r="V63" s="262"/>
      <c r="W63" s="262"/>
      <c r="X63" s="262"/>
      <c r="Y63" s="262"/>
      <c r="Z63" s="262"/>
      <c r="AA63" s="262"/>
      <c r="AB63" s="262"/>
      <c r="AC63" s="262"/>
      <c r="AD63" s="262"/>
      <c r="AE63" s="262"/>
      <c r="AF63" s="262"/>
      <c r="AG63" s="262"/>
      <c r="AH63" s="262"/>
    </row>
    <row r="64" spans="1:34" ht="12.75" customHeight="1">
      <c r="A64" s="271" t="s">
        <v>458</v>
      </c>
      <c r="B64" s="271"/>
      <c r="C64" s="272">
        <f>C28</f>
        <v>0.65</v>
      </c>
      <c r="D64" s="272">
        <f t="shared" ref="D64:N64" si="55">D28</f>
        <v>0.4</v>
      </c>
      <c r="E64" s="272">
        <f t="shared" si="55"/>
        <v>0.4</v>
      </c>
      <c r="F64" s="272">
        <f t="shared" si="55"/>
        <v>0.45</v>
      </c>
      <c r="G64" s="272">
        <f t="shared" si="55"/>
        <v>0.55000000000000004</v>
      </c>
      <c r="H64" s="272">
        <f t="shared" si="55"/>
        <v>0.85</v>
      </c>
      <c r="I64" s="272">
        <f t="shared" si="55"/>
        <v>0.85</v>
      </c>
      <c r="J64" s="272">
        <f t="shared" si="55"/>
        <v>0.75</v>
      </c>
      <c r="K64" s="272">
        <f t="shared" si="55"/>
        <v>0.55000000000000004</v>
      </c>
      <c r="L64" s="272">
        <f t="shared" si="55"/>
        <v>0.35</v>
      </c>
      <c r="M64" s="272">
        <f t="shared" si="55"/>
        <v>0.35</v>
      </c>
      <c r="N64" s="272">
        <f t="shared" si="55"/>
        <v>0.45</v>
      </c>
      <c r="O64" s="271">
        <f t="shared" ref="O64:O65" si="56">AVERAGE(C64:N64)</f>
        <v>0.54999999999999993</v>
      </c>
      <c r="P64" s="265"/>
      <c r="Q64" s="262"/>
      <c r="R64" s="262"/>
      <c r="S64" s="262"/>
      <c r="T64" s="262"/>
      <c r="U64" s="262"/>
      <c r="V64" s="262"/>
      <c r="W64" s="262"/>
      <c r="X64" s="262"/>
      <c r="Y64" s="262"/>
      <c r="Z64" s="262"/>
      <c r="AA64" s="262"/>
      <c r="AB64" s="262"/>
      <c r="AC64" s="262"/>
      <c r="AD64" s="262"/>
      <c r="AE64" s="262"/>
      <c r="AF64" s="262"/>
      <c r="AG64" s="262"/>
      <c r="AH64" s="262"/>
    </row>
    <row r="65" spans="1:34" ht="12.75" customHeight="1">
      <c r="A65" s="263" t="s">
        <v>773</v>
      </c>
      <c r="B65" s="263"/>
      <c r="C65" s="270">
        <f t="shared" ref="C65:N65" si="57">C29*1.04</f>
        <v>26562.007822580643</v>
      </c>
      <c r="D65" s="270">
        <f t="shared" si="57"/>
        <v>18993.75028571429</v>
      </c>
      <c r="E65" s="270">
        <f t="shared" si="57"/>
        <v>19202.625838709686</v>
      </c>
      <c r="F65" s="270">
        <f t="shared" si="57"/>
        <v>18936.193466666671</v>
      </c>
      <c r="G65" s="270">
        <f t="shared" si="57"/>
        <v>24661.240290322585</v>
      </c>
      <c r="H65" s="270">
        <f t="shared" si="57"/>
        <v>30217.33</v>
      </c>
      <c r="I65" s="270">
        <f t="shared" si="57"/>
        <v>30217.33</v>
      </c>
      <c r="J65" s="270">
        <f t="shared" si="57"/>
        <v>30217.33</v>
      </c>
      <c r="K65" s="270">
        <f t="shared" si="57"/>
        <v>26742.337050000006</v>
      </c>
      <c r="L65" s="270">
        <f t="shared" si="57"/>
        <v>16278.368096774195</v>
      </c>
      <c r="M65" s="270">
        <f t="shared" si="57"/>
        <v>16317.358200000001</v>
      </c>
      <c r="N65" s="270">
        <f t="shared" si="57"/>
        <v>21590.769661290327</v>
      </c>
      <c r="O65" s="253">
        <f t="shared" si="56"/>
        <v>23328.053392671532</v>
      </c>
      <c r="P65" s="262"/>
      <c r="Q65" s="262"/>
      <c r="R65" s="262"/>
      <c r="S65" s="262"/>
      <c r="T65" s="262"/>
      <c r="U65" s="262"/>
      <c r="V65" s="262"/>
      <c r="W65" s="262"/>
      <c r="X65" s="262"/>
      <c r="Y65" s="262"/>
      <c r="Z65" s="262"/>
      <c r="AA65" s="262"/>
      <c r="AB65" s="262"/>
      <c r="AC65" s="262"/>
      <c r="AD65" s="262"/>
      <c r="AE65" s="262"/>
      <c r="AF65" s="262"/>
      <c r="AG65" s="262"/>
      <c r="AH65" s="262"/>
    </row>
    <row r="66" spans="1:34" ht="12.75" customHeight="1">
      <c r="A66" s="275" t="s">
        <v>462</v>
      </c>
      <c r="B66" s="275"/>
      <c r="C66" s="276">
        <f>C63*C65</f>
        <v>17127182.644000001</v>
      </c>
      <c r="D66" s="276">
        <f t="shared" ref="D66:N66" si="58">D63*D65</f>
        <v>6807360.1024000021</v>
      </c>
      <c r="E66" s="276">
        <f t="shared" si="58"/>
        <v>7619601.9328000033</v>
      </c>
      <c r="F66" s="276">
        <f t="shared" si="58"/>
        <v>8180435.5776000023</v>
      </c>
      <c r="G66" s="276">
        <f t="shared" si="58"/>
        <v>13455172.702400003</v>
      </c>
      <c r="H66" s="276">
        <f t="shared" si="58"/>
        <v>24657341.280000001</v>
      </c>
      <c r="I66" s="276">
        <f t="shared" si="58"/>
        <v>25479252.655999999</v>
      </c>
      <c r="J66" s="276">
        <f t="shared" si="58"/>
        <v>22481693.52</v>
      </c>
      <c r="K66" s="276">
        <f t="shared" si="58"/>
        <v>14119953.962400002</v>
      </c>
      <c r="L66" s="276">
        <f t="shared" si="58"/>
        <v>5651849.4032000005</v>
      </c>
      <c r="M66" s="276">
        <f t="shared" si="58"/>
        <v>5482632.3552000001</v>
      </c>
      <c r="N66" s="276">
        <f t="shared" si="58"/>
        <v>9638119.5768000036</v>
      </c>
      <c r="O66" s="277">
        <f>SUM(C66:N66)</f>
        <v>160700595.71280003</v>
      </c>
      <c r="P66" s="262"/>
      <c r="Q66" s="262"/>
      <c r="R66" s="262"/>
      <c r="S66" s="262"/>
      <c r="T66" s="262"/>
      <c r="U66" s="262"/>
      <c r="V66" s="262"/>
      <c r="W66" s="262"/>
      <c r="X66" s="262"/>
      <c r="Y66" s="262"/>
      <c r="Z66" s="262"/>
      <c r="AA66" s="262"/>
      <c r="AB66" s="262"/>
      <c r="AC66" s="262"/>
      <c r="AD66" s="262"/>
      <c r="AE66" s="262"/>
      <c r="AF66" s="262"/>
      <c r="AG66" s="262"/>
      <c r="AH66" s="262"/>
    </row>
    <row r="67" spans="1:34" ht="12.75" customHeight="1">
      <c r="A67" s="487"/>
      <c r="B67" s="487"/>
      <c r="C67" s="488"/>
      <c r="D67" s="488"/>
      <c r="E67" s="488"/>
      <c r="F67" s="488"/>
      <c r="G67" s="488"/>
      <c r="H67" s="488"/>
      <c r="I67" s="488"/>
      <c r="J67" s="488"/>
      <c r="K67" s="488"/>
      <c r="L67" s="488"/>
      <c r="M67" s="488"/>
      <c r="N67" s="488"/>
      <c r="O67" s="489"/>
      <c r="P67" s="262"/>
      <c r="Q67" s="262"/>
      <c r="R67" s="262"/>
      <c r="S67" s="262"/>
      <c r="T67" s="262"/>
      <c r="U67" s="262"/>
      <c r="V67" s="262"/>
      <c r="W67" s="262"/>
      <c r="X67" s="262"/>
      <c r="Y67" s="262"/>
      <c r="Z67" s="262"/>
      <c r="AA67" s="262"/>
      <c r="AB67" s="262"/>
      <c r="AC67" s="262"/>
      <c r="AD67" s="262"/>
      <c r="AE67" s="262"/>
      <c r="AF67" s="262"/>
      <c r="AG67" s="262"/>
      <c r="AH67" s="262"/>
    </row>
    <row r="68" spans="1:34" ht="42" customHeight="1">
      <c r="A68" s="490" t="str">
        <f>A32</f>
        <v>Гостиничный комплекс 3* в Этно-Деревне</v>
      </c>
      <c r="B68" s="487"/>
      <c r="C68" s="488"/>
      <c r="D68" s="488"/>
      <c r="E68" s="488"/>
      <c r="F68" s="488"/>
      <c r="G68" s="488"/>
      <c r="H68" s="488"/>
      <c r="I68" s="488"/>
      <c r="J68" s="488"/>
      <c r="K68" s="488"/>
      <c r="L68" s="488"/>
      <c r="M68" s="488"/>
      <c r="N68" s="488"/>
      <c r="O68" s="489"/>
      <c r="P68" s="262"/>
      <c r="Q68" s="262"/>
      <c r="R68" s="262"/>
      <c r="S68" s="262"/>
      <c r="T68" s="262"/>
      <c r="U68" s="262"/>
      <c r="V68" s="262"/>
      <c r="W68" s="262"/>
      <c r="X68" s="262"/>
      <c r="Y68" s="262"/>
      <c r="Z68" s="262"/>
      <c r="AA68" s="262"/>
      <c r="AB68" s="262"/>
      <c r="AC68" s="262"/>
      <c r="AD68" s="262"/>
      <c r="AE68" s="262"/>
      <c r="AF68" s="262"/>
      <c r="AG68" s="262"/>
      <c r="AH68" s="262"/>
    </row>
    <row r="69" spans="1:34" ht="12.75" customHeight="1">
      <c r="A69" s="263" t="s">
        <v>456</v>
      </c>
      <c r="B69" s="263"/>
      <c r="C69" s="270">
        <f>'Открытые тарифы '!$C$53*'выручка номеров'!C44</f>
        <v>1550</v>
      </c>
      <c r="D69" s="270">
        <f>'Открытые тарифы '!$C$53*'выручка номеров'!D44</f>
        <v>1400</v>
      </c>
      <c r="E69" s="270">
        <f>'Открытые тарифы '!$C$53*'выручка номеров'!E44</f>
        <v>1550</v>
      </c>
      <c r="F69" s="270">
        <f>'Открытые тарифы '!$C$53*'выручка номеров'!F44</f>
        <v>1500</v>
      </c>
      <c r="G69" s="270">
        <f>'Открытые тарифы '!$C$53*'выручка номеров'!G44</f>
        <v>1550</v>
      </c>
      <c r="H69" s="270">
        <f>'Открытые тарифы '!$C$53*'выручка номеров'!H44</f>
        <v>1500</v>
      </c>
      <c r="I69" s="270">
        <f>'Открытые тарифы '!$C$53*'выручка номеров'!I44</f>
        <v>1550</v>
      </c>
      <c r="J69" s="270">
        <f>'Открытые тарифы '!$C$53*'выручка номеров'!J44</f>
        <v>1550</v>
      </c>
      <c r="K69" s="270">
        <f>'Открытые тарифы '!$C$53*'выручка номеров'!K44</f>
        <v>1500</v>
      </c>
      <c r="L69" s="270">
        <f>'Открытые тарифы '!$C$53*'выручка номеров'!L44</f>
        <v>1550</v>
      </c>
      <c r="M69" s="270">
        <f>'Открытые тарифы '!$C$53*'выручка номеров'!M44</f>
        <v>1500</v>
      </c>
      <c r="N69" s="270">
        <f>'Открытые тарифы '!$C$53*'выручка номеров'!N44</f>
        <v>1550</v>
      </c>
      <c r="O69" s="253">
        <f>SUM(C69:N69)</f>
        <v>18250</v>
      </c>
      <c r="P69" s="262"/>
      <c r="Q69" s="262"/>
      <c r="R69" s="262"/>
      <c r="S69" s="262"/>
      <c r="T69" s="262"/>
      <c r="U69" s="262"/>
      <c r="V69" s="262"/>
      <c r="W69" s="262"/>
      <c r="X69" s="262"/>
      <c r="Y69" s="262"/>
      <c r="Z69" s="262"/>
      <c r="AA69" s="262"/>
      <c r="AB69" s="262"/>
      <c r="AC69" s="262"/>
      <c r="AD69" s="262"/>
      <c r="AE69" s="262"/>
      <c r="AF69" s="262"/>
      <c r="AG69" s="262"/>
      <c r="AH69" s="262"/>
    </row>
    <row r="70" spans="1:34" ht="12.75" customHeight="1">
      <c r="A70" s="263" t="s">
        <v>457</v>
      </c>
      <c r="B70" s="263"/>
      <c r="C70" s="270">
        <f t="shared" ref="C70:N70" si="59">C71*C69</f>
        <v>930</v>
      </c>
      <c r="D70" s="270">
        <f t="shared" si="59"/>
        <v>350</v>
      </c>
      <c r="E70" s="270">
        <f t="shared" si="59"/>
        <v>387.5</v>
      </c>
      <c r="F70" s="270">
        <f t="shared" si="59"/>
        <v>450</v>
      </c>
      <c r="G70" s="270">
        <f t="shared" si="59"/>
        <v>775</v>
      </c>
      <c r="H70" s="270">
        <f t="shared" si="59"/>
        <v>1125</v>
      </c>
      <c r="I70" s="270">
        <f t="shared" si="59"/>
        <v>1162.5</v>
      </c>
      <c r="J70" s="270">
        <f t="shared" si="59"/>
        <v>1085</v>
      </c>
      <c r="K70" s="270">
        <f t="shared" si="59"/>
        <v>750</v>
      </c>
      <c r="L70" s="270">
        <f t="shared" si="59"/>
        <v>387.5</v>
      </c>
      <c r="M70" s="270">
        <f t="shared" si="59"/>
        <v>375</v>
      </c>
      <c r="N70" s="270">
        <f t="shared" si="59"/>
        <v>620</v>
      </c>
      <c r="O70" s="253">
        <f t="shared" ref="O70" si="60">SUM(C70:N70)</f>
        <v>8397.5</v>
      </c>
      <c r="P70" s="262"/>
      <c r="Q70" s="262"/>
      <c r="R70" s="262"/>
      <c r="S70" s="262"/>
      <c r="T70" s="262"/>
      <c r="U70" s="262"/>
      <c r="V70" s="262"/>
      <c r="W70" s="262"/>
      <c r="X70" s="262"/>
      <c r="Y70" s="262"/>
      <c r="Z70" s="262"/>
      <c r="AA70" s="262"/>
      <c r="AB70" s="262"/>
      <c r="AC70" s="262"/>
      <c r="AD70" s="262"/>
      <c r="AE70" s="262"/>
      <c r="AF70" s="262"/>
      <c r="AG70" s="262"/>
      <c r="AH70" s="262"/>
    </row>
    <row r="71" spans="1:34" ht="12.75" customHeight="1">
      <c r="A71" s="271" t="s">
        <v>458</v>
      </c>
      <c r="B71" s="271"/>
      <c r="C71" s="272">
        <f>C35</f>
        <v>0.6</v>
      </c>
      <c r="D71" s="272">
        <f t="shared" ref="D71:N71" si="61">D35</f>
        <v>0.25</v>
      </c>
      <c r="E71" s="272">
        <f t="shared" si="61"/>
        <v>0.25</v>
      </c>
      <c r="F71" s="272">
        <f t="shared" si="61"/>
        <v>0.3</v>
      </c>
      <c r="G71" s="272">
        <f t="shared" si="61"/>
        <v>0.5</v>
      </c>
      <c r="H71" s="272">
        <f t="shared" si="61"/>
        <v>0.75</v>
      </c>
      <c r="I71" s="272">
        <f t="shared" si="61"/>
        <v>0.75</v>
      </c>
      <c r="J71" s="272">
        <f t="shared" si="61"/>
        <v>0.7</v>
      </c>
      <c r="K71" s="272">
        <f t="shared" si="61"/>
        <v>0.5</v>
      </c>
      <c r="L71" s="272">
        <f t="shared" si="61"/>
        <v>0.25</v>
      </c>
      <c r="M71" s="272">
        <f t="shared" si="61"/>
        <v>0.25</v>
      </c>
      <c r="N71" s="272">
        <f t="shared" si="61"/>
        <v>0.4</v>
      </c>
      <c r="O71" s="271">
        <f t="shared" ref="O71:O72" si="62">AVERAGE(C71:N71)</f>
        <v>0.45833333333333343</v>
      </c>
      <c r="P71" s="262"/>
      <c r="Q71" s="262"/>
      <c r="R71" s="262"/>
      <c r="S71" s="262"/>
      <c r="T71" s="262"/>
      <c r="U71" s="262"/>
      <c r="V71" s="262"/>
      <c r="W71" s="262"/>
      <c r="X71" s="262"/>
      <c r="Y71" s="262"/>
      <c r="Z71" s="262"/>
      <c r="AA71" s="262"/>
      <c r="AB71" s="262"/>
      <c r="AC71" s="262"/>
      <c r="AD71" s="262"/>
      <c r="AE71" s="262"/>
      <c r="AF71" s="262"/>
      <c r="AG71" s="262"/>
      <c r="AH71" s="262"/>
    </row>
    <row r="72" spans="1:34" ht="12.75" customHeight="1">
      <c r="A72" s="263" t="s">
        <v>459</v>
      </c>
      <c r="B72" s="263"/>
      <c r="C72" s="270">
        <f>C36*1.04</f>
        <v>6052.236177419355</v>
      </c>
      <c r="D72" s="270">
        <f t="shared" ref="D72:N72" si="63">D36*1.04</f>
        <v>5056.1735714285714</v>
      </c>
      <c r="E72" s="270">
        <f t="shared" si="63"/>
        <v>5111.7766532258065</v>
      </c>
      <c r="F72" s="270">
        <f t="shared" si="63"/>
        <v>5040.8518333333332</v>
      </c>
      <c r="G72" s="270">
        <f t="shared" si="63"/>
        <v>6564.8705241935495</v>
      </c>
      <c r="H72" s="270">
        <f t="shared" si="63"/>
        <v>8043.9125000000004</v>
      </c>
      <c r="I72" s="270">
        <f t="shared" si="63"/>
        <v>8043.9125000000004</v>
      </c>
      <c r="J72" s="270">
        <f t="shared" si="63"/>
        <v>8043.9125000000004</v>
      </c>
      <c r="K72" s="270">
        <f t="shared" si="63"/>
        <v>7118.8625624999995</v>
      </c>
      <c r="L72" s="270">
        <f t="shared" si="63"/>
        <v>4333.3335080645165</v>
      </c>
      <c r="M72" s="270">
        <f t="shared" si="63"/>
        <v>4343.7127500000006</v>
      </c>
      <c r="N72" s="270">
        <f t="shared" si="63"/>
        <v>5747.5052217741941</v>
      </c>
      <c r="O72" s="253">
        <f t="shared" si="62"/>
        <v>6125.0883584949443</v>
      </c>
      <c r="P72" s="262"/>
      <c r="Q72" s="262"/>
      <c r="R72" s="262"/>
      <c r="S72" s="262"/>
      <c r="T72" s="262"/>
      <c r="U72" s="262"/>
      <c r="V72" s="262"/>
      <c r="W72" s="262"/>
      <c r="X72" s="262"/>
      <c r="Y72" s="262"/>
      <c r="Z72" s="262"/>
      <c r="AA72" s="262"/>
      <c r="AB72" s="262"/>
      <c r="AC72" s="262"/>
      <c r="AD72" s="262"/>
      <c r="AE72" s="262"/>
      <c r="AF72" s="262"/>
      <c r="AG72" s="262"/>
      <c r="AH72" s="262"/>
    </row>
    <row r="73" spans="1:34" ht="12.75" customHeight="1">
      <c r="A73" s="275" t="s">
        <v>462</v>
      </c>
      <c r="B73" s="275"/>
      <c r="C73" s="276">
        <f>C70*C72</f>
        <v>5628579.6450000005</v>
      </c>
      <c r="D73" s="276">
        <f t="shared" ref="D73:N73" si="64">D70*D72</f>
        <v>1769660.75</v>
      </c>
      <c r="E73" s="276">
        <f t="shared" si="64"/>
        <v>1980813.453125</v>
      </c>
      <c r="F73" s="276">
        <f t="shared" si="64"/>
        <v>2268383.3249999997</v>
      </c>
      <c r="G73" s="276">
        <f t="shared" si="64"/>
        <v>5087774.6562500009</v>
      </c>
      <c r="H73" s="276">
        <f t="shared" si="64"/>
        <v>9049401.5625</v>
      </c>
      <c r="I73" s="276">
        <f t="shared" si="64"/>
        <v>9351048.28125</v>
      </c>
      <c r="J73" s="276">
        <f t="shared" si="64"/>
        <v>8727645.0625</v>
      </c>
      <c r="K73" s="276">
        <f t="shared" si="64"/>
        <v>5339146.921875</v>
      </c>
      <c r="L73" s="276">
        <f t="shared" si="64"/>
        <v>1679166.7343750002</v>
      </c>
      <c r="M73" s="276">
        <f t="shared" si="64"/>
        <v>1628892.2812500002</v>
      </c>
      <c r="N73" s="276">
        <f t="shared" si="64"/>
        <v>3563453.2375000003</v>
      </c>
      <c r="O73" s="277">
        <f>SUM(C73:N73)</f>
        <v>56073965.910624996</v>
      </c>
      <c r="P73" s="262"/>
      <c r="Q73" s="262"/>
      <c r="R73" s="262"/>
      <c r="S73" s="262"/>
      <c r="T73" s="262"/>
      <c r="U73" s="262"/>
      <c r="V73" s="262"/>
      <c r="W73" s="262"/>
      <c r="X73" s="262"/>
      <c r="Y73" s="262"/>
      <c r="Z73" s="262"/>
      <c r="AA73" s="262"/>
      <c r="AB73" s="262"/>
      <c r="AC73" s="262"/>
      <c r="AD73" s="262"/>
      <c r="AE73" s="262"/>
      <c r="AF73" s="262"/>
      <c r="AG73" s="262"/>
      <c r="AH73" s="262"/>
    </row>
    <row r="74" spans="1:34" ht="12.75" customHeight="1">
      <c r="A74" s="487"/>
      <c r="B74" s="487"/>
      <c r="C74" s="488"/>
      <c r="D74" s="488"/>
      <c r="E74" s="488"/>
      <c r="F74" s="488"/>
      <c r="G74" s="488"/>
      <c r="H74" s="488"/>
      <c r="I74" s="488"/>
      <c r="J74" s="488"/>
      <c r="K74" s="488"/>
      <c r="L74" s="488"/>
      <c r="M74" s="488"/>
      <c r="N74" s="488"/>
      <c r="O74" s="489"/>
      <c r="P74" s="262"/>
      <c r="Q74" s="262"/>
      <c r="R74" s="262"/>
      <c r="S74" s="262"/>
      <c r="T74" s="262"/>
      <c r="U74" s="262"/>
      <c r="V74" s="262"/>
      <c r="W74" s="262"/>
      <c r="X74" s="262"/>
      <c r="Y74" s="262"/>
      <c r="Z74" s="262"/>
      <c r="AA74" s="262"/>
      <c r="AB74" s="262"/>
      <c r="AC74" s="262"/>
      <c r="AD74" s="262"/>
      <c r="AE74" s="262"/>
      <c r="AF74" s="262"/>
      <c r="AG74" s="262"/>
      <c r="AH74" s="262"/>
    </row>
    <row r="75" spans="1:34" ht="29.15" customHeight="1">
      <c r="A75" s="525" t="s">
        <v>775</v>
      </c>
      <c r="B75" s="526"/>
      <c r="C75" s="527">
        <f t="shared" ref="C75:N75" si="65">SUM(C52,C59,C66,C73)</f>
        <v>63423545.102980882</v>
      </c>
      <c r="D75" s="527">
        <f t="shared" si="65"/>
        <v>33611368.098000005</v>
      </c>
      <c r="E75" s="527">
        <f t="shared" si="65"/>
        <v>37478685.700875007</v>
      </c>
      <c r="F75" s="527">
        <f t="shared" si="65"/>
        <v>36042770.472211771</v>
      </c>
      <c r="G75" s="527">
        <f t="shared" si="65"/>
        <v>56362368.766698822</v>
      </c>
      <c r="H75" s="527">
        <f t="shared" si="65"/>
        <v>82541551.091100007</v>
      </c>
      <c r="I75" s="527">
        <f t="shared" si="65"/>
        <v>85292936.127470002</v>
      </c>
      <c r="J75" s="527">
        <f t="shared" si="65"/>
        <v>76177091.203991756</v>
      </c>
      <c r="K75" s="527">
        <f t="shared" si="65"/>
        <v>55727645.214150004</v>
      </c>
      <c r="L75" s="527">
        <f t="shared" si="65"/>
        <v>32486522.120312061</v>
      </c>
      <c r="M75" s="527">
        <f t="shared" si="65"/>
        <v>29780917.746485297</v>
      </c>
      <c r="N75" s="527">
        <f t="shared" si="65"/>
        <v>45966734.032375008</v>
      </c>
      <c r="O75" s="528">
        <f>SUM(C75:N75)</f>
        <v>634892135.67665064</v>
      </c>
      <c r="P75" s="262"/>
      <c r="Q75" s="262"/>
      <c r="R75" s="262"/>
      <c r="S75" s="262"/>
      <c r="T75" s="262"/>
      <c r="U75" s="262"/>
      <c r="V75" s="262"/>
      <c r="W75" s="262"/>
      <c r="X75" s="262"/>
      <c r="Y75" s="262"/>
      <c r="Z75" s="262"/>
      <c r="AA75" s="262"/>
      <c r="AB75" s="262"/>
      <c r="AC75" s="262"/>
      <c r="AD75" s="262"/>
      <c r="AE75" s="262"/>
      <c r="AF75" s="262"/>
      <c r="AG75" s="262"/>
      <c r="AH75" s="262"/>
    </row>
    <row r="76" spans="1:34" ht="12.75" customHeight="1">
      <c r="A76" s="487"/>
      <c r="B76" s="487"/>
      <c r="C76" s="488"/>
      <c r="D76" s="488"/>
      <c r="E76" s="488"/>
      <c r="F76" s="488"/>
      <c r="G76" s="488"/>
      <c r="H76" s="488"/>
      <c r="I76" s="488"/>
      <c r="J76" s="488"/>
      <c r="K76" s="488"/>
      <c r="L76" s="488"/>
      <c r="M76" s="488"/>
      <c r="N76" s="488"/>
      <c r="O76" s="489"/>
      <c r="P76" s="262"/>
      <c r="Q76" s="262"/>
      <c r="R76" s="262"/>
      <c r="S76" s="262"/>
      <c r="T76" s="262"/>
      <c r="U76" s="262"/>
      <c r="V76" s="262"/>
      <c r="W76" s="262"/>
      <c r="X76" s="262"/>
      <c r="Y76" s="262"/>
      <c r="Z76" s="262"/>
      <c r="AA76" s="262"/>
      <c r="AB76" s="262"/>
      <c r="AC76" s="262"/>
      <c r="AD76" s="262"/>
      <c r="AE76" s="262"/>
      <c r="AF76" s="262"/>
      <c r="AG76" s="262"/>
      <c r="AH76" s="262"/>
    </row>
    <row r="77" spans="1:34" ht="12.75" customHeight="1">
      <c r="A77" s="262"/>
      <c r="B77" s="262"/>
      <c r="C77" s="262"/>
      <c r="D77" s="262"/>
      <c r="E77" s="262"/>
      <c r="F77" s="262"/>
      <c r="G77" s="262"/>
      <c r="H77" s="262"/>
      <c r="I77" s="262"/>
      <c r="J77" s="262"/>
      <c r="K77" s="262"/>
      <c r="L77" s="262"/>
      <c r="M77" s="262"/>
      <c r="N77" s="262"/>
      <c r="O77" s="262"/>
      <c r="P77" s="262"/>
      <c r="Q77" s="262"/>
      <c r="R77" s="262"/>
      <c r="S77" s="262"/>
      <c r="T77" s="262"/>
      <c r="U77" s="262"/>
      <c r="V77" s="262"/>
      <c r="W77" s="262"/>
      <c r="X77" s="262"/>
      <c r="Y77" s="262"/>
      <c r="Z77" s="262"/>
      <c r="AA77" s="262"/>
      <c r="AB77" s="262"/>
      <c r="AC77" s="262"/>
      <c r="AD77" s="262"/>
      <c r="AE77" s="262"/>
      <c r="AF77" s="262"/>
      <c r="AG77" s="262"/>
      <c r="AH77" s="262"/>
    </row>
    <row r="78" spans="1:34" ht="21" customHeight="1">
      <c r="A78" s="855" t="s">
        <v>464</v>
      </c>
      <c r="B78" s="856"/>
      <c r="C78" s="857"/>
      <c r="D78" s="857"/>
      <c r="E78" s="857"/>
      <c r="F78" s="857"/>
      <c r="G78" s="857"/>
      <c r="H78" s="857"/>
      <c r="I78" s="857"/>
      <c r="J78" s="857"/>
      <c r="K78" s="857"/>
      <c r="L78" s="857"/>
      <c r="M78" s="857"/>
      <c r="N78" s="857"/>
      <c r="O78" s="858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  <c r="AA78" s="267"/>
      <c r="AB78" s="267"/>
      <c r="AC78" s="267"/>
      <c r="AD78" s="267"/>
      <c r="AE78" s="267"/>
      <c r="AF78" s="267"/>
      <c r="AG78" s="267"/>
      <c r="AH78" s="267"/>
    </row>
    <row r="79" spans="1:34" ht="12.75" customHeight="1">
      <c r="A79" s="268"/>
      <c r="B79" s="268"/>
      <c r="C79" s="263" t="s">
        <v>443</v>
      </c>
      <c r="D79" s="263" t="s">
        <v>444</v>
      </c>
      <c r="E79" s="263" t="s">
        <v>445</v>
      </c>
      <c r="F79" s="263" t="s">
        <v>446</v>
      </c>
      <c r="G79" s="263" t="s">
        <v>447</v>
      </c>
      <c r="H79" s="263" t="s">
        <v>448</v>
      </c>
      <c r="I79" s="263" t="s">
        <v>449</v>
      </c>
      <c r="J79" s="263" t="s">
        <v>450</v>
      </c>
      <c r="K79" s="263" t="s">
        <v>451</v>
      </c>
      <c r="L79" s="263" t="s">
        <v>452</v>
      </c>
      <c r="M79" s="263" t="s">
        <v>453</v>
      </c>
      <c r="N79" s="263" t="s">
        <v>454</v>
      </c>
      <c r="O79" s="263" t="s">
        <v>383</v>
      </c>
      <c r="P79" s="262"/>
      <c r="Q79" s="262"/>
      <c r="R79" s="262"/>
      <c r="S79" s="262"/>
      <c r="T79" s="262"/>
      <c r="U79" s="262"/>
      <c r="V79" s="262"/>
      <c r="W79" s="262"/>
      <c r="X79" s="262"/>
      <c r="Y79" s="262"/>
      <c r="Z79" s="262"/>
      <c r="AA79" s="262"/>
      <c r="AB79" s="262"/>
      <c r="AC79" s="262"/>
      <c r="AD79" s="262"/>
      <c r="AE79" s="262"/>
      <c r="AF79" s="262"/>
      <c r="AG79" s="262"/>
      <c r="AH79" s="262"/>
    </row>
    <row r="80" spans="1:34" ht="12.75" customHeight="1">
      <c r="A80" s="263" t="s">
        <v>455</v>
      </c>
      <c r="B80" s="263"/>
      <c r="C80" s="270">
        <v>31</v>
      </c>
      <c r="D80" s="270">
        <v>28</v>
      </c>
      <c r="E80" s="270">
        <v>31</v>
      </c>
      <c r="F80" s="270">
        <v>30</v>
      </c>
      <c r="G80" s="270">
        <v>31</v>
      </c>
      <c r="H80" s="270">
        <v>30</v>
      </c>
      <c r="I80" s="270">
        <v>31</v>
      </c>
      <c r="J80" s="270">
        <v>31</v>
      </c>
      <c r="K80" s="270">
        <v>30</v>
      </c>
      <c r="L80" s="270">
        <v>31</v>
      </c>
      <c r="M80" s="270">
        <v>30</v>
      </c>
      <c r="N80" s="270">
        <v>31</v>
      </c>
      <c r="O80" s="253">
        <f t="shared" ref="O80:O83" si="66">SUM(C80:N80)</f>
        <v>365</v>
      </c>
      <c r="P80" s="262"/>
      <c r="Q80" s="262"/>
      <c r="R80" s="262"/>
      <c r="S80" s="262"/>
      <c r="T80" s="262"/>
      <c r="U80" s="262"/>
      <c r="V80" s="262"/>
      <c r="W80" s="262"/>
      <c r="X80" s="262"/>
      <c r="Y80" s="262"/>
      <c r="Z80" s="262"/>
      <c r="AA80" s="262"/>
      <c r="AB80" s="262"/>
      <c r="AC80" s="262"/>
      <c r="AD80" s="262"/>
      <c r="AE80" s="262"/>
      <c r="AF80" s="262"/>
      <c r="AG80" s="262"/>
      <c r="AH80" s="262"/>
    </row>
    <row r="81" spans="1:34" ht="34.5" customHeight="1">
      <c r="A81" s="490" t="str">
        <f>A9</f>
        <v>Гостиничный комплекс 4* "У Бювета"</v>
      </c>
      <c r="B81" s="263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53"/>
      <c r="P81" s="262"/>
      <c r="Q81" s="262"/>
      <c r="R81" s="262"/>
      <c r="S81" s="262"/>
      <c r="T81" s="262"/>
      <c r="U81" s="262"/>
      <c r="V81" s="262"/>
      <c r="W81" s="262"/>
      <c r="X81" s="262"/>
      <c r="Y81" s="262"/>
      <c r="Z81" s="262"/>
      <c r="AA81" s="262"/>
      <c r="AB81" s="262"/>
      <c r="AC81" s="262"/>
      <c r="AD81" s="262"/>
      <c r="AE81" s="262"/>
      <c r="AF81" s="262"/>
      <c r="AG81" s="262"/>
      <c r="AH81" s="262"/>
    </row>
    <row r="82" spans="1:34" ht="12.75" customHeight="1">
      <c r="A82" s="263" t="s">
        <v>456</v>
      </c>
      <c r="B82" s="263"/>
      <c r="C82" s="270">
        <f>C80*ADR!$B$26</f>
        <v>3720</v>
      </c>
      <c r="D82" s="270">
        <f>D80*ADR!$B$26</f>
        <v>3360</v>
      </c>
      <c r="E82" s="270">
        <f>E80*ADR!$B$26</f>
        <v>3720</v>
      </c>
      <c r="F82" s="270">
        <f>F80*ADR!$B$26</f>
        <v>3600</v>
      </c>
      <c r="G82" s="270">
        <f>G80*ADR!$B$26</f>
        <v>3720</v>
      </c>
      <c r="H82" s="270">
        <f>H80*ADR!$B$26</f>
        <v>3600</v>
      </c>
      <c r="I82" s="270">
        <f>I80*ADR!$B$26</f>
        <v>3720</v>
      </c>
      <c r="J82" s="270">
        <f>J80*ADR!$B$26</f>
        <v>3720</v>
      </c>
      <c r="K82" s="270">
        <f>K80*ADR!$B$26</f>
        <v>3600</v>
      </c>
      <c r="L82" s="270">
        <f>L80*ADR!$B$26</f>
        <v>3720</v>
      </c>
      <c r="M82" s="270">
        <f>M80*ADR!$B$26</f>
        <v>3600</v>
      </c>
      <c r="N82" s="270">
        <f>N80*ADR!$B$26</f>
        <v>3720</v>
      </c>
      <c r="O82" s="253">
        <f t="shared" si="66"/>
        <v>43800</v>
      </c>
      <c r="P82" s="262"/>
      <c r="Q82" s="262"/>
      <c r="R82" s="262"/>
      <c r="S82" s="262"/>
      <c r="T82" s="262"/>
      <c r="U82" s="262"/>
      <c r="V82" s="262"/>
      <c r="W82" s="262"/>
      <c r="X82" s="262"/>
      <c r="Y82" s="262"/>
      <c r="Z82" s="262"/>
      <c r="AA82" s="262"/>
      <c r="AB82" s="262"/>
      <c r="AC82" s="262"/>
      <c r="AD82" s="262"/>
      <c r="AE82" s="262"/>
      <c r="AF82" s="262"/>
      <c r="AG82" s="262"/>
      <c r="AH82" s="262"/>
    </row>
    <row r="83" spans="1:34" ht="12.75" customHeight="1">
      <c r="A83" s="263" t="s">
        <v>457</v>
      </c>
      <c r="B83" s="263"/>
      <c r="C83" s="270">
        <f t="shared" ref="C83:N83" si="67">C84*C82</f>
        <v>2999.2499999999995</v>
      </c>
      <c r="D83" s="270">
        <f t="shared" si="67"/>
        <v>1986.6000000000001</v>
      </c>
      <c r="E83" s="270">
        <f t="shared" si="67"/>
        <v>2199.4500000000003</v>
      </c>
      <c r="F83" s="270">
        <f t="shared" si="67"/>
        <v>2128.5</v>
      </c>
      <c r="G83" s="270">
        <f t="shared" si="67"/>
        <v>2999.2499999999995</v>
      </c>
      <c r="H83" s="270">
        <f t="shared" si="67"/>
        <v>3289.5</v>
      </c>
      <c r="I83" s="270">
        <f t="shared" si="67"/>
        <v>3399.1499999999996</v>
      </c>
      <c r="J83" s="270">
        <f t="shared" si="67"/>
        <v>3199.2</v>
      </c>
      <c r="K83" s="270">
        <f t="shared" si="67"/>
        <v>2515.5</v>
      </c>
      <c r="L83" s="270">
        <f t="shared" si="67"/>
        <v>2199.4500000000003</v>
      </c>
      <c r="M83" s="270">
        <f t="shared" si="67"/>
        <v>1935</v>
      </c>
      <c r="N83" s="270">
        <f t="shared" si="67"/>
        <v>2599.35</v>
      </c>
      <c r="O83" s="253">
        <f t="shared" si="66"/>
        <v>31450.199999999997</v>
      </c>
      <c r="P83" s="262"/>
      <c r="Q83" s="262"/>
      <c r="R83" s="262"/>
      <c r="S83" s="262"/>
      <c r="T83" s="262"/>
      <c r="U83" s="262"/>
      <c r="V83" s="262"/>
      <c r="W83" s="262"/>
      <c r="X83" s="262"/>
      <c r="Y83" s="262"/>
      <c r="Z83" s="262"/>
      <c r="AA83" s="262"/>
      <c r="AB83" s="262"/>
      <c r="AC83" s="262"/>
      <c r="AD83" s="262"/>
      <c r="AE83" s="262"/>
      <c r="AF83" s="262"/>
      <c r="AG83" s="262"/>
      <c r="AH83" s="262"/>
    </row>
    <row r="84" spans="1:34" ht="12.75" customHeight="1">
      <c r="A84" s="271" t="s">
        <v>458</v>
      </c>
      <c r="B84" s="271"/>
      <c r="C84" s="272">
        <f t="shared" ref="C84:N84" si="68">C48*1.075</f>
        <v>0.80624999999999991</v>
      </c>
      <c r="D84" s="272">
        <f t="shared" si="68"/>
        <v>0.59125000000000005</v>
      </c>
      <c r="E84" s="272">
        <f t="shared" si="68"/>
        <v>0.59125000000000005</v>
      </c>
      <c r="F84" s="272">
        <f t="shared" si="68"/>
        <v>0.59125000000000005</v>
      </c>
      <c r="G84" s="272">
        <f t="shared" si="68"/>
        <v>0.80624999999999991</v>
      </c>
      <c r="H84" s="272">
        <f t="shared" si="68"/>
        <v>0.91374999999999995</v>
      </c>
      <c r="I84" s="272">
        <f t="shared" si="68"/>
        <v>0.91374999999999995</v>
      </c>
      <c r="J84" s="272">
        <f t="shared" si="68"/>
        <v>0.86</v>
      </c>
      <c r="K84" s="272">
        <f t="shared" si="68"/>
        <v>0.69874999999999998</v>
      </c>
      <c r="L84" s="272">
        <f t="shared" si="68"/>
        <v>0.59125000000000005</v>
      </c>
      <c r="M84" s="272">
        <f t="shared" si="68"/>
        <v>0.53749999999999998</v>
      </c>
      <c r="N84" s="272">
        <f t="shared" si="68"/>
        <v>0.69874999999999998</v>
      </c>
      <c r="O84" s="271">
        <f t="shared" ref="O84:O87" si="69">AVERAGE(C84:N84)</f>
        <v>0.71666666666666679</v>
      </c>
      <c r="P84" s="262"/>
      <c r="Q84" s="262"/>
      <c r="R84" s="262"/>
      <c r="S84" s="262"/>
      <c r="T84" s="262"/>
      <c r="U84" s="262"/>
      <c r="V84" s="262"/>
      <c r="W84" s="262"/>
      <c r="X84" s="262"/>
      <c r="Y84" s="262"/>
      <c r="Z84" s="262"/>
      <c r="AA84" s="262"/>
      <c r="AB84" s="262"/>
      <c r="AC84" s="262"/>
      <c r="AD84" s="262"/>
      <c r="AE84" s="262"/>
      <c r="AF84" s="262"/>
      <c r="AG84" s="262"/>
      <c r="AH84" s="262"/>
    </row>
    <row r="85" spans="1:34" ht="12.75" customHeight="1">
      <c r="A85" s="263" t="s">
        <v>459</v>
      </c>
      <c r="B85" s="263"/>
      <c r="C85" s="270">
        <f t="shared" ref="C85:N85" si="70">C49+C49*$D$3</f>
        <v>11921.951915322581</v>
      </c>
      <c r="D85" s="270">
        <f t="shared" si="70"/>
        <v>8525.0550000000021</v>
      </c>
      <c r="E85" s="270">
        <f t="shared" si="70"/>
        <v>8618.8056048387098</v>
      </c>
      <c r="F85" s="270">
        <f t="shared" si="70"/>
        <v>8499.2214999999997</v>
      </c>
      <c r="G85" s="270">
        <f t="shared" si="70"/>
        <v>11068.821411290322</v>
      </c>
      <c r="H85" s="270">
        <f t="shared" si="70"/>
        <v>13562.5875</v>
      </c>
      <c r="I85" s="270">
        <f t="shared" si="70"/>
        <v>13562.5875</v>
      </c>
      <c r="J85" s="270">
        <f t="shared" si="70"/>
        <v>13562.5875</v>
      </c>
      <c r="K85" s="270">
        <f t="shared" si="70"/>
        <v>12002.8899375</v>
      </c>
      <c r="L85" s="270">
        <f t="shared" si="70"/>
        <v>7306.2971370967743</v>
      </c>
      <c r="M85" s="270">
        <f t="shared" si="70"/>
        <v>7323.7972499999996</v>
      </c>
      <c r="N85" s="270">
        <f t="shared" si="70"/>
        <v>9690.6875201612929</v>
      </c>
      <c r="O85" s="253">
        <f t="shared" si="69"/>
        <v>10470.44081468414</v>
      </c>
      <c r="P85" s="262"/>
      <c r="Q85" s="262"/>
      <c r="R85" s="262"/>
      <c r="S85" s="262"/>
      <c r="T85" s="262"/>
      <c r="U85" s="262"/>
      <c r="V85" s="262"/>
      <c r="W85" s="262"/>
      <c r="X85" s="262"/>
      <c r="Y85" s="262"/>
      <c r="Z85" s="262"/>
      <c r="AA85" s="262"/>
      <c r="AB85" s="262"/>
      <c r="AC85" s="262"/>
      <c r="AD85" s="262"/>
      <c r="AE85" s="262"/>
      <c r="AF85" s="262"/>
      <c r="AG85" s="262"/>
      <c r="AH85" s="262"/>
    </row>
    <row r="86" spans="1:34" ht="12.75" customHeight="1">
      <c r="A86" s="271" t="s">
        <v>460</v>
      </c>
      <c r="B86" s="271"/>
      <c r="C86" s="273">
        <f>'скидки для типов гостей'!$B$10</f>
        <v>0.11500000000000003</v>
      </c>
      <c r="D86" s="273">
        <f>'скидки для типов гостей'!$B$10</f>
        <v>0.11500000000000003</v>
      </c>
      <c r="E86" s="273">
        <f>'скидки для типов гостей'!$B$10</f>
        <v>0.11500000000000003</v>
      </c>
      <c r="F86" s="273">
        <f>'скидки для типов гостей'!$B$10</f>
        <v>0.11500000000000003</v>
      </c>
      <c r="G86" s="273">
        <f>'скидки для типов гостей'!$B$10</f>
        <v>0.11500000000000003</v>
      </c>
      <c r="H86" s="273">
        <f>'скидки для типов гостей'!$B$10</f>
        <v>0.11500000000000003</v>
      </c>
      <c r="I86" s="273">
        <f>'скидки для типов гостей'!$B$10</f>
        <v>0.11500000000000003</v>
      </c>
      <c r="J86" s="273">
        <f>'скидки для типов гостей'!$B$10</f>
        <v>0.11500000000000003</v>
      </c>
      <c r="K86" s="273">
        <f>'скидки для типов гостей'!$B$10</f>
        <v>0.11500000000000003</v>
      </c>
      <c r="L86" s="273">
        <f>'скидки для типов гостей'!$B$10</f>
        <v>0.11500000000000003</v>
      </c>
      <c r="M86" s="273">
        <f>'скидки для типов гостей'!$B$10</f>
        <v>0.11500000000000003</v>
      </c>
      <c r="N86" s="273">
        <f>'скидки для типов гостей'!$B$10</f>
        <v>0.11500000000000003</v>
      </c>
      <c r="O86" s="274">
        <f t="shared" si="69"/>
        <v>0.115</v>
      </c>
      <c r="P86" s="262"/>
      <c r="Q86" s="262"/>
      <c r="R86" s="262"/>
      <c r="S86" s="262"/>
      <c r="T86" s="262"/>
      <c r="U86" s="262"/>
      <c r="V86" s="262"/>
      <c r="W86" s="262"/>
      <c r="X86" s="262"/>
      <c r="Y86" s="262"/>
      <c r="Z86" s="262"/>
      <c r="AA86" s="262"/>
      <c r="AB86" s="262"/>
      <c r="AC86" s="262"/>
      <c r="AD86" s="262"/>
      <c r="AE86" s="262"/>
      <c r="AF86" s="262"/>
      <c r="AG86" s="262"/>
      <c r="AH86" s="262"/>
    </row>
    <row r="87" spans="1:34" ht="12.75" customHeight="1">
      <c r="A87" s="271" t="s">
        <v>461</v>
      </c>
      <c r="B87" s="271"/>
      <c r="C87" s="270">
        <f t="shared" ref="C87:N87" si="71">C85-C85*C86</f>
        <v>10550.927445060484</v>
      </c>
      <c r="D87" s="270">
        <f t="shared" si="71"/>
        <v>7544.6736750000018</v>
      </c>
      <c r="E87" s="270">
        <f t="shared" si="71"/>
        <v>7627.6429602822582</v>
      </c>
      <c r="F87" s="270">
        <f t="shared" si="71"/>
        <v>7521.8110274999999</v>
      </c>
      <c r="G87" s="270">
        <f t="shared" si="71"/>
        <v>9795.9069489919348</v>
      </c>
      <c r="H87" s="270">
        <f t="shared" si="71"/>
        <v>12002.8899375</v>
      </c>
      <c r="I87" s="270">
        <f t="shared" si="71"/>
        <v>12002.8899375</v>
      </c>
      <c r="J87" s="270">
        <f t="shared" si="71"/>
        <v>12002.8899375</v>
      </c>
      <c r="K87" s="270">
        <f t="shared" si="71"/>
        <v>10622.5575946875</v>
      </c>
      <c r="L87" s="270">
        <f t="shared" si="71"/>
        <v>6466.0729663306447</v>
      </c>
      <c r="M87" s="270">
        <f t="shared" si="71"/>
        <v>6481.5605662499993</v>
      </c>
      <c r="N87" s="270">
        <f t="shared" si="71"/>
        <v>8576.2584553427441</v>
      </c>
      <c r="O87" s="253">
        <f t="shared" si="69"/>
        <v>9266.3401209954645</v>
      </c>
      <c r="P87" s="262"/>
      <c r="Q87" s="262"/>
      <c r="R87" s="262"/>
      <c r="S87" s="262"/>
      <c r="T87" s="262"/>
      <c r="U87" s="262"/>
      <c r="V87" s="262"/>
      <c r="W87" s="262"/>
      <c r="X87" s="262"/>
      <c r="Y87" s="262"/>
      <c r="Z87" s="262"/>
      <c r="AA87" s="262"/>
      <c r="AB87" s="262"/>
      <c r="AC87" s="262"/>
      <c r="AD87" s="262"/>
      <c r="AE87" s="262"/>
      <c r="AF87" s="262"/>
      <c r="AG87" s="262"/>
      <c r="AH87" s="262"/>
    </row>
    <row r="88" spans="1:34" ht="12.75" customHeight="1">
      <c r="A88" s="275" t="s">
        <v>462</v>
      </c>
      <c r="B88" s="275"/>
      <c r="C88" s="276">
        <f t="shared" ref="C88:N88" si="72">C83*C87</f>
        <v>31644869.139597654</v>
      </c>
      <c r="D88" s="276">
        <f t="shared" si="72"/>
        <v>14988248.722755004</v>
      </c>
      <c r="E88" s="276">
        <f t="shared" si="72"/>
        <v>16776619.308992814</v>
      </c>
      <c r="F88" s="276">
        <f t="shared" si="72"/>
        <v>16010174.772033749</v>
      </c>
      <c r="G88" s="276">
        <f t="shared" si="72"/>
        <v>29380373.916764054</v>
      </c>
      <c r="H88" s="276">
        <f t="shared" si="72"/>
        <v>39483506.449406251</v>
      </c>
      <c r="I88" s="276">
        <f t="shared" si="72"/>
        <v>40799623.331053123</v>
      </c>
      <c r="J88" s="276">
        <f t="shared" si="72"/>
        <v>38399645.488049999</v>
      </c>
      <c r="K88" s="276">
        <f t="shared" si="72"/>
        <v>26721043.629436407</v>
      </c>
      <c r="L88" s="276">
        <f t="shared" si="72"/>
        <v>14221804.185795939</v>
      </c>
      <c r="M88" s="276">
        <f t="shared" si="72"/>
        <v>12541819.695693748</v>
      </c>
      <c r="N88" s="276">
        <f t="shared" si="72"/>
        <v>22292697.41589516</v>
      </c>
      <c r="O88" s="277">
        <f>SUM(C88:N88)</f>
        <v>303260426.05547386</v>
      </c>
      <c r="P88" s="262"/>
      <c r="Q88" s="262"/>
      <c r="R88" s="262"/>
      <c r="S88" s="262"/>
      <c r="T88" s="262"/>
      <c r="U88" s="262"/>
      <c r="V88" s="262"/>
      <c r="W88" s="262"/>
      <c r="X88" s="262"/>
      <c r="Y88" s="262"/>
      <c r="Z88" s="262"/>
      <c r="AA88" s="262"/>
      <c r="AB88" s="262"/>
      <c r="AC88" s="262"/>
      <c r="AD88" s="262"/>
      <c r="AE88" s="262"/>
      <c r="AF88" s="262"/>
      <c r="AG88" s="262"/>
      <c r="AH88" s="262"/>
    </row>
    <row r="89" spans="1:34" ht="12.75" customHeight="1">
      <c r="A89" s="262"/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62"/>
      <c r="N89" s="262"/>
      <c r="O89" s="262"/>
      <c r="P89" s="262"/>
      <c r="Q89" s="262"/>
      <c r="R89" s="262"/>
      <c r="S89" s="262"/>
      <c r="T89" s="262"/>
      <c r="U89" s="262"/>
      <c r="V89" s="262"/>
      <c r="W89" s="262"/>
      <c r="X89" s="262"/>
      <c r="Y89" s="262"/>
      <c r="Z89" s="262"/>
      <c r="AA89" s="262"/>
      <c r="AB89" s="262"/>
      <c r="AC89" s="262"/>
      <c r="AD89" s="262"/>
      <c r="AE89" s="262"/>
      <c r="AF89" s="262"/>
      <c r="AG89" s="262"/>
      <c r="AH89" s="262"/>
    </row>
    <row r="90" spans="1:34" ht="74.5" customHeight="1">
      <c r="A90" s="490" t="s">
        <v>778</v>
      </c>
      <c r="B90" s="487"/>
      <c r="C90" s="519"/>
      <c r="D90" s="519"/>
      <c r="E90" s="519"/>
      <c r="F90" s="519"/>
      <c r="G90" s="519"/>
      <c r="H90" s="519"/>
      <c r="I90" s="519"/>
      <c r="J90" s="519"/>
      <c r="K90" s="519"/>
      <c r="L90" s="519"/>
      <c r="M90" s="519"/>
      <c r="N90" s="519"/>
      <c r="O90" s="520"/>
      <c r="P90" s="262"/>
      <c r="Q90" s="262"/>
      <c r="R90" s="262"/>
      <c r="S90" s="262"/>
      <c r="T90" s="262"/>
      <c r="U90" s="262"/>
      <c r="V90" s="262"/>
      <c r="W90" s="262"/>
      <c r="X90" s="262"/>
      <c r="Y90" s="262"/>
      <c r="Z90" s="262"/>
      <c r="AA90" s="262"/>
      <c r="AB90" s="262"/>
      <c r="AC90" s="262"/>
      <c r="AD90" s="262"/>
      <c r="AE90" s="262"/>
      <c r="AF90" s="262"/>
      <c r="AG90" s="262"/>
      <c r="AH90" s="262"/>
    </row>
    <row r="91" spans="1:34" ht="16" customHeight="1">
      <c r="A91" s="263" t="str">
        <f>A82</f>
        <v>Потенциал номеро-суток</v>
      </c>
      <c r="B91" s="487"/>
      <c r="C91" s="521">
        <f>Инфраструктура!$B$55*'выручка номеров'!C80</f>
        <v>3782</v>
      </c>
      <c r="D91" s="521">
        <f>Инфраструктура!$B$55*'выручка номеров'!D80</f>
        <v>3416</v>
      </c>
      <c r="E91" s="521">
        <f>Инфраструктура!$B$55*'выручка номеров'!E80</f>
        <v>3782</v>
      </c>
      <c r="F91" s="521">
        <f>Инфраструктура!$B$55*'выручка номеров'!F80</f>
        <v>3660</v>
      </c>
      <c r="G91" s="521">
        <f>Инфраструктура!$B$55*'выручка номеров'!G80</f>
        <v>3782</v>
      </c>
      <c r="H91" s="521">
        <f>Инфраструктура!$B$55*'выручка номеров'!H80</f>
        <v>3660</v>
      </c>
      <c r="I91" s="521">
        <f>Инфраструктура!$B$55*'выручка номеров'!I80</f>
        <v>3782</v>
      </c>
      <c r="J91" s="521">
        <f>Инфраструктура!$B$55*'выручка номеров'!J80</f>
        <v>3782</v>
      </c>
      <c r="K91" s="521">
        <f>Инфраструктура!$B$55*'выручка номеров'!K80</f>
        <v>3660</v>
      </c>
      <c r="L91" s="521">
        <f>Инфраструктура!$B$55*'выручка номеров'!L80</f>
        <v>3782</v>
      </c>
      <c r="M91" s="521">
        <f>Инфраструктура!$B$55*'выручка номеров'!M80</f>
        <v>3660</v>
      </c>
      <c r="N91" s="521">
        <f>Инфраструктура!$B$55*'выручка номеров'!N80</f>
        <v>3782</v>
      </c>
      <c r="O91" s="520">
        <f>SUM(C91:N91)</f>
        <v>44530</v>
      </c>
      <c r="P91" s="262"/>
      <c r="Q91" s="262"/>
      <c r="R91" s="262"/>
      <c r="S91" s="262"/>
      <c r="T91" s="262"/>
      <c r="U91" s="262"/>
      <c r="V91" s="262"/>
      <c r="W91" s="262"/>
      <c r="X91" s="262"/>
      <c r="Y91" s="262"/>
      <c r="Z91" s="262"/>
      <c r="AA91" s="262"/>
      <c r="AB91" s="262"/>
      <c r="AC91" s="262"/>
      <c r="AD91" s="262"/>
      <c r="AE91" s="262"/>
      <c r="AF91" s="262"/>
      <c r="AG91" s="262"/>
      <c r="AH91" s="262"/>
    </row>
    <row r="92" spans="1:34" ht="16" customHeight="1">
      <c r="A92" s="263" t="str">
        <f t="shared" ref="A92:A93" si="73">A83</f>
        <v>Продано номеро-суток</v>
      </c>
      <c r="B92" s="487"/>
      <c r="C92" s="521">
        <f>C91*C93</f>
        <v>2950.8109499999996</v>
      </c>
      <c r="D92" s="521">
        <f t="shared" ref="D92" si="74">D91*D93</f>
        <v>3020.6150799999996</v>
      </c>
      <c r="E92" s="521">
        <f t="shared" ref="E92" si="75">E91*E93</f>
        <v>3344.2524099999996</v>
      </c>
      <c r="F92" s="521">
        <f t="shared" ref="F92" si="76">F91*F93</f>
        <v>2931.7734600000003</v>
      </c>
      <c r="G92" s="521">
        <f t="shared" ref="G92" si="77">G91*G93</f>
        <v>2754.09022</v>
      </c>
      <c r="H92" s="521">
        <f t="shared" ref="H92" si="78">H91*H93</f>
        <v>3236.3732999999997</v>
      </c>
      <c r="I92" s="521">
        <f t="shared" ref="I92" si="79">I91*I93</f>
        <v>3344.2524099999996</v>
      </c>
      <c r="J92" s="521">
        <f t="shared" ref="J92" si="80">J91*J93</f>
        <v>2557.3694900000005</v>
      </c>
      <c r="K92" s="521">
        <f t="shared" ref="K92" si="81">K91*K93</f>
        <v>3236.3732999999997</v>
      </c>
      <c r="L92" s="521">
        <f t="shared" ref="L92" si="82">L91*L93</f>
        <v>3226.2199719999999</v>
      </c>
      <c r="M92" s="521">
        <f t="shared" ref="M92" si="83">M91*M93</f>
        <v>2969.8484399999998</v>
      </c>
      <c r="N92" s="521">
        <f t="shared" ref="N92" si="84">N91*N93</f>
        <v>3344.2524099999996</v>
      </c>
      <c r="O92" s="520">
        <f>SUM(C92:N92)</f>
        <v>36916.231441999997</v>
      </c>
      <c r="P92" s="262"/>
      <c r="Q92" s="262"/>
      <c r="R92" s="262"/>
      <c r="S92" s="262"/>
      <c r="T92" s="262"/>
      <c r="U92" s="262"/>
      <c r="V92" s="262"/>
      <c r="W92" s="262"/>
      <c r="X92" s="262"/>
      <c r="Y92" s="262"/>
      <c r="Z92" s="262"/>
      <c r="AA92" s="262"/>
      <c r="AB92" s="262"/>
      <c r="AC92" s="262"/>
      <c r="AD92" s="262"/>
      <c r="AE92" s="262"/>
      <c r="AF92" s="262"/>
      <c r="AG92" s="262"/>
      <c r="AH92" s="262"/>
    </row>
    <row r="93" spans="1:34" ht="16" customHeight="1">
      <c r="A93" s="263" t="str">
        <f t="shared" si="73"/>
        <v>Загрузка номеров, %</v>
      </c>
      <c r="B93" s="487"/>
      <c r="C93" s="522">
        <f>C57*1.01</f>
        <v>0.78022499999999995</v>
      </c>
      <c r="D93" s="522">
        <f t="shared" ref="D93:N93" si="85">D57*1.01</f>
        <v>0.8842549999999999</v>
      </c>
      <c r="E93" s="522">
        <f t="shared" si="85"/>
        <v>0.8842549999999999</v>
      </c>
      <c r="F93" s="522">
        <f t="shared" si="85"/>
        <v>0.80103100000000005</v>
      </c>
      <c r="G93" s="522">
        <f t="shared" si="85"/>
        <v>0.72821000000000002</v>
      </c>
      <c r="H93" s="522">
        <f t="shared" si="85"/>
        <v>0.8842549999999999</v>
      </c>
      <c r="I93" s="522">
        <f t="shared" si="85"/>
        <v>0.8842549999999999</v>
      </c>
      <c r="J93" s="522">
        <f t="shared" si="85"/>
        <v>0.6761950000000001</v>
      </c>
      <c r="K93" s="522">
        <f t="shared" si="85"/>
        <v>0.8842549999999999</v>
      </c>
      <c r="L93" s="522">
        <f t="shared" si="85"/>
        <v>0.85304599999999997</v>
      </c>
      <c r="M93" s="522">
        <f t="shared" si="85"/>
        <v>0.81143399999999999</v>
      </c>
      <c r="N93" s="522">
        <f t="shared" si="85"/>
        <v>0.8842549999999999</v>
      </c>
      <c r="O93" s="523">
        <f>AVERAGE(C93:N93)</f>
        <v>0.82963924999999972</v>
      </c>
      <c r="P93" s="262"/>
      <c r="Q93" s="262"/>
      <c r="R93" s="262"/>
      <c r="S93" s="262"/>
      <c r="T93" s="262"/>
      <c r="U93" s="262"/>
      <c r="V93" s="262"/>
      <c r="W93" s="262"/>
      <c r="X93" s="262"/>
      <c r="Y93" s="262"/>
      <c r="Z93" s="262"/>
      <c r="AA93" s="262"/>
      <c r="AB93" s="262"/>
      <c r="AC93" s="262"/>
      <c r="AD93" s="262"/>
      <c r="AE93" s="262"/>
      <c r="AF93" s="262"/>
      <c r="AG93" s="262"/>
      <c r="AH93" s="262"/>
    </row>
    <row r="94" spans="1:34" ht="29.5" customHeight="1">
      <c r="A94" s="263" t="str">
        <f>A58</f>
        <v>Средняя стоимость пакета , включая питание и лечение</v>
      </c>
      <c r="B94" s="487"/>
      <c r="C94" s="521">
        <f>C58*1.04</f>
        <v>4496.776510703954</v>
      </c>
      <c r="D94" s="521">
        <f t="shared" ref="D94:N94" si="86">D58*1.04</f>
        <v>4087.9786460945038</v>
      </c>
      <c r="E94" s="521">
        <f t="shared" si="86"/>
        <v>4087.9786460945038</v>
      </c>
      <c r="F94" s="521">
        <f t="shared" si="86"/>
        <v>4087.9786460945038</v>
      </c>
      <c r="G94" s="521">
        <f t="shared" si="86"/>
        <v>4496.776510703954</v>
      </c>
      <c r="H94" s="521">
        <f t="shared" si="86"/>
        <v>4496.776510703954</v>
      </c>
      <c r="I94" s="521">
        <f t="shared" si="86"/>
        <v>4496.776510703954</v>
      </c>
      <c r="J94" s="521">
        <f t="shared" si="86"/>
        <v>4496.776510703954</v>
      </c>
      <c r="K94" s="521">
        <f t="shared" si="86"/>
        <v>4087.9786460945038</v>
      </c>
      <c r="L94" s="521">
        <f t="shared" si="86"/>
        <v>4087.9786460945038</v>
      </c>
      <c r="M94" s="521">
        <f t="shared" si="86"/>
        <v>4087.9786460945038</v>
      </c>
      <c r="N94" s="521">
        <f t="shared" si="86"/>
        <v>4087.9786460945038</v>
      </c>
      <c r="O94" s="520">
        <f>AVERAGE(C94:N94)</f>
        <v>4258.3110896817743</v>
      </c>
      <c r="P94" s="262"/>
      <c r="Q94" s="262"/>
      <c r="R94" s="262"/>
      <c r="S94" s="262"/>
      <c r="T94" s="262"/>
      <c r="U94" s="262"/>
      <c r="V94" s="262"/>
      <c r="W94" s="262"/>
      <c r="X94" s="262"/>
      <c r="Y94" s="262"/>
      <c r="Z94" s="262"/>
      <c r="AA94" s="262"/>
      <c r="AB94" s="262"/>
      <c r="AC94" s="262"/>
      <c r="AD94" s="262"/>
      <c r="AE94" s="262"/>
      <c r="AF94" s="262"/>
      <c r="AG94" s="262"/>
      <c r="AH94" s="262"/>
    </row>
    <row r="95" spans="1:34" ht="24.65" customHeight="1">
      <c r="A95" s="275" t="str">
        <f>A88</f>
        <v>Выручка от продажи номеров, руб.</v>
      </c>
      <c r="B95" s="518"/>
      <c r="C95" s="524">
        <f>C94*C92</f>
        <v>13269137.367488017</v>
      </c>
      <c r="D95" s="524">
        <f t="shared" ref="D95" si="87">D94*D92</f>
        <v>12348209.94511104</v>
      </c>
      <c r="E95" s="524">
        <f t="shared" ref="E95" si="88">E94*E92</f>
        <v>13671232.439230081</v>
      </c>
      <c r="F95" s="524">
        <f t="shared" ref="F95" si="89">F94*F92</f>
        <v>11985027.2996666</v>
      </c>
      <c r="G95" s="524">
        <f t="shared" ref="G95" si="90">G94*G92</f>
        <v>12384528.209655486</v>
      </c>
      <c r="H95" s="524">
        <f t="shared" ref="H95" si="91">H94*H92</f>
        <v>14553247.43530944</v>
      </c>
      <c r="I95" s="524">
        <f t="shared" ref="I95" si="92">I94*I92</f>
        <v>15038355.683153087</v>
      </c>
      <c r="J95" s="524">
        <f t="shared" ref="J95" si="93">J94*J92</f>
        <v>11499919.051822953</v>
      </c>
      <c r="K95" s="524">
        <f t="shared" ref="K95" si="94">K94*K92</f>
        <v>13230224.941190401</v>
      </c>
      <c r="L95" s="524">
        <f t="shared" ref="L95" si="95">L94*L92</f>
        <v>13188718.353139607</v>
      </c>
      <c r="M95" s="524">
        <f t="shared" ref="M95" si="96">M94*M92</f>
        <v>12140677.004857073</v>
      </c>
      <c r="N95" s="524">
        <f t="shared" ref="N95" si="97">N94*N92</f>
        <v>13671232.439230081</v>
      </c>
      <c r="O95" s="524">
        <f>SUM(C95:N95)</f>
        <v>156980510.1698539</v>
      </c>
      <c r="P95" s="262"/>
      <c r="Q95" s="262"/>
      <c r="R95" s="262"/>
      <c r="S95" s="262"/>
      <c r="T95" s="262"/>
      <c r="U95" s="262"/>
      <c r="V95" s="262"/>
      <c r="W95" s="262"/>
      <c r="X95" s="262"/>
      <c r="Y95" s="262"/>
      <c r="Z95" s="262"/>
      <c r="AA95" s="262"/>
      <c r="AB95" s="262"/>
      <c r="AC95" s="262"/>
      <c r="AD95" s="262"/>
      <c r="AE95" s="262"/>
      <c r="AF95" s="262"/>
      <c r="AG95" s="262"/>
      <c r="AH95" s="262"/>
    </row>
    <row r="96" spans="1:34" ht="12.75" customHeight="1">
      <c r="A96" s="487"/>
      <c r="B96" s="487"/>
      <c r="C96" s="488"/>
      <c r="D96" s="488"/>
      <c r="E96" s="488"/>
      <c r="F96" s="488"/>
      <c r="G96" s="488"/>
      <c r="H96" s="488"/>
      <c r="I96" s="488"/>
      <c r="J96" s="488"/>
      <c r="K96" s="488"/>
      <c r="L96" s="488"/>
      <c r="M96" s="488"/>
      <c r="N96" s="488"/>
      <c r="O96" s="489"/>
      <c r="P96" s="262"/>
      <c r="Q96" s="262"/>
      <c r="R96" s="262"/>
      <c r="S96" s="262"/>
      <c r="T96" s="262"/>
      <c r="U96" s="262"/>
      <c r="V96" s="262"/>
      <c r="W96" s="262"/>
      <c r="X96" s="262"/>
      <c r="Y96" s="262"/>
      <c r="Z96" s="262"/>
      <c r="AA96" s="262"/>
      <c r="AB96" s="262"/>
      <c r="AC96" s="262"/>
      <c r="AD96" s="262"/>
      <c r="AE96" s="262"/>
      <c r="AF96" s="262"/>
      <c r="AG96" s="262"/>
      <c r="AH96" s="262"/>
    </row>
    <row r="97" spans="1:34" ht="30.65" customHeight="1">
      <c r="A97" s="490" t="str">
        <f>A61</f>
        <v>Эко-вилладж 4*</v>
      </c>
      <c r="B97" s="487"/>
      <c r="C97" s="488"/>
      <c r="D97" s="488"/>
      <c r="E97" s="488"/>
      <c r="F97" s="488"/>
      <c r="G97" s="488"/>
      <c r="H97" s="488"/>
      <c r="I97" s="488"/>
      <c r="J97" s="488"/>
      <c r="K97" s="488"/>
      <c r="L97" s="488"/>
      <c r="M97" s="488"/>
      <c r="N97" s="488"/>
      <c r="O97" s="489"/>
      <c r="P97" s="262"/>
      <c r="Q97" s="262"/>
      <c r="R97" s="262"/>
      <c r="S97" s="262"/>
      <c r="T97" s="262"/>
      <c r="U97" s="262"/>
      <c r="V97" s="262"/>
      <c r="W97" s="262"/>
      <c r="X97" s="262"/>
      <c r="Y97" s="262"/>
      <c r="Z97" s="262"/>
      <c r="AA97" s="262"/>
      <c r="AB97" s="262"/>
      <c r="AC97" s="262"/>
      <c r="AD97" s="262"/>
      <c r="AE97" s="262"/>
      <c r="AF97" s="262"/>
      <c r="AG97" s="262"/>
      <c r="AH97" s="262"/>
    </row>
    <row r="98" spans="1:34" ht="12.75" customHeight="1">
      <c r="A98" s="263" t="s">
        <v>456</v>
      </c>
      <c r="B98" s="263"/>
      <c r="C98" s="270">
        <f>'Открытые тарифы '!$C$39*C80</f>
        <v>992</v>
      </c>
      <c r="D98" s="270">
        <f>'Открытые тарифы '!$C$39*D80</f>
        <v>896</v>
      </c>
      <c r="E98" s="270">
        <f>'Открытые тарифы '!$C$39*E80</f>
        <v>992</v>
      </c>
      <c r="F98" s="270">
        <f>'Открытые тарифы '!$C$39*F80</f>
        <v>960</v>
      </c>
      <c r="G98" s="270">
        <f>'Открытые тарифы '!$C$39*G80</f>
        <v>992</v>
      </c>
      <c r="H98" s="270">
        <f>'Открытые тарифы '!$C$39*H80</f>
        <v>960</v>
      </c>
      <c r="I98" s="270">
        <f>'Открытые тарифы '!$C$39*I80</f>
        <v>992</v>
      </c>
      <c r="J98" s="270">
        <f>'Открытые тарифы '!$C$39*J80</f>
        <v>992</v>
      </c>
      <c r="K98" s="270">
        <f>'Открытые тарифы '!$C$39*K80</f>
        <v>960</v>
      </c>
      <c r="L98" s="270">
        <f>'Открытые тарифы '!$C$39*L80</f>
        <v>992</v>
      </c>
      <c r="M98" s="270">
        <f>'Открытые тарифы '!$C$39*M80</f>
        <v>960</v>
      </c>
      <c r="N98" s="270">
        <f>'Открытые тарифы '!$C$39*N80</f>
        <v>992</v>
      </c>
      <c r="O98" s="253">
        <f t="shared" ref="O98:O99" si="98">SUM(C98:N98)</f>
        <v>11680</v>
      </c>
      <c r="P98" s="262"/>
      <c r="Q98" s="262"/>
      <c r="R98" s="262"/>
      <c r="S98" s="262"/>
      <c r="T98" s="262"/>
      <c r="U98" s="262"/>
      <c r="V98" s="262"/>
      <c r="W98" s="262"/>
      <c r="X98" s="262"/>
      <c r="Y98" s="262"/>
      <c r="Z98" s="262"/>
      <c r="AA98" s="262"/>
      <c r="AB98" s="262"/>
      <c r="AC98" s="262"/>
      <c r="AD98" s="262"/>
      <c r="AE98" s="262"/>
      <c r="AF98" s="262"/>
      <c r="AG98" s="262"/>
      <c r="AH98" s="262"/>
    </row>
    <row r="99" spans="1:34" ht="12.75" customHeight="1">
      <c r="A99" s="263" t="s">
        <v>457</v>
      </c>
      <c r="B99" s="263"/>
      <c r="C99" s="270">
        <f t="shared" ref="C99:N99" si="99">C100*C98</f>
        <v>644.80000000000007</v>
      </c>
      <c r="D99" s="270">
        <f t="shared" si="99"/>
        <v>358.40000000000003</v>
      </c>
      <c r="E99" s="270">
        <f t="shared" si="99"/>
        <v>396.8</v>
      </c>
      <c r="F99" s="270">
        <f t="shared" si="99"/>
        <v>432</v>
      </c>
      <c r="G99" s="270">
        <f t="shared" si="99"/>
        <v>545.6</v>
      </c>
      <c r="H99" s="270">
        <f t="shared" si="99"/>
        <v>816</v>
      </c>
      <c r="I99" s="270">
        <f t="shared" si="99"/>
        <v>843.19999999999993</v>
      </c>
      <c r="J99" s="270">
        <f t="shared" si="99"/>
        <v>744</v>
      </c>
      <c r="K99" s="270">
        <f t="shared" si="99"/>
        <v>528</v>
      </c>
      <c r="L99" s="270">
        <f t="shared" si="99"/>
        <v>347.2</v>
      </c>
      <c r="M99" s="270">
        <f t="shared" si="99"/>
        <v>336</v>
      </c>
      <c r="N99" s="270">
        <f t="shared" si="99"/>
        <v>446.40000000000003</v>
      </c>
      <c r="O99" s="253">
        <f t="shared" si="98"/>
        <v>6438.3999999999987</v>
      </c>
      <c r="P99" s="262"/>
      <c r="Q99" s="262"/>
      <c r="R99" s="262"/>
      <c r="S99" s="262"/>
      <c r="T99" s="262"/>
      <c r="U99" s="262"/>
      <c r="V99" s="262"/>
      <c r="W99" s="262"/>
      <c r="X99" s="262"/>
      <c r="Y99" s="262"/>
      <c r="Z99" s="262"/>
      <c r="AA99" s="262"/>
      <c r="AB99" s="262"/>
      <c r="AC99" s="262"/>
      <c r="AD99" s="262"/>
      <c r="AE99" s="262"/>
      <c r="AF99" s="262"/>
      <c r="AG99" s="262"/>
      <c r="AH99" s="262"/>
    </row>
    <row r="100" spans="1:34" ht="12.75" customHeight="1">
      <c r="A100" s="271" t="s">
        <v>458</v>
      </c>
      <c r="B100" s="271"/>
      <c r="C100" s="272">
        <f>C64</f>
        <v>0.65</v>
      </c>
      <c r="D100" s="272">
        <f t="shared" ref="D100:N100" si="100">D64</f>
        <v>0.4</v>
      </c>
      <c r="E100" s="272">
        <f t="shared" si="100"/>
        <v>0.4</v>
      </c>
      <c r="F100" s="272">
        <f t="shared" si="100"/>
        <v>0.45</v>
      </c>
      <c r="G100" s="272">
        <f t="shared" si="100"/>
        <v>0.55000000000000004</v>
      </c>
      <c r="H100" s="272">
        <f t="shared" si="100"/>
        <v>0.85</v>
      </c>
      <c r="I100" s="272">
        <f t="shared" si="100"/>
        <v>0.85</v>
      </c>
      <c r="J100" s="272">
        <f t="shared" si="100"/>
        <v>0.75</v>
      </c>
      <c r="K100" s="272">
        <f t="shared" si="100"/>
        <v>0.55000000000000004</v>
      </c>
      <c r="L100" s="272">
        <f t="shared" si="100"/>
        <v>0.35</v>
      </c>
      <c r="M100" s="272">
        <f t="shared" si="100"/>
        <v>0.35</v>
      </c>
      <c r="N100" s="272">
        <f t="shared" si="100"/>
        <v>0.45</v>
      </c>
      <c r="O100" s="271">
        <f t="shared" ref="O100:O101" si="101">AVERAGE(C100:N100)</f>
        <v>0.54999999999999993</v>
      </c>
      <c r="P100" s="265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/>
      <c r="AE100" s="262"/>
      <c r="AF100" s="262"/>
      <c r="AG100" s="262"/>
      <c r="AH100" s="262"/>
    </row>
    <row r="101" spans="1:34" ht="12.75" customHeight="1">
      <c r="A101" s="263" t="s">
        <v>773</v>
      </c>
      <c r="B101" s="263"/>
      <c r="C101" s="270">
        <f t="shared" ref="C101:N101" si="102">C65*1.04</f>
        <v>27624.488135483869</v>
      </c>
      <c r="D101" s="270">
        <f t="shared" si="102"/>
        <v>19753.500297142862</v>
      </c>
      <c r="E101" s="270">
        <f t="shared" si="102"/>
        <v>19970.730872258075</v>
      </c>
      <c r="F101" s="270">
        <f t="shared" si="102"/>
        <v>19693.641205333337</v>
      </c>
      <c r="G101" s="270">
        <f t="shared" si="102"/>
        <v>25647.68990193549</v>
      </c>
      <c r="H101" s="270">
        <f t="shared" si="102"/>
        <v>31426.023200000003</v>
      </c>
      <c r="I101" s="270">
        <f t="shared" si="102"/>
        <v>31426.023200000003</v>
      </c>
      <c r="J101" s="270">
        <f t="shared" si="102"/>
        <v>31426.023200000003</v>
      </c>
      <c r="K101" s="270">
        <f t="shared" si="102"/>
        <v>27812.030532000008</v>
      </c>
      <c r="L101" s="270">
        <f t="shared" si="102"/>
        <v>16929.502820645164</v>
      </c>
      <c r="M101" s="270">
        <f t="shared" si="102"/>
        <v>16970.052528</v>
      </c>
      <c r="N101" s="270">
        <f t="shared" si="102"/>
        <v>22454.40044774194</v>
      </c>
      <c r="O101" s="253">
        <f t="shared" si="101"/>
        <v>24261.1755283784</v>
      </c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</row>
    <row r="102" spans="1:34" ht="12.75" customHeight="1">
      <c r="A102" s="275" t="s">
        <v>462</v>
      </c>
      <c r="B102" s="275"/>
      <c r="C102" s="276">
        <f>C99*C101</f>
        <v>17812269.949760001</v>
      </c>
      <c r="D102" s="276">
        <f t="shared" ref="D102" si="103">D99*D101</f>
        <v>7079654.5064960029</v>
      </c>
      <c r="E102" s="276">
        <f t="shared" ref="E102" si="104">E99*E101</f>
        <v>7924386.0101120044</v>
      </c>
      <c r="F102" s="276">
        <f t="shared" ref="F102" si="105">F99*F101</f>
        <v>8507653.0007040016</v>
      </c>
      <c r="G102" s="276">
        <f t="shared" ref="G102" si="106">G99*G101</f>
        <v>13993379.610496003</v>
      </c>
      <c r="H102" s="276">
        <f t="shared" ref="H102" si="107">H99*H101</f>
        <v>25643634.931200001</v>
      </c>
      <c r="I102" s="276">
        <f t="shared" ref="I102" si="108">I99*I101</f>
        <v>26498422.76224</v>
      </c>
      <c r="J102" s="276">
        <f t="shared" ref="J102" si="109">J99*J101</f>
        <v>23380961.260800004</v>
      </c>
      <c r="K102" s="276">
        <f t="shared" ref="K102" si="110">K99*K101</f>
        <v>14684752.120896004</v>
      </c>
      <c r="L102" s="276">
        <f t="shared" ref="L102" si="111">L99*L101</f>
        <v>5877923.3793280013</v>
      </c>
      <c r="M102" s="276">
        <f t="shared" ref="M102" si="112">M99*M101</f>
        <v>5701937.6494079996</v>
      </c>
      <c r="N102" s="276">
        <f t="shared" ref="N102" si="113">N99*N101</f>
        <v>10023644.359872002</v>
      </c>
      <c r="O102" s="277">
        <f>SUM(C102:N102)</f>
        <v>167128619.54131207</v>
      </c>
      <c r="P102" s="262"/>
      <c r="Q102" s="262"/>
      <c r="R102" s="262"/>
      <c r="S102" s="262"/>
      <c r="T102" s="262"/>
      <c r="U102" s="262"/>
      <c r="V102" s="262"/>
      <c r="W102" s="262"/>
      <c r="X102" s="262"/>
      <c r="Y102" s="262"/>
      <c r="Z102" s="262"/>
      <c r="AA102" s="262"/>
      <c r="AB102" s="262"/>
      <c r="AC102" s="262"/>
      <c r="AD102" s="262"/>
      <c r="AE102" s="262"/>
      <c r="AF102" s="262"/>
      <c r="AG102" s="262"/>
      <c r="AH102" s="262"/>
    </row>
    <row r="103" spans="1:34" ht="12.75" customHeight="1">
      <c r="A103" s="487"/>
      <c r="B103" s="487"/>
      <c r="C103" s="488"/>
      <c r="D103" s="488"/>
      <c r="E103" s="488"/>
      <c r="F103" s="488"/>
      <c r="G103" s="488"/>
      <c r="H103" s="488"/>
      <c r="I103" s="488"/>
      <c r="J103" s="488"/>
      <c r="K103" s="488"/>
      <c r="L103" s="488"/>
      <c r="M103" s="488"/>
      <c r="N103" s="488"/>
      <c r="O103" s="489"/>
      <c r="P103" s="262"/>
      <c r="Q103" s="262"/>
      <c r="R103" s="262"/>
      <c r="S103" s="262"/>
      <c r="T103" s="262"/>
      <c r="U103" s="262"/>
      <c r="V103" s="262"/>
      <c r="W103" s="262"/>
      <c r="X103" s="262"/>
      <c r="Y103" s="262"/>
      <c r="Z103" s="262"/>
      <c r="AA103" s="262"/>
      <c r="AB103" s="262"/>
      <c r="AC103" s="262"/>
      <c r="AD103" s="262"/>
      <c r="AE103" s="262"/>
      <c r="AF103" s="262"/>
      <c r="AG103" s="262"/>
      <c r="AH103" s="262"/>
    </row>
    <row r="104" spans="1:34" ht="57" customHeight="1">
      <c r="A104" s="490" t="str">
        <f>A68</f>
        <v>Гостиничный комплекс 3* в Этно-Деревне</v>
      </c>
      <c r="B104" s="487"/>
      <c r="C104" s="488"/>
      <c r="D104" s="488"/>
      <c r="E104" s="488"/>
      <c r="F104" s="488"/>
      <c r="G104" s="488"/>
      <c r="H104" s="488"/>
      <c r="I104" s="488"/>
      <c r="J104" s="488"/>
      <c r="K104" s="488"/>
      <c r="L104" s="488"/>
      <c r="M104" s="488"/>
      <c r="N104" s="488"/>
      <c r="O104" s="489"/>
      <c r="P104" s="262"/>
      <c r="Q104" s="262"/>
      <c r="R104" s="262"/>
      <c r="S104" s="262"/>
      <c r="T104" s="262"/>
      <c r="U104" s="262"/>
      <c r="V104" s="262"/>
      <c r="W104" s="262"/>
      <c r="X104" s="262"/>
      <c r="Y104" s="262"/>
      <c r="Z104" s="262"/>
      <c r="AA104" s="262"/>
      <c r="AB104" s="262"/>
      <c r="AC104" s="262"/>
      <c r="AD104" s="262"/>
      <c r="AE104" s="262"/>
      <c r="AF104" s="262"/>
      <c r="AG104" s="262"/>
      <c r="AH104" s="262"/>
    </row>
    <row r="105" spans="1:34" ht="12.75" customHeight="1">
      <c r="A105" s="263" t="s">
        <v>456</v>
      </c>
      <c r="B105" s="263"/>
      <c r="C105" s="270">
        <f>'Открытые тарифы '!$C$53*'выручка номеров'!C80</f>
        <v>1550</v>
      </c>
      <c r="D105" s="270">
        <f>'Открытые тарифы '!$C$53*'выручка номеров'!D80</f>
        <v>1400</v>
      </c>
      <c r="E105" s="270">
        <f>'Открытые тарифы '!$C$53*'выручка номеров'!E80</f>
        <v>1550</v>
      </c>
      <c r="F105" s="270">
        <f>'Открытые тарифы '!$C$53*'выручка номеров'!F80</f>
        <v>1500</v>
      </c>
      <c r="G105" s="270">
        <f>'Открытые тарифы '!$C$53*'выручка номеров'!G80</f>
        <v>1550</v>
      </c>
      <c r="H105" s="270">
        <f>'Открытые тарифы '!$C$53*'выручка номеров'!H80</f>
        <v>1500</v>
      </c>
      <c r="I105" s="270">
        <f>'Открытые тарифы '!$C$53*'выручка номеров'!I80</f>
        <v>1550</v>
      </c>
      <c r="J105" s="270">
        <f>'Открытые тарифы '!$C$53*'выручка номеров'!J80</f>
        <v>1550</v>
      </c>
      <c r="K105" s="270">
        <f>'Открытые тарифы '!$C$53*'выручка номеров'!K80</f>
        <v>1500</v>
      </c>
      <c r="L105" s="270">
        <f>'Открытые тарифы '!$C$53*'выручка номеров'!L80</f>
        <v>1550</v>
      </c>
      <c r="M105" s="270">
        <f>'Открытые тарифы '!$C$53*'выручка номеров'!M80</f>
        <v>1500</v>
      </c>
      <c r="N105" s="270">
        <f>'Открытые тарифы '!$C$53*'выручка номеров'!N80</f>
        <v>1550</v>
      </c>
      <c r="O105" s="253">
        <f>SUM(C105:N105)</f>
        <v>18250</v>
      </c>
      <c r="P105" s="262"/>
      <c r="Q105" s="262"/>
      <c r="R105" s="262"/>
      <c r="S105" s="262"/>
      <c r="T105" s="262"/>
      <c r="U105" s="262"/>
      <c r="V105" s="262"/>
      <c r="W105" s="262"/>
      <c r="X105" s="262"/>
      <c r="Y105" s="262"/>
      <c r="Z105" s="262"/>
      <c r="AA105" s="262"/>
      <c r="AB105" s="262"/>
      <c r="AC105" s="262"/>
      <c r="AD105" s="262"/>
      <c r="AE105" s="262"/>
      <c r="AF105" s="262"/>
      <c r="AG105" s="262"/>
      <c r="AH105" s="262"/>
    </row>
    <row r="106" spans="1:34" ht="12.75" customHeight="1">
      <c r="A106" s="263" t="s">
        <v>457</v>
      </c>
      <c r="B106" s="263"/>
      <c r="C106" s="270">
        <f t="shared" ref="C106:N106" si="114">C107*C105</f>
        <v>930</v>
      </c>
      <c r="D106" s="270">
        <f t="shared" si="114"/>
        <v>350</v>
      </c>
      <c r="E106" s="270">
        <f t="shared" si="114"/>
        <v>387.5</v>
      </c>
      <c r="F106" s="270">
        <f t="shared" si="114"/>
        <v>450</v>
      </c>
      <c r="G106" s="270">
        <f t="shared" si="114"/>
        <v>775</v>
      </c>
      <c r="H106" s="270">
        <f t="shared" si="114"/>
        <v>1125</v>
      </c>
      <c r="I106" s="270">
        <f t="shared" si="114"/>
        <v>1162.5</v>
      </c>
      <c r="J106" s="270">
        <f t="shared" si="114"/>
        <v>1085</v>
      </c>
      <c r="K106" s="270">
        <f t="shared" si="114"/>
        <v>750</v>
      </c>
      <c r="L106" s="270">
        <f t="shared" si="114"/>
        <v>387.5</v>
      </c>
      <c r="M106" s="270">
        <f t="shared" si="114"/>
        <v>375</v>
      </c>
      <c r="N106" s="270">
        <f t="shared" si="114"/>
        <v>620</v>
      </c>
      <c r="O106" s="253">
        <f t="shared" ref="O106" si="115">SUM(C106:N106)</f>
        <v>8397.5</v>
      </c>
      <c r="P106" s="262"/>
      <c r="Q106" s="262"/>
      <c r="R106" s="262"/>
      <c r="S106" s="262"/>
      <c r="T106" s="262"/>
      <c r="U106" s="262"/>
      <c r="V106" s="262"/>
      <c r="W106" s="262"/>
      <c r="X106" s="262"/>
      <c r="Y106" s="262"/>
      <c r="Z106" s="262"/>
      <c r="AA106" s="262"/>
      <c r="AB106" s="262"/>
      <c r="AC106" s="262"/>
      <c r="AD106" s="262"/>
      <c r="AE106" s="262"/>
      <c r="AF106" s="262"/>
      <c r="AG106" s="262"/>
      <c r="AH106" s="262"/>
    </row>
    <row r="107" spans="1:34" ht="12.75" customHeight="1">
      <c r="A107" s="271" t="s">
        <v>458</v>
      </c>
      <c r="B107" s="271"/>
      <c r="C107" s="272">
        <f>C71</f>
        <v>0.6</v>
      </c>
      <c r="D107" s="272">
        <f t="shared" ref="D107:N107" si="116">D71</f>
        <v>0.25</v>
      </c>
      <c r="E107" s="272">
        <f t="shared" si="116"/>
        <v>0.25</v>
      </c>
      <c r="F107" s="272">
        <f t="shared" si="116"/>
        <v>0.3</v>
      </c>
      <c r="G107" s="272">
        <f t="shared" si="116"/>
        <v>0.5</v>
      </c>
      <c r="H107" s="272">
        <f t="shared" si="116"/>
        <v>0.75</v>
      </c>
      <c r="I107" s="272">
        <f t="shared" si="116"/>
        <v>0.75</v>
      </c>
      <c r="J107" s="272">
        <f t="shared" si="116"/>
        <v>0.7</v>
      </c>
      <c r="K107" s="272">
        <f t="shared" si="116"/>
        <v>0.5</v>
      </c>
      <c r="L107" s="272">
        <f t="shared" si="116"/>
        <v>0.25</v>
      </c>
      <c r="M107" s="272">
        <f t="shared" si="116"/>
        <v>0.25</v>
      </c>
      <c r="N107" s="272">
        <f t="shared" si="116"/>
        <v>0.4</v>
      </c>
      <c r="O107" s="271">
        <f t="shared" ref="O107:O108" si="117">AVERAGE(C107:N107)</f>
        <v>0.45833333333333343</v>
      </c>
      <c r="P107" s="262"/>
      <c r="Q107" s="262"/>
      <c r="R107" s="262"/>
      <c r="S107" s="262"/>
      <c r="T107" s="262"/>
      <c r="U107" s="262"/>
      <c r="V107" s="262"/>
      <c r="W107" s="262"/>
      <c r="X107" s="262"/>
      <c r="Y107" s="262"/>
      <c r="Z107" s="262"/>
      <c r="AA107" s="262"/>
      <c r="AB107" s="262"/>
      <c r="AC107" s="262"/>
      <c r="AD107" s="262"/>
      <c r="AE107" s="262"/>
      <c r="AF107" s="262"/>
      <c r="AG107" s="262"/>
      <c r="AH107" s="262"/>
    </row>
    <row r="108" spans="1:34" ht="12.75" customHeight="1">
      <c r="A108" s="263" t="s">
        <v>459</v>
      </c>
      <c r="B108" s="263"/>
      <c r="C108" s="270">
        <f>C72*1.04</f>
        <v>6294.3256245161292</v>
      </c>
      <c r="D108" s="270">
        <f t="shared" ref="D108:N108" si="118">D72*1.04</f>
        <v>5258.4205142857145</v>
      </c>
      <c r="E108" s="270">
        <f t="shared" si="118"/>
        <v>5316.2477193548393</v>
      </c>
      <c r="F108" s="270">
        <f t="shared" si="118"/>
        <v>5242.4859066666668</v>
      </c>
      <c r="G108" s="270">
        <f t="shared" si="118"/>
        <v>6827.4653451612921</v>
      </c>
      <c r="H108" s="270">
        <f t="shared" si="118"/>
        <v>8365.6689999999999</v>
      </c>
      <c r="I108" s="270">
        <f t="shared" si="118"/>
        <v>8365.6689999999999</v>
      </c>
      <c r="J108" s="270">
        <f t="shared" si="118"/>
        <v>8365.6689999999999</v>
      </c>
      <c r="K108" s="270">
        <f t="shared" si="118"/>
        <v>7403.6170649999995</v>
      </c>
      <c r="L108" s="270">
        <f t="shared" si="118"/>
        <v>4506.6668483870972</v>
      </c>
      <c r="M108" s="270">
        <f t="shared" si="118"/>
        <v>4517.4612600000009</v>
      </c>
      <c r="N108" s="270">
        <f t="shared" si="118"/>
        <v>5977.4054306451617</v>
      </c>
      <c r="O108" s="253">
        <f t="shared" si="117"/>
        <v>6370.0918928347419</v>
      </c>
      <c r="P108" s="262"/>
      <c r="Q108" s="262"/>
      <c r="R108" s="262"/>
      <c r="S108" s="262"/>
      <c r="T108" s="262"/>
      <c r="U108" s="262"/>
      <c r="V108" s="262"/>
      <c r="W108" s="262"/>
      <c r="X108" s="262"/>
      <c r="Y108" s="262"/>
      <c r="Z108" s="262"/>
      <c r="AA108" s="262"/>
      <c r="AB108" s="262"/>
      <c r="AC108" s="262"/>
      <c r="AD108" s="262"/>
      <c r="AE108" s="262"/>
      <c r="AF108" s="262"/>
      <c r="AG108" s="262"/>
      <c r="AH108" s="262"/>
    </row>
    <row r="109" spans="1:34" ht="12.75" customHeight="1">
      <c r="A109" s="275" t="s">
        <v>462</v>
      </c>
      <c r="B109" s="275"/>
      <c r="C109" s="276">
        <f>C106*C108</f>
        <v>5853722.8308000006</v>
      </c>
      <c r="D109" s="276">
        <f t="shared" ref="D109" si="119">D106*D108</f>
        <v>1840447.1800000002</v>
      </c>
      <c r="E109" s="276">
        <f t="shared" ref="E109" si="120">E106*E108</f>
        <v>2060045.9912500002</v>
      </c>
      <c r="F109" s="276">
        <f t="shared" ref="F109" si="121">F106*F108</f>
        <v>2359118.6579999998</v>
      </c>
      <c r="G109" s="276">
        <f t="shared" ref="G109" si="122">G106*G108</f>
        <v>5291285.642500001</v>
      </c>
      <c r="H109" s="276">
        <f t="shared" ref="H109" si="123">H106*H108</f>
        <v>9411377.625</v>
      </c>
      <c r="I109" s="276">
        <f t="shared" ref="I109" si="124">I106*I108</f>
        <v>9725090.2125000004</v>
      </c>
      <c r="J109" s="276">
        <f t="shared" ref="J109" si="125">J106*J108</f>
        <v>9076750.8650000002</v>
      </c>
      <c r="K109" s="276">
        <f t="shared" ref="K109" si="126">K106*K108</f>
        <v>5552712.7987499991</v>
      </c>
      <c r="L109" s="276">
        <f t="shared" ref="L109" si="127">L106*L108</f>
        <v>1746333.4037500001</v>
      </c>
      <c r="M109" s="276">
        <f t="shared" ref="M109" si="128">M106*M108</f>
        <v>1694047.9725000004</v>
      </c>
      <c r="N109" s="276">
        <f t="shared" ref="N109" si="129">N106*N108</f>
        <v>3705991.3670000001</v>
      </c>
      <c r="O109" s="277">
        <f>SUM(C109:N109)</f>
        <v>58316924.547050007</v>
      </c>
      <c r="P109" s="262"/>
      <c r="Q109" s="262"/>
      <c r="R109" s="262"/>
      <c r="S109" s="262"/>
      <c r="T109" s="262"/>
      <c r="U109" s="262"/>
      <c r="V109" s="262"/>
      <c r="W109" s="262"/>
      <c r="X109" s="262"/>
      <c r="Y109" s="262"/>
      <c r="Z109" s="262"/>
      <c r="AA109" s="262"/>
      <c r="AB109" s="262"/>
      <c r="AC109" s="262"/>
      <c r="AD109" s="262"/>
      <c r="AE109" s="262"/>
      <c r="AF109" s="262"/>
      <c r="AG109" s="262"/>
      <c r="AH109" s="262"/>
    </row>
    <row r="110" spans="1:34" ht="12.75" customHeight="1">
      <c r="A110" s="487"/>
      <c r="B110" s="487"/>
      <c r="C110" s="488"/>
      <c r="D110" s="488"/>
      <c r="E110" s="488"/>
      <c r="F110" s="488"/>
      <c r="G110" s="488"/>
      <c r="H110" s="488"/>
      <c r="I110" s="488"/>
      <c r="J110" s="488"/>
      <c r="K110" s="488"/>
      <c r="L110" s="488"/>
      <c r="M110" s="488"/>
      <c r="N110" s="488"/>
      <c r="O110" s="489"/>
      <c r="P110" s="262"/>
      <c r="Q110" s="262"/>
      <c r="R110" s="262"/>
      <c r="S110" s="262"/>
      <c r="T110" s="262"/>
      <c r="U110" s="262"/>
      <c r="V110" s="262"/>
      <c r="W110" s="262"/>
      <c r="X110" s="262"/>
      <c r="Y110" s="262"/>
      <c r="Z110" s="262"/>
      <c r="AA110" s="262"/>
      <c r="AB110" s="262"/>
      <c r="AC110" s="262"/>
      <c r="AD110" s="262"/>
      <c r="AE110" s="262"/>
      <c r="AF110" s="262"/>
      <c r="AG110" s="262"/>
      <c r="AH110" s="262"/>
    </row>
    <row r="111" spans="1:34" ht="29.15" customHeight="1">
      <c r="A111" s="525" t="s">
        <v>775</v>
      </c>
      <c r="B111" s="526"/>
      <c r="C111" s="527">
        <f t="shared" ref="C111:N111" si="130">SUM(C88,C95,C102,C109)</f>
        <v>68579999.287645668</v>
      </c>
      <c r="D111" s="527">
        <f t="shared" si="130"/>
        <v>36256560.354362048</v>
      </c>
      <c r="E111" s="527">
        <f t="shared" si="130"/>
        <v>40432283.749584898</v>
      </c>
      <c r="F111" s="527">
        <f t="shared" si="130"/>
        <v>38861973.730404355</v>
      </c>
      <c r="G111" s="527">
        <f t="shared" si="130"/>
        <v>61049567.379415542</v>
      </c>
      <c r="H111" s="527">
        <f t="shared" si="130"/>
        <v>89091766.440915689</v>
      </c>
      <c r="I111" s="527">
        <f t="shared" si="130"/>
        <v>92061491.988946214</v>
      </c>
      <c r="J111" s="527">
        <f t="shared" si="130"/>
        <v>82357276.665672943</v>
      </c>
      <c r="K111" s="527">
        <f t="shared" si="130"/>
        <v>60188733.490272813</v>
      </c>
      <c r="L111" s="527">
        <f t="shared" si="130"/>
        <v>35034779.32201355</v>
      </c>
      <c r="M111" s="527">
        <f t="shared" si="130"/>
        <v>32078482.322458822</v>
      </c>
      <c r="N111" s="527">
        <f t="shared" si="130"/>
        <v>49693565.581997246</v>
      </c>
      <c r="O111" s="528">
        <f>SUM(C111:N111)</f>
        <v>685686480.31368983</v>
      </c>
      <c r="P111" s="262"/>
      <c r="Q111" s="262"/>
      <c r="R111" s="262"/>
      <c r="S111" s="262"/>
      <c r="T111" s="262"/>
      <c r="U111" s="262"/>
      <c r="V111" s="262"/>
      <c r="W111" s="262"/>
      <c r="X111" s="262"/>
      <c r="Y111" s="262"/>
      <c r="Z111" s="262"/>
      <c r="AA111" s="262"/>
      <c r="AB111" s="262"/>
      <c r="AC111" s="262"/>
      <c r="AD111" s="262"/>
      <c r="AE111" s="262"/>
      <c r="AF111" s="262"/>
      <c r="AG111" s="262"/>
      <c r="AH111" s="262"/>
    </row>
    <row r="112" spans="1:34" ht="12.75" customHeight="1">
      <c r="A112" s="262"/>
      <c r="B112" s="262"/>
      <c r="C112" s="262"/>
      <c r="D112" s="262"/>
      <c r="E112" s="262"/>
      <c r="F112" s="262"/>
      <c r="G112" s="262"/>
      <c r="H112" s="262"/>
      <c r="I112" s="262"/>
      <c r="J112" s="262"/>
      <c r="K112" s="262"/>
      <c r="L112" s="262"/>
      <c r="M112" s="262"/>
      <c r="N112" s="262"/>
      <c r="O112" s="262"/>
      <c r="P112" s="262"/>
      <c r="Q112" s="262"/>
      <c r="R112" s="262"/>
      <c r="S112" s="262"/>
      <c r="T112" s="262"/>
      <c r="U112" s="262"/>
      <c r="V112" s="262"/>
      <c r="W112" s="262"/>
      <c r="X112" s="262"/>
      <c r="Y112" s="262"/>
      <c r="Z112" s="262"/>
      <c r="AA112" s="262"/>
      <c r="AB112" s="262"/>
      <c r="AC112" s="262"/>
      <c r="AD112" s="262"/>
      <c r="AE112" s="262"/>
      <c r="AF112" s="262"/>
      <c r="AG112" s="262"/>
      <c r="AH112" s="262"/>
    </row>
    <row r="113" spans="1:34" ht="12.75" customHeight="1">
      <c r="A113" s="262"/>
      <c r="B113" s="262"/>
      <c r="C113" s="262"/>
      <c r="D113" s="262"/>
      <c r="E113" s="262"/>
      <c r="F113" s="262"/>
      <c r="G113" s="262"/>
      <c r="H113" s="262"/>
      <c r="I113" s="262"/>
      <c r="J113" s="262"/>
      <c r="K113" s="262"/>
      <c r="L113" s="262"/>
      <c r="M113" s="262"/>
      <c r="N113" s="262"/>
      <c r="O113" s="262"/>
      <c r="P113" s="262"/>
      <c r="Q113" s="262"/>
      <c r="R113" s="262"/>
      <c r="S113" s="262"/>
      <c r="T113" s="262"/>
      <c r="U113" s="262"/>
      <c r="V113" s="262"/>
      <c r="W113" s="262"/>
      <c r="X113" s="262"/>
      <c r="Y113" s="262"/>
      <c r="Z113" s="262"/>
      <c r="AA113" s="262"/>
      <c r="AB113" s="262"/>
      <c r="AC113" s="262"/>
      <c r="AD113" s="262"/>
      <c r="AE113" s="262"/>
      <c r="AF113" s="262"/>
      <c r="AG113" s="262"/>
      <c r="AH113" s="262"/>
    </row>
    <row r="114" spans="1:34" ht="26.5" customHeight="1" thickBot="1">
      <c r="A114" s="853" t="s">
        <v>465</v>
      </c>
      <c r="B114" s="853"/>
      <c r="C114" s="854"/>
      <c r="D114" s="854"/>
      <c r="E114" s="854"/>
      <c r="F114" s="854"/>
      <c r="G114" s="854"/>
      <c r="H114" s="854"/>
      <c r="I114" s="854"/>
      <c r="J114" s="854"/>
      <c r="K114" s="854"/>
      <c r="L114" s="854"/>
      <c r="M114" s="262"/>
      <c r="N114" s="262"/>
      <c r="O114" s="262"/>
      <c r="P114" s="262"/>
      <c r="Q114" s="262"/>
      <c r="R114" s="262"/>
      <c r="S114" s="262"/>
      <c r="T114" s="262"/>
      <c r="U114" s="262"/>
      <c r="V114" s="262"/>
      <c r="W114" s="262"/>
      <c r="X114" s="262"/>
      <c r="Y114" s="262"/>
      <c r="Z114" s="262"/>
      <c r="AA114" s="262"/>
      <c r="AB114" s="262"/>
      <c r="AC114" s="262"/>
      <c r="AD114" s="262"/>
      <c r="AE114" s="262"/>
      <c r="AF114" s="262"/>
      <c r="AG114" s="262"/>
      <c r="AH114" s="262"/>
    </row>
    <row r="115" spans="1:34" ht="12.75" customHeight="1" thickBot="1">
      <c r="A115" s="848" t="s">
        <v>466</v>
      </c>
      <c r="B115" s="436"/>
      <c r="C115" s="850" t="s">
        <v>467</v>
      </c>
      <c r="D115" s="851"/>
      <c r="E115" s="851"/>
      <c r="F115" s="851"/>
      <c r="G115" s="851"/>
      <c r="H115" s="851"/>
      <c r="I115" s="851"/>
      <c r="J115" s="851"/>
      <c r="K115" s="851"/>
      <c r="L115" s="852"/>
      <c r="M115" s="262"/>
      <c r="N115" s="262"/>
      <c r="O115" s="262"/>
      <c r="P115" s="262"/>
      <c r="Q115" s="262"/>
      <c r="R115" s="262"/>
      <c r="S115" s="262"/>
      <c r="T115" s="262"/>
      <c r="U115" s="262"/>
      <c r="V115" s="262"/>
      <c r="W115" s="262"/>
      <c r="X115" s="262"/>
      <c r="Y115" s="262"/>
      <c r="Z115" s="262"/>
      <c r="AA115" s="262"/>
      <c r="AB115" s="262"/>
      <c r="AC115" s="262"/>
      <c r="AD115" s="262"/>
      <c r="AE115" s="262"/>
      <c r="AF115" s="262"/>
      <c r="AG115" s="262"/>
      <c r="AH115" s="262"/>
    </row>
    <row r="116" spans="1:34" ht="12.75" customHeight="1" thickBot="1">
      <c r="A116" s="849"/>
      <c r="B116" s="437"/>
      <c r="C116" s="279">
        <v>1</v>
      </c>
      <c r="D116" s="279">
        <v>2</v>
      </c>
      <c r="E116" s="279">
        <v>3</v>
      </c>
      <c r="F116" s="279">
        <v>4</v>
      </c>
      <c r="G116" s="279">
        <v>5</v>
      </c>
      <c r="H116" s="279">
        <v>6</v>
      </c>
      <c r="I116" s="279">
        <v>7</v>
      </c>
      <c r="J116" s="279">
        <v>8</v>
      </c>
      <c r="K116" s="279">
        <v>9</v>
      </c>
      <c r="L116" s="279">
        <v>10</v>
      </c>
      <c r="M116" s="262"/>
      <c r="N116" s="262"/>
      <c r="O116" s="262"/>
      <c r="P116" s="262"/>
      <c r="Q116" s="262"/>
      <c r="R116" s="262"/>
      <c r="S116" s="262"/>
      <c r="T116" s="262"/>
      <c r="U116" s="262"/>
      <c r="V116" s="262"/>
      <c r="W116" s="262"/>
      <c r="X116" s="262"/>
      <c r="Y116" s="262"/>
      <c r="Z116" s="262"/>
      <c r="AA116" s="262"/>
      <c r="AB116" s="262"/>
      <c r="AC116" s="262"/>
      <c r="AD116" s="262"/>
      <c r="AE116" s="262"/>
      <c r="AF116" s="262"/>
      <c r="AG116" s="262"/>
      <c r="AH116" s="262"/>
    </row>
    <row r="117" spans="1:34" ht="12.75" customHeight="1" thickBot="1">
      <c r="A117" s="280" t="s">
        <v>468</v>
      </c>
      <c r="B117" s="438"/>
      <c r="C117" s="281">
        <f>O12</f>
        <v>0.66666666666666663</v>
      </c>
      <c r="D117" s="281">
        <f>O48</f>
        <v>0.66666666666666663</v>
      </c>
      <c r="E117" s="281">
        <f>O84</f>
        <v>0.71666666666666679</v>
      </c>
      <c r="F117" s="281">
        <f>E117</f>
        <v>0.71666666666666679</v>
      </c>
      <c r="G117" s="281">
        <f t="shared" ref="G117:L117" si="131">F117</f>
        <v>0.71666666666666679</v>
      </c>
      <c r="H117" s="281">
        <f t="shared" si="131"/>
        <v>0.71666666666666679</v>
      </c>
      <c r="I117" s="281">
        <f t="shared" si="131"/>
        <v>0.71666666666666679</v>
      </c>
      <c r="J117" s="281">
        <f t="shared" si="131"/>
        <v>0.71666666666666679</v>
      </c>
      <c r="K117" s="281">
        <f t="shared" si="131"/>
        <v>0.71666666666666679</v>
      </c>
      <c r="L117" s="281">
        <f t="shared" si="131"/>
        <v>0.71666666666666679</v>
      </c>
      <c r="M117" s="262"/>
      <c r="N117" s="262"/>
      <c r="O117" s="262"/>
      <c r="P117" s="262"/>
      <c r="Q117" s="262"/>
      <c r="R117" s="262"/>
      <c r="S117" s="262"/>
      <c r="T117" s="262"/>
      <c r="U117" s="262"/>
      <c r="V117" s="262"/>
      <c r="W117" s="262"/>
      <c r="X117" s="262"/>
      <c r="Y117" s="262"/>
      <c r="Z117" s="262"/>
      <c r="AA117" s="262"/>
      <c r="AB117" s="262"/>
      <c r="AC117" s="262"/>
      <c r="AD117" s="262"/>
      <c r="AE117" s="262"/>
      <c r="AF117" s="262"/>
      <c r="AG117" s="262"/>
      <c r="AH117" s="262"/>
    </row>
    <row r="118" spans="1:34" ht="12.75" customHeight="1" thickBot="1">
      <c r="A118" s="280" t="s">
        <v>469</v>
      </c>
      <c r="B118" s="438"/>
      <c r="C118" s="282">
        <f>SUM($O$10,$O$19,$O$26,$O$33)*C117</f>
        <v>78840</v>
      </c>
      <c r="D118" s="282">
        <f t="shared" ref="D118:K118" si="132">SUM($O$10,$O$19,$O$26,$O$33)*D117</f>
        <v>78840</v>
      </c>
      <c r="E118" s="282">
        <f t="shared" si="132"/>
        <v>84753.000000000015</v>
      </c>
      <c r="F118" s="282">
        <f t="shared" si="132"/>
        <v>84753.000000000015</v>
      </c>
      <c r="G118" s="282">
        <f t="shared" si="132"/>
        <v>84753.000000000015</v>
      </c>
      <c r="H118" s="282">
        <f t="shared" si="132"/>
        <v>84753.000000000015</v>
      </c>
      <c r="I118" s="282">
        <f t="shared" si="132"/>
        <v>84753.000000000015</v>
      </c>
      <c r="J118" s="282">
        <f t="shared" si="132"/>
        <v>84753.000000000015</v>
      </c>
      <c r="K118" s="282">
        <f t="shared" si="132"/>
        <v>84753.000000000015</v>
      </c>
      <c r="L118" s="282">
        <f>SUM($O$10,$O$19,$O$26,$O$33)*L117</f>
        <v>84753.000000000015</v>
      </c>
      <c r="M118" s="262"/>
      <c r="N118" s="262"/>
      <c r="O118" s="262"/>
      <c r="P118" s="262"/>
      <c r="Q118" s="262"/>
      <c r="R118" s="262"/>
      <c r="S118" s="262"/>
      <c r="T118" s="262"/>
      <c r="U118" s="262"/>
      <c r="V118" s="262"/>
      <c r="W118" s="262"/>
      <c r="X118" s="262"/>
      <c r="Y118" s="262"/>
      <c r="Z118" s="262"/>
      <c r="AA118" s="262"/>
      <c r="AB118" s="262"/>
      <c r="AC118" s="262"/>
      <c r="AD118" s="262"/>
      <c r="AE118" s="262"/>
      <c r="AF118" s="262"/>
      <c r="AG118" s="262"/>
      <c r="AH118" s="262"/>
    </row>
    <row r="119" spans="1:34" ht="12.75" customHeight="1" thickBot="1">
      <c r="A119" s="280" t="s">
        <v>470</v>
      </c>
      <c r="B119" s="439"/>
      <c r="C119" s="482">
        <f>'скидки для типов гостей'!$B$11</f>
        <v>1.8059999999999998</v>
      </c>
      <c r="D119" s="283"/>
      <c r="E119" s="284"/>
      <c r="F119" s="284"/>
      <c r="G119" s="284"/>
      <c r="H119" s="284"/>
      <c r="I119" s="284"/>
      <c r="J119" s="284"/>
      <c r="K119" s="284"/>
      <c r="L119" s="285"/>
      <c r="M119" s="262"/>
      <c r="N119" s="262"/>
      <c r="O119" s="262"/>
      <c r="P119" s="262"/>
      <c r="Q119" s="262"/>
      <c r="R119" s="262"/>
      <c r="S119" s="262"/>
      <c r="T119" s="262"/>
      <c r="U119" s="262"/>
      <c r="V119" s="262"/>
      <c r="W119" s="262"/>
      <c r="X119" s="262"/>
      <c r="Y119" s="262"/>
      <c r="Z119" s="262"/>
      <c r="AA119" s="262"/>
      <c r="AB119" s="262"/>
      <c r="AC119" s="262"/>
      <c r="AD119" s="262"/>
      <c r="AE119" s="262"/>
      <c r="AF119" s="262"/>
      <c r="AG119" s="262"/>
      <c r="AH119" s="262"/>
    </row>
    <row r="120" spans="1:34" ht="12.75" customHeight="1" thickBot="1">
      <c r="A120" s="280" t="s">
        <v>724</v>
      </c>
      <c r="B120" s="438"/>
      <c r="C120" s="282">
        <f t="shared" ref="C120:L120" si="133">C118*$C$119</f>
        <v>142385.03999999998</v>
      </c>
      <c r="D120" s="282">
        <f t="shared" si="133"/>
        <v>142385.03999999998</v>
      </c>
      <c r="E120" s="282">
        <f t="shared" si="133"/>
        <v>153063.91800000001</v>
      </c>
      <c r="F120" s="282">
        <f t="shared" si="133"/>
        <v>153063.91800000001</v>
      </c>
      <c r="G120" s="282">
        <f t="shared" si="133"/>
        <v>153063.91800000001</v>
      </c>
      <c r="H120" s="282">
        <f t="shared" si="133"/>
        <v>153063.91800000001</v>
      </c>
      <c r="I120" s="282">
        <f t="shared" si="133"/>
        <v>153063.91800000001</v>
      </c>
      <c r="J120" s="282">
        <f t="shared" si="133"/>
        <v>153063.91800000001</v>
      </c>
      <c r="K120" s="282">
        <f t="shared" si="133"/>
        <v>153063.91800000001</v>
      </c>
      <c r="L120" s="282">
        <f t="shared" si="133"/>
        <v>153063.91800000001</v>
      </c>
      <c r="M120" s="262"/>
      <c r="N120" s="262"/>
      <c r="O120" s="262"/>
      <c r="P120" s="262"/>
      <c r="Q120" s="262"/>
      <c r="R120" s="262"/>
      <c r="S120" s="262"/>
      <c r="T120" s="262"/>
      <c r="U120" s="262"/>
      <c r="V120" s="262"/>
      <c r="W120" s="262"/>
      <c r="X120" s="262"/>
      <c r="Y120" s="262"/>
      <c r="Z120" s="262"/>
      <c r="AA120" s="262"/>
      <c r="AB120" s="262"/>
      <c r="AC120" s="262"/>
      <c r="AD120" s="262"/>
      <c r="AE120" s="262"/>
      <c r="AF120" s="262"/>
      <c r="AG120" s="262"/>
      <c r="AH120" s="262"/>
    </row>
    <row r="121" spans="1:34" ht="12.75" customHeight="1" thickBot="1">
      <c r="A121" s="280" t="s">
        <v>725</v>
      </c>
      <c r="B121" s="438"/>
      <c r="C121" s="282">
        <f>AG14</f>
        <v>38950</v>
      </c>
      <c r="D121" s="282">
        <f>C121*1.03</f>
        <v>40118.5</v>
      </c>
      <c r="E121" s="282">
        <f t="shared" ref="E121:G121" si="134">D121*1.03</f>
        <v>41322.055</v>
      </c>
      <c r="F121" s="282">
        <f t="shared" si="134"/>
        <v>42561.716650000002</v>
      </c>
      <c r="G121" s="282">
        <f t="shared" si="134"/>
        <v>43838.568149500003</v>
      </c>
      <c r="H121" s="282">
        <f>G121*1.014</f>
        <v>44452.308103593001</v>
      </c>
      <c r="I121" s="282">
        <f t="shared" ref="I121:L121" si="135">H121*1.014</f>
        <v>45074.640417043302</v>
      </c>
      <c r="J121" s="282">
        <f t="shared" si="135"/>
        <v>45705.685382881908</v>
      </c>
      <c r="K121" s="282">
        <f t="shared" si="135"/>
        <v>46345.564978242255</v>
      </c>
      <c r="L121" s="282">
        <f t="shared" si="135"/>
        <v>46994.402887937649</v>
      </c>
      <c r="M121" s="262"/>
      <c r="N121" s="262"/>
      <c r="O121" s="262"/>
      <c r="P121" s="262"/>
      <c r="Q121" s="262"/>
      <c r="R121" s="262"/>
      <c r="S121" s="262"/>
      <c r="T121" s="262"/>
      <c r="U121" s="262"/>
      <c r="V121" s="262"/>
      <c r="W121" s="262"/>
      <c r="X121" s="262"/>
      <c r="Y121" s="262"/>
      <c r="Z121" s="262"/>
      <c r="AA121" s="262"/>
      <c r="AB121" s="262"/>
      <c r="AC121" s="262"/>
      <c r="AD121" s="262"/>
      <c r="AE121" s="262"/>
      <c r="AF121" s="262"/>
      <c r="AG121" s="262"/>
      <c r="AH121" s="262"/>
    </row>
    <row r="122" spans="1:34" ht="12.75" customHeight="1" thickBot="1">
      <c r="A122" s="280" t="s">
        <v>383</v>
      </c>
      <c r="B122" s="438"/>
      <c r="C122" s="282">
        <f t="shared" ref="C122:L122" si="136">SUM(C120:C121)</f>
        <v>181335.03999999998</v>
      </c>
      <c r="D122" s="282">
        <f t="shared" si="136"/>
        <v>182503.53999999998</v>
      </c>
      <c r="E122" s="282">
        <f t="shared" si="136"/>
        <v>194385.973</v>
      </c>
      <c r="F122" s="282">
        <f t="shared" si="136"/>
        <v>195625.63465000002</v>
      </c>
      <c r="G122" s="282">
        <f t="shared" si="136"/>
        <v>196902.48614950001</v>
      </c>
      <c r="H122" s="282">
        <f t="shared" si="136"/>
        <v>197516.22610359301</v>
      </c>
      <c r="I122" s="282">
        <f t="shared" si="136"/>
        <v>198138.5584170433</v>
      </c>
      <c r="J122" s="282">
        <f t="shared" si="136"/>
        <v>198769.60338288191</v>
      </c>
      <c r="K122" s="282">
        <f t="shared" si="136"/>
        <v>199409.48297824227</v>
      </c>
      <c r="L122" s="282">
        <f t="shared" si="136"/>
        <v>200058.32088793765</v>
      </c>
      <c r="M122" s="262"/>
      <c r="N122" s="262"/>
      <c r="O122" s="262"/>
      <c r="P122" s="262"/>
      <c r="Q122" s="262"/>
      <c r="R122" s="262"/>
      <c r="S122" s="262"/>
      <c r="T122" s="262"/>
      <c r="U122" s="262"/>
      <c r="V122" s="262"/>
      <c r="W122" s="262"/>
      <c r="X122" s="262"/>
      <c r="Y122" s="262"/>
      <c r="Z122" s="262"/>
      <c r="AA122" s="262"/>
      <c r="AB122" s="262"/>
      <c r="AC122" s="262"/>
      <c r="AD122" s="262"/>
      <c r="AE122" s="262"/>
      <c r="AF122" s="262"/>
      <c r="AG122" s="262"/>
      <c r="AH122" s="262"/>
    </row>
    <row r="123" spans="1:34" ht="12.75" customHeight="1">
      <c r="A123" s="262"/>
      <c r="B123" s="262"/>
      <c r="C123" s="262"/>
      <c r="D123" s="262"/>
      <c r="E123" s="262"/>
      <c r="F123" s="262"/>
      <c r="G123" s="262"/>
      <c r="H123" s="262"/>
      <c r="I123" s="262"/>
      <c r="J123" s="262"/>
      <c r="K123" s="262"/>
      <c r="L123" s="262"/>
      <c r="M123" s="262"/>
      <c r="N123" s="262"/>
      <c r="O123" s="262"/>
      <c r="P123" s="262"/>
      <c r="Q123" s="262"/>
      <c r="R123" s="262"/>
      <c r="S123" s="262"/>
      <c r="T123" s="262"/>
      <c r="U123" s="262"/>
      <c r="V123" s="262"/>
      <c r="W123" s="262"/>
      <c r="X123" s="262"/>
      <c r="Y123" s="262"/>
      <c r="Z123" s="262"/>
      <c r="AA123" s="262"/>
      <c r="AB123" s="262"/>
      <c r="AC123" s="262"/>
      <c r="AD123" s="262"/>
      <c r="AE123" s="262"/>
      <c r="AF123" s="262"/>
      <c r="AG123" s="262"/>
      <c r="AH123" s="262"/>
    </row>
    <row r="124" spans="1:34" ht="12.75" customHeight="1">
      <c r="A124" s="262"/>
      <c r="B124" s="262"/>
      <c r="C124" s="262"/>
      <c r="D124" s="262"/>
      <c r="E124" s="262"/>
      <c r="F124" s="262"/>
      <c r="G124" s="262"/>
      <c r="H124" s="262"/>
      <c r="I124" s="262"/>
      <c r="J124" s="262"/>
      <c r="K124" s="262"/>
      <c r="L124" s="262"/>
      <c r="M124" s="262"/>
      <c r="N124" s="262"/>
      <c r="O124" s="262"/>
      <c r="P124" s="262"/>
      <c r="Q124" s="262"/>
      <c r="R124" s="262"/>
      <c r="S124" s="262"/>
      <c r="T124" s="262"/>
      <c r="U124" s="262"/>
      <c r="V124" s="262"/>
      <c r="W124" s="262"/>
      <c r="X124" s="262"/>
      <c r="Y124" s="262"/>
      <c r="Z124" s="262"/>
      <c r="AA124" s="262"/>
      <c r="AB124" s="262"/>
      <c r="AC124" s="262"/>
      <c r="AD124" s="262"/>
      <c r="AE124" s="262"/>
      <c r="AF124" s="262"/>
      <c r="AG124" s="262"/>
      <c r="AH124" s="262"/>
    </row>
    <row r="125" spans="1:34" ht="12.75" customHeight="1">
      <c r="A125" s="262"/>
      <c r="B125" s="262"/>
      <c r="C125" s="262"/>
      <c r="D125" s="262"/>
      <c r="E125" s="262"/>
      <c r="F125" s="262"/>
      <c r="G125" s="262"/>
      <c r="H125" s="262"/>
      <c r="I125" s="262"/>
      <c r="J125" s="262"/>
      <c r="K125" s="262"/>
      <c r="L125" s="262"/>
      <c r="M125" s="262"/>
      <c r="N125" s="262"/>
      <c r="O125" s="262"/>
      <c r="P125" s="262"/>
      <c r="Q125" s="262"/>
      <c r="R125" s="262"/>
      <c r="S125" s="262"/>
      <c r="T125" s="262"/>
      <c r="U125" s="262"/>
      <c r="V125" s="262"/>
      <c r="W125" s="262"/>
      <c r="X125" s="262"/>
      <c r="Y125" s="262"/>
      <c r="Z125" s="262"/>
      <c r="AA125" s="262"/>
      <c r="AB125" s="262"/>
      <c r="AC125" s="262"/>
      <c r="AD125" s="262"/>
      <c r="AE125" s="262"/>
      <c r="AF125" s="262"/>
      <c r="AG125" s="262"/>
      <c r="AH125" s="262"/>
    </row>
    <row r="126" spans="1:34" ht="12.75" customHeight="1">
      <c r="A126" s="262"/>
      <c r="B126" s="262"/>
      <c r="C126" s="265"/>
      <c r="D126" s="262"/>
      <c r="E126" s="262"/>
      <c r="F126" s="262"/>
      <c r="G126" s="262"/>
      <c r="H126" s="262"/>
      <c r="I126" s="262"/>
      <c r="J126" s="262"/>
      <c r="K126" s="262"/>
      <c r="L126" s="262"/>
      <c r="M126" s="262"/>
      <c r="N126" s="262"/>
      <c r="O126" s="262"/>
      <c r="P126" s="262"/>
      <c r="Q126" s="262"/>
      <c r="R126" s="262"/>
      <c r="S126" s="262"/>
      <c r="T126" s="262"/>
      <c r="U126" s="262"/>
      <c r="V126" s="262"/>
      <c r="W126" s="262"/>
      <c r="X126" s="262"/>
      <c r="Y126" s="262"/>
      <c r="Z126" s="262"/>
      <c r="AA126" s="262"/>
      <c r="AB126" s="262"/>
      <c r="AC126" s="262"/>
      <c r="AD126" s="262"/>
      <c r="AE126" s="262"/>
      <c r="AF126" s="262"/>
      <c r="AG126" s="262"/>
      <c r="AH126" s="262"/>
    </row>
    <row r="127" spans="1:34" ht="12.75" customHeight="1">
      <c r="A127" s="262"/>
      <c r="B127" s="262"/>
      <c r="C127" s="262"/>
      <c r="D127" s="262"/>
      <c r="E127" s="262"/>
      <c r="F127" s="262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2"/>
      <c r="S127" s="262"/>
      <c r="T127" s="262"/>
      <c r="U127" s="262"/>
      <c r="V127" s="262"/>
      <c r="W127" s="262"/>
      <c r="X127" s="262"/>
      <c r="Y127" s="262"/>
      <c r="Z127" s="262"/>
      <c r="AA127" s="262"/>
      <c r="AB127" s="262"/>
      <c r="AC127" s="262"/>
      <c r="AD127" s="262"/>
      <c r="AE127" s="262"/>
      <c r="AF127" s="262"/>
      <c r="AG127" s="262"/>
      <c r="AH127" s="262"/>
    </row>
    <row r="128" spans="1:34" ht="12.75" customHeight="1">
      <c r="A128" s="262"/>
      <c r="B128" s="262"/>
      <c r="C128" s="262"/>
      <c r="D128" s="262"/>
      <c r="E128" s="262"/>
      <c r="F128" s="262"/>
      <c r="G128" s="262"/>
      <c r="H128" s="262"/>
      <c r="I128" s="262"/>
      <c r="J128" s="262"/>
      <c r="K128" s="262"/>
      <c r="L128" s="262"/>
      <c r="M128" s="262"/>
      <c r="N128" s="262"/>
      <c r="O128" s="262"/>
      <c r="P128" s="262"/>
      <c r="Q128" s="262"/>
      <c r="R128" s="262"/>
      <c r="S128" s="262"/>
      <c r="T128" s="262"/>
      <c r="U128" s="262"/>
      <c r="V128" s="262"/>
      <c r="W128" s="262"/>
      <c r="X128" s="262"/>
      <c r="Y128" s="262"/>
      <c r="Z128" s="262"/>
      <c r="AA128" s="262"/>
      <c r="AB128" s="262"/>
      <c r="AC128" s="262"/>
      <c r="AD128" s="262"/>
      <c r="AE128" s="262"/>
      <c r="AF128" s="262"/>
      <c r="AG128" s="262"/>
      <c r="AH128" s="262"/>
    </row>
    <row r="129" spans="1:34" ht="12.75" customHeight="1">
      <c r="A129" s="262"/>
      <c r="B129" s="262"/>
      <c r="C129" s="262"/>
      <c r="D129" s="262"/>
      <c r="E129" s="262"/>
      <c r="F129" s="262"/>
      <c r="G129" s="262"/>
      <c r="H129" s="262"/>
      <c r="I129" s="262"/>
      <c r="J129" s="262"/>
      <c r="K129" s="262"/>
      <c r="L129" s="262"/>
      <c r="M129" s="262"/>
      <c r="N129" s="262"/>
      <c r="O129" s="262"/>
      <c r="P129" s="262"/>
      <c r="Q129" s="262"/>
      <c r="R129" s="262"/>
      <c r="S129" s="262"/>
      <c r="T129" s="262"/>
      <c r="U129" s="262"/>
      <c r="V129" s="262"/>
      <c r="W129" s="262"/>
      <c r="X129" s="262"/>
      <c r="Y129" s="262"/>
      <c r="Z129" s="262"/>
      <c r="AA129" s="262"/>
      <c r="AB129" s="262"/>
      <c r="AC129" s="262"/>
      <c r="AD129" s="262"/>
      <c r="AE129" s="262"/>
      <c r="AF129" s="262"/>
      <c r="AG129" s="262"/>
      <c r="AH129" s="262"/>
    </row>
    <row r="130" spans="1:34" ht="12.75" customHeight="1">
      <c r="A130" s="262"/>
      <c r="B130" s="262"/>
      <c r="C130" s="262"/>
      <c r="D130" s="262"/>
      <c r="E130" s="262"/>
      <c r="F130" s="262"/>
      <c r="G130" s="262"/>
      <c r="H130" s="262"/>
      <c r="I130" s="262"/>
      <c r="J130" s="262"/>
      <c r="K130" s="262"/>
      <c r="L130" s="262"/>
      <c r="M130" s="262"/>
      <c r="N130" s="262"/>
      <c r="O130" s="262"/>
      <c r="P130" s="262"/>
      <c r="Q130" s="262"/>
      <c r="R130" s="262"/>
      <c r="S130" s="262"/>
      <c r="T130" s="262"/>
      <c r="U130" s="262"/>
      <c r="V130" s="262"/>
      <c r="W130" s="262"/>
      <c r="X130" s="262"/>
      <c r="Y130" s="262"/>
      <c r="Z130" s="262"/>
      <c r="AA130" s="262"/>
      <c r="AB130" s="262"/>
      <c r="AC130" s="262"/>
      <c r="AD130" s="262"/>
      <c r="AE130" s="262"/>
      <c r="AF130" s="262"/>
      <c r="AG130" s="262"/>
      <c r="AH130" s="262"/>
    </row>
    <row r="131" spans="1:34" ht="12.75" customHeight="1">
      <c r="A131" s="262"/>
      <c r="B131" s="262"/>
      <c r="C131" s="262"/>
      <c r="D131" s="262"/>
      <c r="E131" s="262"/>
      <c r="F131" s="262"/>
      <c r="G131" s="262"/>
      <c r="H131" s="262"/>
      <c r="I131" s="262"/>
      <c r="J131" s="262"/>
      <c r="K131" s="262"/>
      <c r="L131" s="262"/>
      <c r="M131" s="262"/>
      <c r="N131" s="262"/>
      <c r="O131" s="262"/>
      <c r="P131" s="262"/>
      <c r="Q131" s="262"/>
      <c r="R131" s="262"/>
      <c r="S131" s="262"/>
      <c r="T131" s="262"/>
      <c r="U131" s="262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</row>
    <row r="132" spans="1:34" ht="12.75" customHeight="1">
      <c r="A132" s="262"/>
      <c r="B132" s="262"/>
      <c r="C132" s="262"/>
      <c r="D132" s="262"/>
      <c r="E132" s="262"/>
      <c r="F132" s="262"/>
      <c r="G132" s="262"/>
      <c r="H132" s="262"/>
      <c r="I132" s="262"/>
      <c r="J132" s="262"/>
      <c r="K132" s="262"/>
      <c r="L132" s="262"/>
      <c r="M132" s="262"/>
      <c r="N132" s="262"/>
      <c r="O132" s="262"/>
      <c r="P132" s="262"/>
      <c r="Q132" s="262"/>
      <c r="R132" s="262"/>
      <c r="S132" s="262"/>
      <c r="T132" s="262"/>
      <c r="U132" s="262"/>
      <c r="V132" s="262"/>
      <c r="W132" s="262"/>
      <c r="X132" s="262"/>
      <c r="Y132" s="262"/>
      <c r="Z132" s="262"/>
      <c r="AA132" s="262"/>
      <c r="AB132" s="262"/>
      <c r="AC132" s="262"/>
      <c r="AD132" s="262"/>
      <c r="AE132" s="262"/>
      <c r="AF132" s="262"/>
      <c r="AG132" s="262"/>
      <c r="AH132" s="262"/>
    </row>
    <row r="133" spans="1:34" ht="12.75" customHeight="1">
      <c r="A133" s="262"/>
      <c r="B133" s="262"/>
      <c r="C133" s="262"/>
      <c r="D133" s="262"/>
      <c r="E133" s="262"/>
      <c r="F133" s="262"/>
      <c r="G133" s="262"/>
      <c r="H133" s="262"/>
      <c r="I133" s="262"/>
      <c r="J133" s="262"/>
      <c r="K133" s="262"/>
      <c r="L133" s="262"/>
      <c r="M133" s="262"/>
      <c r="N133" s="262"/>
      <c r="O133" s="262"/>
      <c r="P133" s="262"/>
      <c r="Q133" s="262"/>
      <c r="R133" s="262"/>
      <c r="S133" s="262"/>
      <c r="T133" s="262"/>
      <c r="U133" s="262"/>
      <c r="V133" s="262"/>
      <c r="W133" s="262"/>
      <c r="X133" s="262"/>
      <c r="Y133" s="262"/>
      <c r="Z133" s="262"/>
      <c r="AA133" s="262"/>
      <c r="AB133" s="262"/>
      <c r="AC133" s="262"/>
      <c r="AD133" s="262"/>
      <c r="AE133" s="262"/>
      <c r="AF133" s="262"/>
      <c r="AG133" s="262"/>
      <c r="AH133" s="262"/>
    </row>
    <row r="134" spans="1:34" ht="12.75" customHeight="1">
      <c r="A134" s="262"/>
      <c r="B134" s="262"/>
      <c r="C134" s="262"/>
      <c r="D134" s="262"/>
      <c r="E134" s="262"/>
      <c r="F134" s="262"/>
      <c r="G134" s="262"/>
      <c r="H134" s="262"/>
      <c r="I134" s="262"/>
      <c r="J134" s="262"/>
      <c r="K134" s="262"/>
      <c r="L134" s="262"/>
      <c r="M134" s="262"/>
      <c r="N134" s="262"/>
      <c r="O134" s="262"/>
      <c r="P134" s="262"/>
      <c r="Q134" s="262"/>
      <c r="R134" s="262"/>
      <c r="S134" s="262"/>
      <c r="T134" s="262"/>
      <c r="U134" s="262"/>
      <c r="V134" s="262"/>
      <c r="W134" s="262"/>
      <c r="X134" s="262"/>
      <c r="Y134" s="262"/>
      <c r="Z134" s="262"/>
      <c r="AA134" s="262"/>
      <c r="AB134" s="262"/>
      <c r="AC134" s="262"/>
      <c r="AD134" s="262"/>
      <c r="AE134" s="262"/>
      <c r="AF134" s="262"/>
      <c r="AG134" s="262"/>
      <c r="AH134" s="262"/>
    </row>
    <row r="135" spans="1:34" ht="12.75" customHeight="1">
      <c r="A135" s="262"/>
      <c r="B135" s="262"/>
      <c r="C135" s="262"/>
      <c r="D135" s="262"/>
      <c r="E135" s="262"/>
      <c r="F135" s="262"/>
      <c r="G135" s="262"/>
      <c r="H135" s="262"/>
      <c r="I135" s="262"/>
      <c r="J135" s="262"/>
      <c r="K135" s="262"/>
      <c r="L135" s="262"/>
      <c r="M135" s="262"/>
      <c r="N135" s="262"/>
      <c r="O135" s="262"/>
      <c r="P135" s="262"/>
      <c r="Q135" s="262"/>
      <c r="R135" s="262"/>
      <c r="S135" s="262"/>
      <c r="T135" s="262"/>
      <c r="U135" s="262"/>
      <c r="V135" s="262"/>
      <c r="W135" s="262"/>
      <c r="X135" s="262"/>
      <c r="Y135" s="262"/>
      <c r="Z135" s="262"/>
      <c r="AA135" s="262"/>
      <c r="AB135" s="262"/>
      <c r="AC135" s="262"/>
      <c r="AD135" s="262"/>
      <c r="AE135" s="262"/>
      <c r="AF135" s="262"/>
      <c r="AG135" s="262"/>
      <c r="AH135" s="262"/>
    </row>
    <row r="136" spans="1:34" ht="12.75" customHeight="1">
      <c r="A136" s="262"/>
      <c r="B136" s="262"/>
      <c r="C136" s="262"/>
      <c r="D136" s="262"/>
      <c r="E136" s="262"/>
      <c r="F136" s="262"/>
      <c r="G136" s="262"/>
      <c r="H136" s="262"/>
      <c r="I136" s="262"/>
      <c r="J136" s="262"/>
      <c r="K136" s="262"/>
      <c r="L136" s="262"/>
      <c r="M136" s="262"/>
      <c r="N136" s="262"/>
      <c r="O136" s="262"/>
      <c r="P136" s="262"/>
      <c r="Q136" s="262"/>
      <c r="R136" s="262"/>
      <c r="S136" s="262"/>
      <c r="T136" s="262"/>
      <c r="U136" s="262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</row>
    <row r="137" spans="1:34" ht="12.75" customHeight="1">
      <c r="A137" s="262"/>
      <c r="B137" s="262"/>
      <c r="C137" s="262"/>
      <c r="D137" s="262"/>
      <c r="E137" s="262"/>
      <c r="F137" s="262"/>
      <c r="G137" s="262"/>
      <c r="H137" s="262"/>
      <c r="I137" s="262"/>
      <c r="J137" s="262"/>
      <c r="K137" s="262"/>
      <c r="L137" s="262"/>
      <c r="M137" s="262"/>
      <c r="N137" s="262"/>
      <c r="O137" s="262"/>
      <c r="P137" s="262"/>
      <c r="Q137" s="262"/>
      <c r="R137" s="262"/>
      <c r="S137" s="262"/>
      <c r="T137" s="262"/>
      <c r="U137" s="262"/>
      <c r="V137" s="262"/>
      <c r="W137" s="262"/>
      <c r="X137" s="262"/>
      <c r="Y137" s="262"/>
      <c r="Z137" s="262"/>
      <c r="AA137" s="262"/>
      <c r="AB137" s="262"/>
      <c r="AC137" s="262"/>
      <c r="AD137" s="262"/>
      <c r="AE137" s="262"/>
      <c r="AF137" s="262"/>
      <c r="AG137" s="262"/>
      <c r="AH137" s="262"/>
    </row>
    <row r="138" spans="1:34" ht="12.75" customHeight="1">
      <c r="A138" s="262"/>
      <c r="B138" s="262"/>
      <c r="C138" s="262"/>
      <c r="D138" s="262"/>
      <c r="E138" s="262"/>
      <c r="F138" s="262"/>
      <c r="G138" s="262"/>
      <c r="H138" s="262"/>
      <c r="I138" s="262"/>
      <c r="J138" s="262"/>
      <c r="K138" s="262"/>
      <c r="L138" s="262"/>
      <c r="M138" s="262"/>
      <c r="N138" s="262"/>
      <c r="O138" s="262"/>
      <c r="P138" s="262"/>
      <c r="Q138" s="262"/>
      <c r="R138" s="262"/>
      <c r="S138" s="262"/>
      <c r="T138" s="262"/>
      <c r="U138" s="262"/>
      <c r="V138" s="262"/>
      <c r="W138" s="262"/>
      <c r="X138" s="262"/>
      <c r="Y138" s="262"/>
      <c r="Z138" s="262"/>
      <c r="AA138" s="262"/>
      <c r="AB138" s="262"/>
      <c r="AC138" s="262"/>
      <c r="AD138" s="262"/>
      <c r="AE138" s="262"/>
      <c r="AF138" s="262"/>
      <c r="AG138" s="262"/>
      <c r="AH138" s="262"/>
    </row>
    <row r="139" spans="1:34" ht="12.75" customHeight="1">
      <c r="A139" s="262"/>
      <c r="B139" s="262"/>
      <c r="C139" s="262"/>
      <c r="D139" s="262"/>
      <c r="E139" s="262"/>
      <c r="F139" s="262"/>
      <c r="G139" s="262"/>
      <c r="H139" s="262"/>
      <c r="I139" s="262"/>
      <c r="J139" s="262"/>
      <c r="K139" s="262"/>
      <c r="L139" s="262"/>
      <c r="M139" s="262"/>
      <c r="N139" s="262"/>
      <c r="O139" s="262"/>
      <c r="P139" s="262"/>
      <c r="Q139" s="262"/>
      <c r="R139" s="262"/>
      <c r="S139" s="262"/>
      <c r="T139" s="262"/>
      <c r="U139" s="262"/>
      <c r="V139" s="262"/>
      <c r="W139" s="262"/>
      <c r="X139" s="262"/>
      <c r="Y139" s="262"/>
      <c r="Z139" s="262"/>
      <c r="AA139" s="262"/>
      <c r="AB139" s="262"/>
      <c r="AC139" s="262"/>
      <c r="AD139" s="262"/>
      <c r="AE139" s="262"/>
      <c r="AF139" s="262"/>
      <c r="AG139" s="262"/>
      <c r="AH139" s="262"/>
    </row>
    <row r="140" spans="1:34" ht="12.75" customHeight="1">
      <c r="A140" s="262"/>
      <c r="B140" s="262"/>
      <c r="C140" s="262"/>
      <c r="D140" s="262"/>
      <c r="E140" s="262"/>
      <c r="F140" s="262"/>
      <c r="G140" s="262"/>
      <c r="H140" s="262"/>
      <c r="I140" s="262"/>
      <c r="J140" s="262"/>
      <c r="K140" s="262"/>
      <c r="L140" s="262"/>
      <c r="M140" s="262"/>
      <c r="N140" s="262"/>
      <c r="O140" s="262"/>
      <c r="P140" s="262"/>
      <c r="Q140" s="262"/>
      <c r="R140" s="262"/>
      <c r="S140" s="262"/>
      <c r="T140" s="262"/>
      <c r="U140" s="262"/>
      <c r="V140" s="262"/>
      <c r="W140" s="262"/>
      <c r="X140" s="262"/>
      <c r="Y140" s="262"/>
      <c r="Z140" s="262"/>
      <c r="AA140" s="262"/>
      <c r="AB140" s="262"/>
      <c r="AC140" s="262"/>
      <c r="AD140" s="262"/>
      <c r="AE140" s="262"/>
      <c r="AF140" s="262"/>
      <c r="AG140" s="262"/>
      <c r="AH140" s="262"/>
    </row>
    <row r="141" spans="1:34" ht="12.75" customHeight="1">
      <c r="A141" s="262"/>
      <c r="B141" s="262"/>
      <c r="C141" s="262"/>
      <c r="D141" s="262"/>
      <c r="E141" s="262"/>
      <c r="F141" s="262"/>
      <c r="G141" s="262"/>
      <c r="H141" s="262"/>
      <c r="I141" s="262"/>
      <c r="J141" s="262"/>
      <c r="K141" s="262"/>
      <c r="L141" s="262"/>
      <c r="M141" s="262"/>
      <c r="N141" s="262"/>
      <c r="O141" s="262"/>
      <c r="P141" s="262"/>
      <c r="Q141" s="262"/>
      <c r="R141" s="262"/>
      <c r="S141" s="262"/>
      <c r="T141" s="262"/>
      <c r="U141" s="262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</row>
    <row r="142" spans="1:34" ht="12.75" customHeight="1">
      <c r="A142" s="262"/>
      <c r="B142" s="262"/>
      <c r="C142" s="262"/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262"/>
      <c r="P142" s="262"/>
      <c r="Q142" s="262"/>
      <c r="R142" s="262"/>
      <c r="S142" s="262"/>
      <c r="T142" s="262"/>
      <c r="U142" s="262"/>
      <c r="V142" s="262"/>
      <c r="W142" s="262"/>
      <c r="X142" s="262"/>
      <c r="Y142" s="262"/>
      <c r="Z142" s="262"/>
      <c r="AA142" s="262"/>
      <c r="AB142" s="262"/>
      <c r="AC142" s="262"/>
      <c r="AD142" s="262"/>
      <c r="AE142" s="262"/>
      <c r="AF142" s="262"/>
      <c r="AG142" s="262"/>
      <c r="AH142" s="262"/>
    </row>
    <row r="143" spans="1:34" ht="12.75" customHeight="1">
      <c r="A143" s="262"/>
      <c r="B143" s="262"/>
      <c r="C143" s="262"/>
      <c r="D143" s="262"/>
      <c r="E143" s="262"/>
      <c r="F143" s="262"/>
      <c r="G143" s="262"/>
      <c r="H143" s="262"/>
      <c r="I143" s="262"/>
      <c r="J143" s="262"/>
      <c r="K143" s="262"/>
      <c r="L143" s="262"/>
      <c r="M143" s="262"/>
      <c r="N143" s="262"/>
      <c r="O143" s="262"/>
      <c r="P143" s="262"/>
      <c r="Q143" s="262"/>
      <c r="R143" s="262"/>
      <c r="S143" s="262"/>
      <c r="T143" s="262"/>
      <c r="U143" s="262"/>
      <c r="V143" s="262"/>
      <c r="W143" s="262"/>
      <c r="X143" s="262"/>
      <c r="Y143" s="262"/>
      <c r="Z143" s="262"/>
      <c r="AA143" s="262"/>
      <c r="AB143" s="262"/>
      <c r="AC143" s="262"/>
      <c r="AD143" s="262"/>
      <c r="AE143" s="262"/>
      <c r="AF143" s="262"/>
      <c r="AG143" s="262"/>
      <c r="AH143" s="262"/>
    </row>
    <row r="144" spans="1:34" ht="12.75" customHeight="1">
      <c r="A144" s="262"/>
      <c r="B144" s="262"/>
      <c r="C144" s="262"/>
      <c r="D144" s="262"/>
      <c r="E144" s="262"/>
      <c r="F144" s="262"/>
      <c r="G144" s="262"/>
      <c r="H144" s="262"/>
      <c r="I144" s="262"/>
      <c r="J144" s="262"/>
      <c r="K144" s="262"/>
      <c r="L144" s="262"/>
      <c r="M144" s="262"/>
      <c r="N144" s="262"/>
      <c r="O144" s="262"/>
      <c r="P144" s="262"/>
      <c r="Q144" s="262"/>
      <c r="R144" s="262"/>
      <c r="S144" s="262"/>
      <c r="T144" s="262"/>
      <c r="U144" s="262"/>
      <c r="V144" s="262"/>
      <c r="W144" s="262"/>
      <c r="X144" s="262"/>
      <c r="Y144" s="262"/>
      <c r="Z144" s="262"/>
      <c r="AA144" s="262"/>
      <c r="AB144" s="262"/>
      <c r="AC144" s="262"/>
      <c r="AD144" s="262"/>
      <c r="AE144" s="262"/>
      <c r="AF144" s="262"/>
      <c r="AG144" s="262"/>
      <c r="AH144" s="262"/>
    </row>
    <row r="145" spans="1:34" ht="12.75" customHeight="1">
      <c r="A145" s="262"/>
      <c r="B145" s="262"/>
      <c r="C145" s="262"/>
      <c r="D145" s="262"/>
      <c r="E145" s="262"/>
      <c r="F145" s="262"/>
      <c r="G145" s="262"/>
      <c r="H145" s="262"/>
      <c r="I145" s="262"/>
      <c r="J145" s="262"/>
      <c r="K145" s="262"/>
      <c r="L145" s="262"/>
      <c r="M145" s="262"/>
      <c r="N145" s="262"/>
      <c r="O145" s="262"/>
      <c r="P145" s="262"/>
      <c r="Q145" s="262"/>
      <c r="R145" s="262"/>
      <c r="S145" s="262"/>
      <c r="T145" s="262"/>
      <c r="U145" s="262"/>
      <c r="V145" s="262"/>
      <c r="W145" s="262"/>
      <c r="X145" s="262"/>
      <c r="Y145" s="262"/>
      <c r="Z145" s="262"/>
      <c r="AA145" s="262"/>
      <c r="AB145" s="262"/>
      <c r="AC145" s="262"/>
      <c r="AD145" s="262"/>
      <c r="AE145" s="262"/>
      <c r="AF145" s="262"/>
      <c r="AG145" s="262"/>
      <c r="AH145" s="262"/>
    </row>
    <row r="146" spans="1:34" ht="12.75" customHeight="1">
      <c r="A146" s="262"/>
      <c r="B146" s="262"/>
      <c r="C146" s="262"/>
      <c r="D146" s="262"/>
      <c r="E146" s="262"/>
      <c r="F146" s="262"/>
      <c r="G146" s="262"/>
      <c r="H146" s="262"/>
      <c r="I146" s="262"/>
      <c r="J146" s="262"/>
      <c r="K146" s="262"/>
      <c r="L146" s="262"/>
      <c r="M146" s="262"/>
      <c r="N146" s="262"/>
      <c r="O146" s="262"/>
      <c r="P146" s="262"/>
      <c r="Q146" s="262"/>
      <c r="R146" s="262"/>
      <c r="S146" s="262"/>
      <c r="T146" s="262"/>
      <c r="U146" s="262"/>
      <c r="V146" s="262"/>
      <c r="W146" s="262"/>
      <c r="X146" s="262"/>
      <c r="Y146" s="262"/>
      <c r="Z146" s="262"/>
      <c r="AA146" s="262"/>
      <c r="AB146" s="262"/>
      <c r="AC146" s="262"/>
      <c r="AD146" s="262"/>
      <c r="AE146" s="262"/>
      <c r="AF146" s="262"/>
      <c r="AG146" s="262"/>
      <c r="AH146" s="262"/>
    </row>
    <row r="147" spans="1:34" ht="12.75" customHeight="1">
      <c r="A147" s="262"/>
      <c r="B147" s="262"/>
      <c r="C147" s="262"/>
      <c r="D147" s="262"/>
      <c r="E147" s="262"/>
      <c r="F147" s="262"/>
      <c r="G147" s="262"/>
      <c r="H147" s="262"/>
      <c r="I147" s="262"/>
      <c r="J147" s="262"/>
      <c r="K147" s="262"/>
      <c r="L147" s="262"/>
      <c r="M147" s="262"/>
      <c r="N147" s="262"/>
      <c r="O147" s="262"/>
      <c r="P147" s="262"/>
      <c r="Q147" s="262"/>
      <c r="R147" s="262"/>
      <c r="S147" s="262"/>
      <c r="T147" s="262"/>
      <c r="U147" s="262"/>
      <c r="V147" s="262"/>
      <c r="W147" s="262"/>
      <c r="X147" s="262"/>
      <c r="Y147" s="262"/>
      <c r="Z147" s="262"/>
      <c r="AA147" s="262"/>
      <c r="AB147" s="262"/>
      <c r="AC147" s="262"/>
      <c r="AD147" s="262"/>
      <c r="AE147" s="262"/>
      <c r="AF147" s="262"/>
      <c r="AG147" s="262"/>
      <c r="AH147" s="262"/>
    </row>
    <row r="148" spans="1:34" ht="12.75" customHeight="1">
      <c r="A148" s="262"/>
      <c r="B148" s="262"/>
      <c r="C148" s="262"/>
      <c r="D148" s="262"/>
      <c r="E148" s="262"/>
      <c r="F148" s="262"/>
      <c r="G148" s="262"/>
      <c r="H148" s="262"/>
      <c r="I148" s="262"/>
      <c r="J148" s="262"/>
      <c r="K148" s="262"/>
      <c r="L148" s="262"/>
      <c r="M148" s="262"/>
      <c r="N148" s="262"/>
      <c r="O148" s="262"/>
      <c r="P148" s="262"/>
      <c r="Q148" s="262"/>
      <c r="R148" s="262"/>
      <c r="S148" s="262"/>
      <c r="T148" s="262"/>
      <c r="U148" s="262"/>
      <c r="V148" s="262"/>
      <c r="W148" s="262"/>
      <c r="X148" s="262"/>
      <c r="Y148" s="262"/>
      <c r="Z148" s="262"/>
      <c r="AA148" s="262"/>
      <c r="AB148" s="262"/>
      <c r="AC148" s="262"/>
      <c r="AD148" s="262"/>
      <c r="AE148" s="262"/>
      <c r="AF148" s="262"/>
      <c r="AG148" s="262"/>
      <c r="AH148" s="262"/>
    </row>
    <row r="149" spans="1:34" ht="12.75" customHeight="1">
      <c r="A149" s="262"/>
      <c r="B149" s="262"/>
      <c r="C149" s="262"/>
      <c r="D149" s="262"/>
      <c r="E149" s="262"/>
      <c r="F149" s="262"/>
      <c r="G149" s="262"/>
      <c r="H149" s="262"/>
      <c r="I149" s="262"/>
      <c r="J149" s="262"/>
      <c r="K149" s="262"/>
      <c r="L149" s="262"/>
      <c r="M149" s="262"/>
      <c r="N149" s="262"/>
      <c r="O149" s="262"/>
      <c r="P149" s="262"/>
      <c r="Q149" s="262"/>
      <c r="R149" s="262"/>
      <c r="S149" s="262"/>
      <c r="T149" s="262"/>
      <c r="U149" s="262"/>
      <c r="V149" s="262"/>
      <c r="W149" s="262"/>
      <c r="X149" s="262"/>
      <c r="Y149" s="262"/>
      <c r="Z149" s="262"/>
      <c r="AA149" s="262"/>
      <c r="AB149" s="262"/>
      <c r="AC149" s="262"/>
      <c r="AD149" s="262"/>
      <c r="AE149" s="262"/>
      <c r="AF149" s="262"/>
      <c r="AG149" s="262"/>
      <c r="AH149" s="262"/>
    </row>
    <row r="150" spans="1:34" ht="12.75" customHeight="1">
      <c r="A150" s="262"/>
      <c r="B150" s="262"/>
      <c r="C150" s="262"/>
      <c r="D150" s="262"/>
      <c r="E150" s="262"/>
      <c r="F150" s="262"/>
      <c r="G150" s="262"/>
      <c r="H150" s="262"/>
      <c r="I150" s="262"/>
      <c r="J150" s="262"/>
      <c r="K150" s="262"/>
      <c r="L150" s="262"/>
      <c r="M150" s="262"/>
      <c r="N150" s="262"/>
      <c r="O150" s="262"/>
      <c r="P150" s="262"/>
      <c r="Q150" s="262"/>
      <c r="R150" s="262"/>
      <c r="S150" s="262"/>
      <c r="T150" s="262"/>
      <c r="U150" s="262"/>
      <c r="V150" s="262"/>
      <c r="W150" s="262"/>
      <c r="X150" s="262"/>
      <c r="Y150" s="262"/>
      <c r="Z150" s="262"/>
      <c r="AA150" s="262"/>
      <c r="AB150" s="262"/>
      <c r="AC150" s="262"/>
      <c r="AD150" s="262"/>
      <c r="AE150" s="262"/>
      <c r="AF150" s="262"/>
      <c r="AG150" s="262"/>
      <c r="AH150" s="262"/>
    </row>
    <row r="151" spans="1:34" ht="12.75" customHeight="1">
      <c r="A151" s="262"/>
      <c r="B151" s="262"/>
      <c r="C151" s="262"/>
      <c r="D151" s="262"/>
      <c r="E151" s="262"/>
      <c r="F151" s="262"/>
      <c r="G151" s="262"/>
      <c r="H151" s="262"/>
      <c r="I151" s="262"/>
      <c r="J151" s="262"/>
      <c r="K151" s="262"/>
      <c r="L151" s="262"/>
      <c r="M151" s="262"/>
      <c r="N151" s="262"/>
      <c r="O151" s="262"/>
      <c r="P151" s="262"/>
      <c r="Q151" s="262"/>
      <c r="R151" s="262"/>
      <c r="S151" s="262"/>
      <c r="T151" s="262"/>
      <c r="U151" s="262"/>
      <c r="V151" s="262"/>
      <c r="W151" s="262"/>
      <c r="X151" s="262"/>
      <c r="Y151" s="262"/>
      <c r="Z151" s="262"/>
      <c r="AA151" s="262"/>
      <c r="AB151" s="262"/>
      <c r="AC151" s="262"/>
      <c r="AD151" s="262"/>
      <c r="AE151" s="262"/>
      <c r="AF151" s="262"/>
      <c r="AG151" s="262"/>
      <c r="AH151" s="262"/>
    </row>
    <row r="152" spans="1:34" ht="12.75" customHeight="1">
      <c r="A152" s="262"/>
      <c r="B152" s="262"/>
      <c r="C152" s="262"/>
      <c r="D152" s="262"/>
      <c r="E152" s="262"/>
      <c r="F152" s="262"/>
      <c r="G152" s="262"/>
      <c r="H152" s="262"/>
      <c r="I152" s="262"/>
      <c r="J152" s="262"/>
      <c r="K152" s="262"/>
      <c r="L152" s="262"/>
      <c r="M152" s="262"/>
      <c r="N152" s="262"/>
      <c r="O152" s="262"/>
      <c r="P152" s="262"/>
      <c r="Q152" s="262"/>
      <c r="R152" s="262"/>
      <c r="S152" s="262"/>
      <c r="T152" s="262"/>
      <c r="U152" s="262"/>
      <c r="V152" s="262"/>
      <c r="W152" s="262"/>
      <c r="X152" s="262"/>
      <c r="Y152" s="262"/>
      <c r="Z152" s="262"/>
      <c r="AA152" s="262"/>
      <c r="AB152" s="262"/>
      <c r="AC152" s="262"/>
      <c r="AD152" s="262"/>
      <c r="AE152" s="262"/>
      <c r="AF152" s="262"/>
      <c r="AG152" s="262"/>
      <c r="AH152" s="262"/>
    </row>
    <row r="153" spans="1:34" ht="12.75" customHeight="1">
      <c r="A153" s="262"/>
      <c r="B153" s="262"/>
      <c r="C153" s="262"/>
      <c r="D153" s="262"/>
      <c r="E153" s="262"/>
      <c r="F153" s="262"/>
      <c r="G153" s="262"/>
      <c r="H153" s="262"/>
      <c r="I153" s="262"/>
      <c r="J153" s="262"/>
      <c r="K153" s="262"/>
      <c r="L153" s="262"/>
      <c r="M153" s="262"/>
      <c r="N153" s="262"/>
      <c r="O153" s="262"/>
      <c r="P153" s="262"/>
      <c r="Q153" s="262"/>
      <c r="R153" s="262"/>
      <c r="S153" s="262"/>
      <c r="T153" s="262"/>
      <c r="U153" s="262"/>
      <c r="V153" s="262"/>
      <c r="W153" s="262"/>
      <c r="X153" s="262"/>
      <c r="Y153" s="262"/>
      <c r="Z153" s="262"/>
      <c r="AA153" s="262"/>
      <c r="AB153" s="262"/>
      <c r="AC153" s="262"/>
      <c r="AD153" s="262"/>
      <c r="AE153" s="262"/>
      <c r="AF153" s="262"/>
      <c r="AG153" s="262"/>
      <c r="AH153" s="262"/>
    </row>
    <row r="154" spans="1:34" ht="12.75" customHeight="1">
      <c r="A154" s="262"/>
      <c r="B154" s="262"/>
      <c r="C154" s="262"/>
      <c r="D154" s="262"/>
      <c r="E154" s="262"/>
      <c r="F154" s="262"/>
      <c r="G154" s="262"/>
      <c r="H154" s="262"/>
      <c r="I154" s="262"/>
      <c r="J154" s="262"/>
      <c r="K154" s="262"/>
      <c r="L154" s="262"/>
      <c r="M154" s="262"/>
      <c r="N154" s="262"/>
      <c r="O154" s="262"/>
      <c r="P154" s="262"/>
      <c r="Q154" s="262"/>
      <c r="R154" s="262"/>
      <c r="S154" s="262"/>
      <c r="T154" s="262"/>
      <c r="U154" s="262"/>
      <c r="V154" s="262"/>
      <c r="W154" s="262"/>
      <c r="X154" s="262"/>
      <c r="Y154" s="262"/>
      <c r="Z154" s="262"/>
      <c r="AA154" s="262"/>
      <c r="AB154" s="262"/>
      <c r="AC154" s="262"/>
      <c r="AD154" s="262"/>
      <c r="AE154" s="262"/>
      <c r="AF154" s="262"/>
      <c r="AG154" s="262"/>
      <c r="AH154" s="262"/>
    </row>
    <row r="155" spans="1:34" ht="12.75" customHeight="1">
      <c r="A155" s="262"/>
      <c r="B155" s="262"/>
      <c r="C155" s="262"/>
      <c r="D155" s="262"/>
      <c r="E155" s="262"/>
      <c r="F155" s="262"/>
      <c r="G155" s="262"/>
      <c r="H155" s="262"/>
      <c r="I155" s="262"/>
      <c r="J155" s="262"/>
      <c r="K155" s="262"/>
      <c r="L155" s="262"/>
      <c r="M155" s="262"/>
      <c r="N155" s="262"/>
      <c r="O155" s="262"/>
      <c r="P155" s="262"/>
      <c r="Q155" s="262"/>
      <c r="R155" s="262"/>
      <c r="S155" s="262"/>
      <c r="T155" s="262"/>
      <c r="U155" s="262"/>
      <c r="V155" s="262"/>
      <c r="W155" s="262"/>
      <c r="X155" s="262"/>
      <c r="Y155" s="262"/>
      <c r="Z155" s="262"/>
      <c r="AA155" s="262"/>
      <c r="AB155" s="262"/>
      <c r="AC155" s="262"/>
      <c r="AD155" s="262"/>
      <c r="AE155" s="262"/>
      <c r="AF155" s="262"/>
      <c r="AG155" s="262"/>
      <c r="AH155" s="262"/>
    </row>
    <row r="156" spans="1:34" ht="12.75" customHeight="1">
      <c r="A156" s="262"/>
      <c r="B156" s="262"/>
      <c r="C156" s="262"/>
      <c r="D156" s="262"/>
      <c r="E156" s="262"/>
      <c r="F156" s="262"/>
      <c r="G156" s="262"/>
      <c r="H156" s="262"/>
      <c r="I156" s="262"/>
      <c r="J156" s="262"/>
      <c r="K156" s="262"/>
      <c r="L156" s="262"/>
      <c r="M156" s="262"/>
      <c r="N156" s="262"/>
      <c r="O156" s="262"/>
      <c r="P156" s="262"/>
      <c r="Q156" s="262"/>
      <c r="R156" s="262"/>
      <c r="S156" s="262"/>
      <c r="T156" s="262"/>
      <c r="U156" s="262"/>
      <c r="V156" s="262"/>
      <c r="W156" s="262"/>
      <c r="X156" s="262"/>
      <c r="Y156" s="262"/>
      <c r="Z156" s="262"/>
      <c r="AA156" s="262"/>
      <c r="AB156" s="262"/>
      <c r="AC156" s="262"/>
      <c r="AD156" s="262"/>
      <c r="AE156" s="262"/>
      <c r="AF156" s="262"/>
      <c r="AG156" s="262"/>
      <c r="AH156" s="262"/>
    </row>
    <row r="157" spans="1:34" ht="12.75" customHeight="1">
      <c r="A157" s="262"/>
      <c r="B157" s="262"/>
      <c r="C157" s="262"/>
      <c r="D157" s="262"/>
      <c r="E157" s="262"/>
      <c r="F157" s="262"/>
      <c r="G157" s="262"/>
      <c r="H157" s="262"/>
      <c r="I157" s="262"/>
      <c r="J157" s="262"/>
      <c r="K157" s="262"/>
      <c r="L157" s="262"/>
      <c r="M157" s="262"/>
      <c r="N157" s="262"/>
      <c r="O157" s="262"/>
      <c r="P157" s="262"/>
      <c r="Q157" s="262"/>
      <c r="R157" s="262"/>
      <c r="S157" s="262"/>
      <c r="T157" s="262"/>
      <c r="U157" s="262"/>
      <c r="V157" s="262"/>
      <c r="W157" s="262"/>
      <c r="X157" s="262"/>
      <c r="Y157" s="262"/>
      <c r="Z157" s="262"/>
      <c r="AA157" s="262"/>
      <c r="AB157" s="262"/>
      <c r="AC157" s="262"/>
      <c r="AD157" s="262"/>
      <c r="AE157" s="262"/>
      <c r="AF157" s="262"/>
      <c r="AG157" s="262"/>
      <c r="AH157" s="262"/>
    </row>
    <row r="158" spans="1:34" ht="12.75" customHeight="1">
      <c r="A158" s="262"/>
      <c r="B158" s="262"/>
      <c r="C158" s="262"/>
      <c r="D158" s="262"/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  <c r="O158" s="262"/>
      <c r="P158" s="262"/>
      <c r="Q158" s="262"/>
      <c r="R158" s="262"/>
      <c r="S158" s="262"/>
      <c r="T158" s="262"/>
      <c r="U158" s="262"/>
      <c r="V158" s="262"/>
      <c r="W158" s="262"/>
      <c r="X158" s="262"/>
      <c r="Y158" s="262"/>
      <c r="Z158" s="262"/>
      <c r="AA158" s="262"/>
      <c r="AB158" s="262"/>
      <c r="AC158" s="262"/>
      <c r="AD158" s="262"/>
      <c r="AE158" s="262"/>
      <c r="AF158" s="262"/>
      <c r="AG158" s="262"/>
      <c r="AH158" s="262"/>
    </row>
    <row r="159" spans="1:34" ht="12.75" customHeight="1">
      <c r="A159" s="262"/>
      <c r="B159" s="262"/>
      <c r="C159" s="262"/>
      <c r="D159" s="262"/>
      <c r="E159" s="262"/>
      <c r="F159" s="262"/>
      <c r="G159" s="262"/>
      <c r="H159" s="262"/>
      <c r="I159" s="262"/>
      <c r="J159" s="262"/>
      <c r="K159" s="262"/>
      <c r="L159" s="262"/>
      <c r="M159" s="262"/>
      <c r="N159" s="262"/>
      <c r="O159" s="262"/>
      <c r="P159" s="262"/>
      <c r="Q159" s="262"/>
      <c r="R159" s="262"/>
      <c r="S159" s="262"/>
      <c r="T159" s="262"/>
      <c r="U159" s="262"/>
      <c r="V159" s="262"/>
      <c r="W159" s="262"/>
      <c r="X159" s="262"/>
      <c r="Y159" s="262"/>
      <c r="Z159" s="262"/>
      <c r="AA159" s="262"/>
      <c r="AB159" s="262"/>
      <c r="AC159" s="262"/>
      <c r="AD159" s="262"/>
      <c r="AE159" s="262"/>
      <c r="AF159" s="262"/>
      <c r="AG159" s="262"/>
      <c r="AH159" s="262"/>
    </row>
    <row r="160" spans="1:34" ht="12.75" customHeight="1">
      <c r="A160" s="262"/>
      <c r="B160" s="262"/>
      <c r="C160" s="262"/>
      <c r="D160" s="262"/>
      <c r="E160" s="262"/>
      <c r="F160" s="262"/>
      <c r="G160" s="262"/>
      <c r="H160" s="262"/>
      <c r="I160" s="262"/>
      <c r="J160" s="262"/>
      <c r="K160" s="262"/>
      <c r="L160" s="262"/>
      <c r="M160" s="262"/>
      <c r="N160" s="262"/>
      <c r="O160" s="262"/>
      <c r="P160" s="262"/>
      <c r="Q160" s="262"/>
      <c r="R160" s="262"/>
      <c r="S160" s="262"/>
      <c r="T160" s="262"/>
      <c r="U160" s="262"/>
      <c r="V160" s="262"/>
      <c r="W160" s="262"/>
      <c r="X160" s="262"/>
      <c r="Y160" s="262"/>
      <c r="Z160" s="262"/>
      <c r="AA160" s="262"/>
      <c r="AB160" s="262"/>
      <c r="AC160" s="262"/>
      <c r="AD160" s="262"/>
      <c r="AE160" s="262"/>
      <c r="AF160" s="262"/>
      <c r="AG160" s="262"/>
      <c r="AH160" s="262"/>
    </row>
    <row r="161" spans="1:34" ht="12.75" customHeight="1">
      <c r="A161" s="262"/>
      <c r="B161" s="262"/>
      <c r="C161" s="262"/>
      <c r="D161" s="262"/>
      <c r="E161" s="262"/>
      <c r="F161" s="262"/>
      <c r="G161" s="262"/>
      <c r="H161" s="262"/>
      <c r="I161" s="262"/>
      <c r="J161" s="262"/>
      <c r="K161" s="262"/>
      <c r="L161" s="262"/>
      <c r="M161" s="262"/>
      <c r="N161" s="262"/>
      <c r="O161" s="262"/>
      <c r="P161" s="262"/>
      <c r="Q161" s="262"/>
      <c r="R161" s="262"/>
      <c r="S161" s="262"/>
      <c r="T161" s="262"/>
      <c r="U161" s="262"/>
      <c r="V161" s="262"/>
      <c r="W161" s="262"/>
      <c r="X161" s="262"/>
      <c r="Y161" s="262"/>
      <c r="Z161" s="262"/>
      <c r="AA161" s="262"/>
      <c r="AB161" s="262"/>
      <c r="AC161" s="262"/>
      <c r="AD161" s="262"/>
      <c r="AE161" s="262"/>
      <c r="AF161" s="262"/>
      <c r="AG161" s="262"/>
      <c r="AH161" s="262"/>
    </row>
    <row r="162" spans="1:34" ht="12.75" customHeight="1">
      <c r="A162" s="262"/>
      <c r="B162" s="262"/>
      <c r="C162" s="262"/>
      <c r="D162" s="262"/>
      <c r="E162" s="262"/>
      <c r="F162" s="262"/>
      <c r="G162" s="262"/>
      <c r="H162" s="262"/>
      <c r="I162" s="262"/>
      <c r="J162" s="262"/>
      <c r="K162" s="262"/>
      <c r="L162" s="262"/>
      <c r="M162" s="262"/>
      <c r="N162" s="262"/>
      <c r="O162" s="262"/>
      <c r="P162" s="262"/>
      <c r="Q162" s="262"/>
      <c r="R162" s="262"/>
      <c r="S162" s="262"/>
      <c r="T162" s="262"/>
      <c r="U162" s="262"/>
      <c r="V162" s="262"/>
      <c r="W162" s="262"/>
      <c r="X162" s="262"/>
      <c r="Y162" s="262"/>
      <c r="Z162" s="262"/>
      <c r="AA162" s="262"/>
      <c r="AB162" s="262"/>
      <c r="AC162" s="262"/>
      <c r="AD162" s="262"/>
      <c r="AE162" s="262"/>
      <c r="AF162" s="262"/>
      <c r="AG162" s="262"/>
      <c r="AH162" s="262"/>
    </row>
    <row r="163" spans="1:34" ht="12.75" customHeight="1">
      <c r="A163" s="262"/>
      <c r="B163" s="262"/>
      <c r="C163" s="262"/>
      <c r="D163" s="262"/>
      <c r="E163" s="262"/>
      <c r="F163" s="262"/>
      <c r="G163" s="262"/>
      <c r="H163" s="262"/>
      <c r="I163" s="262"/>
      <c r="J163" s="262"/>
      <c r="K163" s="262"/>
      <c r="L163" s="262"/>
      <c r="M163" s="262"/>
      <c r="N163" s="262"/>
      <c r="O163" s="262"/>
      <c r="P163" s="262"/>
      <c r="Q163" s="262"/>
      <c r="R163" s="262"/>
      <c r="S163" s="262"/>
      <c r="T163" s="262"/>
      <c r="U163" s="262"/>
      <c r="V163" s="262"/>
      <c r="W163" s="262"/>
      <c r="X163" s="262"/>
      <c r="Y163" s="262"/>
      <c r="Z163" s="262"/>
      <c r="AA163" s="262"/>
      <c r="AB163" s="262"/>
      <c r="AC163" s="262"/>
      <c r="AD163" s="262"/>
      <c r="AE163" s="262"/>
      <c r="AF163" s="262"/>
      <c r="AG163" s="262"/>
      <c r="AH163" s="262"/>
    </row>
    <row r="164" spans="1:34" ht="12.75" customHeight="1">
      <c r="A164" s="262"/>
      <c r="B164" s="262"/>
      <c r="C164" s="262"/>
      <c r="D164" s="262"/>
      <c r="E164" s="262"/>
      <c r="F164" s="262"/>
      <c r="G164" s="262"/>
      <c r="H164" s="262"/>
      <c r="I164" s="262"/>
      <c r="J164" s="262"/>
      <c r="K164" s="262"/>
      <c r="L164" s="262"/>
      <c r="M164" s="262"/>
      <c r="N164" s="262"/>
      <c r="O164" s="262"/>
      <c r="P164" s="262"/>
      <c r="Q164" s="262"/>
      <c r="R164" s="262"/>
      <c r="S164" s="262"/>
      <c r="T164" s="262"/>
      <c r="U164" s="262"/>
      <c r="V164" s="262"/>
      <c r="W164" s="262"/>
      <c r="X164" s="262"/>
      <c r="Y164" s="262"/>
      <c r="Z164" s="262"/>
      <c r="AA164" s="262"/>
      <c r="AB164" s="262"/>
      <c r="AC164" s="262"/>
      <c r="AD164" s="262"/>
      <c r="AE164" s="262"/>
      <c r="AF164" s="262"/>
      <c r="AG164" s="262"/>
      <c r="AH164" s="262"/>
    </row>
    <row r="165" spans="1:34" ht="12.75" customHeight="1">
      <c r="A165" s="262"/>
      <c r="B165" s="262"/>
      <c r="C165" s="262"/>
      <c r="D165" s="262"/>
      <c r="E165" s="262"/>
      <c r="F165" s="262"/>
      <c r="G165" s="262"/>
      <c r="H165" s="262"/>
      <c r="I165" s="262"/>
      <c r="J165" s="262"/>
      <c r="K165" s="262"/>
      <c r="L165" s="262"/>
      <c r="M165" s="262"/>
      <c r="N165" s="262"/>
      <c r="O165" s="262"/>
      <c r="P165" s="262"/>
      <c r="Q165" s="262"/>
      <c r="R165" s="262"/>
      <c r="S165" s="262"/>
      <c r="T165" s="262"/>
      <c r="U165" s="262"/>
      <c r="V165" s="262"/>
      <c r="W165" s="262"/>
      <c r="X165" s="262"/>
      <c r="Y165" s="262"/>
      <c r="Z165" s="262"/>
      <c r="AA165" s="262"/>
      <c r="AB165" s="262"/>
      <c r="AC165" s="262"/>
      <c r="AD165" s="262"/>
      <c r="AE165" s="262"/>
      <c r="AF165" s="262"/>
      <c r="AG165" s="262"/>
      <c r="AH165" s="262"/>
    </row>
    <row r="166" spans="1:34" ht="12.75" customHeight="1">
      <c r="A166" s="262"/>
      <c r="B166" s="262"/>
      <c r="C166" s="262"/>
      <c r="D166" s="262"/>
      <c r="E166" s="262"/>
      <c r="F166" s="262"/>
      <c r="G166" s="262"/>
      <c r="H166" s="262"/>
      <c r="I166" s="262"/>
      <c r="J166" s="262"/>
      <c r="K166" s="262"/>
      <c r="L166" s="262"/>
      <c r="M166" s="262"/>
      <c r="N166" s="262"/>
      <c r="O166" s="262"/>
      <c r="P166" s="262"/>
      <c r="Q166" s="262"/>
      <c r="R166" s="262"/>
      <c r="S166" s="262"/>
      <c r="T166" s="262"/>
      <c r="U166" s="262"/>
      <c r="V166" s="262"/>
      <c r="W166" s="262"/>
      <c r="X166" s="262"/>
      <c r="Y166" s="262"/>
      <c r="Z166" s="262"/>
      <c r="AA166" s="262"/>
      <c r="AB166" s="262"/>
      <c r="AC166" s="262"/>
      <c r="AD166" s="262"/>
      <c r="AE166" s="262"/>
      <c r="AF166" s="262"/>
      <c r="AG166" s="262"/>
      <c r="AH166" s="262"/>
    </row>
    <row r="167" spans="1:34" ht="12.75" customHeight="1">
      <c r="A167" s="262"/>
      <c r="B167" s="262"/>
      <c r="C167" s="262"/>
      <c r="D167" s="262"/>
      <c r="E167" s="262"/>
      <c r="F167" s="262"/>
      <c r="G167" s="262"/>
      <c r="H167" s="262"/>
      <c r="I167" s="262"/>
      <c r="J167" s="262"/>
      <c r="K167" s="262"/>
      <c r="L167" s="262"/>
      <c r="M167" s="262"/>
      <c r="N167" s="262"/>
      <c r="O167" s="262"/>
      <c r="P167" s="262"/>
      <c r="Q167" s="262"/>
      <c r="R167" s="262"/>
      <c r="S167" s="262"/>
      <c r="T167" s="262"/>
      <c r="U167" s="262"/>
      <c r="V167" s="262"/>
      <c r="W167" s="262"/>
      <c r="X167" s="262"/>
      <c r="Y167" s="262"/>
      <c r="Z167" s="262"/>
      <c r="AA167" s="262"/>
      <c r="AB167" s="262"/>
      <c r="AC167" s="262"/>
      <c r="AD167" s="262"/>
      <c r="AE167" s="262"/>
      <c r="AF167" s="262"/>
      <c r="AG167" s="262"/>
      <c r="AH167" s="262"/>
    </row>
    <row r="168" spans="1:34" ht="12.75" customHeight="1">
      <c r="A168" s="262"/>
      <c r="B168" s="262"/>
      <c r="C168" s="262"/>
      <c r="D168" s="262"/>
      <c r="E168" s="262"/>
      <c r="F168" s="262"/>
      <c r="G168" s="262"/>
      <c r="H168" s="262"/>
      <c r="I168" s="262"/>
      <c r="J168" s="262"/>
      <c r="K168" s="262"/>
      <c r="L168" s="262"/>
      <c r="M168" s="262"/>
      <c r="N168" s="262"/>
      <c r="O168" s="262"/>
      <c r="P168" s="262"/>
      <c r="Q168" s="262"/>
      <c r="R168" s="262"/>
      <c r="S168" s="262"/>
      <c r="T168" s="262"/>
      <c r="U168" s="262"/>
      <c r="V168" s="262"/>
      <c r="W168" s="262"/>
      <c r="X168" s="262"/>
      <c r="Y168" s="262"/>
      <c r="Z168" s="262"/>
      <c r="AA168" s="262"/>
      <c r="AB168" s="262"/>
      <c r="AC168" s="262"/>
      <c r="AD168" s="262"/>
      <c r="AE168" s="262"/>
      <c r="AF168" s="262"/>
      <c r="AG168" s="262"/>
      <c r="AH168" s="262"/>
    </row>
    <row r="169" spans="1:34" ht="12.75" customHeight="1">
      <c r="A169" s="262"/>
      <c r="B169" s="262"/>
      <c r="C169" s="262"/>
      <c r="D169" s="262"/>
      <c r="E169" s="262"/>
      <c r="F169" s="262"/>
      <c r="G169" s="262"/>
      <c r="H169" s="262"/>
      <c r="I169" s="262"/>
      <c r="J169" s="262"/>
      <c r="K169" s="262"/>
      <c r="L169" s="262"/>
      <c r="M169" s="262"/>
      <c r="N169" s="262"/>
      <c r="O169" s="262"/>
      <c r="P169" s="262"/>
      <c r="Q169" s="262"/>
      <c r="R169" s="262"/>
      <c r="S169" s="262"/>
      <c r="T169" s="262"/>
      <c r="U169" s="262"/>
      <c r="V169" s="262"/>
      <c r="W169" s="262"/>
      <c r="X169" s="262"/>
      <c r="Y169" s="262"/>
      <c r="Z169" s="262"/>
      <c r="AA169" s="262"/>
      <c r="AB169" s="262"/>
      <c r="AC169" s="262"/>
      <c r="AD169" s="262"/>
      <c r="AE169" s="262"/>
      <c r="AF169" s="262"/>
      <c r="AG169" s="262"/>
      <c r="AH169" s="262"/>
    </row>
    <row r="170" spans="1:34" ht="12.75" customHeight="1">
      <c r="A170" s="262"/>
      <c r="B170" s="262"/>
      <c r="C170" s="262"/>
      <c r="D170" s="262"/>
      <c r="E170" s="262"/>
      <c r="F170" s="262"/>
      <c r="G170" s="262"/>
      <c r="H170" s="262"/>
      <c r="I170" s="262"/>
      <c r="J170" s="262"/>
      <c r="K170" s="262"/>
      <c r="L170" s="262"/>
      <c r="M170" s="262"/>
      <c r="N170" s="262"/>
      <c r="O170" s="262"/>
      <c r="P170" s="262"/>
      <c r="Q170" s="262"/>
      <c r="R170" s="262"/>
      <c r="S170" s="262"/>
      <c r="T170" s="262"/>
      <c r="U170" s="262"/>
      <c r="V170" s="262"/>
      <c r="W170" s="262"/>
      <c r="X170" s="262"/>
      <c r="Y170" s="262"/>
      <c r="Z170" s="262"/>
      <c r="AA170" s="262"/>
      <c r="AB170" s="262"/>
      <c r="AC170" s="262"/>
      <c r="AD170" s="262"/>
      <c r="AE170" s="262"/>
      <c r="AF170" s="262"/>
      <c r="AG170" s="262"/>
      <c r="AH170" s="262"/>
    </row>
    <row r="171" spans="1:34" ht="12.75" customHeight="1">
      <c r="A171" s="262"/>
      <c r="B171" s="262"/>
      <c r="C171" s="262"/>
      <c r="D171" s="262"/>
      <c r="E171" s="262"/>
      <c r="F171" s="262"/>
      <c r="G171" s="262"/>
      <c r="H171" s="262"/>
      <c r="I171" s="262"/>
      <c r="J171" s="262"/>
      <c r="K171" s="262"/>
      <c r="L171" s="262"/>
      <c r="M171" s="262"/>
      <c r="N171" s="262"/>
      <c r="O171" s="262"/>
      <c r="P171" s="262"/>
      <c r="Q171" s="262"/>
      <c r="R171" s="262"/>
      <c r="S171" s="262"/>
      <c r="T171" s="262"/>
      <c r="U171" s="262"/>
      <c r="V171" s="262"/>
      <c r="W171" s="262"/>
      <c r="X171" s="262"/>
      <c r="Y171" s="262"/>
      <c r="Z171" s="262"/>
      <c r="AA171" s="262"/>
      <c r="AB171" s="262"/>
      <c r="AC171" s="262"/>
      <c r="AD171" s="262"/>
      <c r="AE171" s="262"/>
      <c r="AF171" s="262"/>
      <c r="AG171" s="262"/>
      <c r="AH171" s="262"/>
    </row>
    <row r="172" spans="1:34" ht="12.75" customHeight="1">
      <c r="A172" s="262"/>
      <c r="B172" s="262"/>
      <c r="C172" s="262"/>
      <c r="D172" s="262"/>
      <c r="E172" s="262"/>
      <c r="F172" s="262"/>
      <c r="G172" s="262"/>
      <c r="H172" s="262"/>
      <c r="I172" s="262"/>
      <c r="J172" s="262"/>
      <c r="K172" s="262"/>
      <c r="L172" s="262"/>
      <c r="M172" s="262"/>
      <c r="N172" s="262"/>
      <c r="O172" s="262"/>
      <c r="P172" s="262"/>
      <c r="Q172" s="262"/>
      <c r="R172" s="262"/>
      <c r="S172" s="262"/>
      <c r="T172" s="262"/>
      <c r="U172" s="262"/>
      <c r="V172" s="262"/>
      <c r="W172" s="262"/>
      <c r="X172" s="262"/>
      <c r="Y172" s="262"/>
      <c r="Z172" s="262"/>
      <c r="AA172" s="262"/>
      <c r="AB172" s="262"/>
      <c r="AC172" s="262"/>
      <c r="AD172" s="262"/>
      <c r="AE172" s="262"/>
      <c r="AF172" s="262"/>
      <c r="AG172" s="262"/>
      <c r="AH172" s="262"/>
    </row>
    <row r="173" spans="1:34" ht="12.75" customHeight="1">
      <c r="A173" s="262"/>
      <c r="B173" s="262"/>
      <c r="C173" s="262"/>
      <c r="D173" s="262"/>
      <c r="E173" s="262"/>
      <c r="F173" s="262"/>
      <c r="G173" s="262"/>
      <c r="H173" s="262"/>
      <c r="I173" s="262"/>
      <c r="J173" s="262"/>
      <c r="K173" s="262"/>
      <c r="L173" s="262"/>
      <c r="M173" s="262"/>
      <c r="N173" s="262"/>
      <c r="O173" s="262"/>
      <c r="P173" s="262"/>
      <c r="Q173" s="262"/>
      <c r="R173" s="262"/>
      <c r="S173" s="262"/>
      <c r="T173" s="262"/>
      <c r="U173" s="262"/>
      <c r="V173" s="262"/>
      <c r="W173" s="262"/>
      <c r="X173" s="262"/>
      <c r="Y173" s="262"/>
      <c r="Z173" s="262"/>
      <c r="AA173" s="262"/>
      <c r="AB173" s="262"/>
      <c r="AC173" s="262"/>
      <c r="AD173" s="262"/>
      <c r="AE173" s="262"/>
      <c r="AF173" s="262"/>
      <c r="AG173" s="262"/>
      <c r="AH173" s="262"/>
    </row>
    <row r="174" spans="1:34" ht="12.75" customHeight="1">
      <c r="A174" s="262"/>
      <c r="B174" s="262"/>
      <c r="C174" s="262"/>
      <c r="D174" s="262"/>
      <c r="E174" s="262"/>
      <c r="F174" s="262"/>
      <c r="G174" s="262"/>
      <c r="H174" s="262"/>
      <c r="I174" s="262"/>
      <c r="J174" s="262"/>
      <c r="K174" s="262"/>
      <c r="L174" s="262"/>
      <c r="M174" s="262"/>
      <c r="N174" s="262"/>
      <c r="O174" s="262"/>
      <c r="P174" s="262"/>
      <c r="Q174" s="262"/>
      <c r="R174" s="262"/>
      <c r="S174" s="262"/>
      <c r="T174" s="262"/>
      <c r="U174" s="262"/>
      <c r="V174" s="262"/>
      <c r="W174" s="262"/>
      <c r="X174" s="262"/>
      <c r="Y174" s="262"/>
      <c r="Z174" s="262"/>
      <c r="AA174" s="262"/>
      <c r="AB174" s="262"/>
      <c r="AC174" s="262"/>
      <c r="AD174" s="262"/>
      <c r="AE174" s="262"/>
      <c r="AF174" s="262"/>
      <c r="AG174" s="262"/>
      <c r="AH174" s="262"/>
    </row>
    <row r="175" spans="1:34" ht="12.75" customHeight="1">
      <c r="A175" s="262"/>
      <c r="B175" s="262"/>
      <c r="C175" s="262"/>
      <c r="D175" s="262"/>
      <c r="E175" s="262"/>
      <c r="F175" s="262"/>
      <c r="G175" s="262"/>
      <c r="H175" s="262"/>
      <c r="I175" s="262"/>
      <c r="J175" s="262"/>
      <c r="K175" s="262"/>
      <c r="L175" s="262"/>
      <c r="M175" s="262"/>
      <c r="N175" s="262"/>
      <c r="O175" s="262"/>
      <c r="P175" s="262"/>
      <c r="Q175" s="262"/>
      <c r="R175" s="262"/>
      <c r="S175" s="262"/>
      <c r="T175" s="262"/>
      <c r="U175" s="262"/>
      <c r="V175" s="262"/>
      <c r="W175" s="262"/>
      <c r="X175" s="262"/>
      <c r="Y175" s="262"/>
      <c r="Z175" s="262"/>
      <c r="AA175" s="262"/>
      <c r="AB175" s="262"/>
      <c r="AC175" s="262"/>
      <c r="AD175" s="262"/>
      <c r="AE175" s="262"/>
      <c r="AF175" s="262"/>
      <c r="AG175" s="262"/>
      <c r="AH175" s="262"/>
    </row>
  </sheetData>
  <mergeCells count="7">
    <mergeCell ref="C1:O1"/>
    <mergeCell ref="A115:A116"/>
    <mergeCell ref="C115:L115"/>
    <mergeCell ref="A114:L114"/>
    <mergeCell ref="A6:O6"/>
    <mergeCell ref="A42:O42"/>
    <mergeCell ref="A78:O78"/>
  </mergeCells>
  <phoneticPr fontId="77" type="noConversion"/>
  <printOptions horizontalCentered="1" verticalCentered="1"/>
  <pageMargins left="0.55118110236220474" right="0.47244094488188981" top="0.74803149606299213" bottom="0.74803149606299213" header="0" footer="0"/>
  <pageSetup paperSize="9" scale="80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0"/>
  <dimension ref="A1:N97"/>
  <sheetViews>
    <sheetView workbookViewId="0">
      <selection activeCell="E6" sqref="E6"/>
    </sheetView>
  </sheetViews>
  <sheetFormatPr defaultColWidth="14.453125" defaultRowHeight="15" customHeight="1"/>
  <cols>
    <col min="1" max="1" width="45.1796875" style="530" customWidth="1"/>
    <col min="2" max="13" width="10.81640625" style="530" customWidth="1"/>
    <col min="14" max="14" width="11.7265625" style="530" customWidth="1"/>
    <col min="15" max="16384" width="14.453125" style="530"/>
  </cols>
  <sheetData>
    <row r="1" spans="1:14" ht="12.75" customHeight="1"/>
    <row r="2" spans="1:14" ht="47.5" customHeight="1">
      <c r="A2" s="531" t="str">
        <f>'выручка номеров'!A9</f>
        <v>Гостиничный комплекс 4* "У Бювета"</v>
      </c>
    </row>
    <row r="3" spans="1:14" ht="12.75" customHeight="1">
      <c r="A3" s="231"/>
      <c r="B3" s="231" t="s">
        <v>471</v>
      </c>
      <c r="C3" s="231" t="s">
        <v>472</v>
      </c>
    </row>
    <row r="4" spans="1:14" ht="29.25" customHeight="1">
      <c r="A4" s="235" t="s">
        <v>473</v>
      </c>
      <c r="B4" s="235">
        <v>1000</v>
      </c>
      <c r="C4" s="532">
        <f>B4/120*100</f>
        <v>833.33333333333337</v>
      </c>
    </row>
    <row r="5" spans="1:14" ht="12.75" customHeight="1">
      <c r="A5" s="231" t="s">
        <v>474</v>
      </c>
      <c r="B5" s="163">
        <f>100%</f>
        <v>1</v>
      </c>
      <c r="C5" s="532"/>
    </row>
    <row r="6" spans="1:14" ht="12.75" customHeight="1">
      <c r="A6" s="235" t="s">
        <v>475</v>
      </c>
      <c r="B6" s="235">
        <v>1200</v>
      </c>
      <c r="C6" s="532">
        <f>B6/120*100</f>
        <v>1000</v>
      </c>
    </row>
    <row r="7" spans="1:14" ht="12.75" customHeight="1">
      <c r="A7" s="231" t="s">
        <v>476</v>
      </c>
      <c r="B7" s="163">
        <v>1</v>
      </c>
      <c r="C7" s="532"/>
    </row>
    <row r="8" spans="1:14" ht="12.75" customHeight="1">
      <c r="A8" s="3"/>
      <c r="C8" s="233"/>
    </row>
    <row r="9" spans="1:14" ht="12.75" customHeight="1">
      <c r="A9" s="3"/>
      <c r="C9" s="233"/>
    </row>
    <row r="10" spans="1:14" ht="12.75" customHeight="1">
      <c r="A10" s="845" t="s">
        <v>477</v>
      </c>
      <c r="B10" s="859"/>
      <c r="C10" s="859"/>
      <c r="D10" s="859"/>
      <c r="E10" s="859"/>
      <c r="F10" s="859"/>
      <c r="G10" s="859"/>
      <c r="H10" s="859"/>
      <c r="I10" s="859"/>
      <c r="J10" s="859"/>
      <c r="K10" s="859"/>
      <c r="L10" s="859"/>
      <c r="M10" s="859"/>
      <c r="N10" s="860"/>
    </row>
    <row r="11" spans="1:14" ht="12.75" customHeight="1">
      <c r="A11" s="268"/>
      <c r="B11" s="263" t="s">
        <v>443</v>
      </c>
      <c r="C11" s="263" t="s">
        <v>444</v>
      </c>
      <c r="D11" s="263" t="s">
        <v>445</v>
      </c>
      <c r="E11" s="263" t="s">
        <v>446</v>
      </c>
      <c r="F11" s="263" t="s">
        <v>447</v>
      </c>
      <c r="G11" s="263" t="s">
        <v>448</v>
      </c>
      <c r="H11" s="263" t="s">
        <v>449</v>
      </c>
      <c r="I11" s="263" t="s">
        <v>450</v>
      </c>
      <c r="J11" s="263" t="s">
        <v>451</v>
      </c>
      <c r="K11" s="263" t="s">
        <v>452</v>
      </c>
      <c r="L11" s="263" t="s">
        <v>453</v>
      </c>
      <c r="M11" s="263" t="s">
        <v>454</v>
      </c>
      <c r="N11" s="263" t="s">
        <v>383</v>
      </c>
    </row>
    <row r="12" spans="1:14" ht="12.75" customHeight="1">
      <c r="A12" s="289" t="s">
        <v>455</v>
      </c>
      <c r="B12" s="243">
        <v>31</v>
      </c>
      <c r="C12" s="243">
        <v>28</v>
      </c>
      <c r="D12" s="243">
        <v>31</v>
      </c>
      <c r="E12" s="243">
        <v>30</v>
      </c>
      <c r="F12" s="243">
        <v>31</v>
      </c>
      <c r="G12" s="243">
        <v>30</v>
      </c>
      <c r="H12" s="243">
        <v>31</v>
      </c>
      <c r="I12" s="243">
        <v>31</v>
      </c>
      <c r="J12" s="243">
        <v>30</v>
      </c>
      <c r="K12" s="243">
        <v>31</v>
      </c>
      <c r="L12" s="243">
        <v>30</v>
      </c>
      <c r="M12" s="243">
        <v>31</v>
      </c>
      <c r="N12" s="253">
        <f t="shared" ref="N12:N13" si="0">SUM(B12:M12)</f>
        <v>365</v>
      </c>
    </row>
    <row r="13" spans="1:14" ht="12.75" customHeight="1">
      <c r="A13" s="289" t="s">
        <v>456</v>
      </c>
      <c r="B13" s="243">
        <f>B12*ADR!$B$26</f>
        <v>3720</v>
      </c>
      <c r="C13" s="243">
        <f>C12*ADR!$B$26</f>
        <v>3360</v>
      </c>
      <c r="D13" s="243">
        <f>D12*ADR!$B$26</f>
        <v>3720</v>
      </c>
      <c r="E13" s="243">
        <f>E12*ADR!$B$26</f>
        <v>3600</v>
      </c>
      <c r="F13" s="243">
        <f>F12*ADR!$B$26</f>
        <v>3720</v>
      </c>
      <c r="G13" s="243">
        <f>G12*ADR!$B$26</f>
        <v>3600</v>
      </c>
      <c r="H13" s="243">
        <f>H12*ADR!$B$26</f>
        <v>3720</v>
      </c>
      <c r="I13" s="243">
        <f>I12*ADR!$B$26</f>
        <v>3720</v>
      </c>
      <c r="J13" s="243">
        <f>J12*ADR!$B$26</f>
        <v>3600</v>
      </c>
      <c r="K13" s="243">
        <f>K12*ADR!$B$26</f>
        <v>3720</v>
      </c>
      <c r="L13" s="243">
        <f>L12*ADR!$B$26</f>
        <v>3600</v>
      </c>
      <c r="M13" s="243">
        <f>M12*ADR!$B$26</f>
        <v>3720</v>
      </c>
      <c r="N13" s="253">
        <f t="shared" si="0"/>
        <v>43800</v>
      </c>
    </row>
    <row r="14" spans="1:14" ht="12.75" customHeight="1">
      <c r="A14" s="479" t="s">
        <v>478</v>
      </c>
      <c r="B14" s="271">
        <f>'выручка номеров'!C12</f>
        <v>0.75</v>
      </c>
      <c r="C14" s="271">
        <f>'выручка номеров'!D12</f>
        <v>0.55000000000000004</v>
      </c>
      <c r="D14" s="271">
        <f>'выручка номеров'!E12</f>
        <v>0.55000000000000004</v>
      </c>
      <c r="E14" s="271">
        <f>'выручка номеров'!F12</f>
        <v>0.55000000000000004</v>
      </c>
      <c r="F14" s="271">
        <f>'выручка номеров'!G12</f>
        <v>0.75</v>
      </c>
      <c r="G14" s="271">
        <f>'выручка номеров'!H12</f>
        <v>0.85</v>
      </c>
      <c r="H14" s="271">
        <f>'выручка номеров'!I12</f>
        <v>0.85</v>
      </c>
      <c r="I14" s="271">
        <f>'выручка номеров'!J12</f>
        <v>0.8</v>
      </c>
      <c r="J14" s="271">
        <f>'выручка номеров'!K12</f>
        <v>0.65</v>
      </c>
      <c r="K14" s="271">
        <f>'выручка номеров'!L12</f>
        <v>0.55000000000000004</v>
      </c>
      <c r="L14" s="271">
        <f>'выручка номеров'!M12</f>
        <v>0.5</v>
      </c>
      <c r="M14" s="271">
        <f>'выручка номеров'!N12</f>
        <v>0.65</v>
      </c>
      <c r="N14" s="271">
        <f t="shared" ref="N14" si="1">AVERAGE(B14:M14)</f>
        <v>0.66666666666666663</v>
      </c>
    </row>
    <row r="15" spans="1:14" ht="12.75" customHeight="1">
      <c r="A15" s="289" t="s">
        <v>457</v>
      </c>
      <c r="B15" s="243">
        <f t="shared" ref="B15:M15" si="2">B14*B13</f>
        <v>2790</v>
      </c>
      <c r="C15" s="243">
        <f t="shared" si="2"/>
        <v>1848.0000000000002</v>
      </c>
      <c r="D15" s="243">
        <f t="shared" si="2"/>
        <v>2046.0000000000002</v>
      </c>
      <c r="E15" s="243">
        <f t="shared" si="2"/>
        <v>1980.0000000000002</v>
      </c>
      <c r="F15" s="243">
        <f t="shared" si="2"/>
        <v>2790</v>
      </c>
      <c r="G15" s="243">
        <f t="shared" si="2"/>
        <v>3060</v>
      </c>
      <c r="H15" s="243">
        <f t="shared" si="2"/>
        <v>3162</v>
      </c>
      <c r="I15" s="243">
        <f t="shared" si="2"/>
        <v>2976</v>
      </c>
      <c r="J15" s="243">
        <f t="shared" si="2"/>
        <v>2340</v>
      </c>
      <c r="K15" s="243">
        <f t="shared" si="2"/>
        <v>2046.0000000000002</v>
      </c>
      <c r="L15" s="243">
        <f t="shared" si="2"/>
        <v>1800</v>
      </c>
      <c r="M15" s="243">
        <f t="shared" si="2"/>
        <v>2418</v>
      </c>
      <c r="N15" s="253">
        <f t="shared" ref="N15" si="3">SUM(B15:M15)</f>
        <v>29256</v>
      </c>
    </row>
    <row r="16" spans="1:14" ht="12.75" customHeight="1">
      <c r="A16" s="289" t="s">
        <v>480</v>
      </c>
      <c r="B16" s="243">
        <f t="shared" ref="B16:M16" si="4">$C$4</f>
        <v>833.33333333333337</v>
      </c>
      <c r="C16" s="243">
        <f t="shared" si="4"/>
        <v>833.33333333333337</v>
      </c>
      <c r="D16" s="243">
        <f t="shared" si="4"/>
        <v>833.33333333333337</v>
      </c>
      <c r="E16" s="243">
        <f t="shared" si="4"/>
        <v>833.33333333333337</v>
      </c>
      <c r="F16" s="243">
        <f t="shared" si="4"/>
        <v>833.33333333333337</v>
      </c>
      <c r="G16" s="243">
        <f t="shared" si="4"/>
        <v>833.33333333333337</v>
      </c>
      <c r="H16" s="243">
        <f t="shared" si="4"/>
        <v>833.33333333333337</v>
      </c>
      <c r="I16" s="243">
        <f t="shared" si="4"/>
        <v>833.33333333333337</v>
      </c>
      <c r="J16" s="243">
        <f t="shared" si="4"/>
        <v>833.33333333333337</v>
      </c>
      <c r="K16" s="243">
        <f t="shared" si="4"/>
        <v>833.33333333333337</v>
      </c>
      <c r="L16" s="243">
        <f t="shared" si="4"/>
        <v>833.33333333333337</v>
      </c>
      <c r="M16" s="243">
        <f t="shared" si="4"/>
        <v>833.33333333333337</v>
      </c>
      <c r="N16" s="253">
        <f t="shared" ref="N16:N17" si="5">AVERAGE(B16:M16)</f>
        <v>833.33333333333337</v>
      </c>
    </row>
    <row r="17" spans="1:14" ht="12.75" customHeight="1">
      <c r="A17" s="289" t="s">
        <v>481</v>
      </c>
      <c r="B17" s="243">
        <f t="shared" ref="B17:M17" si="6">$C$6</f>
        <v>1000</v>
      </c>
      <c r="C17" s="243">
        <f t="shared" si="6"/>
        <v>1000</v>
      </c>
      <c r="D17" s="243">
        <f t="shared" si="6"/>
        <v>1000</v>
      </c>
      <c r="E17" s="243">
        <f t="shared" si="6"/>
        <v>1000</v>
      </c>
      <c r="F17" s="243">
        <f t="shared" si="6"/>
        <v>1000</v>
      </c>
      <c r="G17" s="243">
        <f t="shared" si="6"/>
        <v>1000</v>
      </c>
      <c r="H17" s="243">
        <f t="shared" si="6"/>
        <v>1000</v>
      </c>
      <c r="I17" s="243">
        <f t="shared" si="6"/>
        <v>1000</v>
      </c>
      <c r="J17" s="243">
        <f t="shared" si="6"/>
        <v>1000</v>
      </c>
      <c r="K17" s="243">
        <f t="shared" si="6"/>
        <v>1000</v>
      </c>
      <c r="L17" s="243">
        <f t="shared" si="6"/>
        <v>1000</v>
      </c>
      <c r="M17" s="243">
        <f t="shared" si="6"/>
        <v>1000</v>
      </c>
      <c r="N17" s="253">
        <f t="shared" si="5"/>
        <v>1000</v>
      </c>
    </row>
    <row r="18" spans="1:14" ht="12.75" customHeight="1">
      <c r="A18" s="479" t="s">
        <v>474</v>
      </c>
      <c r="B18" s="291">
        <f t="shared" ref="B18:M18" si="7">$B$5</f>
        <v>1</v>
      </c>
      <c r="C18" s="291">
        <f t="shared" si="7"/>
        <v>1</v>
      </c>
      <c r="D18" s="291">
        <f t="shared" si="7"/>
        <v>1</v>
      </c>
      <c r="E18" s="291">
        <f t="shared" si="7"/>
        <v>1</v>
      </c>
      <c r="F18" s="291">
        <f t="shared" si="7"/>
        <v>1</v>
      </c>
      <c r="G18" s="291">
        <f t="shared" si="7"/>
        <v>1</v>
      </c>
      <c r="H18" s="291">
        <f t="shared" si="7"/>
        <v>1</v>
      </c>
      <c r="I18" s="291">
        <f t="shared" si="7"/>
        <v>1</v>
      </c>
      <c r="J18" s="291">
        <f t="shared" si="7"/>
        <v>1</v>
      </c>
      <c r="K18" s="291">
        <f t="shared" si="7"/>
        <v>1</v>
      </c>
      <c r="L18" s="291">
        <f t="shared" si="7"/>
        <v>1</v>
      </c>
      <c r="M18" s="291">
        <f t="shared" si="7"/>
        <v>1</v>
      </c>
      <c r="N18" s="274">
        <f t="shared" ref="N18:N22" si="8">AVERAGE(B18:M18)</f>
        <v>1</v>
      </c>
    </row>
    <row r="19" spans="1:14" ht="12.75" customHeight="1">
      <c r="A19" s="479" t="s">
        <v>476</v>
      </c>
      <c r="B19" s="291">
        <f>$B$7</f>
        <v>1</v>
      </c>
      <c r="C19" s="291">
        <f t="shared" ref="C19:M19" si="9">$B$7</f>
        <v>1</v>
      </c>
      <c r="D19" s="291">
        <f t="shared" si="9"/>
        <v>1</v>
      </c>
      <c r="E19" s="291">
        <f t="shared" si="9"/>
        <v>1</v>
      </c>
      <c r="F19" s="291">
        <f t="shared" si="9"/>
        <v>1</v>
      </c>
      <c r="G19" s="291">
        <f t="shared" si="9"/>
        <v>1</v>
      </c>
      <c r="H19" s="291">
        <f t="shared" si="9"/>
        <v>1</v>
      </c>
      <c r="I19" s="291">
        <f t="shared" si="9"/>
        <v>1</v>
      </c>
      <c r="J19" s="291">
        <f t="shared" si="9"/>
        <v>1</v>
      </c>
      <c r="K19" s="291">
        <f t="shared" si="9"/>
        <v>1</v>
      </c>
      <c r="L19" s="291">
        <f t="shared" si="9"/>
        <v>1</v>
      </c>
      <c r="M19" s="291">
        <f t="shared" si="9"/>
        <v>1</v>
      </c>
      <c r="N19" s="274">
        <f t="shared" si="8"/>
        <v>1</v>
      </c>
    </row>
    <row r="20" spans="1:14" ht="12.75" customHeight="1">
      <c r="A20" s="479" t="s">
        <v>723</v>
      </c>
      <c r="B20" s="292">
        <f>'скидки для типов гостей'!$B$11</f>
        <v>1.8059999999999998</v>
      </c>
      <c r="C20" s="292">
        <f>'скидки для типов гостей'!$B$11</f>
        <v>1.8059999999999998</v>
      </c>
      <c r="D20" s="292">
        <f>'скидки для типов гостей'!$B$11</f>
        <v>1.8059999999999998</v>
      </c>
      <c r="E20" s="292">
        <f>'скидки для типов гостей'!$B$11</f>
        <v>1.8059999999999998</v>
      </c>
      <c r="F20" s="292">
        <f>'скидки для типов гостей'!$B$11</f>
        <v>1.8059999999999998</v>
      </c>
      <c r="G20" s="292">
        <f>'скидки для типов гостей'!$B$11</f>
        <v>1.8059999999999998</v>
      </c>
      <c r="H20" s="292">
        <f>'скидки для типов гостей'!$B$11</f>
        <v>1.8059999999999998</v>
      </c>
      <c r="I20" s="292">
        <f>'скидки для типов гостей'!$B$11</f>
        <v>1.8059999999999998</v>
      </c>
      <c r="J20" s="292">
        <f>'скидки для типов гостей'!$B$11</f>
        <v>1.8059999999999998</v>
      </c>
      <c r="K20" s="292">
        <f>'скидки для типов гостей'!$B$11</f>
        <v>1.8059999999999998</v>
      </c>
      <c r="L20" s="292">
        <f>'скидки для типов гостей'!$B$11</f>
        <v>1.8059999999999998</v>
      </c>
      <c r="M20" s="292">
        <f>'скидки для типов гостей'!$B$11</f>
        <v>1.8059999999999998</v>
      </c>
      <c r="N20" s="292">
        <f t="shared" si="8"/>
        <v>1.806</v>
      </c>
    </row>
    <row r="21" spans="1:14" ht="12.75" customHeight="1">
      <c r="A21" s="480" t="s">
        <v>482</v>
      </c>
      <c r="B21" s="293">
        <f t="shared" ref="B21:M21" si="10">B16*B18*B$20</f>
        <v>1505</v>
      </c>
      <c r="C21" s="293">
        <f t="shared" si="10"/>
        <v>1505</v>
      </c>
      <c r="D21" s="293">
        <f t="shared" si="10"/>
        <v>1505</v>
      </c>
      <c r="E21" s="293">
        <f t="shared" si="10"/>
        <v>1505</v>
      </c>
      <c r="F21" s="293">
        <f t="shared" si="10"/>
        <v>1505</v>
      </c>
      <c r="G21" s="293">
        <f t="shared" si="10"/>
        <v>1505</v>
      </c>
      <c r="H21" s="293">
        <f t="shared" si="10"/>
        <v>1505</v>
      </c>
      <c r="I21" s="293">
        <f t="shared" si="10"/>
        <v>1505</v>
      </c>
      <c r="J21" s="293">
        <f t="shared" si="10"/>
        <v>1505</v>
      </c>
      <c r="K21" s="293">
        <f t="shared" si="10"/>
        <v>1505</v>
      </c>
      <c r="L21" s="293">
        <f t="shared" si="10"/>
        <v>1505</v>
      </c>
      <c r="M21" s="293">
        <f t="shared" si="10"/>
        <v>1505</v>
      </c>
      <c r="N21" s="293">
        <f t="shared" si="8"/>
        <v>1505</v>
      </c>
    </row>
    <row r="22" spans="1:14" ht="12.75" customHeight="1">
      <c r="A22" s="480" t="s">
        <v>483</v>
      </c>
      <c r="B22" s="293">
        <f t="shared" ref="B22:M22" si="11">B17*B19*B$20</f>
        <v>1805.9999999999998</v>
      </c>
      <c r="C22" s="293">
        <f t="shared" si="11"/>
        <v>1805.9999999999998</v>
      </c>
      <c r="D22" s="293">
        <f t="shared" si="11"/>
        <v>1805.9999999999998</v>
      </c>
      <c r="E22" s="293">
        <f t="shared" si="11"/>
        <v>1805.9999999999998</v>
      </c>
      <c r="F22" s="293">
        <f t="shared" si="11"/>
        <v>1805.9999999999998</v>
      </c>
      <c r="G22" s="293">
        <f t="shared" si="11"/>
        <v>1805.9999999999998</v>
      </c>
      <c r="H22" s="293">
        <f t="shared" si="11"/>
        <v>1805.9999999999998</v>
      </c>
      <c r="I22" s="293">
        <f t="shared" si="11"/>
        <v>1805.9999999999998</v>
      </c>
      <c r="J22" s="293">
        <f t="shared" si="11"/>
        <v>1805.9999999999998</v>
      </c>
      <c r="K22" s="293">
        <f t="shared" si="11"/>
        <v>1805.9999999999998</v>
      </c>
      <c r="L22" s="293">
        <f t="shared" si="11"/>
        <v>1805.9999999999998</v>
      </c>
      <c r="M22" s="293">
        <f t="shared" si="11"/>
        <v>1805.9999999999998</v>
      </c>
      <c r="N22" s="293">
        <f t="shared" si="8"/>
        <v>1805.9999999999998</v>
      </c>
    </row>
    <row r="23" spans="1:14" ht="18" customHeight="1">
      <c r="A23" s="294" t="s">
        <v>484</v>
      </c>
      <c r="B23" s="295">
        <f t="shared" ref="B23:M23" si="12">SUM(B21:B22)*B15</f>
        <v>9237690</v>
      </c>
      <c r="C23" s="295">
        <f t="shared" si="12"/>
        <v>6118728.0000000009</v>
      </c>
      <c r="D23" s="295">
        <f t="shared" si="12"/>
        <v>6774306.0000000009</v>
      </c>
      <c r="E23" s="295">
        <f t="shared" si="12"/>
        <v>6555780.0000000009</v>
      </c>
      <c r="F23" s="295">
        <f t="shared" si="12"/>
        <v>9237690</v>
      </c>
      <c r="G23" s="295">
        <f t="shared" si="12"/>
        <v>10131660</v>
      </c>
      <c r="H23" s="295">
        <f t="shared" si="12"/>
        <v>10469382</v>
      </c>
      <c r="I23" s="295">
        <f t="shared" si="12"/>
        <v>9853536</v>
      </c>
      <c r="J23" s="295">
        <f t="shared" si="12"/>
        <v>7747740</v>
      </c>
      <c r="K23" s="295">
        <f t="shared" si="12"/>
        <v>6774306.0000000009</v>
      </c>
      <c r="L23" s="295">
        <f t="shared" si="12"/>
        <v>5959800</v>
      </c>
      <c r="M23" s="295">
        <f t="shared" si="12"/>
        <v>8005998</v>
      </c>
      <c r="N23" s="293">
        <f t="shared" ref="N23" si="13">SUM(B23:M23)</f>
        <v>96866616</v>
      </c>
    </row>
    <row r="24" spans="1:14" ht="12.75" customHeight="1">
      <c r="A24" s="255"/>
      <c r="B24" s="296"/>
      <c r="C24" s="296"/>
      <c r="D24" s="296"/>
      <c r="E24" s="296"/>
      <c r="F24" s="296"/>
      <c r="G24" s="296"/>
      <c r="H24" s="296"/>
      <c r="I24" s="296"/>
      <c r="J24" s="296"/>
      <c r="K24" s="296"/>
      <c r="L24" s="296"/>
      <c r="M24" s="296"/>
      <c r="N24" s="297"/>
    </row>
    <row r="25" spans="1:14" ht="12.75" customHeight="1">
      <c r="A25" s="255"/>
      <c r="B25" s="296"/>
      <c r="C25" s="296"/>
      <c r="D25" s="296"/>
      <c r="E25" s="296"/>
      <c r="F25" s="296"/>
      <c r="G25" s="296"/>
      <c r="H25" s="296"/>
      <c r="I25" s="296"/>
      <c r="J25" s="296"/>
      <c r="K25" s="296"/>
      <c r="L25" s="296"/>
      <c r="M25" s="296"/>
      <c r="N25" s="297"/>
    </row>
    <row r="26" spans="1:14" ht="12.75" customHeight="1">
      <c r="A26" s="845" t="s">
        <v>485</v>
      </c>
      <c r="B26" s="859"/>
      <c r="C26" s="859"/>
      <c r="D26" s="859"/>
      <c r="E26" s="859"/>
      <c r="F26" s="859"/>
      <c r="G26" s="859"/>
      <c r="H26" s="859"/>
      <c r="I26" s="859"/>
      <c r="J26" s="859"/>
      <c r="K26" s="859"/>
      <c r="L26" s="859"/>
      <c r="M26" s="859"/>
      <c r="N26" s="860"/>
    </row>
    <row r="27" spans="1:14" ht="12.75" customHeight="1">
      <c r="A27" s="268"/>
      <c r="B27" s="263" t="s">
        <v>443</v>
      </c>
      <c r="C27" s="263" t="s">
        <v>444</v>
      </c>
      <c r="D27" s="263" t="s">
        <v>445</v>
      </c>
      <c r="E27" s="263" t="s">
        <v>446</v>
      </c>
      <c r="F27" s="263" t="s">
        <v>447</v>
      </c>
      <c r="G27" s="263" t="s">
        <v>448</v>
      </c>
      <c r="H27" s="263" t="s">
        <v>449</v>
      </c>
      <c r="I27" s="263" t="s">
        <v>450</v>
      </c>
      <c r="J27" s="263" t="s">
        <v>451</v>
      </c>
      <c r="K27" s="263" t="s">
        <v>452</v>
      </c>
      <c r="L27" s="263" t="s">
        <v>453</v>
      </c>
      <c r="M27" s="263" t="s">
        <v>454</v>
      </c>
      <c r="N27" s="263" t="s">
        <v>383</v>
      </c>
    </row>
    <row r="28" spans="1:14" ht="12.75" customHeight="1">
      <c r="A28" s="289" t="str">
        <f t="shared" ref="A28:A38" si="14">A12</f>
        <v>Дней в текущем месяце</v>
      </c>
      <c r="B28" s="243">
        <v>31</v>
      </c>
      <c r="C28" s="243">
        <v>28</v>
      </c>
      <c r="D28" s="243">
        <v>31</v>
      </c>
      <c r="E28" s="243">
        <v>30</v>
      </c>
      <c r="F28" s="243">
        <v>31</v>
      </c>
      <c r="G28" s="243">
        <v>30</v>
      </c>
      <c r="H28" s="243">
        <v>31</v>
      </c>
      <c r="I28" s="243">
        <v>31</v>
      </c>
      <c r="J28" s="243">
        <v>30</v>
      </c>
      <c r="K28" s="243">
        <v>31</v>
      </c>
      <c r="L28" s="243">
        <v>30</v>
      </c>
      <c r="M28" s="243">
        <v>31</v>
      </c>
      <c r="N28" s="253">
        <f t="shared" ref="N28:N29" si="15">SUM(B28:M28)</f>
        <v>365</v>
      </c>
    </row>
    <row r="29" spans="1:14" ht="12.75" customHeight="1">
      <c r="A29" s="289" t="str">
        <f t="shared" si="14"/>
        <v>Потенциал номеро-суток</v>
      </c>
      <c r="B29" s="243">
        <f>B28*ADR!$B$26</f>
        <v>3720</v>
      </c>
      <c r="C29" s="243">
        <f>C28*ADR!$B$26</f>
        <v>3360</v>
      </c>
      <c r="D29" s="243">
        <f>D28*ADR!$B$26</f>
        <v>3720</v>
      </c>
      <c r="E29" s="243">
        <f>E28*ADR!$B$26</f>
        <v>3600</v>
      </c>
      <c r="F29" s="243">
        <f>F28*ADR!$B$26</f>
        <v>3720</v>
      </c>
      <c r="G29" s="243">
        <f>G28*ADR!$B$26</f>
        <v>3600</v>
      </c>
      <c r="H29" s="243">
        <f>H28*ADR!$B$26</f>
        <v>3720</v>
      </c>
      <c r="I29" s="243">
        <f>I28*ADR!$B$26</f>
        <v>3720</v>
      </c>
      <c r="J29" s="243">
        <f>J28*ADR!$B$26</f>
        <v>3600</v>
      </c>
      <c r="K29" s="243">
        <f>K28*ADR!$B$26</f>
        <v>3720</v>
      </c>
      <c r="L29" s="243">
        <f>L28*ADR!$B$26</f>
        <v>3600</v>
      </c>
      <c r="M29" s="243">
        <f>M28*ADR!$B$26</f>
        <v>3720</v>
      </c>
      <c r="N29" s="253">
        <f t="shared" si="15"/>
        <v>43800</v>
      </c>
    </row>
    <row r="30" spans="1:14" ht="12.75" customHeight="1">
      <c r="A30" s="289" t="str">
        <f t="shared" si="14"/>
        <v>Загрузка номеров, %, в т.ч.:</v>
      </c>
      <c r="B30" s="271">
        <f>'выручка номеров'!C48</f>
        <v>0.75</v>
      </c>
      <c r="C30" s="271">
        <f>'выручка номеров'!D48</f>
        <v>0.55000000000000004</v>
      </c>
      <c r="D30" s="271">
        <f>'выручка номеров'!E48</f>
        <v>0.55000000000000004</v>
      </c>
      <c r="E30" s="271">
        <f>'выручка номеров'!F48</f>
        <v>0.55000000000000004</v>
      </c>
      <c r="F30" s="271">
        <f>'выручка номеров'!G48</f>
        <v>0.75</v>
      </c>
      <c r="G30" s="271">
        <f>'выручка номеров'!H48</f>
        <v>0.85</v>
      </c>
      <c r="H30" s="271">
        <f>'выручка номеров'!I48</f>
        <v>0.85</v>
      </c>
      <c r="I30" s="271">
        <f>'выручка номеров'!J48</f>
        <v>0.8</v>
      </c>
      <c r="J30" s="271">
        <f>'выручка номеров'!K48</f>
        <v>0.65</v>
      </c>
      <c r="K30" s="271">
        <f>'выручка номеров'!L48</f>
        <v>0.55000000000000004</v>
      </c>
      <c r="L30" s="271">
        <f>'выручка номеров'!M48</f>
        <v>0.5</v>
      </c>
      <c r="M30" s="271">
        <f>'выручка номеров'!N48</f>
        <v>0.65</v>
      </c>
      <c r="N30" s="271">
        <f t="shared" ref="N30" si="16">AVERAGE(B30:M30)</f>
        <v>0.66666666666666663</v>
      </c>
    </row>
    <row r="31" spans="1:14" ht="12.75" customHeight="1">
      <c r="A31" s="289" t="str">
        <f t="shared" si="14"/>
        <v>Продано номеро-суток</v>
      </c>
      <c r="B31" s="243">
        <f t="shared" ref="B31:M31" si="17">B30*B29</f>
        <v>2790</v>
      </c>
      <c r="C31" s="243">
        <f t="shared" si="17"/>
        <v>1848.0000000000002</v>
      </c>
      <c r="D31" s="243">
        <f t="shared" si="17"/>
        <v>2046.0000000000002</v>
      </c>
      <c r="E31" s="243">
        <f t="shared" si="17"/>
        <v>1980.0000000000002</v>
      </c>
      <c r="F31" s="243">
        <f t="shared" si="17"/>
        <v>2790</v>
      </c>
      <c r="G31" s="243">
        <f t="shared" si="17"/>
        <v>3060</v>
      </c>
      <c r="H31" s="243">
        <f t="shared" si="17"/>
        <v>3162</v>
      </c>
      <c r="I31" s="243">
        <f t="shared" si="17"/>
        <v>2976</v>
      </c>
      <c r="J31" s="243">
        <f t="shared" si="17"/>
        <v>2340</v>
      </c>
      <c r="K31" s="243">
        <f t="shared" si="17"/>
        <v>2046.0000000000002</v>
      </c>
      <c r="L31" s="243">
        <f t="shared" si="17"/>
        <v>1800</v>
      </c>
      <c r="M31" s="243">
        <f t="shared" si="17"/>
        <v>2418</v>
      </c>
      <c r="N31" s="253">
        <f t="shared" ref="N31" si="18">SUM(B31:M31)</f>
        <v>29256</v>
      </c>
    </row>
    <row r="32" spans="1:14" ht="12.75" customHeight="1">
      <c r="A32" s="289" t="str">
        <f t="shared" si="14"/>
        <v>Средняя стоимость завтрака без НДС</v>
      </c>
      <c r="B32" s="243">
        <f>$C$4+$C$4*'выручка номеров'!$C$5</f>
        <v>875</v>
      </c>
      <c r="C32" s="243">
        <f>$C$4+$C$4*'выручка номеров'!$C$5</f>
        <v>875</v>
      </c>
      <c r="D32" s="243">
        <f>$C$4+$C$4*'выручка номеров'!$C$5</f>
        <v>875</v>
      </c>
      <c r="E32" s="243">
        <f>$C$4+$C$4*'выручка номеров'!$C$5</f>
        <v>875</v>
      </c>
      <c r="F32" s="243">
        <f>$C$4+$C$4*'выручка номеров'!$C$5</f>
        <v>875</v>
      </c>
      <c r="G32" s="243">
        <f>$C$4+$C$4*'выручка номеров'!$C$5</f>
        <v>875</v>
      </c>
      <c r="H32" s="243">
        <f>$C$4+$C$4*'выручка номеров'!$C$5</f>
        <v>875</v>
      </c>
      <c r="I32" s="243">
        <f>$C$4+$C$4*'выручка номеров'!$C$5</f>
        <v>875</v>
      </c>
      <c r="J32" s="243">
        <f>$C$4+$C$4*'выручка номеров'!$C$5</f>
        <v>875</v>
      </c>
      <c r="K32" s="243">
        <f>$C$4+$C$4*'выручка номеров'!$C$5</f>
        <v>875</v>
      </c>
      <c r="L32" s="243">
        <f>$C$4+$C$4*'выручка номеров'!$C$5</f>
        <v>875</v>
      </c>
      <c r="M32" s="243">
        <f>$C$4+$C$4*'выручка номеров'!$C$5</f>
        <v>875</v>
      </c>
      <c r="N32" s="253">
        <f t="shared" ref="N32:N38" si="19">AVERAGE(B32:M32)</f>
        <v>875</v>
      </c>
    </row>
    <row r="33" spans="1:14" ht="12.75" customHeight="1">
      <c r="A33" s="289" t="str">
        <f t="shared" si="14"/>
        <v>Средняя стоимость обеда без НДС</v>
      </c>
      <c r="B33" s="243">
        <f>$C$6+$C$6*'выручка номеров'!$C$5</f>
        <v>1050</v>
      </c>
      <c r="C33" s="243">
        <f>$C$6+$C$6*'выручка номеров'!$C$5</f>
        <v>1050</v>
      </c>
      <c r="D33" s="243">
        <f>$C$6+$C$6*'выручка номеров'!$C$5</f>
        <v>1050</v>
      </c>
      <c r="E33" s="243">
        <f>$C$6+$C$6*'выручка номеров'!$C$5</f>
        <v>1050</v>
      </c>
      <c r="F33" s="243">
        <f>$C$6+$C$6*'выручка номеров'!$C$5</f>
        <v>1050</v>
      </c>
      <c r="G33" s="243">
        <f>$C$6+$C$6*'выручка номеров'!$C$5</f>
        <v>1050</v>
      </c>
      <c r="H33" s="243">
        <f>$C$6+$C$6*'выручка номеров'!$C$5</f>
        <v>1050</v>
      </c>
      <c r="I33" s="243">
        <f>$C$6+$C$6*'выручка номеров'!$C$5</f>
        <v>1050</v>
      </c>
      <c r="J33" s="243">
        <f>$C$6+$C$6*'выручка номеров'!$C$5</f>
        <v>1050</v>
      </c>
      <c r="K33" s="243">
        <f>$C$6+$C$6*'выручка номеров'!$C$5</f>
        <v>1050</v>
      </c>
      <c r="L33" s="243">
        <f>$C$6+$C$6*'выручка номеров'!$C$5</f>
        <v>1050</v>
      </c>
      <c r="M33" s="243">
        <f>$C$6+$C$6*'выручка номеров'!$C$5</f>
        <v>1050</v>
      </c>
      <c r="N33" s="253">
        <f t="shared" si="19"/>
        <v>1050</v>
      </c>
    </row>
    <row r="34" spans="1:14" ht="12.75" customHeight="1">
      <c r="A34" s="289" t="str">
        <f t="shared" si="14"/>
        <v>Средняя доля проданных завтраков от загрузки</v>
      </c>
      <c r="B34" s="291">
        <f t="shared" ref="B34:M35" si="20">$B$5</f>
        <v>1</v>
      </c>
      <c r="C34" s="291">
        <f t="shared" si="20"/>
        <v>1</v>
      </c>
      <c r="D34" s="291">
        <f t="shared" si="20"/>
        <v>1</v>
      </c>
      <c r="E34" s="291">
        <f t="shared" si="20"/>
        <v>1</v>
      </c>
      <c r="F34" s="291">
        <f t="shared" si="20"/>
        <v>1</v>
      </c>
      <c r="G34" s="291">
        <f t="shared" si="20"/>
        <v>1</v>
      </c>
      <c r="H34" s="291">
        <f t="shared" si="20"/>
        <v>1</v>
      </c>
      <c r="I34" s="291">
        <f t="shared" si="20"/>
        <v>1</v>
      </c>
      <c r="J34" s="291">
        <f t="shared" si="20"/>
        <v>1</v>
      </c>
      <c r="K34" s="291">
        <f t="shared" si="20"/>
        <v>1</v>
      </c>
      <c r="L34" s="291">
        <f t="shared" si="20"/>
        <v>1</v>
      </c>
      <c r="M34" s="291">
        <f t="shared" si="20"/>
        <v>1</v>
      </c>
      <c r="N34" s="274">
        <f t="shared" si="19"/>
        <v>1</v>
      </c>
    </row>
    <row r="35" spans="1:14" ht="12.75" customHeight="1">
      <c r="A35" s="289" t="str">
        <f t="shared" si="14"/>
        <v>Средняя доля проданных обедов от загрузки</v>
      </c>
      <c r="B35" s="291">
        <f t="shared" si="20"/>
        <v>1</v>
      </c>
      <c r="C35" s="291">
        <f t="shared" si="20"/>
        <v>1</v>
      </c>
      <c r="D35" s="291">
        <f t="shared" si="20"/>
        <v>1</v>
      </c>
      <c r="E35" s="291">
        <f t="shared" si="20"/>
        <v>1</v>
      </c>
      <c r="F35" s="291">
        <f t="shared" si="20"/>
        <v>1</v>
      </c>
      <c r="G35" s="291">
        <f t="shared" si="20"/>
        <v>1</v>
      </c>
      <c r="H35" s="291">
        <f t="shared" si="20"/>
        <v>1</v>
      </c>
      <c r="I35" s="291">
        <f t="shared" si="20"/>
        <v>1</v>
      </c>
      <c r="J35" s="291">
        <f t="shared" si="20"/>
        <v>1</v>
      </c>
      <c r="K35" s="291">
        <f t="shared" si="20"/>
        <v>1</v>
      </c>
      <c r="L35" s="291">
        <f t="shared" si="20"/>
        <v>1</v>
      </c>
      <c r="M35" s="291">
        <f t="shared" si="20"/>
        <v>1</v>
      </c>
      <c r="N35" s="274">
        <f t="shared" si="19"/>
        <v>1</v>
      </c>
    </row>
    <row r="36" spans="1:14" ht="12.75" customHeight="1">
      <c r="A36" s="289" t="str">
        <f t="shared" si="14"/>
        <v xml:space="preserve">Среднее количество гостей в номере </v>
      </c>
      <c r="B36" s="292">
        <f>'скидки для типов гостей'!$B$11</f>
        <v>1.8059999999999998</v>
      </c>
      <c r="C36" s="292">
        <f>'скидки для типов гостей'!$B$11</f>
        <v>1.8059999999999998</v>
      </c>
      <c r="D36" s="292">
        <f>'скидки для типов гостей'!$B$11</f>
        <v>1.8059999999999998</v>
      </c>
      <c r="E36" s="292">
        <f>'скидки для типов гостей'!$B$11</f>
        <v>1.8059999999999998</v>
      </c>
      <c r="F36" s="292">
        <f>'скидки для типов гостей'!$B$11</f>
        <v>1.8059999999999998</v>
      </c>
      <c r="G36" s="292">
        <f>'скидки для типов гостей'!$B$11</f>
        <v>1.8059999999999998</v>
      </c>
      <c r="H36" s="292">
        <f>'скидки для типов гостей'!$B$11</f>
        <v>1.8059999999999998</v>
      </c>
      <c r="I36" s="292">
        <f>'скидки для типов гостей'!$B$11</f>
        <v>1.8059999999999998</v>
      </c>
      <c r="J36" s="292">
        <f>'скидки для типов гостей'!$B$11</f>
        <v>1.8059999999999998</v>
      </c>
      <c r="K36" s="292">
        <f>'скидки для типов гостей'!$B$11</f>
        <v>1.8059999999999998</v>
      </c>
      <c r="L36" s="292">
        <f>'скидки для типов гостей'!$B$11</f>
        <v>1.8059999999999998</v>
      </c>
      <c r="M36" s="292">
        <f>'скидки для типов гостей'!$B$11</f>
        <v>1.8059999999999998</v>
      </c>
      <c r="N36" s="481">
        <f t="shared" si="19"/>
        <v>1.806</v>
      </c>
    </row>
    <row r="37" spans="1:14" ht="12.75" customHeight="1">
      <c r="A37" s="289" t="str">
        <f t="shared" si="14"/>
        <v>Доход на одну номеро-ночь от завтраков</v>
      </c>
      <c r="B37" s="293">
        <f>B32*B36</f>
        <v>1580.2499999999998</v>
      </c>
      <c r="C37" s="293">
        <f t="shared" ref="C37:M37" si="21">C32*C36</f>
        <v>1580.2499999999998</v>
      </c>
      <c r="D37" s="293">
        <f t="shared" si="21"/>
        <v>1580.2499999999998</v>
      </c>
      <c r="E37" s="293">
        <f t="shared" si="21"/>
        <v>1580.2499999999998</v>
      </c>
      <c r="F37" s="293">
        <f t="shared" si="21"/>
        <v>1580.2499999999998</v>
      </c>
      <c r="G37" s="293">
        <f t="shared" si="21"/>
        <v>1580.2499999999998</v>
      </c>
      <c r="H37" s="293">
        <f t="shared" si="21"/>
        <v>1580.2499999999998</v>
      </c>
      <c r="I37" s="293">
        <f t="shared" si="21"/>
        <v>1580.2499999999998</v>
      </c>
      <c r="J37" s="293">
        <f t="shared" si="21"/>
        <v>1580.2499999999998</v>
      </c>
      <c r="K37" s="293">
        <f t="shared" si="21"/>
        <v>1580.2499999999998</v>
      </c>
      <c r="L37" s="293">
        <f t="shared" si="21"/>
        <v>1580.2499999999998</v>
      </c>
      <c r="M37" s="293">
        <f t="shared" si="21"/>
        <v>1580.2499999999998</v>
      </c>
      <c r="N37" s="253">
        <f t="shared" si="19"/>
        <v>1580.2499999999998</v>
      </c>
    </row>
    <row r="38" spans="1:14" ht="12.75" customHeight="1">
      <c r="A38" s="289" t="str">
        <f t="shared" si="14"/>
        <v>Доход на одну номеро-ночь от обедов</v>
      </c>
      <c r="B38" s="293">
        <f>B33*B35*B36</f>
        <v>1896.2999999999997</v>
      </c>
      <c r="C38" s="293">
        <f t="shared" ref="C38:M38" si="22">C33*C35*C36</f>
        <v>1896.2999999999997</v>
      </c>
      <c r="D38" s="293">
        <f t="shared" si="22"/>
        <v>1896.2999999999997</v>
      </c>
      <c r="E38" s="293">
        <f t="shared" si="22"/>
        <v>1896.2999999999997</v>
      </c>
      <c r="F38" s="293">
        <f t="shared" si="22"/>
        <v>1896.2999999999997</v>
      </c>
      <c r="G38" s="293">
        <f t="shared" si="22"/>
        <v>1896.2999999999997</v>
      </c>
      <c r="H38" s="293">
        <f t="shared" si="22"/>
        <v>1896.2999999999997</v>
      </c>
      <c r="I38" s="293">
        <f t="shared" si="22"/>
        <v>1896.2999999999997</v>
      </c>
      <c r="J38" s="293">
        <f t="shared" si="22"/>
        <v>1896.2999999999997</v>
      </c>
      <c r="K38" s="293">
        <f t="shared" si="22"/>
        <v>1896.2999999999997</v>
      </c>
      <c r="L38" s="293">
        <f t="shared" si="22"/>
        <v>1896.2999999999997</v>
      </c>
      <c r="M38" s="293">
        <f t="shared" si="22"/>
        <v>1896.2999999999997</v>
      </c>
      <c r="N38" s="253">
        <f t="shared" si="19"/>
        <v>1896.2999999999995</v>
      </c>
    </row>
    <row r="39" spans="1:14" ht="18" customHeight="1">
      <c r="A39" s="294" t="s">
        <v>484</v>
      </c>
      <c r="B39" s="295">
        <f>SUM(B37:B38)*B31</f>
        <v>9699574.4999999981</v>
      </c>
      <c r="C39" s="295">
        <f t="shared" ref="C39:M39" si="23">SUM(C37:C38)*C31</f>
        <v>6424664.3999999994</v>
      </c>
      <c r="D39" s="295">
        <f t="shared" si="23"/>
        <v>7113021.2999999989</v>
      </c>
      <c r="E39" s="295">
        <f t="shared" si="23"/>
        <v>6883568.9999999991</v>
      </c>
      <c r="F39" s="295">
        <f t="shared" si="23"/>
        <v>9699574.4999999981</v>
      </c>
      <c r="G39" s="295">
        <f t="shared" si="23"/>
        <v>10638242.999999998</v>
      </c>
      <c r="H39" s="295">
        <f t="shared" si="23"/>
        <v>10992851.099999998</v>
      </c>
      <c r="I39" s="295">
        <f t="shared" si="23"/>
        <v>10346212.799999997</v>
      </c>
      <c r="J39" s="295">
        <f t="shared" si="23"/>
        <v>8135126.9999999981</v>
      </c>
      <c r="K39" s="295">
        <f t="shared" si="23"/>
        <v>7113021.2999999989</v>
      </c>
      <c r="L39" s="295">
        <f t="shared" si="23"/>
        <v>6257789.9999999991</v>
      </c>
      <c r="M39" s="295">
        <f t="shared" si="23"/>
        <v>8406297.8999999985</v>
      </c>
      <c r="N39" s="295">
        <f t="shared" ref="N39" si="24">SUM(B39:M39)</f>
        <v>101709946.79999998</v>
      </c>
    </row>
    <row r="40" spans="1:14" ht="12.75" customHeight="1"/>
    <row r="41" spans="1:14" ht="12.75" customHeight="1">
      <c r="A41" s="845" t="s">
        <v>486</v>
      </c>
      <c r="B41" s="861"/>
      <c r="C41" s="861"/>
      <c r="D41" s="861"/>
      <c r="E41" s="861"/>
      <c r="F41" s="861"/>
      <c r="G41" s="861"/>
      <c r="H41" s="861"/>
      <c r="I41" s="861"/>
      <c r="J41" s="861"/>
      <c r="K41" s="861"/>
      <c r="L41" s="861"/>
      <c r="M41" s="861"/>
      <c r="N41" s="862"/>
    </row>
    <row r="42" spans="1:14" ht="12.75" customHeight="1">
      <c r="A42" s="268"/>
      <c r="B42" s="263" t="s">
        <v>443</v>
      </c>
      <c r="C42" s="263" t="s">
        <v>444</v>
      </c>
      <c r="D42" s="263" t="s">
        <v>445</v>
      </c>
      <c r="E42" s="263" t="s">
        <v>446</v>
      </c>
      <c r="F42" s="263" t="s">
        <v>447</v>
      </c>
      <c r="G42" s="263" t="s">
        <v>448</v>
      </c>
      <c r="H42" s="263" t="s">
        <v>449</v>
      </c>
      <c r="I42" s="263" t="s">
        <v>450</v>
      </c>
      <c r="J42" s="263" t="s">
        <v>451</v>
      </c>
      <c r="K42" s="263" t="s">
        <v>452</v>
      </c>
      <c r="L42" s="263" t="s">
        <v>453</v>
      </c>
      <c r="M42" s="263" t="s">
        <v>454</v>
      </c>
      <c r="N42" s="263" t="s">
        <v>383</v>
      </c>
    </row>
    <row r="43" spans="1:14" ht="12.75" customHeight="1">
      <c r="A43" s="289" t="str">
        <f>A28</f>
        <v>Дней в текущем месяце</v>
      </c>
      <c r="B43" s="243">
        <v>31</v>
      </c>
      <c r="C43" s="243">
        <v>28</v>
      </c>
      <c r="D43" s="243">
        <v>31</v>
      </c>
      <c r="E43" s="243">
        <v>30</v>
      </c>
      <c r="F43" s="243">
        <v>31</v>
      </c>
      <c r="G43" s="243">
        <v>30</v>
      </c>
      <c r="H43" s="243">
        <v>31</v>
      </c>
      <c r="I43" s="243">
        <v>31</v>
      </c>
      <c r="J43" s="243">
        <v>30</v>
      </c>
      <c r="K43" s="243">
        <v>31</v>
      </c>
      <c r="L43" s="243">
        <v>30</v>
      </c>
      <c r="M43" s="243">
        <v>31</v>
      </c>
      <c r="N43" s="253">
        <f t="shared" ref="N43:N44" si="25">SUM(B43:M43)</f>
        <v>365</v>
      </c>
    </row>
    <row r="44" spans="1:14" ht="12.75" customHeight="1">
      <c r="A44" s="289" t="str">
        <f t="shared" ref="A44:A53" si="26">A29</f>
        <v>Потенциал номеро-суток</v>
      </c>
      <c r="B44" s="243">
        <f>B43*ADR!$B$26</f>
        <v>3720</v>
      </c>
      <c r="C44" s="243">
        <f>C43*ADR!$B$26</f>
        <v>3360</v>
      </c>
      <c r="D44" s="243">
        <f>D43*ADR!$B$26</f>
        <v>3720</v>
      </c>
      <c r="E44" s="243">
        <f>E43*ADR!$B$26</f>
        <v>3600</v>
      </c>
      <c r="F44" s="243">
        <f>F43*ADR!$B$26</f>
        <v>3720</v>
      </c>
      <c r="G44" s="243">
        <f>G43*ADR!$B$26</f>
        <v>3600</v>
      </c>
      <c r="H44" s="243">
        <f>H43*ADR!$B$26</f>
        <v>3720</v>
      </c>
      <c r="I44" s="243">
        <f>I43*ADR!$B$26</f>
        <v>3720</v>
      </c>
      <c r="J44" s="243">
        <f>J43*ADR!$B$26</f>
        <v>3600</v>
      </c>
      <c r="K44" s="243">
        <f>K43*ADR!$B$26</f>
        <v>3720</v>
      </c>
      <c r="L44" s="243">
        <f>L43*ADR!$B$26</f>
        <v>3600</v>
      </c>
      <c r="M44" s="243">
        <f>M43*ADR!$B$26</f>
        <v>3720</v>
      </c>
      <c r="N44" s="253">
        <f t="shared" si="25"/>
        <v>43800</v>
      </c>
    </row>
    <row r="45" spans="1:14" ht="12.75" customHeight="1">
      <c r="A45" s="289" t="str">
        <f t="shared" si="26"/>
        <v>Загрузка номеров, %, в т.ч.:</v>
      </c>
      <c r="B45" s="271">
        <f>'выручка номеров'!C84</f>
        <v>0.80624999999999991</v>
      </c>
      <c r="C45" s="271">
        <f>'выручка номеров'!D84</f>
        <v>0.59125000000000005</v>
      </c>
      <c r="D45" s="271">
        <f>'выручка номеров'!E84</f>
        <v>0.59125000000000005</v>
      </c>
      <c r="E45" s="271">
        <f>'выручка номеров'!F84</f>
        <v>0.59125000000000005</v>
      </c>
      <c r="F45" s="271">
        <f>'выручка номеров'!G84</f>
        <v>0.80624999999999991</v>
      </c>
      <c r="G45" s="271">
        <f>'выручка номеров'!H84</f>
        <v>0.91374999999999995</v>
      </c>
      <c r="H45" s="271">
        <f>'выручка номеров'!I84</f>
        <v>0.91374999999999995</v>
      </c>
      <c r="I45" s="271">
        <f>'выручка номеров'!J84</f>
        <v>0.86</v>
      </c>
      <c r="J45" s="271">
        <f>'выручка номеров'!K84</f>
        <v>0.69874999999999998</v>
      </c>
      <c r="K45" s="271">
        <f>'выручка номеров'!L84</f>
        <v>0.59125000000000005</v>
      </c>
      <c r="L45" s="271">
        <f>'выручка номеров'!M84</f>
        <v>0.53749999999999998</v>
      </c>
      <c r="M45" s="271">
        <f>'выручка номеров'!N84</f>
        <v>0.69874999999999998</v>
      </c>
      <c r="N45" s="271">
        <f t="shared" ref="N45" si="27">AVERAGE(B45:M45)</f>
        <v>0.71666666666666679</v>
      </c>
    </row>
    <row r="46" spans="1:14" ht="12.75" customHeight="1">
      <c r="A46" s="289" t="str">
        <f t="shared" si="26"/>
        <v>Продано номеро-суток</v>
      </c>
      <c r="B46" s="243">
        <f t="shared" ref="B46:M46" si="28">B45*B44</f>
        <v>2999.2499999999995</v>
      </c>
      <c r="C46" s="243">
        <f t="shared" si="28"/>
        <v>1986.6000000000001</v>
      </c>
      <c r="D46" s="243">
        <f t="shared" si="28"/>
        <v>2199.4500000000003</v>
      </c>
      <c r="E46" s="243">
        <f t="shared" si="28"/>
        <v>2128.5</v>
      </c>
      <c r="F46" s="243">
        <f t="shared" si="28"/>
        <v>2999.2499999999995</v>
      </c>
      <c r="G46" s="243">
        <f t="shared" si="28"/>
        <v>3289.5</v>
      </c>
      <c r="H46" s="243">
        <f t="shared" si="28"/>
        <v>3399.1499999999996</v>
      </c>
      <c r="I46" s="243">
        <f t="shared" si="28"/>
        <v>3199.2</v>
      </c>
      <c r="J46" s="243">
        <f t="shared" si="28"/>
        <v>2515.5</v>
      </c>
      <c r="K46" s="243">
        <f t="shared" si="28"/>
        <v>2199.4500000000003</v>
      </c>
      <c r="L46" s="243">
        <f t="shared" si="28"/>
        <v>1935</v>
      </c>
      <c r="M46" s="243">
        <f t="shared" si="28"/>
        <v>2599.35</v>
      </c>
      <c r="N46" s="253">
        <f t="shared" ref="N46" si="29">SUM(B46:M46)</f>
        <v>31450.199999999997</v>
      </c>
    </row>
    <row r="47" spans="1:14" ht="12.75" customHeight="1">
      <c r="A47" s="289" t="str">
        <f t="shared" si="26"/>
        <v>Средняя стоимость завтрака без НДС</v>
      </c>
      <c r="B47" s="243">
        <f>B32+B32*'выручка номеров'!$D$3</f>
        <v>918.75</v>
      </c>
      <c r="C47" s="243">
        <f>C32+C32*'выручка номеров'!$D$3</f>
        <v>918.75</v>
      </c>
      <c r="D47" s="243">
        <f>D32+D32*'выручка номеров'!$D$3</f>
        <v>918.75</v>
      </c>
      <c r="E47" s="243">
        <f>E32+E32*'выручка номеров'!$D$3</f>
        <v>918.75</v>
      </c>
      <c r="F47" s="243">
        <f>F32+F32*'выручка номеров'!$D$3</f>
        <v>918.75</v>
      </c>
      <c r="G47" s="243">
        <f>G32+G32*'выручка номеров'!$D$3</f>
        <v>918.75</v>
      </c>
      <c r="H47" s="243">
        <f>H32+H32*'выручка номеров'!$D$3</f>
        <v>918.75</v>
      </c>
      <c r="I47" s="243">
        <f>I32+I32*'выручка номеров'!$D$3</f>
        <v>918.75</v>
      </c>
      <c r="J47" s="243">
        <f>J32+J32*'выручка номеров'!$D$3</f>
        <v>918.75</v>
      </c>
      <c r="K47" s="243">
        <f>K32+K32*'выручка номеров'!$D$3</f>
        <v>918.75</v>
      </c>
      <c r="L47" s="243">
        <f>L32+L32*'выручка номеров'!$D$3</f>
        <v>918.75</v>
      </c>
      <c r="M47" s="243">
        <f>M32+M32*'выручка номеров'!$D$3</f>
        <v>918.75</v>
      </c>
      <c r="N47" s="253">
        <f t="shared" ref="N47:N53" si="30">AVERAGE(B47:M47)</f>
        <v>918.75</v>
      </c>
    </row>
    <row r="48" spans="1:14" ht="12.75" customHeight="1">
      <c r="A48" s="289" t="str">
        <f t="shared" si="26"/>
        <v>Средняя стоимость обеда без НДС</v>
      </c>
      <c r="B48" s="243">
        <f>B33+B33*'выручка номеров'!$D$3</f>
        <v>1102.5</v>
      </c>
      <c r="C48" s="243">
        <f>C33+C33*'выручка номеров'!$D$3</f>
        <v>1102.5</v>
      </c>
      <c r="D48" s="243">
        <f>D33+D33*'выручка номеров'!$D$3</f>
        <v>1102.5</v>
      </c>
      <c r="E48" s="243">
        <f>E33+E33*'выручка номеров'!$D$3</f>
        <v>1102.5</v>
      </c>
      <c r="F48" s="243">
        <f>F33+F33*'выручка номеров'!$D$3</f>
        <v>1102.5</v>
      </c>
      <c r="G48" s="243">
        <f>G33+G33*'выручка номеров'!$D$3</f>
        <v>1102.5</v>
      </c>
      <c r="H48" s="243">
        <f>H33+H33*'выручка номеров'!$D$3</f>
        <v>1102.5</v>
      </c>
      <c r="I48" s="243">
        <f>I33+I33*'выручка номеров'!$D$3</f>
        <v>1102.5</v>
      </c>
      <c r="J48" s="243">
        <f>J33+J33*'выручка номеров'!$D$3</f>
        <v>1102.5</v>
      </c>
      <c r="K48" s="243">
        <f>K33+K33*'выручка номеров'!$D$3</f>
        <v>1102.5</v>
      </c>
      <c r="L48" s="243">
        <f>L33+L33*'выручка номеров'!$D$3</f>
        <v>1102.5</v>
      </c>
      <c r="M48" s="243">
        <f>M33+M33*'выручка номеров'!$D$3</f>
        <v>1102.5</v>
      </c>
      <c r="N48" s="253">
        <f t="shared" si="30"/>
        <v>1102.5</v>
      </c>
    </row>
    <row r="49" spans="1:14" ht="12.75" customHeight="1">
      <c r="A49" s="289" t="str">
        <f t="shared" si="26"/>
        <v>Средняя доля проданных завтраков от загрузки</v>
      </c>
      <c r="B49" s="291">
        <f t="shared" ref="B49:M50" si="31">$B$5</f>
        <v>1</v>
      </c>
      <c r="C49" s="291">
        <f t="shared" si="31"/>
        <v>1</v>
      </c>
      <c r="D49" s="291">
        <f t="shared" si="31"/>
        <v>1</v>
      </c>
      <c r="E49" s="291">
        <f t="shared" si="31"/>
        <v>1</v>
      </c>
      <c r="F49" s="291">
        <f t="shared" si="31"/>
        <v>1</v>
      </c>
      <c r="G49" s="291">
        <f t="shared" si="31"/>
        <v>1</v>
      </c>
      <c r="H49" s="291">
        <f t="shared" si="31"/>
        <v>1</v>
      </c>
      <c r="I49" s="291">
        <f t="shared" si="31"/>
        <v>1</v>
      </c>
      <c r="J49" s="291">
        <f t="shared" si="31"/>
        <v>1</v>
      </c>
      <c r="K49" s="291">
        <f t="shared" si="31"/>
        <v>1</v>
      </c>
      <c r="L49" s="291">
        <f t="shared" si="31"/>
        <v>1</v>
      </c>
      <c r="M49" s="291">
        <f t="shared" si="31"/>
        <v>1</v>
      </c>
      <c r="N49" s="274">
        <f t="shared" si="30"/>
        <v>1</v>
      </c>
    </row>
    <row r="50" spans="1:14" ht="12.75" customHeight="1">
      <c r="A50" s="289" t="str">
        <f t="shared" si="26"/>
        <v>Средняя доля проданных обедов от загрузки</v>
      </c>
      <c r="B50" s="291">
        <f t="shared" si="31"/>
        <v>1</v>
      </c>
      <c r="C50" s="291">
        <f t="shared" si="31"/>
        <v>1</v>
      </c>
      <c r="D50" s="291">
        <f t="shared" si="31"/>
        <v>1</v>
      </c>
      <c r="E50" s="291">
        <f t="shared" si="31"/>
        <v>1</v>
      </c>
      <c r="F50" s="291">
        <f t="shared" si="31"/>
        <v>1</v>
      </c>
      <c r="G50" s="291">
        <f t="shared" si="31"/>
        <v>1</v>
      </c>
      <c r="H50" s="291">
        <f t="shared" si="31"/>
        <v>1</v>
      </c>
      <c r="I50" s="291">
        <f t="shared" si="31"/>
        <v>1</v>
      </c>
      <c r="J50" s="291">
        <f t="shared" si="31"/>
        <v>1</v>
      </c>
      <c r="K50" s="291">
        <f t="shared" si="31"/>
        <v>1</v>
      </c>
      <c r="L50" s="291">
        <f t="shared" si="31"/>
        <v>1</v>
      </c>
      <c r="M50" s="291">
        <f t="shared" si="31"/>
        <v>1</v>
      </c>
      <c r="N50" s="274">
        <f t="shared" si="30"/>
        <v>1</v>
      </c>
    </row>
    <row r="51" spans="1:14" ht="12.75" customHeight="1">
      <c r="A51" s="289" t="str">
        <f t="shared" si="26"/>
        <v xml:space="preserve">Среднее количество гостей в номере </v>
      </c>
      <c r="B51" s="292">
        <f>B36</f>
        <v>1.8059999999999998</v>
      </c>
      <c r="C51" s="292">
        <f t="shared" ref="C51:M51" si="32">C36</f>
        <v>1.8059999999999998</v>
      </c>
      <c r="D51" s="292">
        <f t="shared" si="32"/>
        <v>1.8059999999999998</v>
      </c>
      <c r="E51" s="292">
        <f t="shared" si="32"/>
        <v>1.8059999999999998</v>
      </c>
      <c r="F51" s="292">
        <f t="shared" si="32"/>
        <v>1.8059999999999998</v>
      </c>
      <c r="G51" s="292">
        <f t="shared" si="32"/>
        <v>1.8059999999999998</v>
      </c>
      <c r="H51" s="292">
        <f t="shared" si="32"/>
        <v>1.8059999999999998</v>
      </c>
      <c r="I51" s="292">
        <f t="shared" si="32"/>
        <v>1.8059999999999998</v>
      </c>
      <c r="J51" s="292">
        <f t="shared" si="32"/>
        <v>1.8059999999999998</v>
      </c>
      <c r="K51" s="292">
        <f t="shared" si="32"/>
        <v>1.8059999999999998</v>
      </c>
      <c r="L51" s="292">
        <f t="shared" si="32"/>
        <v>1.8059999999999998</v>
      </c>
      <c r="M51" s="292">
        <f t="shared" si="32"/>
        <v>1.8059999999999998</v>
      </c>
      <c r="N51" s="481">
        <f t="shared" si="30"/>
        <v>1.806</v>
      </c>
    </row>
    <row r="52" spans="1:14" ht="12.75" customHeight="1">
      <c r="A52" s="289" t="str">
        <f t="shared" si="26"/>
        <v>Доход на одну номеро-ночь от завтраков</v>
      </c>
      <c r="B52" s="243">
        <f>B47*B51</f>
        <v>1659.2624999999998</v>
      </c>
      <c r="C52" s="243">
        <f t="shared" ref="C52:M52" si="33">C47*C51</f>
        <v>1659.2624999999998</v>
      </c>
      <c r="D52" s="243">
        <f t="shared" si="33"/>
        <v>1659.2624999999998</v>
      </c>
      <c r="E52" s="243">
        <f t="shared" si="33"/>
        <v>1659.2624999999998</v>
      </c>
      <c r="F52" s="243">
        <f t="shared" si="33"/>
        <v>1659.2624999999998</v>
      </c>
      <c r="G52" s="243">
        <f t="shared" si="33"/>
        <v>1659.2624999999998</v>
      </c>
      <c r="H52" s="243">
        <f t="shared" si="33"/>
        <v>1659.2624999999998</v>
      </c>
      <c r="I52" s="243">
        <f t="shared" si="33"/>
        <v>1659.2624999999998</v>
      </c>
      <c r="J52" s="243">
        <f t="shared" si="33"/>
        <v>1659.2624999999998</v>
      </c>
      <c r="K52" s="243">
        <f t="shared" si="33"/>
        <v>1659.2624999999998</v>
      </c>
      <c r="L52" s="243">
        <f t="shared" si="33"/>
        <v>1659.2624999999998</v>
      </c>
      <c r="M52" s="243">
        <f t="shared" si="33"/>
        <v>1659.2624999999998</v>
      </c>
      <c r="N52" s="253">
        <f t="shared" si="30"/>
        <v>1659.2625000000005</v>
      </c>
    </row>
    <row r="53" spans="1:14" ht="12.75" customHeight="1">
      <c r="A53" s="289" t="str">
        <f t="shared" si="26"/>
        <v>Доход на одну номеро-ночь от обедов</v>
      </c>
      <c r="B53" s="243">
        <f>B48*B51</f>
        <v>1991.1149999999998</v>
      </c>
      <c r="C53" s="243">
        <f t="shared" ref="C53:M53" si="34">C48*C51</f>
        <v>1991.1149999999998</v>
      </c>
      <c r="D53" s="243">
        <f t="shared" si="34"/>
        <v>1991.1149999999998</v>
      </c>
      <c r="E53" s="243">
        <f t="shared" si="34"/>
        <v>1991.1149999999998</v>
      </c>
      <c r="F53" s="243">
        <f t="shared" si="34"/>
        <v>1991.1149999999998</v>
      </c>
      <c r="G53" s="243">
        <f t="shared" si="34"/>
        <v>1991.1149999999998</v>
      </c>
      <c r="H53" s="243">
        <f t="shared" si="34"/>
        <v>1991.1149999999998</v>
      </c>
      <c r="I53" s="243">
        <f t="shared" si="34"/>
        <v>1991.1149999999998</v>
      </c>
      <c r="J53" s="243">
        <f t="shared" si="34"/>
        <v>1991.1149999999998</v>
      </c>
      <c r="K53" s="243">
        <f t="shared" si="34"/>
        <v>1991.1149999999998</v>
      </c>
      <c r="L53" s="243">
        <f t="shared" si="34"/>
        <v>1991.1149999999998</v>
      </c>
      <c r="M53" s="243">
        <f t="shared" si="34"/>
        <v>1991.1149999999998</v>
      </c>
      <c r="N53" s="253">
        <f t="shared" si="30"/>
        <v>1991.1149999999991</v>
      </c>
    </row>
    <row r="54" spans="1:14" ht="12.75" customHeight="1">
      <c r="A54" s="294" t="str">
        <f>A39</f>
        <v>ИТОГО от питания в пакете</v>
      </c>
      <c r="B54" s="295">
        <f>SUM(B52:B53)*B46</f>
        <v>10948394.716874998</v>
      </c>
      <c r="C54" s="295">
        <f t="shared" ref="C54:M54" si="35">SUM(C52:C53)*C46</f>
        <v>7251839.9414999997</v>
      </c>
      <c r="D54" s="295">
        <f t="shared" si="35"/>
        <v>8028822.7923750002</v>
      </c>
      <c r="E54" s="295">
        <f t="shared" si="35"/>
        <v>7769828.5087499991</v>
      </c>
      <c r="F54" s="295">
        <f t="shared" si="35"/>
        <v>10948394.716874998</v>
      </c>
      <c r="G54" s="295">
        <f t="shared" si="35"/>
        <v>12007916.786249999</v>
      </c>
      <c r="H54" s="295">
        <f t="shared" si="35"/>
        <v>12408180.679124998</v>
      </c>
      <c r="I54" s="295">
        <f t="shared" si="35"/>
        <v>11678287.697999999</v>
      </c>
      <c r="J54" s="295">
        <f t="shared" si="35"/>
        <v>9182524.6012499984</v>
      </c>
      <c r="K54" s="295">
        <f t="shared" si="35"/>
        <v>8028822.7923750002</v>
      </c>
      <c r="L54" s="295">
        <f t="shared" si="35"/>
        <v>7063480.4624999994</v>
      </c>
      <c r="M54" s="295">
        <f t="shared" si="35"/>
        <v>9488608.7546249982</v>
      </c>
      <c r="N54" s="295">
        <f t="shared" ref="N54" si="36">SUM(B54:M54)</f>
        <v>114805102.45049998</v>
      </c>
    </row>
    <row r="58" spans="1:14" ht="31" customHeight="1">
      <c r="A58" s="533" t="str">
        <f>'выручка номеров'!A32</f>
        <v>Гостиничный комплекс 3* в Этно-Деревне</v>
      </c>
    </row>
    <row r="59" spans="1:14" ht="15" customHeight="1">
      <c r="A59" s="530" t="str">
        <f>A4</f>
        <v>Средняя стоимость завтрака на человека , руб.</v>
      </c>
      <c r="B59" s="530">
        <v>600</v>
      </c>
    </row>
    <row r="60" spans="1:14" ht="15" customHeight="1">
      <c r="A60" s="530" t="str">
        <f>A5</f>
        <v>Средняя доля проданных завтраков от загрузки</v>
      </c>
      <c r="B60" s="534">
        <v>1</v>
      </c>
    </row>
    <row r="62" spans="1:14" ht="15" customHeight="1">
      <c r="A62" s="845" t="s">
        <v>477</v>
      </c>
      <c r="B62" s="859"/>
      <c r="C62" s="859"/>
      <c r="D62" s="859"/>
      <c r="E62" s="859"/>
      <c r="F62" s="859"/>
      <c r="G62" s="859"/>
      <c r="H62" s="859"/>
      <c r="I62" s="859"/>
      <c r="J62" s="859"/>
      <c r="K62" s="859"/>
      <c r="L62" s="859"/>
      <c r="M62" s="859"/>
      <c r="N62" s="860"/>
    </row>
    <row r="63" spans="1:14" ht="15" customHeight="1">
      <c r="A63" s="268"/>
      <c r="B63" s="263" t="s">
        <v>443</v>
      </c>
      <c r="C63" s="263" t="s">
        <v>444</v>
      </c>
      <c r="D63" s="263" t="s">
        <v>445</v>
      </c>
      <c r="E63" s="263" t="s">
        <v>446</v>
      </c>
      <c r="F63" s="263" t="s">
        <v>447</v>
      </c>
      <c r="G63" s="263" t="s">
        <v>448</v>
      </c>
      <c r="H63" s="263" t="s">
        <v>449</v>
      </c>
      <c r="I63" s="263" t="s">
        <v>450</v>
      </c>
      <c r="J63" s="263" t="s">
        <v>451</v>
      </c>
      <c r="K63" s="263" t="s">
        <v>452</v>
      </c>
      <c r="L63" s="263" t="s">
        <v>453</v>
      </c>
      <c r="M63" s="263" t="s">
        <v>454</v>
      </c>
      <c r="N63" s="263" t="s">
        <v>383</v>
      </c>
    </row>
    <row r="64" spans="1:14" ht="15" customHeight="1">
      <c r="A64" s="289" t="s">
        <v>455</v>
      </c>
      <c r="B64" s="243">
        <v>31</v>
      </c>
      <c r="C64" s="243">
        <v>28</v>
      </c>
      <c r="D64" s="243">
        <v>31</v>
      </c>
      <c r="E64" s="243">
        <v>30</v>
      </c>
      <c r="F64" s="243">
        <v>31</v>
      </c>
      <c r="G64" s="243">
        <v>30</v>
      </c>
      <c r="H64" s="243">
        <v>31</v>
      </c>
      <c r="I64" s="243">
        <v>31</v>
      </c>
      <c r="J64" s="243">
        <v>30</v>
      </c>
      <c r="K64" s="243">
        <v>31</v>
      </c>
      <c r="L64" s="243">
        <v>30</v>
      </c>
      <c r="M64" s="243">
        <v>31</v>
      </c>
      <c r="N64" s="253">
        <f t="shared" ref="N64:N65" si="37">SUM(B64:M64)</f>
        <v>365</v>
      </c>
    </row>
    <row r="65" spans="1:14" ht="15" customHeight="1">
      <c r="A65" s="289" t="s">
        <v>456</v>
      </c>
      <c r="B65" s="243">
        <f>'Открытые тарифы '!$C$53*'"Шведский стол" '!B64</f>
        <v>1550</v>
      </c>
      <c r="C65" s="243">
        <f>'Открытые тарифы '!$C$53*'"Шведский стол" '!C64</f>
        <v>1400</v>
      </c>
      <c r="D65" s="243">
        <f>'Открытые тарифы '!$C$53*'"Шведский стол" '!D64</f>
        <v>1550</v>
      </c>
      <c r="E65" s="243">
        <f>'Открытые тарифы '!$C$53*'"Шведский стол" '!E64</f>
        <v>1500</v>
      </c>
      <c r="F65" s="243">
        <f>'Открытые тарифы '!$C$53*'"Шведский стол" '!F64</f>
        <v>1550</v>
      </c>
      <c r="G65" s="243">
        <f>'Открытые тарифы '!$C$53*'"Шведский стол" '!G64</f>
        <v>1500</v>
      </c>
      <c r="H65" s="243">
        <f>'Открытые тарифы '!$C$53*'"Шведский стол" '!H64</f>
        <v>1550</v>
      </c>
      <c r="I65" s="243">
        <f>'Открытые тарифы '!$C$53*'"Шведский стол" '!I64</f>
        <v>1550</v>
      </c>
      <c r="J65" s="243">
        <f>'Открытые тарифы '!$C$53*'"Шведский стол" '!J64</f>
        <v>1500</v>
      </c>
      <c r="K65" s="243">
        <f>'Открытые тарифы '!$C$53*'"Шведский стол" '!K64</f>
        <v>1550</v>
      </c>
      <c r="L65" s="243">
        <f>'Открытые тарифы '!$C$53*'"Шведский стол" '!L64</f>
        <v>1500</v>
      </c>
      <c r="M65" s="243">
        <f>'Открытые тарифы '!$C$53*'"Шведский стол" '!M64</f>
        <v>1550</v>
      </c>
      <c r="N65" s="253">
        <f t="shared" si="37"/>
        <v>18250</v>
      </c>
    </row>
    <row r="66" spans="1:14" ht="15" customHeight="1">
      <c r="A66" s="479" t="s">
        <v>478</v>
      </c>
      <c r="B66" s="271">
        <f>'выручка номеров'!C35</f>
        <v>0.6</v>
      </c>
      <c r="C66" s="271">
        <f>'выручка номеров'!D35</f>
        <v>0.25</v>
      </c>
      <c r="D66" s="271">
        <f>'выручка номеров'!E35</f>
        <v>0.25</v>
      </c>
      <c r="E66" s="271">
        <f>'выручка номеров'!F35</f>
        <v>0.3</v>
      </c>
      <c r="F66" s="271">
        <f>'выручка номеров'!G35</f>
        <v>0.5</v>
      </c>
      <c r="G66" s="271">
        <f>'выручка номеров'!H35</f>
        <v>0.75</v>
      </c>
      <c r="H66" s="271">
        <f>'выручка номеров'!I35</f>
        <v>0.75</v>
      </c>
      <c r="I66" s="271">
        <f>'выручка номеров'!J35</f>
        <v>0.7</v>
      </c>
      <c r="J66" s="271">
        <f>'выручка номеров'!K35</f>
        <v>0.5</v>
      </c>
      <c r="K66" s="271">
        <f>'выручка номеров'!L35</f>
        <v>0.25</v>
      </c>
      <c r="L66" s="271">
        <f>'выручка номеров'!M35</f>
        <v>0.25</v>
      </c>
      <c r="M66" s="271">
        <f>'выручка номеров'!N35</f>
        <v>0.4</v>
      </c>
      <c r="N66" s="271">
        <f t="shared" ref="N66" si="38">AVERAGE(B66:M66)</f>
        <v>0.45833333333333343</v>
      </c>
    </row>
    <row r="67" spans="1:14" ht="15" customHeight="1">
      <c r="A67" s="289" t="s">
        <v>457</v>
      </c>
      <c r="B67" s="243">
        <f t="shared" ref="B67:M67" si="39">B66*B65</f>
        <v>930</v>
      </c>
      <c r="C67" s="243">
        <f t="shared" si="39"/>
        <v>350</v>
      </c>
      <c r="D67" s="243">
        <f t="shared" si="39"/>
        <v>387.5</v>
      </c>
      <c r="E67" s="243">
        <f t="shared" si="39"/>
        <v>450</v>
      </c>
      <c r="F67" s="243">
        <f t="shared" si="39"/>
        <v>775</v>
      </c>
      <c r="G67" s="243">
        <f t="shared" si="39"/>
        <v>1125</v>
      </c>
      <c r="H67" s="243">
        <f t="shared" si="39"/>
        <v>1162.5</v>
      </c>
      <c r="I67" s="243">
        <f t="shared" si="39"/>
        <v>1085</v>
      </c>
      <c r="J67" s="243">
        <f t="shared" si="39"/>
        <v>750</v>
      </c>
      <c r="K67" s="243">
        <f t="shared" si="39"/>
        <v>387.5</v>
      </c>
      <c r="L67" s="243">
        <f t="shared" si="39"/>
        <v>375</v>
      </c>
      <c r="M67" s="243">
        <f t="shared" si="39"/>
        <v>620</v>
      </c>
      <c r="N67" s="253">
        <f t="shared" ref="N67" si="40">SUM(B67:M67)</f>
        <v>8397.5</v>
      </c>
    </row>
    <row r="68" spans="1:14" ht="15" customHeight="1">
      <c r="A68" s="289" t="s">
        <v>790</v>
      </c>
      <c r="B68" s="243">
        <f>B59</f>
        <v>600</v>
      </c>
      <c r="C68" s="243">
        <f>B68</f>
        <v>600</v>
      </c>
      <c r="D68" s="243">
        <f t="shared" ref="D68:M68" si="41">C68</f>
        <v>600</v>
      </c>
      <c r="E68" s="243">
        <f t="shared" si="41"/>
        <v>600</v>
      </c>
      <c r="F68" s="243">
        <f t="shared" si="41"/>
        <v>600</v>
      </c>
      <c r="G68" s="243">
        <f t="shared" si="41"/>
        <v>600</v>
      </c>
      <c r="H68" s="243">
        <f t="shared" si="41"/>
        <v>600</v>
      </c>
      <c r="I68" s="243">
        <f t="shared" si="41"/>
        <v>600</v>
      </c>
      <c r="J68" s="243">
        <f t="shared" si="41"/>
        <v>600</v>
      </c>
      <c r="K68" s="243">
        <f t="shared" si="41"/>
        <v>600</v>
      </c>
      <c r="L68" s="243">
        <f t="shared" si="41"/>
        <v>600</v>
      </c>
      <c r="M68" s="243">
        <f t="shared" si="41"/>
        <v>600</v>
      </c>
      <c r="N68" s="253">
        <f t="shared" ref="N68:N71" si="42">AVERAGE(B68:M68)</f>
        <v>600</v>
      </c>
    </row>
    <row r="69" spans="1:14" ht="15" customHeight="1">
      <c r="A69" s="479" t="s">
        <v>474</v>
      </c>
      <c r="B69" s="291">
        <f t="shared" ref="B69:M69" si="43">$B$5</f>
        <v>1</v>
      </c>
      <c r="C69" s="291">
        <f t="shared" si="43"/>
        <v>1</v>
      </c>
      <c r="D69" s="291">
        <f t="shared" si="43"/>
        <v>1</v>
      </c>
      <c r="E69" s="291">
        <f t="shared" si="43"/>
        <v>1</v>
      </c>
      <c r="F69" s="291">
        <f t="shared" si="43"/>
        <v>1</v>
      </c>
      <c r="G69" s="291">
        <f t="shared" si="43"/>
        <v>1</v>
      </c>
      <c r="H69" s="291">
        <f t="shared" si="43"/>
        <v>1</v>
      </c>
      <c r="I69" s="291">
        <f t="shared" si="43"/>
        <v>1</v>
      </c>
      <c r="J69" s="291">
        <f t="shared" si="43"/>
        <v>1</v>
      </c>
      <c r="K69" s="291">
        <f t="shared" si="43"/>
        <v>1</v>
      </c>
      <c r="L69" s="291">
        <f t="shared" si="43"/>
        <v>1</v>
      </c>
      <c r="M69" s="291">
        <f t="shared" si="43"/>
        <v>1</v>
      </c>
      <c r="N69" s="274">
        <f t="shared" si="42"/>
        <v>1</v>
      </c>
    </row>
    <row r="70" spans="1:14" ht="15" customHeight="1">
      <c r="A70" s="479" t="s">
        <v>723</v>
      </c>
      <c r="B70" s="292">
        <f>'скидки для типов гостей'!$B$11</f>
        <v>1.8059999999999998</v>
      </c>
      <c r="C70" s="292">
        <f>'скидки для типов гостей'!$B$11</f>
        <v>1.8059999999999998</v>
      </c>
      <c r="D70" s="292">
        <f>'скидки для типов гостей'!$B$11</f>
        <v>1.8059999999999998</v>
      </c>
      <c r="E70" s="292">
        <f>'скидки для типов гостей'!$B$11</f>
        <v>1.8059999999999998</v>
      </c>
      <c r="F70" s="292">
        <f>'скидки для типов гостей'!$B$11</f>
        <v>1.8059999999999998</v>
      </c>
      <c r="G70" s="292">
        <f>'скидки для типов гостей'!$B$11</f>
        <v>1.8059999999999998</v>
      </c>
      <c r="H70" s="292">
        <f>'скидки для типов гостей'!$B$11</f>
        <v>1.8059999999999998</v>
      </c>
      <c r="I70" s="292">
        <f>'скидки для типов гостей'!$B$11</f>
        <v>1.8059999999999998</v>
      </c>
      <c r="J70" s="292">
        <f>'скидки для типов гостей'!$B$11</f>
        <v>1.8059999999999998</v>
      </c>
      <c r="K70" s="292">
        <f>'скидки для типов гостей'!$B$11</f>
        <v>1.8059999999999998</v>
      </c>
      <c r="L70" s="292">
        <f>'скидки для типов гостей'!$B$11</f>
        <v>1.8059999999999998</v>
      </c>
      <c r="M70" s="292">
        <f>'скидки для типов гостей'!$B$11</f>
        <v>1.8059999999999998</v>
      </c>
      <c r="N70" s="481">
        <f t="shared" si="42"/>
        <v>1.806</v>
      </c>
    </row>
    <row r="71" spans="1:14" ht="15" customHeight="1">
      <c r="A71" s="480" t="s">
        <v>482</v>
      </c>
      <c r="B71" s="293">
        <f t="shared" ref="B71:M71" si="44">B68*B69*B$20</f>
        <v>1083.5999999999999</v>
      </c>
      <c r="C71" s="293">
        <f t="shared" si="44"/>
        <v>1083.5999999999999</v>
      </c>
      <c r="D71" s="293">
        <f t="shared" si="44"/>
        <v>1083.5999999999999</v>
      </c>
      <c r="E71" s="293">
        <f t="shared" si="44"/>
        <v>1083.5999999999999</v>
      </c>
      <c r="F71" s="293">
        <f t="shared" si="44"/>
        <v>1083.5999999999999</v>
      </c>
      <c r="G71" s="293">
        <f t="shared" si="44"/>
        <v>1083.5999999999999</v>
      </c>
      <c r="H71" s="293">
        <f t="shared" si="44"/>
        <v>1083.5999999999999</v>
      </c>
      <c r="I71" s="293">
        <f t="shared" si="44"/>
        <v>1083.5999999999999</v>
      </c>
      <c r="J71" s="293">
        <f t="shared" si="44"/>
        <v>1083.5999999999999</v>
      </c>
      <c r="K71" s="293">
        <f t="shared" si="44"/>
        <v>1083.5999999999999</v>
      </c>
      <c r="L71" s="293">
        <f t="shared" si="44"/>
        <v>1083.5999999999999</v>
      </c>
      <c r="M71" s="293">
        <f t="shared" si="44"/>
        <v>1083.5999999999999</v>
      </c>
      <c r="N71" s="293">
        <f t="shared" si="42"/>
        <v>1083.6000000000001</v>
      </c>
    </row>
    <row r="72" spans="1:14" ht="15" customHeight="1">
      <c r="A72" s="294" t="s">
        <v>484</v>
      </c>
      <c r="B72" s="295">
        <f>B71*B67</f>
        <v>1007747.9999999999</v>
      </c>
      <c r="C72" s="295">
        <f t="shared" ref="C72:M72" si="45">C71*C67</f>
        <v>379259.99999999994</v>
      </c>
      <c r="D72" s="295">
        <f t="shared" si="45"/>
        <v>419894.99999999994</v>
      </c>
      <c r="E72" s="295">
        <f t="shared" si="45"/>
        <v>487619.99999999994</v>
      </c>
      <c r="F72" s="295">
        <f t="shared" si="45"/>
        <v>839789.99999999988</v>
      </c>
      <c r="G72" s="295">
        <f t="shared" si="45"/>
        <v>1219050</v>
      </c>
      <c r="H72" s="295">
        <f t="shared" si="45"/>
        <v>1259685</v>
      </c>
      <c r="I72" s="295">
        <f t="shared" si="45"/>
        <v>1175706</v>
      </c>
      <c r="J72" s="295">
        <f t="shared" si="45"/>
        <v>812699.99999999988</v>
      </c>
      <c r="K72" s="295">
        <f t="shared" si="45"/>
        <v>419894.99999999994</v>
      </c>
      <c r="L72" s="295">
        <f t="shared" si="45"/>
        <v>406349.99999999994</v>
      </c>
      <c r="M72" s="295">
        <f t="shared" si="45"/>
        <v>671832</v>
      </c>
      <c r="N72" s="295">
        <f t="shared" ref="N72" si="46">SUM(B72:M72)</f>
        <v>9099531</v>
      </c>
    </row>
    <row r="73" spans="1:14" ht="15" customHeight="1">
      <c r="A73" s="255"/>
      <c r="B73" s="296"/>
      <c r="C73" s="296"/>
      <c r="D73" s="296"/>
      <c r="E73" s="296"/>
      <c r="F73" s="296"/>
      <c r="G73" s="296"/>
      <c r="H73" s="296"/>
      <c r="I73" s="296"/>
      <c r="J73" s="296"/>
      <c r="K73" s="296"/>
      <c r="L73" s="296"/>
      <c r="M73" s="296"/>
      <c r="N73" s="297"/>
    </row>
    <row r="74" spans="1:14" ht="15" customHeight="1">
      <c r="A74" s="255"/>
      <c r="B74" s="296"/>
      <c r="C74" s="296"/>
      <c r="D74" s="296"/>
      <c r="E74" s="296"/>
      <c r="F74" s="296"/>
      <c r="G74" s="296"/>
      <c r="H74" s="296"/>
      <c r="I74" s="296"/>
      <c r="J74" s="296"/>
      <c r="K74" s="296"/>
      <c r="L74" s="296"/>
      <c r="M74" s="296"/>
      <c r="N74" s="297"/>
    </row>
    <row r="75" spans="1:14" ht="15" customHeight="1">
      <c r="A75" s="845" t="s">
        <v>485</v>
      </c>
      <c r="B75" s="859"/>
      <c r="C75" s="859"/>
      <c r="D75" s="859"/>
      <c r="E75" s="859"/>
      <c r="F75" s="859"/>
      <c r="G75" s="859"/>
      <c r="H75" s="859"/>
      <c r="I75" s="859"/>
      <c r="J75" s="859"/>
      <c r="K75" s="859"/>
      <c r="L75" s="859"/>
      <c r="M75" s="859"/>
      <c r="N75" s="860"/>
    </row>
    <row r="76" spans="1:14" ht="15" customHeight="1">
      <c r="A76" s="268"/>
      <c r="B76" s="263" t="s">
        <v>443</v>
      </c>
      <c r="C76" s="263" t="s">
        <v>444</v>
      </c>
      <c r="D76" s="263" t="s">
        <v>445</v>
      </c>
      <c r="E76" s="263" t="s">
        <v>446</v>
      </c>
      <c r="F76" s="263" t="s">
        <v>447</v>
      </c>
      <c r="G76" s="263" t="s">
        <v>448</v>
      </c>
      <c r="H76" s="263" t="s">
        <v>449</v>
      </c>
      <c r="I76" s="263" t="s">
        <v>450</v>
      </c>
      <c r="J76" s="263" t="s">
        <v>451</v>
      </c>
      <c r="K76" s="263" t="s">
        <v>452</v>
      </c>
      <c r="L76" s="263" t="s">
        <v>453</v>
      </c>
      <c r="M76" s="263" t="s">
        <v>454</v>
      </c>
      <c r="N76" s="263" t="s">
        <v>383</v>
      </c>
    </row>
    <row r="77" spans="1:14" ht="15" customHeight="1">
      <c r="A77" s="289" t="str">
        <f>A64</f>
        <v>Дней в текущем месяце</v>
      </c>
      <c r="B77" s="243">
        <v>31</v>
      </c>
      <c r="C77" s="243">
        <v>28</v>
      </c>
      <c r="D77" s="243">
        <v>31</v>
      </c>
      <c r="E77" s="243">
        <v>30</v>
      </c>
      <c r="F77" s="243">
        <v>31</v>
      </c>
      <c r="G77" s="243">
        <v>30</v>
      </c>
      <c r="H77" s="243">
        <v>31</v>
      </c>
      <c r="I77" s="243">
        <v>31</v>
      </c>
      <c r="J77" s="243">
        <v>30</v>
      </c>
      <c r="K77" s="243">
        <v>31</v>
      </c>
      <c r="L77" s="243">
        <v>30</v>
      </c>
      <c r="M77" s="243">
        <v>31</v>
      </c>
      <c r="N77" s="253">
        <f t="shared" ref="N77:N78" si="47">SUM(B77:M77)</f>
        <v>365</v>
      </c>
    </row>
    <row r="78" spans="1:14" ht="15" customHeight="1">
      <c r="A78" s="289" t="str">
        <f t="shared" ref="A78:A84" si="48">A65</f>
        <v>Потенциал номеро-суток</v>
      </c>
      <c r="B78" s="243">
        <f>'выручка номеров'!C69</f>
        <v>1550</v>
      </c>
      <c r="C78" s="243">
        <f>'выручка номеров'!D69</f>
        <v>1400</v>
      </c>
      <c r="D78" s="243">
        <f>'выручка номеров'!E69</f>
        <v>1550</v>
      </c>
      <c r="E78" s="243">
        <f>'выручка номеров'!F69</f>
        <v>1500</v>
      </c>
      <c r="F78" s="243">
        <f>'выручка номеров'!G69</f>
        <v>1550</v>
      </c>
      <c r="G78" s="243">
        <f>'выручка номеров'!H69</f>
        <v>1500</v>
      </c>
      <c r="H78" s="243">
        <f>'выручка номеров'!I69</f>
        <v>1550</v>
      </c>
      <c r="I78" s="243">
        <f>'выручка номеров'!J69</f>
        <v>1550</v>
      </c>
      <c r="J78" s="243">
        <f>'выручка номеров'!K69</f>
        <v>1500</v>
      </c>
      <c r="K78" s="243">
        <f>'выручка номеров'!L69</f>
        <v>1550</v>
      </c>
      <c r="L78" s="243">
        <f>'выручка номеров'!M69</f>
        <v>1500</v>
      </c>
      <c r="M78" s="243">
        <f>'выручка номеров'!N69</f>
        <v>1550</v>
      </c>
      <c r="N78" s="253">
        <f t="shared" si="47"/>
        <v>18250</v>
      </c>
    </row>
    <row r="79" spans="1:14" ht="15" customHeight="1">
      <c r="A79" s="289" t="str">
        <f t="shared" si="48"/>
        <v>Загрузка номеров, %, в т.ч.:</v>
      </c>
      <c r="B79" s="271">
        <f>'выручка номеров'!C71</f>
        <v>0.6</v>
      </c>
      <c r="C79" s="271">
        <f>'выручка номеров'!D71</f>
        <v>0.25</v>
      </c>
      <c r="D79" s="271">
        <f>'выручка номеров'!E71</f>
        <v>0.25</v>
      </c>
      <c r="E79" s="271">
        <f>'выручка номеров'!F71</f>
        <v>0.3</v>
      </c>
      <c r="F79" s="271">
        <f>'выручка номеров'!G71</f>
        <v>0.5</v>
      </c>
      <c r="G79" s="271">
        <f>'выручка номеров'!H71</f>
        <v>0.75</v>
      </c>
      <c r="H79" s="271">
        <f>'выручка номеров'!I71</f>
        <v>0.75</v>
      </c>
      <c r="I79" s="271">
        <f>'выручка номеров'!J71</f>
        <v>0.7</v>
      </c>
      <c r="J79" s="271">
        <f>'выручка номеров'!K71</f>
        <v>0.5</v>
      </c>
      <c r="K79" s="271">
        <f>'выручка номеров'!L71</f>
        <v>0.25</v>
      </c>
      <c r="L79" s="271">
        <f>'выручка номеров'!M71</f>
        <v>0.25</v>
      </c>
      <c r="M79" s="271">
        <f>'выручка номеров'!N71</f>
        <v>0.4</v>
      </c>
      <c r="N79" s="271">
        <f t="shared" ref="N79" si="49">AVERAGE(B79:M79)</f>
        <v>0.45833333333333343</v>
      </c>
    </row>
    <row r="80" spans="1:14" ht="15" customHeight="1">
      <c r="A80" s="289" t="str">
        <f t="shared" si="48"/>
        <v>Продано номеро-суток</v>
      </c>
      <c r="B80" s="243">
        <f t="shared" ref="B80:M80" si="50">B79*B78</f>
        <v>930</v>
      </c>
      <c r="C80" s="243">
        <f t="shared" si="50"/>
        <v>350</v>
      </c>
      <c r="D80" s="243">
        <f t="shared" si="50"/>
        <v>387.5</v>
      </c>
      <c r="E80" s="243">
        <f t="shared" si="50"/>
        <v>450</v>
      </c>
      <c r="F80" s="243">
        <f t="shared" si="50"/>
        <v>775</v>
      </c>
      <c r="G80" s="243">
        <f t="shared" si="50"/>
        <v>1125</v>
      </c>
      <c r="H80" s="243">
        <f t="shared" si="50"/>
        <v>1162.5</v>
      </c>
      <c r="I80" s="243">
        <f t="shared" si="50"/>
        <v>1085</v>
      </c>
      <c r="J80" s="243">
        <f t="shared" si="50"/>
        <v>750</v>
      </c>
      <c r="K80" s="243">
        <f t="shared" si="50"/>
        <v>387.5</v>
      </c>
      <c r="L80" s="243">
        <f t="shared" si="50"/>
        <v>375</v>
      </c>
      <c r="M80" s="243">
        <f t="shared" si="50"/>
        <v>620</v>
      </c>
      <c r="N80" s="253">
        <f t="shared" ref="N80" si="51">SUM(B80:M80)</f>
        <v>8397.5</v>
      </c>
    </row>
    <row r="81" spans="1:14" ht="15" customHeight="1">
      <c r="A81" s="289" t="str">
        <f t="shared" si="48"/>
        <v xml:space="preserve">Средняя стоимость завтрака </v>
      </c>
      <c r="B81" s="243">
        <f>$C$4+$C$4*'выручка номеров'!$C$5</f>
        <v>875</v>
      </c>
      <c r="C81" s="243">
        <f>$C$4+$C$4*'выручка номеров'!$C$5</f>
        <v>875</v>
      </c>
      <c r="D81" s="243">
        <f>$C$4+$C$4*'выручка номеров'!$C$5</f>
        <v>875</v>
      </c>
      <c r="E81" s="243">
        <f>$C$4+$C$4*'выручка номеров'!$C$5</f>
        <v>875</v>
      </c>
      <c r="F81" s="243">
        <f>$C$4+$C$4*'выручка номеров'!$C$5</f>
        <v>875</v>
      </c>
      <c r="G81" s="243">
        <f>$C$4+$C$4*'выручка номеров'!$C$5</f>
        <v>875</v>
      </c>
      <c r="H81" s="243">
        <f>$C$4+$C$4*'выручка номеров'!$C$5</f>
        <v>875</v>
      </c>
      <c r="I81" s="243">
        <f>$C$4+$C$4*'выручка номеров'!$C$5</f>
        <v>875</v>
      </c>
      <c r="J81" s="243">
        <f>$C$4+$C$4*'выручка номеров'!$C$5</f>
        <v>875</v>
      </c>
      <c r="K81" s="243">
        <f>$C$4+$C$4*'выручка номеров'!$C$5</f>
        <v>875</v>
      </c>
      <c r="L81" s="243">
        <f>$C$4+$C$4*'выручка номеров'!$C$5</f>
        <v>875</v>
      </c>
      <c r="M81" s="243">
        <f>$C$4+$C$4*'выручка номеров'!$C$5</f>
        <v>875</v>
      </c>
      <c r="N81" s="253">
        <f t="shared" ref="N81:N84" si="52">AVERAGE(B81:M81)</f>
        <v>875</v>
      </c>
    </row>
    <row r="82" spans="1:14" ht="15" customHeight="1">
      <c r="A82" s="289" t="str">
        <f t="shared" si="48"/>
        <v>Средняя доля проданных завтраков от загрузки</v>
      </c>
      <c r="B82" s="535">
        <f>B69</f>
        <v>1</v>
      </c>
      <c r="C82" s="535">
        <f t="shared" ref="C82:M82" si="53">C69</f>
        <v>1</v>
      </c>
      <c r="D82" s="535">
        <f t="shared" si="53"/>
        <v>1</v>
      </c>
      <c r="E82" s="535">
        <f t="shared" si="53"/>
        <v>1</v>
      </c>
      <c r="F82" s="535">
        <f t="shared" si="53"/>
        <v>1</v>
      </c>
      <c r="G82" s="535">
        <f t="shared" si="53"/>
        <v>1</v>
      </c>
      <c r="H82" s="535">
        <f t="shared" si="53"/>
        <v>1</v>
      </c>
      <c r="I82" s="535">
        <f t="shared" si="53"/>
        <v>1</v>
      </c>
      <c r="J82" s="535">
        <f t="shared" si="53"/>
        <v>1</v>
      </c>
      <c r="K82" s="535">
        <f t="shared" si="53"/>
        <v>1</v>
      </c>
      <c r="L82" s="535">
        <f t="shared" si="53"/>
        <v>1</v>
      </c>
      <c r="M82" s="535">
        <f t="shared" si="53"/>
        <v>1</v>
      </c>
      <c r="N82" s="440">
        <f t="shared" si="52"/>
        <v>1</v>
      </c>
    </row>
    <row r="83" spans="1:14" ht="15" customHeight="1">
      <c r="A83" s="289" t="str">
        <f t="shared" si="48"/>
        <v xml:space="preserve">Среднее количество гостей в номере </v>
      </c>
      <c r="B83" s="292">
        <f>B70</f>
        <v>1.8059999999999998</v>
      </c>
      <c r="C83" s="292">
        <f t="shared" ref="C83:M83" si="54">C70</f>
        <v>1.8059999999999998</v>
      </c>
      <c r="D83" s="292">
        <f t="shared" si="54"/>
        <v>1.8059999999999998</v>
      </c>
      <c r="E83" s="292">
        <f t="shared" si="54"/>
        <v>1.8059999999999998</v>
      </c>
      <c r="F83" s="292">
        <f t="shared" si="54"/>
        <v>1.8059999999999998</v>
      </c>
      <c r="G83" s="292">
        <f t="shared" si="54"/>
        <v>1.8059999999999998</v>
      </c>
      <c r="H83" s="292">
        <f t="shared" si="54"/>
        <v>1.8059999999999998</v>
      </c>
      <c r="I83" s="292">
        <f t="shared" si="54"/>
        <v>1.8059999999999998</v>
      </c>
      <c r="J83" s="292">
        <f t="shared" si="54"/>
        <v>1.8059999999999998</v>
      </c>
      <c r="K83" s="292">
        <f t="shared" si="54"/>
        <v>1.8059999999999998</v>
      </c>
      <c r="L83" s="292">
        <f t="shared" si="54"/>
        <v>1.8059999999999998</v>
      </c>
      <c r="M83" s="292">
        <f t="shared" si="54"/>
        <v>1.8059999999999998</v>
      </c>
      <c r="N83" s="481">
        <f t="shared" si="52"/>
        <v>1.806</v>
      </c>
    </row>
    <row r="84" spans="1:14" ht="15" customHeight="1">
      <c r="A84" s="289" t="str">
        <f t="shared" si="48"/>
        <v>Доход на одну номеро-ночь от завтраков</v>
      </c>
      <c r="B84" s="243">
        <f>B83*B81</f>
        <v>1580.2499999999998</v>
      </c>
      <c r="C84" s="243">
        <f t="shared" ref="C84:M84" si="55">C83*C81</f>
        <v>1580.2499999999998</v>
      </c>
      <c r="D84" s="243">
        <f t="shared" si="55"/>
        <v>1580.2499999999998</v>
      </c>
      <c r="E84" s="243">
        <f t="shared" si="55"/>
        <v>1580.2499999999998</v>
      </c>
      <c r="F84" s="243">
        <f t="shared" si="55"/>
        <v>1580.2499999999998</v>
      </c>
      <c r="G84" s="243">
        <f t="shared" si="55"/>
        <v>1580.2499999999998</v>
      </c>
      <c r="H84" s="243">
        <f t="shared" si="55"/>
        <v>1580.2499999999998</v>
      </c>
      <c r="I84" s="243">
        <f t="shared" si="55"/>
        <v>1580.2499999999998</v>
      </c>
      <c r="J84" s="243">
        <f t="shared" si="55"/>
        <v>1580.2499999999998</v>
      </c>
      <c r="K84" s="243">
        <f t="shared" si="55"/>
        <v>1580.2499999999998</v>
      </c>
      <c r="L84" s="243">
        <f t="shared" si="55"/>
        <v>1580.2499999999998</v>
      </c>
      <c r="M84" s="243">
        <f t="shared" si="55"/>
        <v>1580.2499999999998</v>
      </c>
      <c r="N84" s="253">
        <f t="shared" si="52"/>
        <v>1580.2499999999998</v>
      </c>
    </row>
    <row r="85" spans="1:14" ht="15" customHeight="1">
      <c r="A85" s="294" t="s">
        <v>484</v>
      </c>
      <c r="B85" s="295">
        <f>B84*B80</f>
        <v>1469632.4999999998</v>
      </c>
      <c r="C85" s="295">
        <f t="shared" ref="C85:M85" si="56">C84*C80</f>
        <v>553087.49999999988</v>
      </c>
      <c r="D85" s="295">
        <f t="shared" si="56"/>
        <v>612346.87499999988</v>
      </c>
      <c r="E85" s="295">
        <f t="shared" si="56"/>
        <v>711112.49999999988</v>
      </c>
      <c r="F85" s="295">
        <f t="shared" si="56"/>
        <v>1224693.7499999998</v>
      </c>
      <c r="G85" s="295">
        <f t="shared" si="56"/>
        <v>1777781.2499999998</v>
      </c>
      <c r="H85" s="295">
        <f t="shared" si="56"/>
        <v>1837040.6249999998</v>
      </c>
      <c r="I85" s="295">
        <f t="shared" si="56"/>
        <v>1714571.2499999998</v>
      </c>
      <c r="J85" s="295">
        <f t="shared" si="56"/>
        <v>1185187.4999999998</v>
      </c>
      <c r="K85" s="295">
        <f t="shared" si="56"/>
        <v>612346.87499999988</v>
      </c>
      <c r="L85" s="295">
        <f t="shared" si="56"/>
        <v>592593.74999999988</v>
      </c>
      <c r="M85" s="295">
        <f t="shared" si="56"/>
        <v>979754.99999999988</v>
      </c>
      <c r="N85" s="295">
        <f t="shared" ref="N85" si="57">SUM(B85:M85)</f>
        <v>13270149.374999998</v>
      </c>
    </row>
    <row r="87" spans="1:14" ht="15" customHeight="1">
      <c r="A87" s="845" t="s">
        <v>486</v>
      </c>
      <c r="B87" s="861"/>
      <c r="C87" s="861"/>
      <c r="D87" s="861"/>
      <c r="E87" s="861"/>
      <c r="F87" s="861"/>
      <c r="G87" s="861"/>
      <c r="H87" s="861"/>
      <c r="I87" s="861"/>
      <c r="J87" s="861"/>
      <c r="K87" s="861"/>
      <c r="L87" s="861"/>
      <c r="M87" s="861"/>
      <c r="N87" s="862"/>
    </row>
    <row r="88" spans="1:14" ht="15" customHeight="1">
      <c r="A88" s="268"/>
      <c r="B88" s="263" t="s">
        <v>443</v>
      </c>
      <c r="C88" s="263" t="s">
        <v>444</v>
      </c>
      <c r="D88" s="263" t="s">
        <v>445</v>
      </c>
      <c r="E88" s="263" t="s">
        <v>446</v>
      </c>
      <c r="F88" s="263" t="s">
        <v>447</v>
      </c>
      <c r="G88" s="263" t="s">
        <v>448</v>
      </c>
      <c r="H88" s="263" t="s">
        <v>449</v>
      </c>
      <c r="I88" s="263" t="s">
        <v>450</v>
      </c>
      <c r="J88" s="263" t="s">
        <v>451</v>
      </c>
      <c r="K88" s="263" t="s">
        <v>452</v>
      </c>
      <c r="L88" s="263" t="s">
        <v>453</v>
      </c>
      <c r="M88" s="263" t="s">
        <v>454</v>
      </c>
      <c r="N88" s="263" t="s">
        <v>383</v>
      </c>
    </row>
    <row r="89" spans="1:14" ht="15" customHeight="1">
      <c r="A89" s="289" t="str">
        <f>A64</f>
        <v>Дней в текущем месяце</v>
      </c>
      <c r="B89" s="243">
        <v>31</v>
      </c>
      <c r="C89" s="243">
        <v>28</v>
      </c>
      <c r="D89" s="243">
        <v>31</v>
      </c>
      <c r="E89" s="243">
        <v>30</v>
      </c>
      <c r="F89" s="243">
        <v>31</v>
      </c>
      <c r="G89" s="243">
        <v>30</v>
      </c>
      <c r="H89" s="243">
        <v>31</v>
      </c>
      <c r="I89" s="243">
        <v>31</v>
      </c>
      <c r="J89" s="243">
        <v>30</v>
      </c>
      <c r="K89" s="243">
        <v>31</v>
      </c>
      <c r="L89" s="243">
        <v>30</v>
      </c>
      <c r="M89" s="243">
        <v>31</v>
      </c>
      <c r="N89" s="253">
        <f t="shared" ref="N89:N90" si="58">SUM(B89:M89)</f>
        <v>365</v>
      </c>
    </row>
    <row r="90" spans="1:14" ht="15" customHeight="1">
      <c r="A90" s="289" t="str">
        <f t="shared" ref="A90:A96" si="59">A65</f>
        <v>Потенциал номеро-суток</v>
      </c>
      <c r="B90" s="243">
        <f>'выручка номеров'!C105</f>
        <v>1550</v>
      </c>
      <c r="C90" s="243">
        <f>'выручка номеров'!D105</f>
        <v>1400</v>
      </c>
      <c r="D90" s="243">
        <f>'выручка номеров'!E105</f>
        <v>1550</v>
      </c>
      <c r="E90" s="243">
        <f>'выручка номеров'!F105</f>
        <v>1500</v>
      </c>
      <c r="F90" s="243">
        <f>'выручка номеров'!G105</f>
        <v>1550</v>
      </c>
      <c r="G90" s="243">
        <f>'выручка номеров'!H105</f>
        <v>1500</v>
      </c>
      <c r="H90" s="243">
        <f>'выручка номеров'!I105</f>
        <v>1550</v>
      </c>
      <c r="I90" s="243">
        <f>'выручка номеров'!J105</f>
        <v>1550</v>
      </c>
      <c r="J90" s="243">
        <f>'выручка номеров'!K105</f>
        <v>1500</v>
      </c>
      <c r="K90" s="243">
        <f>'выручка номеров'!L105</f>
        <v>1550</v>
      </c>
      <c r="L90" s="243">
        <f>'выручка номеров'!M105</f>
        <v>1500</v>
      </c>
      <c r="M90" s="243">
        <f>'выручка номеров'!N105</f>
        <v>1550</v>
      </c>
      <c r="N90" s="253">
        <f t="shared" si="58"/>
        <v>18250</v>
      </c>
    </row>
    <row r="91" spans="1:14" ht="15" customHeight="1">
      <c r="A91" s="289" t="str">
        <f t="shared" si="59"/>
        <v>Загрузка номеров, %, в т.ч.:</v>
      </c>
      <c r="B91" s="271">
        <f>'выручка номеров'!C107</f>
        <v>0.6</v>
      </c>
      <c r="C91" s="271">
        <f>'выручка номеров'!D107</f>
        <v>0.25</v>
      </c>
      <c r="D91" s="271">
        <f>'выручка номеров'!E107</f>
        <v>0.25</v>
      </c>
      <c r="E91" s="271">
        <f>'выручка номеров'!F107</f>
        <v>0.3</v>
      </c>
      <c r="F91" s="271">
        <f>'выручка номеров'!G107</f>
        <v>0.5</v>
      </c>
      <c r="G91" s="271">
        <f>'выручка номеров'!H107</f>
        <v>0.75</v>
      </c>
      <c r="H91" s="271">
        <f>'выручка номеров'!I107</f>
        <v>0.75</v>
      </c>
      <c r="I91" s="271">
        <f>'выручка номеров'!J107</f>
        <v>0.7</v>
      </c>
      <c r="J91" s="271">
        <f>'выручка номеров'!K107</f>
        <v>0.5</v>
      </c>
      <c r="K91" s="271">
        <f>'выручка номеров'!L107</f>
        <v>0.25</v>
      </c>
      <c r="L91" s="271">
        <f>'выручка номеров'!M107</f>
        <v>0.25</v>
      </c>
      <c r="M91" s="271">
        <f>'выручка номеров'!N107</f>
        <v>0.4</v>
      </c>
      <c r="N91" s="271">
        <f t="shared" ref="N91" si="60">AVERAGE(B91:M91)</f>
        <v>0.45833333333333343</v>
      </c>
    </row>
    <row r="92" spans="1:14" ht="15" customHeight="1">
      <c r="A92" s="289" t="str">
        <f t="shared" si="59"/>
        <v>Продано номеро-суток</v>
      </c>
      <c r="B92" s="243">
        <f t="shared" ref="B92:M92" si="61">B91*B90</f>
        <v>930</v>
      </c>
      <c r="C92" s="243">
        <f t="shared" si="61"/>
        <v>350</v>
      </c>
      <c r="D92" s="243">
        <f t="shared" si="61"/>
        <v>387.5</v>
      </c>
      <c r="E92" s="243">
        <f t="shared" si="61"/>
        <v>450</v>
      </c>
      <c r="F92" s="243">
        <f t="shared" si="61"/>
        <v>775</v>
      </c>
      <c r="G92" s="243">
        <f t="shared" si="61"/>
        <v>1125</v>
      </c>
      <c r="H92" s="243">
        <f t="shared" si="61"/>
        <v>1162.5</v>
      </c>
      <c r="I92" s="243">
        <f t="shared" si="61"/>
        <v>1085</v>
      </c>
      <c r="J92" s="243">
        <f t="shared" si="61"/>
        <v>750</v>
      </c>
      <c r="K92" s="243">
        <f t="shared" si="61"/>
        <v>387.5</v>
      </c>
      <c r="L92" s="243">
        <f t="shared" si="61"/>
        <v>375</v>
      </c>
      <c r="M92" s="243">
        <f t="shared" si="61"/>
        <v>620</v>
      </c>
      <c r="N92" s="253">
        <f t="shared" ref="N92" si="62">SUM(B92:M92)</f>
        <v>8397.5</v>
      </c>
    </row>
    <row r="93" spans="1:14" ht="15" customHeight="1">
      <c r="A93" s="289" t="str">
        <f t="shared" si="59"/>
        <v xml:space="preserve">Средняя стоимость завтрака </v>
      </c>
      <c r="B93" s="243">
        <f>B81+B81*'выручка номеров'!$D$3</f>
        <v>918.75</v>
      </c>
      <c r="C93" s="243">
        <f>C81+C81*'выручка номеров'!$D$3</f>
        <v>918.75</v>
      </c>
      <c r="D93" s="243">
        <f>D81+D81*'выручка номеров'!$D$3</f>
        <v>918.75</v>
      </c>
      <c r="E93" s="243">
        <f>E81+E81*'выручка номеров'!$D$3</f>
        <v>918.75</v>
      </c>
      <c r="F93" s="243">
        <f>F81+F81*'выручка номеров'!$D$3</f>
        <v>918.75</v>
      </c>
      <c r="G93" s="243">
        <f>G81+G81*'выручка номеров'!$D$3</f>
        <v>918.75</v>
      </c>
      <c r="H93" s="243">
        <f>H81+H81*'выручка номеров'!$D$3</f>
        <v>918.75</v>
      </c>
      <c r="I93" s="243">
        <f>I81+I81*'выручка номеров'!$D$3</f>
        <v>918.75</v>
      </c>
      <c r="J93" s="243">
        <f>J81+J81*'выручка номеров'!$D$3</f>
        <v>918.75</v>
      </c>
      <c r="K93" s="243">
        <f>K81+K81*'выручка номеров'!$D$3</f>
        <v>918.75</v>
      </c>
      <c r="L93" s="243">
        <f>L81+L81*'выручка номеров'!$D$3</f>
        <v>918.75</v>
      </c>
      <c r="M93" s="243">
        <f>M81+M81*'выручка номеров'!$D$3</f>
        <v>918.75</v>
      </c>
      <c r="N93" s="253">
        <f t="shared" ref="N93:N96" si="63">AVERAGE(B93:M93)</f>
        <v>918.75</v>
      </c>
    </row>
    <row r="94" spans="1:14" ht="15" customHeight="1">
      <c r="A94" s="289" t="str">
        <f t="shared" si="59"/>
        <v>Средняя доля проданных завтраков от загрузки</v>
      </c>
      <c r="B94" s="535">
        <f>B82</f>
        <v>1</v>
      </c>
      <c r="C94" s="535">
        <f t="shared" ref="C94:M94" si="64">C82</f>
        <v>1</v>
      </c>
      <c r="D94" s="535">
        <f t="shared" si="64"/>
        <v>1</v>
      </c>
      <c r="E94" s="535">
        <f t="shared" si="64"/>
        <v>1</v>
      </c>
      <c r="F94" s="535">
        <f t="shared" si="64"/>
        <v>1</v>
      </c>
      <c r="G94" s="535">
        <f t="shared" si="64"/>
        <v>1</v>
      </c>
      <c r="H94" s="535">
        <f t="shared" si="64"/>
        <v>1</v>
      </c>
      <c r="I94" s="535">
        <f t="shared" si="64"/>
        <v>1</v>
      </c>
      <c r="J94" s="535">
        <f t="shared" si="64"/>
        <v>1</v>
      </c>
      <c r="K94" s="535">
        <f t="shared" si="64"/>
        <v>1</v>
      </c>
      <c r="L94" s="535">
        <f t="shared" si="64"/>
        <v>1</v>
      </c>
      <c r="M94" s="535">
        <f t="shared" si="64"/>
        <v>1</v>
      </c>
      <c r="N94" s="440">
        <f t="shared" si="63"/>
        <v>1</v>
      </c>
    </row>
    <row r="95" spans="1:14" ht="15" customHeight="1">
      <c r="A95" s="289" t="str">
        <f t="shared" si="59"/>
        <v xml:space="preserve">Среднее количество гостей в номере </v>
      </c>
      <c r="B95" s="292">
        <f>B83</f>
        <v>1.8059999999999998</v>
      </c>
      <c r="C95" s="292">
        <f t="shared" ref="C95:M95" si="65">C83</f>
        <v>1.8059999999999998</v>
      </c>
      <c r="D95" s="292">
        <f t="shared" si="65"/>
        <v>1.8059999999999998</v>
      </c>
      <c r="E95" s="292">
        <f t="shared" si="65"/>
        <v>1.8059999999999998</v>
      </c>
      <c r="F95" s="292">
        <f t="shared" si="65"/>
        <v>1.8059999999999998</v>
      </c>
      <c r="G95" s="292">
        <f t="shared" si="65"/>
        <v>1.8059999999999998</v>
      </c>
      <c r="H95" s="292">
        <f t="shared" si="65"/>
        <v>1.8059999999999998</v>
      </c>
      <c r="I95" s="292">
        <f t="shared" si="65"/>
        <v>1.8059999999999998</v>
      </c>
      <c r="J95" s="292">
        <f t="shared" si="65"/>
        <v>1.8059999999999998</v>
      </c>
      <c r="K95" s="292">
        <f t="shared" si="65"/>
        <v>1.8059999999999998</v>
      </c>
      <c r="L95" s="292">
        <f t="shared" si="65"/>
        <v>1.8059999999999998</v>
      </c>
      <c r="M95" s="292">
        <f t="shared" si="65"/>
        <v>1.8059999999999998</v>
      </c>
      <c r="N95" s="481">
        <f t="shared" si="63"/>
        <v>1.806</v>
      </c>
    </row>
    <row r="96" spans="1:14" ht="15" customHeight="1">
      <c r="A96" s="289" t="str">
        <f t="shared" si="59"/>
        <v>Доход на одну номеро-ночь от завтраков</v>
      </c>
      <c r="B96" s="243">
        <f>B95*B93</f>
        <v>1659.2624999999998</v>
      </c>
      <c r="C96" s="243">
        <f t="shared" ref="C96:M96" si="66">C95*C93</f>
        <v>1659.2624999999998</v>
      </c>
      <c r="D96" s="243">
        <f t="shared" si="66"/>
        <v>1659.2624999999998</v>
      </c>
      <c r="E96" s="243">
        <f t="shared" si="66"/>
        <v>1659.2624999999998</v>
      </c>
      <c r="F96" s="243">
        <f t="shared" si="66"/>
        <v>1659.2624999999998</v>
      </c>
      <c r="G96" s="243">
        <f t="shared" si="66"/>
        <v>1659.2624999999998</v>
      </c>
      <c r="H96" s="243">
        <f t="shared" si="66"/>
        <v>1659.2624999999998</v>
      </c>
      <c r="I96" s="243">
        <f t="shared" si="66"/>
        <v>1659.2624999999998</v>
      </c>
      <c r="J96" s="243">
        <f t="shared" si="66"/>
        <v>1659.2624999999998</v>
      </c>
      <c r="K96" s="243">
        <f t="shared" si="66"/>
        <v>1659.2624999999998</v>
      </c>
      <c r="L96" s="243">
        <f t="shared" si="66"/>
        <v>1659.2624999999998</v>
      </c>
      <c r="M96" s="243">
        <f t="shared" si="66"/>
        <v>1659.2624999999998</v>
      </c>
      <c r="N96" s="253">
        <f t="shared" si="63"/>
        <v>1659.2625000000005</v>
      </c>
    </row>
    <row r="97" spans="1:14" ht="15" customHeight="1">
      <c r="A97" s="294" t="str">
        <f>A85</f>
        <v>ИТОГО от питания в пакете</v>
      </c>
      <c r="B97" s="295">
        <f>B96*B92</f>
        <v>1543114.1249999998</v>
      </c>
      <c r="C97" s="295">
        <f t="shared" ref="C97:M97" si="67">C96*C92</f>
        <v>580741.87499999988</v>
      </c>
      <c r="D97" s="295">
        <f t="shared" si="67"/>
        <v>642964.21874999988</v>
      </c>
      <c r="E97" s="295">
        <f t="shared" si="67"/>
        <v>746668.12499999988</v>
      </c>
      <c r="F97" s="295">
        <f t="shared" si="67"/>
        <v>1285928.4374999998</v>
      </c>
      <c r="G97" s="295">
        <f t="shared" si="67"/>
        <v>1866670.3124999998</v>
      </c>
      <c r="H97" s="295">
        <f t="shared" si="67"/>
        <v>1928892.6562499998</v>
      </c>
      <c r="I97" s="295">
        <f t="shared" si="67"/>
        <v>1800299.8124999998</v>
      </c>
      <c r="J97" s="295">
        <f t="shared" si="67"/>
        <v>1244446.8749999998</v>
      </c>
      <c r="K97" s="295">
        <f t="shared" si="67"/>
        <v>642964.21874999988</v>
      </c>
      <c r="L97" s="295">
        <f t="shared" si="67"/>
        <v>622223.43749999988</v>
      </c>
      <c r="M97" s="295">
        <f t="shared" si="67"/>
        <v>1028742.7499999999</v>
      </c>
      <c r="N97" s="295">
        <f t="shared" ref="N97" si="68">SUM(B97:M97)</f>
        <v>13933656.843749998</v>
      </c>
    </row>
  </sheetData>
  <mergeCells count="6">
    <mergeCell ref="A75:N75"/>
    <mergeCell ref="A87:N87"/>
    <mergeCell ref="A41:N41"/>
    <mergeCell ref="A10:N10"/>
    <mergeCell ref="A26:N26"/>
    <mergeCell ref="A62:N62"/>
  </mergeCells>
  <phoneticPr fontId="77" type="noConversion"/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1"/>
  <dimension ref="A1:N100"/>
  <sheetViews>
    <sheetView topLeftCell="A6" workbookViewId="0">
      <selection activeCell="A35" sqref="A35"/>
    </sheetView>
  </sheetViews>
  <sheetFormatPr defaultColWidth="14.453125" defaultRowHeight="15" customHeight="1"/>
  <cols>
    <col min="1" max="1" width="45.1796875" customWidth="1"/>
    <col min="2" max="2" width="11.453125" customWidth="1"/>
    <col min="3" max="3" width="10.1796875" customWidth="1"/>
    <col min="4" max="6" width="9.1796875" customWidth="1"/>
    <col min="7" max="13" width="10.26953125" customWidth="1"/>
    <col min="14" max="14" width="10.453125" customWidth="1"/>
  </cols>
  <sheetData>
    <row r="1" spans="1:14" s="529" customFormat="1" ht="28" customHeight="1">
      <c r="A1" s="529" t="str">
        <f>'выручка номеров'!A9</f>
        <v>Гостиничный комплекс 4* "У Бювета"</v>
      </c>
    </row>
    <row r="2" spans="1:14" ht="12.75" customHeight="1">
      <c r="A2" s="286"/>
      <c r="B2" s="286" t="s">
        <v>487</v>
      </c>
      <c r="C2" s="286" t="s">
        <v>488</v>
      </c>
    </row>
    <row r="3" spans="1:14" ht="29.25" customHeight="1">
      <c r="A3" s="235" t="s">
        <v>489</v>
      </c>
      <c r="B3" s="287">
        <f>'Открытые тарифы '!D19</f>
        <v>300</v>
      </c>
      <c r="C3" s="287">
        <f t="shared" ref="C3" si="0">B3*2</f>
        <v>600</v>
      </c>
    </row>
    <row r="4" spans="1:14" ht="29.25" hidden="1" customHeight="1">
      <c r="A4" s="235" t="s">
        <v>490</v>
      </c>
      <c r="B4" s="287">
        <v>0</v>
      </c>
      <c r="C4" s="287">
        <v>0</v>
      </c>
    </row>
    <row r="5" spans="1:14" ht="12.75" customHeight="1">
      <c r="A5" s="231" t="s">
        <v>491</v>
      </c>
      <c r="B5" s="286"/>
      <c r="C5" s="288">
        <v>1</v>
      </c>
    </row>
    <row r="6" spans="1:14" ht="12.75" customHeight="1"/>
    <row r="7" spans="1:14" ht="12.75" customHeight="1">
      <c r="A7" s="845" t="s">
        <v>492</v>
      </c>
      <c r="B7" s="812"/>
      <c r="C7" s="812"/>
      <c r="D7" s="812"/>
      <c r="E7" s="812"/>
      <c r="F7" s="812"/>
      <c r="G7" s="812"/>
      <c r="H7" s="812"/>
      <c r="I7" s="812"/>
      <c r="J7" s="812"/>
      <c r="K7" s="812"/>
      <c r="L7" s="812"/>
      <c r="M7" s="812"/>
      <c r="N7" s="813"/>
    </row>
    <row r="8" spans="1:14" ht="12.75" customHeight="1">
      <c r="A8" s="268"/>
      <c r="B8" s="263" t="s">
        <v>443</v>
      </c>
      <c r="C8" s="263" t="s">
        <v>444</v>
      </c>
      <c r="D8" s="263" t="s">
        <v>445</v>
      </c>
      <c r="E8" s="263" t="s">
        <v>446</v>
      </c>
      <c r="F8" s="263" t="s">
        <v>447</v>
      </c>
      <c r="G8" s="263" t="s">
        <v>448</v>
      </c>
      <c r="H8" s="263" t="s">
        <v>449</v>
      </c>
      <c r="I8" s="263" t="s">
        <v>450</v>
      </c>
      <c r="J8" s="263" t="s">
        <v>451</v>
      </c>
      <c r="K8" s="263" t="s">
        <v>452</v>
      </c>
      <c r="L8" s="263" t="s">
        <v>453</v>
      </c>
      <c r="M8" s="263" t="s">
        <v>454</v>
      </c>
      <c r="N8" s="263" t="s">
        <v>383</v>
      </c>
    </row>
    <row r="9" spans="1:14" ht="12.75" customHeight="1">
      <c r="A9" s="250" t="s">
        <v>455</v>
      </c>
      <c r="B9" s="243">
        <v>31</v>
      </c>
      <c r="C9" s="243">
        <v>28</v>
      </c>
      <c r="D9" s="243">
        <v>31</v>
      </c>
      <c r="E9" s="243">
        <v>30</v>
      </c>
      <c r="F9" s="243">
        <v>31</v>
      </c>
      <c r="G9" s="243">
        <v>30</v>
      </c>
      <c r="H9" s="243">
        <v>31</v>
      </c>
      <c r="I9" s="243">
        <v>31</v>
      </c>
      <c r="J9" s="243">
        <v>30</v>
      </c>
      <c r="K9" s="243">
        <v>31</v>
      </c>
      <c r="L9" s="243">
        <v>30</v>
      </c>
      <c r="M9" s="243">
        <v>31</v>
      </c>
      <c r="N9" s="253">
        <f t="shared" ref="N9:N10" si="1">SUM(B9:M9)</f>
        <v>365</v>
      </c>
    </row>
    <row r="10" spans="1:14" ht="12.75" customHeight="1">
      <c r="A10" s="250" t="s">
        <v>456</v>
      </c>
      <c r="B10" s="243">
        <f>B9*ADR!$B$26</f>
        <v>3720</v>
      </c>
      <c r="C10" s="243">
        <f>C9*ADR!$B$26</f>
        <v>3360</v>
      </c>
      <c r="D10" s="243">
        <f>D9*ADR!$B$26</f>
        <v>3720</v>
      </c>
      <c r="E10" s="243">
        <f>E9*ADR!$B$26</f>
        <v>3600</v>
      </c>
      <c r="F10" s="243">
        <f>F9*ADR!$B$26</f>
        <v>3720</v>
      </c>
      <c r="G10" s="243">
        <f>G9*ADR!$B$26</f>
        <v>3600</v>
      </c>
      <c r="H10" s="243">
        <f>H9*ADR!$B$26</f>
        <v>3720</v>
      </c>
      <c r="I10" s="243">
        <f>I9*ADR!$B$26</f>
        <v>3720</v>
      </c>
      <c r="J10" s="243">
        <f>J9*ADR!$B$26</f>
        <v>3600</v>
      </c>
      <c r="K10" s="243">
        <f>K9*ADR!$B$26</f>
        <v>3720</v>
      </c>
      <c r="L10" s="243">
        <f>L9*ADR!$B$26</f>
        <v>3600</v>
      </c>
      <c r="M10" s="243">
        <f>M9*ADR!$B$26</f>
        <v>3720</v>
      </c>
      <c r="N10" s="253">
        <f t="shared" si="1"/>
        <v>43800</v>
      </c>
    </row>
    <row r="11" spans="1:14" ht="12.75" customHeight="1">
      <c r="A11" s="290" t="s">
        <v>458</v>
      </c>
      <c r="B11" s="272">
        <f>'выручка номеров'!C12</f>
        <v>0.75</v>
      </c>
      <c r="C11" s="272">
        <f>'выручка номеров'!D12</f>
        <v>0.55000000000000004</v>
      </c>
      <c r="D11" s="272">
        <f>'выручка номеров'!E12</f>
        <v>0.55000000000000004</v>
      </c>
      <c r="E11" s="272">
        <f>'выручка номеров'!F12</f>
        <v>0.55000000000000004</v>
      </c>
      <c r="F11" s="272">
        <f>'выручка номеров'!G12</f>
        <v>0.75</v>
      </c>
      <c r="G11" s="272">
        <f>'выручка номеров'!H12</f>
        <v>0.85</v>
      </c>
      <c r="H11" s="272">
        <f>'выручка номеров'!I12</f>
        <v>0.85</v>
      </c>
      <c r="I11" s="272">
        <f>'выручка номеров'!J12</f>
        <v>0.8</v>
      </c>
      <c r="J11" s="272">
        <f>'выручка номеров'!K12</f>
        <v>0.65</v>
      </c>
      <c r="K11" s="272">
        <f>'выручка номеров'!L12</f>
        <v>0.55000000000000004</v>
      </c>
      <c r="L11" s="272">
        <f>'выручка номеров'!M12</f>
        <v>0.5</v>
      </c>
      <c r="M11" s="272">
        <f>'выручка номеров'!N12</f>
        <v>0.65</v>
      </c>
      <c r="N11" s="271">
        <f>AVERAGE(B11:M11)</f>
        <v>0.66666666666666663</v>
      </c>
    </row>
    <row r="12" spans="1:14" ht="12.75" customHeight="1">
      <c r="A12" s="250" t="s">
        <v>479</v>
      </c>
      <c r="B12" s="243">
        <f t="shared" ref="B12:M12" si="2">B11*B10</f>
        <v>2790</v>
      </c>
      <c r="C12" s="243">
        <f t="shared" si="2"/>
        <v>1848.0000000000002</v>
      </c>
      <c r="D12" s="243">
        <f t="shared" si="2"/>
        <v>2046.0000000000002</v>
      </c>
      <c r="E12" s="243">
        <f t="shared" si="2"/>
        <v>1980.0000000000002</v>
      </c>
      <c r="F12" s="243">
        <f t="shared" si="2"/>
        <v>2790</v>
      </c>
      <c r="G12" s="243">
        <f t="shared" si="2"/>
        <v>3060</v>
      </c>
      <c r="H12" s="243">
        <f t="shared" si="2"/>
        <v>3162</v>
      </c>
      <c r="I12" s="243">
        <f t="shared" si="2"/>
        <v>2976</v>
      </c>
      <c r="J12" s="243">
        <f t="shared" si="2"/>
        <v>2340</v>
      </c>
      <c r="K12" s="243">
        <f t="shared" si="2"/>
        <v>2046.0000000000002</v>
      </c>
      <c r="L12" s="243">
        <f t="shared" si="2"/>
        <v>1800</v>
      </c>
      <c r="M12" s="243">
        <f t="shared" si="2"/>
        <v>2418</v>
      </c>
      <c r="N12" s="253">
        <f>SUM(B12:M12)</f>
        <v>29256</v>
      </c>
    </row>
    <row r="13" spans="1:14" ht="12.75" customHeight="1">
      <c r="A13" s="250" t="s">
        <v>493</v>
      </c>
      <c r="B13" s="243">
        <f t="shared" ref="B13:M13" si="3">SUM($C$3:$C$4)</f>
        <v>600</v>
      </c>
      <c r="C13" s="243">
        <f t="shared" si="3"/>
        <v>600</v>
      </c>
      <c r="D13" s="243">
        <f t="shared" si="3"/>
        <v>600</v>
      </c>
      <c r="E13" s="243">
        <f t="shared" si="3"/>
        <v>600</v>
      </c>
      <c r="F13" s="243">
        <f t="shared" si="3"/>
        <v>600</v>
      </c>
      <c r="G13" s="243">
        <f t="shared" si="3"/>
        <v>600</v>
      </c>
      <c r="H13" s="243">
        <f t="shared" si="3"/>
        <v>600</v>
      </c>
      <c r="I13" s="243">
        <f t="shared" si="3"/>
        <v>600</v>
      </c>
      <c r="J13" s="243">
        <f t="shared" si="3"/>
        <v>600</v>
      </c>
      <c r="K13" s="243">
        <f t="shared" si="3"/>
        <v>600</v>
      </c>
      <c r="L13" s="243">
        <f t="shared" si="3"/>
        <v>600</v>
      </c>
      <c r="M13" s="243">
        <f t="shared" si="3"/>
        <v>600</v>
      </c>
      <c r="N13" s="253">
        <f>AVERAGE(B13:M13)</f>
        <v>600</v>
      </c>
    </row>
    <row r="14" spans="1:14" ht="12.75" customHeight="1">
      <c r="A14" s="294" t="s">
        <v>494</v>
      </c>
      <c r="B14" s="298">
        <f t="shared" ref="B14:M14" si="4">B13*B12</f>
        <v>1674000</v>
      </c>
      <c r="C14" s="298">
        <f t="shared" si="4"/>
        <v>1108800.0000000002</v>
      </c>
      <c r="D14" s="298">
        <f t="shared" si="4"/>
        <v>1227600.0000000002</v>
      </c>
      <c r="E14" s="298">
        <f t="shared" si="4"/>
        <v>1188000.0000000002</v>
      </c>
      <c r="F14" s="298">
        <f t="shared" si="4"/>
        <v>1674000</v>
      </c>
      <c r="G14" s="298">
        <f t="shared" si="4"/>
        <v>1836000</v>
      </c>
      <c r="H14" s="298">
        <f t="shared" si="4"/>
        <v>1897200</v>
      </c>
      <c r="I14" s="298">
        <f t="shared" si="4"/>
        <v>1785600</v>
      </c>
      <c r="J14" s="298">
        <f t="shared" si="4"/>
        <v>1404000</v>
      </c>
      <c r="K14" s="298">
        <f t="shared" si="4"/>
        <v>1227600.0000000002</v>
      </c>
      <c r="L14" s="298">
        <f t="shared" si="4"/>
        <v>1080000</v>
      </c>
      <c r="M14" s="298">
        <f t="shared" si="4"/>
        <v>1450800</v>
      </c>
      <c r="N14" s="277">
        <f>SUM(B14:M14)</f>
        <v>17553600</v>
      </c>
    </row>
    <row r="15" spans="1:14" ht="12.75" customHeight="1"/>
    <row r="16" spans="1:14" ht="12.75" customHeight="1">
      <c r="A16" s="845" t="s">
        <v>495</v>
      </c>
      <c r="B16" s="812"/>
      <c r="C16" s="812"/>
      <c r="D16" s="812"/>
      <c r="E16" s="812"/>
      <c r="F16" s="812"/>
      <c r="G16" s="812"/>
      <c r="H16" s="812"/>
      <c r="I16" s="812"/>
      <c r="J16" s="812"/>
      <c r="K16" s="812"/>
      <c r="L16" s="812"/>
      <c r="M16" s="812"/>
      <c r="N16" s="813"/>
    </row>
    <row r="17" spans="1:14" ht="12.75" customHeight="1">
      <c r="A17" s="268"/>
      <c r="B17" s="263" t="s">
        <v>443</v>
      </c>
      <c r="C17" s="263" t="s">
        <v>444</v>
      </c>
      <c r="D17" s="263" t="s">
        <v>445</v>
      </c>
      <c r="E17" s="263" t="s">
        <v>446</v>
      </c>
      <c r="F17" s="263" t="s">
        <v>447</v>
      </c>
      <c r="G17" s="263" t="s">
        <v>448</v>
      </c>
      <c r="H17" s="263" t="s">
        <v>449</v>
      </c>
      <c r="I17" s="263" t="s">
        <v>450</v>
      </c>
      <c r="J17" s="263" t="s">
        <v>451</v>
      </c>
      <c r="K17" s="263" t="s">
        <v>452</v>
      </c>
      <c r="L17" s="263" t="s">
        <v>453</v>
      </c>
      <c r="M17" s="263" t="s">
        <v>454</v>
      </c>
      <c r="N17" s="263" t="s">
        <v>383</v>
      </c>
    </row>
    <row r="18" spans="1:14" ht="12.75" customHeight="1">
      <c r="A18" s="250" t="s">
        <v>455</v>
      </c>
      <c r="B18" s="243">
        <v>31</v>
      </c>
      <c r="C18" s="243">
        <v>28</v>
      </c>
      <c r="D18" s="243">
        <v>31</v>
      </c>
      <c r="E18" s="243">
        <v>30</v>
      </c>
      <c r="F18" s="243">
        <v>31</v>
      </c>
      <c r="G18" s="243">
        <v>30</v>
      </c>
      <c r="H18" s="243">
        <v>31</v>
      </c>
      <c r="I18" s="243">
        <v>31</v>
      </c>
      <c r="J18" s="243">
        <v>30</v>
      </c>
      <c r="K18" s="243">
        <v>31</v>
      </c>
      <c r="L18" s="243">
        <v>30</v>
      </c>
      <c r="M18" s="243">
        <v>31</v>
      </c>
      <c r="N18" s="253">
        <f t="shared" ref="N18:N19" si="5">SUM(B18:M18)</f>
        <v>365</v>
      </c>
    </row>
    <row r="19" spans="1:14" ht="12.75" customHeight="1">
      <c r="A19" s="250" t="s">
        <v>456</v>
      </c>
      <c r="B19" s="243">
        <f>B18*ADR!$B$26</f>
        <v>3720</v>
      </c>
      <c r="C19" s="243">
        <f>C18*ADR!$B$26</f>
        <v>3360</v>
      </c>
      <c r="D19" s="243">
        <f>D18*ADR!$B$26</f>
        <v>3720</v>
      </c>
      <c r="E19" s="243">
        <f>E18*ADR!$B$26</f>
        <v>3600</v>
      </c>
      <c r="F19" s="243">
        <f>F18*ADR!$B$26</f>
        <v>3720</v>
      </c>
      <c r="G19" s="243">
        <f>G18*ADR!$B$26</f>
        <v>3600</v>
      </c>
      <c r="H19" s="243">
        <f>H18*ADR!$B$26</f>
        <v>3720</v>
      </c>
      <c r="I19" s="243">
        <f>I18*ADR!$B$26</f>
        <v>3720</v>
      </c>
      <c r="J19" s="243">
        <f>J18*ADR!$B$26</f>
        <v>3600</v>
      </c>
      <c r="K19" s="243">
        <f>K18*ADR!$B$26</f>
        <v>3720</v>
      </c>
      <c r="L19" s="243">
        <f>L18*ADR!$B$26</f>
        <v>3600</v>
      </c>
      <c r="M19" s="243">
        <f>M18*ADR!$B$26</f>
        <v>3720</v>
      </c>
      <c r="N19" s="253">
        <f t="shared" si="5"/>
        <v>43800</v>
      </c>
    </row>
    <row r="20" spans="1:14" ht="12.75" customHeight="1">
      <c r="A20" s="290" t="s">
        <v>458</v>
      </c>
      <c r="B20" s="272">
        <f>'выручка номеров'!C48</f>
        <v>0.75</v>
      </c>
      <c r="C20" s="272">
        <f>'выручка номеров'!D48</f>
        <v>0.55000000000000004</v>
      </c>
      <c r="D20" s="272">
        <f>'выручка номеров'!E48</f>
        <v>0.55000000000000004</v>
      </c>
      <c r="E20" s="272">
        <f>'выручка номеров'!F48</f>
        <v>0.55000000000000004</v>
      </c>
      <c r="F20" s="272">
        <f>'выручка номеров'!G48</f>
        <v>0.75</v>
      </c>
      <c r="G20" s="272">
        <f>'выручка номеров'!H48</f>
        <v>0.85</v>
      </c>
      <c r="H20" s="272">
        <f>'выручка номеров'!I48</f>
        <v>0.85</v>
      </c>
      <c r="I20" s="272">
        <f>'выручка номеров'!J48</f>
        <v>0.8</v>
      </c>
      <c r="J20" s="272">
        <f>'выручка номеров'!K48</f>
        <v>0.65</v>
      </c>
      <c r="K20" s="272">
        <f>'выручка номеров'!L48</f>
        <v>0.55000000000000004</v>
      </c>
      <c r="L20" s="272">
        <f>'выручка номеров'!M48</f>
        <v>0.5</v>
      </c>
      <c r="M20" s="272">
        <f>'выручка номеров'!N48</f>
        <v>0.65</v>
      </c>
      <c r="N20" s="271">
        <f>AVERAGE(B20:M20)</f>
        <v>0.66666666666666663</v>
      </c>
    </row>
    <row r="21" spans="1:14" ht="12.75" customHeight="1">
      <c r="A21" s="250" t="s">
        <v>457</v>
      </c>
      <c r="B21" s="243">
        <f t="shared" ref="B21:M21" si="6">B20*B19</f>
        <v>2790</v>
      </c>
      <c r="C21" s="243">
        <f t="shared" si="6"/>
        <v>1848.0000000000002</v>
      </c>
      <c r="D21" s="243">
        <f t="shared" si="6"/>
        <v>2046.0000000000002</v>
      </c>
      <c r="E21" s="243">
        <f t="shared" si="6"/>
        <v>1980.0000000000002</v>
      </c>
      <c r="F21" s="243">
        <f t="shared" si="6"/>
        <v>2790</v>
      </c>
      <c r="G21" s="243">
        <f t="shared" si="6"/>
        <v>3060</v>
      </c>
      <c r="H21" s="243">
        <f t="shared" si="6"/>
        <v>3162</v>
      </c>
      <c r="I21" s="243">
        <f t="shared" si="6"/>
        <v>2976</v>
      </c>
      <c r="J21" s="243">
        <f t="shared" si="6"/>
        <v>2340</v>
      </c>
      <c r="K21" s="243">
        <f t="shared" si="6"/>
        <v>2046.0000000000002</v>
      </c>
      <c r="L21" s="243">
        <f t="shared" si="6"/>
        <v>1800</v>
      </c>
      <c r="M21" s="243">
        <f t="shared" si="6"/>
        <v>2418</v>
      </c>
      <c r="N21" s="253">
        <f>SUM(B21:M21)</f>
        <v>29256</v>
      </c>
    </row>
    <row r="22" spans="1:14" ht="12.75" customHeight="1">
      <c r="A22" s="250" t="s">
        <v>493</v>
      </c>
      <c r="B22" s="243">
        <f>B13+B13*'выручка номеров'!$C$5</f>
        <v>630</v>
      </c>
      <c r="C22" s="243">
        <f>C13+C13*'выручка номеров'!$C$5</f>
        <v>630</v>
      </c>
      <c r="D22" s="243">
        <f>D13+D13*'выручка номеров'!$C$5</f>
        <v>630</v>
      </c>
      <c r="E22" s="243">
        <f>E13+E13*'выручка номеров'!$C$5</f>
        <v>630</v>
      </c>
      <c r="F22" s="243">
        <f>F13+F13*'выручка номеров'!$C$5</f>
        <v>630</v>
      </c>
      <c r="G22" s="243">
        <f>G13+G13*'выручка номеров'!$C$5</f>
        <v>630</v>
      </c>
      <c r="H22" s="243">
        <f>H13+H13*'выручка номеров'!$C$5</f>
        <v>630</v>
      </c>
      <c r="I22" s="243">
        <f>I13+I13*'выручка номеров'!$C$5</f>
        <v>630</v>
      </c>
      <c r="J22" s="243">
        <f>J13+J13*'выручка номеров'!$C$5</f>
        <v>630</v>
      </c>
      <c r="K22" s="243">
        <f>K13+K13*'выручка номеров'!$C$5</f>
        <v>630</v>
      </c>
      <c r="L22" s="243">
        <f>L13+L13*'выручка номеров'!$C$5</f>
        <v>630</v>
      </c>
      <c r="M22" s="243">
        <f>M13+M13*'выручка номеров'!$C$5</f>
        <v>630</v>
      </c>
      <c r="N22" s="253">
        <f>AVERAGE(B22:M22)</f>
        <v>630</v>
      </c>
    </row>
    <row r="23" spans="1:14" ht="12.75" customHeight="1">
      <c r="A23" s="294" t="s">
        <v>494</v>
      </c>
      <c r="B23" s="298">
        <f t="shared" ref="B23:M23" si="7">B22*B21</f>
        <v>1757700</v>
      </c>
      <c r="C23" s="298">
        <f t="shared" si="7"/>
        <v>1164240.0000000002</v>
      </c>
      <c r="D23" s="298">
        <f t="shared" si="7"/>
        <v>1288980.0000000002</v>
      </c>
      <c r="E23" s="298">
        <f t="shared" si="7"/>
        <v>1247400.0000000002</v>
      </c>
      <c r="F23" s="298">
        <f t="shared" si="7"/>
        <v>1757700</v>
      </c>
      <c r="G23" s="298">
        <f t="shared" si="7"/>
        <v>1927800</v>
      </c>
      <c r="H23" s="298">
        <f t="shared" si="7"/>
        <v>1992060</v>
      </c>
      <c r="I23" s="298">
        <f t="shared" si="7"/>
        <v>1874880</v>
      </c>
      <c r="J23" s="298">
        <f t="shared" si="7"/>
        <v>1474200</v>
      </c>
      <c r="K23" s="298">
        <f t="shared" si="7"/>
        <v>1288980.0000000002</v>
      </c>
      <c r="L23" s="298">
        <f t="shared" si="7"/>
        <v>1134000</v>
      </c>
      <c r="M23" s="298">
        <f t="shared" si="7"/>
        <v>1523340</v>
      </c>
      <c r="N23" s="277">
        <f>SUM(B23:M23)</f>
        <v>18431280</v>
      </c>
    </row>
    <row r="24" spans="1:14" ht="12.75" customHeight="1"/>
    <row r="25" spans="1:14" ht="12.75" customHeight="1">
      <c r="A25" s="845" t="s">
        <v>496</v>
      </c>
      <c r="B25" s="812"/>
      <c r="C25" s="812"/>
      <c r="D25" s="812"/>
      <c r="E25" s="812"/>
      <c r="F25" s="812"/>
      <c r="G25" s="812"/>
      <c r="H25" s="812"/>
      <c r="I25" s="812"/>
      <c r="J25" s="812"/>
      <c r="K25" s="812"/>
      <c r="L25" s="812"/>
      <c r="M25" s="812"/>
      <c r="N25" s="813"/>
    </row>
    <row r="26" spans="1:14" ht="12.75" customHeight="1">
      <c r="A26" s="268"/>
      <c r="B26" s="263" t="s">
        <v>443</v>
      </c>
      <c r="C26" s="263" t="s">
        <v>444</v>
      </c>
      <c r="D26" s="263" t="s">
        <v>445</v>
      </c>
      <c r="E26" s="263" t="s">
        <v>446</v>
      </c>
      <c r="F26" s="263" t="s">
        <v>447</v>
      </c>
      <c r="G26" s="263" t="s">
        <v>448</v>
      </c>
      <c r="H26" s="263" t="s">
        <v>449</v>
      </c>
      <c r="I26" s="263" t="s">
        <v>450</v>
      </c>
      <c r="J26" s="263" t="s">
        <v>451</v>
      </c>
      <c r="K26" s="263" t="s">
        <v>452</v>
      </c>
      <c r="L26" s="263" t="s">
        <v>453</v>
      </c>
      <c r="M26" s="263" t="s">
        <v>454</v>
      </c>
      <c r="N26" s="263" t="s">
        <v>383</v>
      </c>
    </row>
    <row r="27" spans="1:14" ht="12.75" customHeight="1">
      <c r="A27" s="250" t="s">
        <v>455</v>
      </c>
      <c r="B27" s="243">
        <v>31</v>
      </c>
      <c r="C27" s="243">
        <v>28</v>
      </c>
      <c r="D27" s="243">
        <v>31</v>
      </c>
      <c r="E27" s="243">
        <v>30</v>
      </c>
      <c r="F27" s="243">
        <v>31</v>
      </c>
      <c r="G27" s="243">
        <v>30</v>
      </c>
      <c r="H27" s="243">
        <v>31</v>
      </c>
      <c r="I27" s="243">
        <v>31</v>
      </c>
      <c r="J27" s="243">
        <v>30</v>
      </c>
      <c r="K27" s="243">
        <v>31</v>
      </c>
      <c r="L27" s="243">
        <v>30</v>
      </c>
      <c r="M27" s="243">
        <v>31</v>
      </c>
      <c r="N27" s="253">
        <f t="shared" ref="N27:N28" si="8">SUM(B27:M27)</f>
        <v>365</v>
      </c>
    </row>
    <row r="28" spans="1:14" ht="12.75" customHeight="1">
      <c r="A28" s="250" t="s">
        <v>456</v>
      </c>
      <c r="B28" s="243">
        <f>B27*ADR!$B$26</f>
        <v>3720</v>
      </c>
      <c r="C28" s="243">
        <f>C27*ADR!$B$26</f>
        <v>3360</v>
      </c>
      <c r="D28" s="243">
        <f>D27*ADR!$B$26</f>
        <v>3720</v>
      </c>
      <c r="E28" s="243">
        <f>E27*ADR!$B$26</f>
        <v>3600</v>
      </c>
      <c r="F28" s="243">
        <f>F27*ADR!$B$26</f>
        <v>3720</v>
      </c>
      <c r="G28" s="243">
        <f>G27*ADR!$B$26</f>
        <v>3600</v>
      </c>
      <c r="H28" s="243">
        <f>H27*ADR!$B$26</f>
        <v>3720</v>
      </c>
      <c r="I28" s="243">
        <f>I27*ADR!$B$26</f>
        <v>3720</v>
      </c>
      <c r="J28" s="243">
        <f>J27*ADR!$B$26</f>
        <v>3600</v>
      </c>
      <c r="K28" s="243">
        <f>K27*ADR!$B$26</f>
        <v>3720</v>
      </c>
      <c r="L28" s="243">
        <f>L27*ADR!$B$26</f>
        <v>3600</v>
      </c>
      <c r="M28" s="243">
        <f>M27*ADR!$B$26</f>
        <v>3720</v>
      </c>
      <c r="N28" s="253">
        <f t="shared" si="8"/>
        <v>43800</v>
      </c>
    </row>
    <row r="29" spans="1:14" ht="12.75" customHeight="1">
      <c r="A29" s="290" t="s">
        <v>458</v>
      </c>
      <c r="B29" s="272">
        <f>'выручка номеров'!C84</f>
        <v>0.80624999999999991</v>
      </c>
      <c r="C29" s="272">
        <f>'выручка номеров'!D84</f>
        <v>0.59125000000000005</v>
      </c>
      <c r="D29" s="272">
        <f>'выручка номеров'!E84</f>
        <v>0.59125000000000005</v>
      </c>
      <c r="E29" s="272">
        <f>'выручка номеров'!F84</f>
        <v>0.59125000000000005</v>
      </c>
      <c r="F29" s="272">
        <f>'выручка номеров'!G84</f>
        <v>0.80624999999999991</v>
      </c>
      <c r="G29" s="272">
        <f>'выручка номеров'!H84</f>
        <v>0.91374999999999995</v>
      </c>
      <c r="H29" s="272">
        <f>'выручка номеров'!I84</f>
        <v>0.91374999999999995</v>
      </c>
      <c r="I29" s="272">
        <f>'выручка номеров'!J84</f>
        <v>0.86</v>
      </c>
      <c r="J29" s="272">
        <f>'выручка номеров'!K84</f>
        <v>0.69874999999999998</v>
      </c>
      <c r="K29" s="272">
        <f>'выручка номеров'!L84</f>
        <v>0.59125000000000005</v>
      </c>
      <c r="L29" s="272">
        <f>'выручка номеров'!M84</f>
        <v>0.53749999999999998</v>
      </c>
      <c r="M29" s="272">
        <f>'выручка номеров'!N84</f>
        <v>0.69874999999999998</v>
      </c>
      <c r="N29" s="271">
        <f>AVERAGE(B29:M29)</f>
        <v>0.71666666666666679</v>
      </c>
    </row>
    <row r="30" spans="1:14" ht="12.75" customHeight="1">
      <c r="A30" s="250" t="s">
        <v>457</v>
      </c>
      <c r="B30" s="243">
        <f t="shared" ref="B30:M30" si="9">B29*B28</f>
        <v>2999.2499999999995</v>
      </c>
      <c r="C30" s="243">
        <f t="shared" si="9"/>
        <v>1986.6000000000001</v>
      </c>
      <c r="D30" s="243">
        <f t="shared" si="9"/>
        <v>2199.4500000000003</v>
      </c>
      <c r="E30" s="243">
        <f t="shared" si="9"/>
        <v>2128.5</v>
      </c>
      <c r="F30" s="243">
        <f t="shared" si="9"/>
        <v>2999.2499999999995</v>
      </c>
      <c r="G30" s="243">
        <f t="shared" si="9"/>
        <v>3289.5</v>
      </c>
      <c r="H30" s="243">
        <f t="shared" si="9"/>
        <v>3399.1499999999996</v>
      </c>
      <c r="I30" s="243">
        <f t="shared" si="9"/>
        <v>3199.2</v>
      </c>
      <c r="J30" s="243">
        <f t="shared" si="9"/>
        <v>2515.5</v>
      </c>
      <c r="K30" s="243">
        <f t="shared" si="9"/>
        <v>2199.4500000000003</v>
      </c>
      <c r="L30" s="243">
        <f t="shared" si="9"/>
        <v>1935</v>
      </c>
      <c r="M30" s="243">
        <f t="shared" si="9"/>
        <v>2599.35</v>
      </c>
      <c r="N30" s="253">
        <f>SUM(B30:M30)</f>
        <v>31450.199999999997</v>
      </c>
    </row>
    <row r="31" spans="1:14" ht="12.75" customHeight="1">
      <c r="A31" s="250" t="s">
        <v>493</v>
      </c>
      <c r="B31" s="243">
        <f>B22+B22*'выручка номеров'!$D$3</f>
        <v>661.5</v>
      </c>
      <c r="C31" s="243">
        <f>C22+C22*'выручка номеров'!$D$3</f>
        <v>661.5</v>
      </c>
      <c r="D31" s="243">
        <f>D22+D22*'выручка номеров'!$D$3</f>
        <v>661.5</v>
      </c>
      <c r="E31" s="243">
        <f>E22+E22*'выручка номеров'!$D$3</f>
        <v>661.5</v>
      </c>
      <c r="F31" s="243">
        <f>F22+F22*'выручка номеров'!$D$3</f>
        <v>661.5</v>
      </c>
      <c r="G31" s="243">
        <f>G22+G22*'выручка номеров'!$D$3</f>
        <v>661.5</v>
      </c>
      <c r="H31" s="243">
        <f>H22+H22*'выручка номеров'!$D$3</f>
        <v>661.5</v>
      </c>
      <c r="I31" s="243">
        <f>I22+I22*'выручка номеров'!$D$3</f>
        <v>661.5</v>
      </c>
      <c r="J31" s="243">
        <f>J22+J22*'выручка номеров'!$D$3</f>
        <v>661.5</v>
      </c>
      <c r="K31" s="243">
        <f>K22+K22*'выручка номеров'!$D$3</f>
        <v>661.5</v>
      </c>
      <c r="L31" s="243">
        <f>L22+L22*'выручка номеров'!$D$3</f>
        <v>661.5</v>
      </c>
      <c r="M31" s="243">
        <f>M22+M22*'выручка номеров'!$D$3</f>
        <v>661.5</v>
      </c>
      <c r="N31" s="253">
        <f>AVERAGE(B31:M31)</f>
        <v>661.5</v>
      </c>
    </row>
    <row r="32" spans="1:14" ht="12.75" customHeight="1">
      <c r="A32" s="294" t="s">
        <v>494</v>
      </c>
      <c r="B32" s="298">
        <f t="shared" ref="B32:M32" si="10">B31*B30</f>
        <v>1984003.8749999998</v>
      </c>
      <c r="C32" s="298">
        <f t="shared" si="10"/>
        <v>1314135.9000000001</v>
      </c>
      <c r="D32" s="298">
        <f t="shared" si="10"/>
        <v>1454936.1750000003</v>
      </c>
      <c r="E32" s="298">
        <f t="shared" si="10"/>
        <v>1408002.75</v>
      </c>
      <c r="F32" s="298">
        <f t="shared" si="10"/>
        <v>1984003.8749999998</v>
      </c>
      <c r="G32" s="298">
        <f t="shared" si="10"/>
        <v>2176004.25</v>
      </c>
      <c r="H32" s="298">
        <f t="shared" si="10"/>
        <v>2248537.7249999996</v>
      </c>
      <c r="I32" s="298">
        <f t="shared" si="10"/>
        <v>2116270.7999999998</v>
      </c>
      <c r="J32" s="298">
        <f t="shared" si="10"/>
        <v>1664003.25</v>
      </c>
      <c r="K32" s="298">
        <f t="shared" si="10"/>
        <v>1454936.1750000003</v>
      </c>
      <c r="L32" s="298">
        <f t="shared" si="10"/>
        <v>1280002.5</v>
      </c>
      <c r="M32" s="298">
        <f t="shared" si="10"/>
        <v>1719470.0249999999</v>
      </c>
      <c r="N32" s="277">
        <f>SUM(B32:M32)</f>
        <v>20804307.299999997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</sheetData>
  <mergeCells count="3">
    <mergeCell ref="A7:N7"/>
    <mergeCell ref="A16:N16"/>
    <mergeCell ref="A25:N25"/>
  </mergeCell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2"/>
  <dimension ref="A2:N111"/>
  <sheetViews>
    <sheetView topLeftCell="A68" workbookViewId="0">
      <selection activeCell="B106" sqref="B106"/>
    </sheetView>
  </sheetViews>
  <sheetFormatPr defaultColWidth="14.453125" defaultRowHeight="12.5"/>
  <cols>
    <col min="1" max="1" width="21.26953125" customWidth="1"/>
    <col min="2" max="14" width="10.1796875" customWidth="1"/>
  </cols>
  <sheetData>
    <row r="2" spans="1:14" ht="20">
      <c r="A2" s="745" t="s">
        <v>1100</v>
      </c>
    </row>
    <row r="4" spans="1:14">
      <c r="A4" s="863" t="s">
        <v>497</v>
      </c>
      <c r="B4" s="812"/>
      <c r="C4" s="812"/>
      <c r="D4" s="812"/>
      <c r="E4" s="812"/>
      <c r="F4" s="812"/>
      <c r="G4" s="812"/>
      <c r="H4" s="812"/>
      <c r="I4" s="812"/>
      <c r="J4" s="812"/>
      <c r="K4" s="812"/>
      <c r="L4" s="812"/>
      <c r="M4" s="812"/>
      <c r="N4" s="813"/>
    </row>
    <row r="5" spans="1:14">
      <c r="A5" s="299"/>
      <c r="B5" s="300" t="s">
        <v>327</v>
      </c>
      <c r="C5" s="300" t="s">
        <v>328</v>
      </c>
      <c r="D5" s="300" t="s">
        <v>329</v>
      </c>
      <c r="E5" s="301" t="s">
        <v>330</v>
      </c>
      <c r="F5" s="301" t="s">
        <v>331</v>
      </c>
      <c r="G5" s="301" t="s">
        <v>332</v>
      </c>
      <c r="H5" s="301" t="s">
        <v>333</v>
      </c>
      <c r="I5" s="301" t="s">
        <v>334</v>
      </c>
      <c r="J5" s="301" t="s">
        <v>335</v>
      </c>
      <c r="K5" s="301" t="s">
        <v>336</v>
      </c>
      <c r="L5" s="301" t="s">
        <v>337</v>
      </c>
      <c r="M5" s="301" t="s">
        <v>338</v>
      </c>
      <c r="N5" s="302" t="s">
        <v>498</v>
      </c>
    </row>
    <row r="6" spans="1:14">
      <c r="A6" s="304" t="s">
        <v>499</v>
      </c>
      <c r="B6" s="305">
        <v>31</v>
      </c>
      <c r="C6" s="305">
        <v>28</v>
      </c>
      <c r="D6" s="305">
        <v>31</v>
      </c>
      <c r="E6" s="305">
        <v>30</v>
      </c>
      <c r="F6" s="305">
        <v>31</v>
      </c>
      <c r="G6" s="305">
        <v>30</v>
      </c>
      <c r="H6" s="305">
        <v>31</v>
      </c>
      <c r="I6" s="305">
        <v>31</v>
      </c>
      <c r="J6" s="305">
        <v>30</v>
      </c>
      <c r="K6" s="305">
        <v>31</v>
      </c>
      <c r="L6" s="305">
        <v>30</v>
      </c>
      <c r="M6" s="305">
        <v>31</v>
      </c>
      <c r="N6" s="306"/>
    </row>
    <row r="7" spans="1:14" ht="48.65" customHeight="1">
      <c r="A7" s="536" t="str">
        <f>'выручка номеров'!A9</f>
        <v>Гостиничный комплекс 4* "У Бювета"</v>
      </c>
      <c r="B7" s="307"/>
      <c r="C7" s="307"/>
      <c r="D7" s="307"/>
      <c r="E7" s="307"/>
      <c r="F7" s="307"/>
      <c r="G7" s="307"/>
      <c r="H7" s="307"/>
      <c r="I7" s="307"/>
      <c r="J7" s="307"/>
      <c r="K7" s="307"/>
      <c r="L7" s="307"/>
      <c r="M7" s="307"/>
      <c r="N7" s="308"/>
    </row>
    <row r="8" spans="1:14" ht="37" customHeight="1">
      <c r="A8" s="309" t="str">
        <f>Инфраструктура!A34</f>
        <v>Панорамный Ресторан с террасой Шведский стол/ a la carte Комплекса "У Бювета"</v>
      </c>
      <c r="B8" s="307"/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8"/>
    </row>
    <row r="9" spans="1:14">
      <c r="A9" s="310" t="s">
        <v>500</v>
      </c>
      <c r="B9" s="305">
        <v>2400</v>
      </c>
      <c r="C9" s="305">
        <f>B9</f>
        <v>2400</v>
      </c>
      <c r="D9" s="305">
        <f t="shared" ref="D9:M9" si="0">C9</f>
        <v>2400</v>
      </c>
      <c r="E9" s="305">
        <f t="shared" si="0"/>
        <v>2400</v>
      </c>
      <c r="F9" s="305">
        <f t="shared" si="0"/>
        <v>2400</v>
      </c>
      <c r="G9" s="305">
        <f t="shared" si="0"/>
        <v>2400</v>
      </c>
      <c r="H9" s="305">
        <f t="shared" si="0"/>
        <v>2400</v>
      </c>
      <c r="I9" s="305">
        <f t="shared" si="0"/>
        <v>2400</v>
      </c>
      <c r="J9" s="305">
        <f t="shared" si="0"/>
        <v>2400</v>
      </c>
      <c r="K9" s="305">
        <f t="shared" si="0"/>
        <v>2400</v>
      </c>
      <c r="L9" s="305">
        <f t="shared" si="0"/>
        <v>2400</v>
      </c>
      <c r="M9" s="305">
        <f t="shared" si="0"/>
        <v>2400</v>
      </c>
      <c r="N9" s="308"/>
    </row>
    <row r="10" spans="1:14" ht="34.5">
      <c r="A10" s="310" t="s">
        <v>727</v>
      </c>
      <c r="B10" s="193">
        <v>0.55000000000000004</v>
      </c>
      <c r="C10" s="193">
        <f>B10</f>
        <v>0.55000000000000004</v>
      </c>
      <c r="D10" s="193">
        <f t="shared" ref="D10:M10" si="1">C10</f>
        <v>0.55000000000000004</v>
      </c>
      <c r="E10" s="193">
        <f t="shared" si="1"/>
        <v>0.55000000000000004</v>
      </c>
      <c r="F10" s="193">
        <f t="shared" si="1"/>
        <v>0.55000000000000004</v>
      </c>
      <c r="G10" s="193">
        <f t="shared" si="1"/>
        <v>0.55000000000000004</v>
      </c>
      <c r="H10" s="193">
        <f t="shared" si="1"/>
        <v>0.55000000000000004</v>
      </c>
      <c r="I10" s="193">
        <f t="shared" si="1"/>
        <v>0.55000000000000004</v>
      </c>
      <c r="J10" s="193">
        <f t="shared" si="1"/>
        <v>0.55000000000000004</v>
      </c>
      <c r="K10" s="193">
        <f t="shared" si="1"/>
        <v>0.55000000000000004</v>
      </c>
      <c r="L10" s="193">
        <f t="shared" si="1"/>
        <v>0.55000000000000004</v>
      </c>
      <c r="M10" s="193">
        <f t="shared" si="1"/>
        <v>0.55000000000000004</v>
      </c>
      <c r="N10" s="308"/>
    </row>
    <row r="11" spans="1:14" ht="23">
      <c r="A11" s="310" t="s">
        <v>726</v>
      </c>
      <c r="B11" s="311">
        <v>1</v>
      </c>
      <c r="C11" s="311">
        <v>1</v>
      </c>
      <c r="D11" s="311">
        <v>1</v>
      </c>
      <c r="E11" s="311">
        <v>1</v>
      </c>
      <c r="F11" s="311">
        <v>1</v>
      </c>
      <c r="G11" s="311">
        <v>1</v>
      </c>
      <c r="H11" s="311">
        <v>1</v>
      </c>
      <c r="I11" s="311">
        <v>1</v>
      </c>
      <c r="J11" s="311">
        <v>1</v>
      </c>
      <c r="K11" s="311">
        <v>1</v>
      </c>
      <c r="L11" s="311">
        <v>1</v>
      </c>
      <c r="M11" s="311">
        <v>1</v>
      </c>
      <c r="N11" s="308"/>
    </row>
    <row r="12" spans="1:14" ht="23">
      <c r="A12" s="310" t="s">
        <v>501</v>
      </c>
      <c r="B12" s="305">
        <f>IF(('выручка номеров'!C11*'выручка от общепита'!B10*'выручка от общепита'!B11)&lt;=Инфраструктура!$B$34*2*'выручка от общепита'!B6,('выручка номеров'!C11*'выручка от общепита'!B10*'выручка от общепита'!B11),Инфраструктура!$B$34*2*B6)</f>
        <v>1534.5000000000002</v>
      </c>
      <c r="C12" s="305">
        <f>IF(('выручка номеров'!D11*'выручка от общепита'!C10*'выручка от общепита'!C11)&lt;=Инфраструктура!$B$34*2*'выручка от общепита'!C6,('выручка номеров'!D11*'выручка от общепита'!C10*'выручка от общепита'!C11),Инфраструктура!$B$34*2*C6)</f>
        <v>1016.4000000000002</v>
      </c>
      <c r="D12" s="305">
        <f>IF(('выручка номеров'!E11*'выручка от общепита'!D10*'выручка от общепита'!D11)&lt;=Инфраструктура!$B$34*2*'выручка от общепита'!D6,('выручка номеров'!E11*'выручка от общепита'!D10*'выручка от общепита'!D11),Инфраструктура!$B$34*2*D6)</f>
        <v>1125.3000000000002</v>
      </c>
      <c r="E12" s="305">
        <f>IF(('выручка номеров'!F11*'выручка от общепита'!E10*'выручка от общепита'!E11)&lt;=Инфраструктура!$B$34*2*'выручка от общепита'!E6,('выручка номеров'!F11*'выручка от общепита'!E10*'выручка от общепита'!E11),Инфраструктура!$B$34*2*E6)</f>
        <v>1089.0000000000002</v>
      </c>
      <c r="F12" s="305">
        <f>IF(('выручка номеров'!G11*'выручка от общепита'!F10*'выручка от общепита'!F11)&lt;=Инфраструктура!$B$34*2*'выручка от общепита'!F6,('выручка номеров'!G11*'выручка от общепита'!F10*'выручка от общепита'!F11),Инфраструктура!$B$34*2*F6)</f>
        <v>1534.5000000000002</v>
      </c>
      <c r="G12" s="305">
        <f>IF(('выручка номеров'!H11*'выручка от общепита'!G10*'выручка от общепита'!G11)&lt;=Инфраструктура!$B$34*2*'выручка от общепита'!G6,('выручка номеров'!H11*'выручка от общепита'!G10*'выручка от общепита'!G11),Инфраструктура!$B$34*2*G6)</f>
        <v>1683.0000000000002</v>
      </c>
      <c r="H12" s="305">
        <f>IF(('выручка номеров'!I11*'выручка от общепита'!H10*'выручка от общепита'!H11)&lt;=Инфраструктура!$B$34*2*'выручка от общепита'!H6,('выручка номеров'!I11*'выручка от общепита'!H10*'выручка от общепита'!H11),Инфраструктура!$B$34*2*H6)</f>
        <v>1739.1000000000001</v>
      </c>
      <c r="I12" s="305">
        <f>IF(('выручка номеров'!J11*'выручка от общепита'!I10*'выручка от общепита'!I11)&lt;=Инфраструктура!$B$34*2*'выручка от общепита'!I6,('выручка номеров'!J11*'выручка от общепита'!I10*'выручка от общепита'!I11),Инфраструктура!$B$34*2*I6)</f>
        <v>1636.8000000000002</v>
      </c>
      <c r="J12" s="305">
        <f>IF(('выручка номеров'!K11*'выручка от общепита'!J10*'выручка от общепита'!J11)&lt;=Инфраструктура!$B$34*2*'выручка от общепита'!J6,('выручка номеров'!K11*'выручка от общепита'!J10*'выручка от общепита'!J11),Инфраструктура!$B$34*2*J6)</f>
        <v>1287</v>
      </c>
      <c r="K12" s="305">
        <f>IF(('выручка номеров'!L11*'выручка от общепита'!K10*'выручка от общепита'!K11)&lt;=Инфраструктура!$B$34*2*'выручка от общепита'!K6,('выручка номеров'!L11*'выручка от общепита'!K10*'выручка от общепита'!K11),Инфраструктура!$B$34*2*K6)</f>
        <v>1125.3000000000002</v>
      </c>
      <c r="L12" s="305">
        <f>IF(('выручка номеров'!M11*'выручка от общепита'!L10*'выручка от общепита'!L11)&lt;=Инфраструктура!$B$34*2*'выручка от общепита'!L6,('выручка номеров'!M11*'выручка от общепита'!L10*'выручка от общепита'!L11),Инфраструктура!$B$34*2*L6)</f>
        <v>990.00000000000011</v>
      </c>
      <c r="M12" s="305">
        <f>IF(('выручка номеров'!N11*'выручка от общепита'!M10*'выручка от общепита'!M11)&lt;=Инфраструктура!$B$34*2*'выручка от общепита'!M6,('выручка номеров'!N11*'выручка от общепита'!M10*'выручка от общепита'!M11),Инфраструктура!$B$34*2*M6)</f>
        <v>1329.9</v>
      </c>
      <c r="N12" s="306"/>
    </row>
    <row r="13" spans="1:14" ht="23">
      <c r="A13" s="310" t="s">
        <v>729</v>
      </c>
      <c r="B13" s="193">
        <v>0.35</v>
      </c>
      <c r="C13" s="193">
        <f>B13</f>
        <v>0.35</v>
      </c>
      <c r="D13" s="193">
        <f t="shared" ref="D13:M13" si="2">C13</f>
        <v>0.35</v>
      </c>
      <c r="E13" s="193">
        <f t="shared" si="2"/>
        <v>0.35</v>
      </c>
      <c r="F13" s="193">
        <f t="shared" si="2"/>
        <v>0.35</v>
      </c>
      <c r="G13" s="193">
        <f t="shared" si="2"/>
        <v>0.35</v>
      </c>
      <c r="H13" s="193">
        <f t="shared" si="2"/>
        <v>0.35</v>
      </c>
      <c r="I13" s="193">
        <f t="shared" si="2"/>
        <v>0.35</v>
      </c>
      <c r="J13" s="193">
        <f t="shared" si="2"/>
        <v>0.35</v>
      </c>
      <c r="K13" s="193">
        <f t="shared" si="2"/>
        <v>0.35</v>
      </c>
      <c r="L13" s="193">
        <f t="shared" si="2"/>
        <v>0.35</v>
      </c>
      <c r="M13" s="193">
        <f t="shared" si="2"/>
        <v>0.35</v>
      </c>
      <c r="N13" s="306"/>
    </row>
    <row r="14" spans="1:14" ht="23">
      <c r="A14" s="310" t="s">
        <v>502</v>
      </c>
      <c r="B14" s="305">
        <f>'выручка номеров'!U10*'выручка от общепита'!B13</f>
        <v>260.39999999999998</v>
      </c>
      <c r="C14" s="305">
        <f>'выручка номеров'!V10*'выручка от общепита'!C13</f>
        <v>73.5</v>
      </c>
      <c r="D14" s="305">
        <f>'выручка номеров'!W10*'выручка от общепита'!D13</f>
        <v>97.649999999999991</v>
      </c>
      <c r="E14" s="305">
        <f>'выручка номеров'!X10*'выручка от общепита'!E13</f>
        <v>125.99999999999999</v>
      </c>
      <c r="F14" s="305">
        <f>'выручка номеров'!Y10*'выручка от общепита'!F13</f>
        <v>211.57499999999999</v>
      </c>
      <c r="G14" s="305">
        <f>'выручка номеров'!Z10*'выручка от общепита'!G13</f>
        <v>236.24999999999997</v>
      </c>
      <c r="H14" s="305">
        <f>'выручка номеров'!AA10*'выручка от общепита'!H13</f>
        <v>325.5</v>
      </c>
      <c r="I14" s="305">
        <f>'выручка номеров'!AB10*'выручка от общепита'!I13</f>
        <v>276.67499999999995</v>
      </c>
      <c r="J14" s="305">
        <f>'выручка номеров'!AC10*'выручка от общепита'!J13</f>
        <v>173.25</v>
      </c>
      <c r="K14" s="305">
        <f>'выручка номеров'!AD10*'выручка от общепита'!K13</f>
        <v>81.375</v>
      </c>
      <c r="L14" s="305">
        <f>'выручка номеров'!AE10*'выручка от общепита'!L13</f>
        <v>78.75</v>
      </c>
      <c r="M14" s="305">
        <f>'выручка номеров'!AF10*'выручка от общепита'!M13</f>
        <v>211.57499999999999</v>
      </c>
      <c r="N14" s="312"/>
    </row>
    <row r="15" spans="1:14">
      <c r="A15" s="313" t="s">
        <v>503</v>
      </c>
      <c r="B15" s="314">
        <f t="shared" ref="B15:M15" si="3">B9*(B12+B14)</f>
        <v>4307760</v>
      </c>
      <c r="C15" s="314">
        <f t="shared" si="3"/>
        <v>2615760</v>
      </c>
      <c r="D15" s="314">
        <f t="shared" si="3"/>
        <v>2935080.0000000005</v>
      </c>
      <c r="E15" s="314">
        <f t="shared" si="3"/>
        <v>2916000.0000000005</v>
      </c>
      <c r="F15" s="314">
        <f t="shared" si="3"/>
        <v>4190580.0000000005</v>
      </c>
      <c r="G15" s="314">
        <f t="shared" si="3"/>
        <v>4606200.0000000009</v>
      </c>
      <c r="H15" s="314">
        <f t="shared" si="3"/>
        <v>4955040.0000000009</v>
      </c>
      <c r="I15" s="314">
        <f t="shared" si="3"/>
        <v>4592340</v>
      </c>
      <c r="J15" s="314">
        <f t="shared" si="3"/>
        <v>3504600</v>
      </c>
      <c r="K15" s="314">
        <f t="shared" si="3"/>
        <v>2896020.0000000005</v>
      </c>
      <c r="L15" s="314">
        <f t="shared" si="3"/>
        <v>2565000</v>
      </c>
      <c r="M15" s="314">
        <f t="shared" si="3"/>
        <v>3699540.0000000005</v>
      </c>
      <c r="N15" s="315">
        <f>SUM(B15:M15)</f>
        <v>43783920</v>
      </c>
    </row>
    <row r="16" spans="1:14">
      <c r="A16" s="309"/>
      <c r="B16" s="307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8"/>
    </row>
    <row r="17" spans="1:14" ht="30.65" customHeight="1">
      <c r="A17" s="309" t="str">
        <f>Инфраструктура!A35</f>
        <v>Винный Погреб (Галерея) "У Бювета"</v>
      </c>
      <c r="B17" s="307"/>
      <c r="C17" s="307"/>
      <c r="D17" s="307"/>
      <c r="E17" s="307"/>
      <c r="F17" s="307"/>
      <c r="G17" s="307"/>
      <c r="H17" s="307"/>
      <c r="I17" s="307"/>
      <c r="J17" s="307"/>
      <c r="K17" s="307"/>
      <c r="L17" s="307"/>
      <c r="M17" s="307"/>
      <c r="N17" s="308"/>
    </row>
    <row r="18" spans="1:14">
      <c r="A18" s="310" t="s">
        <v>500</v>
      </c>
      <c r="B18" s="305">
        <v>2600</v>
      </c>
      <c r="C18" s="305">
        <f>B18</f>
        <v>2600</v>
      </c>
      <c r="D18" s="305">
        <f t="shared" ref="D18:M18" si="4">C18</f>
        <v>2600</v>
      </c>
      <c r="E18" s="305">
        <f t="shared" si="4"/>
        <v>2600</v>
      </c>
      <c r="F18" s="305">
        <f t="shared" si="4"/>
        <v>2600</v>
      </c>
      <c r="G18" s="305">
        <f t="shared" si="4"/>
        <v>2600</v>
      </c>
      <c r="H18" s="305">
        <f t="shared" si="4"/>
        <v>2600</v>
      </c>
      <c r="I18" s="305">
        <f t="shared" si="4"/>
        <v>2600</v>
      </c>
      <c r="J18" s="305">
        <f t="shared" si="4"/>
        <v>2600</v>
      </c>
      <c r="K18" s="305">
        <f t="shared" si="4"/>
        <v>2600</v>
      </c>
      <c r="L18" s="305">
        <f t="shared" si="4"/>
        <v>2600</v>
      </c>
      <c r="M18" s="305">
        <f t="shared" si="4"/>
        <v>2600</v>
      </c>
      <c r="N18" s="308"/>
    </row>
    <row r="19" spans="1:14" ht="23">
      <c r="A19" s="310" t="s">
        <v>794</v>
      </c>
      <c r="B19" s="193">
        <v>0.2</v>
      </c>
      <c r="C19" s="193">
        <f>B19</f>
        <v>0.2</v>
      </c>
      <c r="D19" s="193">
        <f t="shared" ref="D19:M19" si="5">C19</f>
        <v>0.2</v>
      </c>
      <c r="E19" s="193">
        <f t="shared" si="5"/>
        <v>0.2</v>
      </c>
      <c r="F19" s="193">
        <f t="shared" si="5"/>
        <v>0.2</v>
      </c>
      <c r="G19" s="193">
        <f t="shared" si="5"/>
        <v>0.2</v>
      </c>
      <c r="H19" s="193">
        <f t="shared" si="5"/>
        <v>0.2</v>
      </c>
      <c r="I19" s="193">
        <f t="shared" si="5"/>
        <v>0.2</v>
      </c>
      <c r="J19" s="193">
        <f t="shared" si="5"/>
        <v>0.2</v>
      </c>
      <c r="K19" s="193">
        <f t="shared" si="5"/>
        <v>0.2</v>
      </c>
      <c r="L19" s="193">
        <f t="shared" si="5"/>
        <v>0.2</v>
      </c>
      <c r="M19" s="193">
        <f t="shared" si="5"/>
        <v>0.2</v>
      </c>
      <c r="N19" s="308"/>
    </row>
    <row r="20" spans="1:14">
      <c r="A20" s="310" t="s">
        <v>728</v>
      </c>
      <c r="B20" s="311">
        <v>1.1000000000000001</v>
      </c>
      <c r="C20" s="311">
        <v>1.1000000000000001</v>
      </c>
      <c r="D20" s="311">
        <v>1.1000000000000001</v>
      </c>
      <c r="E20" s="311">
        <v>1.1000000000000001</v>
      </c>
      <c r="F20" s="311">
        <v>1.1000000000000001</v>
      </c>
      <c r="G20" s="311">
        <v>1.1000000000000001</v>
      </c>
      <c r="H20" s="311">
        <v>1.1000000000000001</v>
      </c>
      <c r="I20" s="311">
        <v>1.1000000000000001</v>
      </c>
      <c r="J20" s="311">
        <v>1.1000000000000001</v>
      </c>
      <c r="K20" s="311">
        <v>1.1000000000000001</v>
      </c>
      <c r="L20" s="311">
        <v>1.1000000000000001</v>
      </c>
      <c r="M20" s="311">
        <v>1.1000000000000001</v>
      </c>
      <c r="N20" s="308"/>
    </row>
    <row r="21" spans="1:14" ht="23">
      <c r="A21" s="310" t="s">
        <v>501</v>
      </c>
      <c r="B21" s="305">
        <f>'выручка номеров'!C11*'скидки для типов гостей'!$B$11*'выручка от общепита'!B20*'выручка от общепита'!B19</f>
        <v>1108.5228000000002</v>
      </c>
      <c r="C21" s="305">
        <f>'выручка номеров'!D11*'скидки для типов гостей'!$B$11*'выручка от общепита'!C20*'выручка от общепита'!C19</f>
        <v>734.24736000000019</v>
      </c>
      <c r="D21" s="305">
        <f>'выручка номеров'!E11*'скидки для типов гостей'!$B$11*'выручка от общепита'!D20*'выручка от общепита'!D19</f>
        <v>812.91672000000017</v>
      </c>
      <c r="E21" s="305">
        <f>'выручка номеров'!F11*'скидки для типов гостей'!$B$11*'выручка от общепита'!E20*'выручка от общепита'!E19</f>
        <v>786.69360000000006</v>
      </c>
      <c r="F21" s="305">
        <f>'выручка номеров'!G11*'скидки для типов гостей'!$B$11*'выручка от общепита'!F20*'выручка от общепита'!F19</f>
        <v>1108.5228000000002</v>
      </c>
      <c r="G21" s="305">
        <f>'выручка номеров'!H11*'скидки для типов гостей'!$B$11*'выручка от общепита'!G20*'выручка от общепита'!G19</f>
        <v>1215.7992000000002</v>
      </c>
      <c r="H21" s="305">
        <f>'выручка номеров'!I11*'скидки для типов гостей'!$B$11*'выручка от общепита'!H20*'выручка от общепита'!H19</f>
        <v>1256.32584</v>
      </c>
      <c r="I21" s="305">
        <f>'выручка номеров'!J11*'скидки для типов гостей'!$B$11*'выручка от общепита'!I20*'выручка от общепита'!I19</f>
        <v>1182.4243199999999</v>
      </c>
      <c r="J21" s="305">
        <f>'выручка номеров'!K11*'скидки для типов гостей'!$B$11*'выручка от общепита'!J20*'выручка от общепита'!J19</f>
        <v>929.72880000000009</v>
      </c>
      <c r="K21" s="305">
        <f>'выручка номеров'!L11*'скидки для типов гостей'!$B$11*'выручка от общепита'!K20*'выручка от общепита'!K19</f>
        <v>812.91672000000017</v>
      </c>
      <c r="L21" s="305">
        <f>'выручка номеров'!M11*'скидки для типов гостей'!$B$11*'выручка от общепита'!L20*'выручка от общепита'!L19</f>
        <v>715.17600000000004</v>
      </c>
      <c r="M21" s="305">
        <f>'выручка номеров'!N11*'скидки для типов гостей'!$B$11*'выручка от общепита'!M20*'выручка от общепита'!M19</f>
        <v>960.71975999999995</v>
      </c>
      <c r="N21" s="308"/>
    </row>
    <row r="22" spans="1:14" ht="23">
      <c r="A22" s="310" t="s">
        <v>729</v>
      </c>
      <c r="B22" s="193">
        <v>0.55000000000000004</v>
      </c>
      <c r="C22" s="193">
        <f>B22</f>
        <v>0.55000000000000004</v>
      </c>
      <c r="D22" s="193">
        <f>C22</f>
        <v>0.55000000000000004</v>
      </c>
      <c r="E22" s="193">
        <f t="shared" ref="E22:M22" si="6">D22</f>
        <v>0.55000000000000004</v>
      </c>
      <c r="F22" s="193">
        <f t="shared" si="6"/>
        <v>0.55000000000000004</v>
      </c>
      <c r="G22" s="193">
        <f t="shared" si="6"/>
        <v>0.55000000000000004</v>
      </c>
      <c r="H22" s="193">
        <f t="shared" si="6"/>
        <v>0.55000000000000004</v>
      </c>
      <c r="I22" s="193">
        <f t="shared" si="6"/>
        <v>0.55000000000000004</v>
      </c>
      <c r="J22" s="193">
        <f t="shared" si="6"/>
        <v>0.55000000000000004</v>
      </c>
      <c r="K22" s="193">
        <f t="shared" si="6"/>
        <v>0.55000000000000004</v>
      </c>
      <c r="L22" s="193">
        <f t="shared" si="6"/>
        <v>0.55000000000000004</v>
      </c>
      <c r="M22" s="193">
        <f t="shared" si="6"/>
        <v>0.55000000000000004</v>
      </c>
      <c r="N22" s="308"/>
    </row>
    <row r="23" spans="1:14" ht="23">
      <c r="A23" s="310" t="s">
        <v>502</v>
      </c>
      <c r="B23" s="305">
        <f>'выручка номеров'!U10*'выручка от общепита'!B22</f>
        <v>409.20000000000005</v>
      </c>
      <c r="C23" s="305">
        <f>'выручка номеров'!V10*'выручка от общепита'!C22</f>
        <v>115.50000000000001</v>
      </c>
      <c r="D23" s="305">
        <f>'выручка номеров'!W10*'выручка от общепита'!D22</f>
        <v>153.45000000000002</v>
      </c>
      <c r="E23" s="305">
        <f>'выручка номеров'!X10*'выручка от общепита'!E22</f>
        <v>198.00000000000003</v>
      </c>
      <c r="F23" s="305">
        <f>'выручка номеров'!Y10*'выручка от общепита'!F22</f>
        <v>332.47500000000002</v>
      </c>
      <c r="G23" s="305">
        <f>'выручка номеров'!Z10*'выручка от общепита'!G22</f>
        <v>371.25000000000006</v>
      </c>
      <c r="H23" s="305">
        <f>'выручка номеров'!AA10*'выручка от общепита'!H22</f>
        <v>511.50000000000006</v>
      </c>
      <c r="I23" s="305">
        <f>'выручка номеров'!AB10*'выручка от общепита'!I22</f>
        <v>434.77500000000003</v>
      </c>
      <c r="J23" s="305">
        <f>'выручка номеров'!AC10*'выручка от общепита'!J22</f>
        <v>272.25</v>
      </c>
      <c r="K23" s="305">
        <f>'выручка номеров'!AD10*'выручка от общепита'!K22</f>
        <v>127.87500000000001</v>
      </c>
      <c r="L23" s="305">
        <f>'выручка номеров'!AE10*'выручка от общепита'!L22</f>
        <v>123.75000000000001</v>
      </c>
      <c r="M23" s="305">
        <f>'выручка номеров'!AF10*'выручка от общепита'!M22</f>
        <v>332.47500000000002</v>
      </c>
    </row>
    <row r="24" spans="1:14">
      <c r="A24" s="313" t="s">
        <v>503</v>
      </c>
      <c r="B24" s="314">
        <f>B18*SUM(B21,B23)</f>
        <v>3946079.2800000007</v>
      </c>
      <c r="C24" s="314">
        <f t="shared" ref="C24:M24" si="7">C18*SUM(C21,C23)</f>
        <v>2209343.1360000004</v>
      </c>
      <c r="D24" s="314">
        <f t="shared" si="7"/>
        <v>2512553.4720000005</v>
      </c>
      <c r="E24" s="314">
        <f t="shared" si="7"/>
        <v>2560203.3600000003</v>
      </c>
      <c r="F24" s="314">
        <f t="shared" si="7"/>
        <v>3746594.2800000003</v>
      </c>
      <c r="G24" s="314">
        <f t="shared" si="7"/>
        <v>4126327.9200000004</v>
      </c>
      <c r="H24" s="314">
        <f t="shared" si="7"/>
        <v>4596347.1840000004</v>
      </c>
      <c r="I24" s="314">
        <f t="shared" si="7"/>
        <v>4204718.2319999998</v>
      </c>
      <c r="J24" s="314">
        <f t="shared" si="7"/>
        <v>3125144.8800000004</v>
      </c>
      <c r="K24" s="314">
        <f t="shared" si="7"/>
        <v>2446058.4720000005</v>
      </c>
      <c r="L24" s="314">
        <f t="shared" si="7"/>
        <v>2181207.6</v>
      </c>
      <c r="M24" s="314">
        <f t="shared" si="7"/>
        <v>3362306.3759999997</v>
      </c>
      <c r="N24" s="315">
        <f>SUM(B24:M24)</f>
        <v>39016884.192000009</v>
      </c>
    </row>
    <row r="25" spans="1:14">
      <c r="A25" s="299"/>
      <c r="B25" s="307"/>
      <c r="C25" s="307"/>
      <c r="D25" s="307"/>
      <c r="E25" s="307"/>
      <c r="F25" s="307"/>
      <c r="G25" s="307"/>
      <c r="H25" s="307"/>
      <c r="I25" s="307"/>
      <c r="J25" s="307"/>
      <c r="K25" s="307"/>
      <c r="L25" s="307"/>
      <c r="M25" s="307"/>
      <c r="N25" s="308"/>
    </row>
    <row r="26" spans="1:14" ht="19" customHeight="1">
      <c r="A26" s="309" t="str">
        <f>Инфраструктура!A36</f>
        <v>Чайный павильон "У Бювета"</v>
      </c>
      <c r="B26" s="307"/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308"/>
    </row>
    <row r="27" spans="1:14">
      <c r="A27" s="310" t="s">
        <v>500</v>
      </c>
      <c r="B27" s="305">
        <v>800</v>
      </c>
      <c r="C27" s="305">
        <f>B27</f>
        <v>800</v>
      </c>
      <c r="D27" s="305">
        <f t="shared" ref="D27:M27" si="8">C27</f>
        <v>800</v>
      </c>
      <c r="E27" s="305">
        <f t="shared" si="8"/>
        <v>800</v>
      </c>
      <c r="F27" s="305">
        <f t="shared" si="8"/>
        <v>800</v>
      </c>
      <c r="G27" s="305">
        <f t="shared" si="8"/>
        <v>800</v>
      </c>
      <c r="H27" s="305">
        <f t="shared" si="8"/>
        <v>800</v>
      </c>
      <c r="I27" s="305">
        <f t="shared" si="8"/>
        <v>800</v>
      </c>
      <c r="J27" s="305">
        <f t="shared" si="8"/>
        <v>800</v>
      </c>
      <c r="K27" s="305">
        <f t="shared" si="8"/>
        <v>800</v>
      </c>
      <c r="L27" s="305">
        <f t="shared" si="8"/>
        <v>800</v>
      </c>
      <c r="M27" s="305">
        <f t="shared" si="8"/>
        <v>800</v>
      </c>
      <c r="N27" s="308"/>
    </row>
    <row r="28" spans="1:14" ht="23">
      <c r="A28" s="310" t="s">
        <v>730</v>
      </c>
      <c r="B28" s="193">
        <v>0.45</v>
      </c>
      <c r="C28" s="193">
        <v>0.45</v>
      </c>
      <c r="D28" s="193">
        <v>0.45</v>
      </c>
      <c r="E28" s="193">
        <v>0.45</v>
      </c>
      <c r="F28" s="193">
        <v>0.45</v>
      </c>
      <c r="G28" s="193">
        <v>0.45</v>
      </c>
      <c r="H28" s="193">
        <v>0.45</v>
      </c>
      <c r="I28" s="193">
        <v>0.45</v>
      </c>
      <c r="J28" s="193">
        <v>0.45</v>
      </c>
      <c r="K28" s="193">
        <v>0.45</v>
      </c>
      <c r="L28" s="193">
        <v>0.45</v>
      </c>
      <c r="M28" s="193">
        <v>0.45</v>
      </c>
      <c r="N28" s="308"/>
    </row>
    <row r="29" spans="1:14" ht="23">
      <c r="A29" s="310" t="s">
        <v>731</v>
      </c>
      <c r="B29" s="311">
        <v>1</v>
      </c>
      <c r="C29" s="311">
        <v>1</v>
      </c>
      <c r="D29" s="311">
        <v>1</v>
      </c>
      <c r="E29" s="311">
        <v>1</v>
      </c>
      <c r="F29" s="311">
        <v>1</v>
      </c>
      <c r="G29" s="311">
        <v>1</v>
      </c>
      <c r="H29" s="311">
        <v>1</v>
      </c>
      <c r="I29" s="311">
        <v>1</v>
      </c>
      <c r="J29" s="311">
        <v>1</v>
      </c>
      <c r="K29" s="311">
        <v>1</v>
      </c>
      <c r="L29" s="311">
        <v>1</v>
      </c>
      <c r="M29" s="311">
        <v>1</v>
      </c>
      <c r="N29" s="308"/>
    </row>
    <row r="30" spans="1:14" ht="23">
      <c r="A30" s="310" t="s">
        <v>501</v>
      </c>
      <c r="B30" s="305">
        <f>'выручка номеров'!C11*'выручка от общепита'!B28*'выручка от общепита'!B29</f>
        <v>1255.5</v>
      </c>
      <c r="C30" s="305">
        <f>'выручка номеров'!D11*'выручка от общепита'!C28*'выручка от общепита'!C29</f>
        <v>831.60000000000014</v>
      </c>
      <c r="D30" s="305">
        <f>'выручка номеров'!E11*'выручка от общепита'!D28*'выручка от общепита'!D29</f>
        <v>920.70000000000016</v>
      </c>
      <c r="E30" s="305">
        <f>'выручка номеров'!F11*'выручка от общепита'!E28*'выручка от общепита'!E29</f>
        <v>891.00000000000011</v>
      </c>
      <c r="F30" s="305">
        <f>'выручка номеров'!G11*'выручка от общепита'!F28*'выручка от общепита'!F29</f>
        <v>1255.5</v>
      </c>
      <c r="G30" s="305">
        <f>'выручка номеров'!H11*'выручка от общепита'!G28*'выручка от общепита'!G29</f>
        <v>1377</v>
      </c>
      <c r="H30" s="305">
        <f>'выручка номеров'!I11*'выручка от общепита'!H28*'выручка от общепита'!H29</f>
        <v>1422.9</v>
      </c>
      <c r="I30" s="305">
        <f>'выручка номеров'!J11*'выручка от общепита'!I28*'выручка от общепита'!I29</f>
        <v>1339.2</v>
      </c>
      <c r="J30" s="305">
        <f>'выручка номеров'!K11*'выручка от общепита'!J28*'выручка от общепита'!J29</f>
        <v>1053</v>
      </c>
      <c r="K30" s="305">
        <f>'выручка номеров'!L11*'выручка от общепита'!K28*'выручка от общепита'!K29</f>
        <v>920.70000000000016</v>
      </c>
      <c r="L30" s="305">
        <f>'выручка номеров'!M11*'выручка от общепита'!L28*'выручка от общепита'!L29</f>
        <v>810</v>
      </c>
      <c r="M30" s="305">
        <f>'выручка номеров'!N11*'выручка от общепита'!M28*'выручка от общепита'!M29</f>
        <v>1088.1000000000001</v>
      </c>
      <c r="N30" s="308"/>
    </row>
    <row r="31" spans="1:14" ht="25.5" customHeight="1">
      <c r="A31" s="310" t="str">
        <f>A22</f>
        <v>Оценочный процент гостей  от одднодневных посетителей</v>
      </c>
      <c r="B31" s="193">
        <v>0.85</v>
      </c>
      <c r="C31" s="193">
        <f>B31</f>
        <v>0.85</v>
      </c>
      <c r="D31" s="193">
        <f t="shared" ref="D31:M31" si="9">C31</f>
        <v>0.85</v>
      </c>
      <c r="E31" s="193">
        <f t="shared" si="9"/>
        <v>0.85</v>
      </c>
      <c r="F31" s="193">
        <f t="shared" si="9"/>
        <v>0.85</v>
      </c>
      <c r="G31" s="193">
        <f t="shared" si="9"/>
        <v>0.85</v>
      </c>
      <c r="H31" s="193">
        <f t="shared" si="9"/>
        <v>0.85</v>
      </c>
      <c r="I31" s="193">
        <f t="shared" si="9"/>
        <v>0.85</v>
      </c>
      <c r="J31" s="193">
        <f t="shared" si="9"/>
        <v>0.85</v>
      </c>
      <c r="K31" s="193">
        <f t="shared" si="9"/>
        <v>0.85</v>
      </c>
      <c r="L31" s="193">
        <f t="shared" si="9"/>
        <v>0.85</v>
      </c>
      <c r="M31" s="193">
        <f t="shared" si="9"/>
        <v>0.85</v>
      </c>
      <c r="N31" s="308"/>
    </row>
    <row r="32" spans="1:14" ht="23">
      <c r="A32" s="310" t="s">
        <v>502</v>
      </c>
      <c r="B32" s="305">
        <f>'выручка номеров'!U10*'выручка от общепита'!B31</f>
        <v>632.4</v>
      </c>
      <c r="C32" s="305">
        <f>'выручка номеров'!V10*'выручка от общепита'!C31</f>
        <v>178.5</v>
      </c>
      <c r="D32" s="305">
        <f>'выручка номеров'!W10*'выручка от общепита'!D31</f>
        <v>237.15</v>
      </c>
      <c r="E32" s="305">
        <f>'выручка номеров'!X10*'выручка от общепита'!E31</f>
        <v>306</v>
      </c>
      <c r="F32" s="305">
        <f>'выручка номеров'!Y10*'выручка от общепита'!F31</f>
        <v>513.82499999999993</v>
      </c>
      <c r="G32" s="305">
        <f>'выручка номеров'!Z10*'выручка от общепита'!G31</f>
        <v>573.75</v>
      </c>
      <c r="H32" s="305">
        <f>'выручка номеров'!AA10*'выручка от общепита'!H31</f>
        <v>790.5</v>
      </c>
      <c r="I32" s="305">
        <f>'выручка номеров'!AB10*'выручка от общепита'!I31</f>
        <v>671.92499999999995</v>
      </c>
      <c r="J32" s="305">
        <f>'выручка номеров'!AC10*'выручка от общепита'!J31</f>
        <v>420.75</v>
      </c>
      <c r="K32" s="305">
        <f>'выручка номеров'!AD10*'выручка от общепита'!K31</f>
        <v>197.625</v>
      </c>
      <c r="L32" s="305">
        <f>'выручка номеров'!AE10*'выручка от общепита'!L31</f>
        <v>191.25</v>
      </c>
      <c r="M32" s="305">
        <f>'выручка номеров'!AF10*'выручка от общепита'!M31</f>
        <v>513.82499999999993</v>
      </c>
      <c r="N32" s="308"/>
    </row>
    <row r="33" spans="1:14">
      <c r="A33" s="313" t="s">
        <v>503</v>
      </c>
      <c r="B33" s="314">
        <f>B27*SUM(B30,B32)</f>
        <v>1510320</v>
      </c>
      <c r="C33" s="314">
        <f t="shared" ref="C33:M33" si="10">C27*SUM(C30,C32)</f>
        <v>808080.00000000012</v>
      </c>
      <c r="D33" s="314">
        <f t="shared" si="10"/>
        <v>926280.00000000012</v>
      </c>
      <c r="E33" s="314">
        <f t="shared" si="10"/>
        <v>957600</v>
      </c>
      <c r="F33" s="314">
        <f t="shared" si="10"/>
        <v>1415459.9999999998</v>
      </c>
      <c r="G33" s="314">
        <f t="shared" si="10"/>
        <v>1560600</v>
      </c>
      <c r="H33" s="314">
        <f t="shared" si="10"/>
        <v>1770720</v>
      </c>
      <c r="I33" s="314">
        <f t="shared" si="10"/>
        <v>1608900</v>
      </c>
      <c r="J33" s="314">
        <f t="shared" si="10"/>
        <v>1179000</v>
      </c>
      <c r="K33" s="314">
        <f t="shared" si="10"/>
        <v>894660.00000000023</v>
      </c>
      <c r="L33" s="314">
        <f t="shared" si="10"/>
        <v>801000</v>
      </c>
      <c r="M33" s="314">
        <f t="shared" si="10"/>
        <v>1281540.0000000002</v>
      </c>
      <c r="N33" s="315">
        <f>SUM(B33:M33)</f>
        <v>14714160</v>
      </c>
    </row>
    <row r="34" spans="1:14">
      <c r="A34" s="299"/>
      <c r="B34" s="307"/>
      <c r="C34" s="307"/>
      <c r="D34" s="307"/>
      <c r="E34" s="307"/>
      <c r="F34" s="307"/>
      <c r="G34" s="307"/>
      <c r="H34" s="307"/>
      <c r="I34" s="307"/>
      <c r="J34" s="307"/>
      <c r="K34" s="307"/>
      <c r="L34" s="307"/>
      <c r="M34" s="307"/>
      <c r="N34" s="308"/>
    </row>
    <row r="35" spans="1:14">
      <c r="A35" s="309" t="str">
        <f>Инфраструктура!A25</f>
        <v>Фитобар</v>
      </c>
      <c r="B35" s="307"/>
      <c r="C35" s="307"/>
      <c r="D35" s="307"/>
      <c r="E35" s="307"/>
      <c r="F35" s="307"/>
      <c r="G35" s="307"/>
      <c r="H35" s="307"/>
      <c r="I35" s="307"/>
      <c r="J35" s="307"/>
      <c r="K35" s="307"/>
      <c r="L35" s="307"/>
      <c r="M35" s="307"/>
      <c r="N35" s="308"/>
    </row>
    <row r="36" spans="1:14">
      <c r="A36" s="310" t="s">
        <v>500</v>
      </c>
      <c r="B36" s="305">
        <v>650</v>
      </c>
      <c r="C36" s="305">
        <f>B36</f>
        <v>650</v>
      </c>
      <c r="D36" s="305">
        <f t="shared" ref="D36:M36" si="11">C36</f>
        <v>650</v>
      </c>
      <c r="E36" s="305">
        <f t="shared" si="11"/>
        <v>650</v>
      </c>
      <c r="F36" s="305">
        <f t="shared" si="11"/>
        <v>650</v>
      </c>
      <c r="G36" s="305">
        <f t="shared" si="11"/>
        <v>650</v>
      </c>
      <c r="H36" s="305">
        <f t="shared" si="11"/>
        <v>650</v>
      </c>
      <c r="I36" s="305">
        <f t="shared" si="11"/>
        <v>650</v>
      </c>
      <c r="J36" s="305">
        <f t="shared" si="11"/>
        <v>650</v>
      </c>
      <c r="K36" s="305">
        <f t="shared" si="11"/>
        <v>650</v>
      </c>
      <c r="L36" s="305">
        <f t="shared" si="11"/>
        <v>650</v>
      </c>
      <c r="M36" s="305">
        <f t="shared" si="11"/>
        <v>650</v>
      </c>
      <c r="N36" s="308"/>
    </row>
    <row r="37" spans="1:14" ht="34.5">
      <c r="A37" s="310" t="s">
        <v>504</v>
      </c>
      <c r="B37" s="193">
        <v>0.15</v>
      </c>
      <c r="C37" s="193">
        <f>B37</f>
        <v>0.15</v>
      </c>
      <c r="D37" s="193">
        <f t="shared" ref="D37:M37" si="12">C37</f>
        <v>0.15</v>
      </c>
      <c r="E37" s="193">
        <f t="shared" si="12"/>
        <v>0.15</v>
      </c>
      <c r="F37" s="193">
        <f t="shared" si="12"/>
        <v>0.15</v>
      </c>
      <c r="G37" s="193">
        <f t="shared" si="12"/>
        <v>0.15</v>
      </c>
      <c r="H37" s="193">
        <f t="shared" si="12"/>
        <v>0.15</v>
      </c>
      <c r="I37" s="193">
        <f t="shared" si="12"/>
        <v>0.15</v>
      </c>
      <c r="J37" s="193">
        <f t="shared" si="12"/>
        <v>0.15</v>
      </c>
      <c r="K37" s="193">
        <f t="shared" si="12"/>
        <v>0.15</v>
      </c>
      <c r="L37" s="193">
        <f t="shared" si="12"/>
        <v>0.15</v>
      </c>
      <c r="M37" s="193">
        <f t="shared" si="12"/>
        <v>0.15</v>
      </c>
      <c r="N37" s="308"/>
    </row>
    <row r="38" spans="1:14" ht="34.5">
      <c r="A38" s="310" t="s">
        <v>505</v>
      </c>
      <c r="B38" s="311">
        <v>1</v>
      </c>
      <c r="C38" s="311">
        <v>1</v>
      </c>
      <c r="D38" s="311">
        <v>1</v>
      </c>
      <c r="E38" s="311">
        <v>1</v>
      </c>
      <c r="F38" s="311">
        <v>1</v>
      </c>
      <c r="G38" s="311">
        <v>1</v>
      </c>
      <c r="H38" s="311">
        <v>1</v>
      </c>
      <c r="I38" s="311">
        <v>1</v>
      </c>
      <c r="J38" s="311">
        <v>1</v>
      </c>
      <c r="K38" s="311">
        <v>1</v>
      </c>
      <c r="L38" s="311">
        <v>1</v>
      </c>
      <c r="M38" s="311">
        <v>1</v>
      </c>
      <c r="N38" s="308"/>
    </row>
    <row r="39" spans="1:14" ht="23">
      <c r="A39" s="310" t="s">
        <v>501</v>
      </c>
      <c r="B39" s="305">
        <f>'выручка номеров'!C11*'выручка от общепита'!B37*'выручка от общепита'!B38*'скидки для типов гостей'!$B$11</f>
        <v>755.81099999999992</v>
      </c>
      <c r="C39" s="305">
        <f>'выручка номеров'!D11*'выручка от общепита'!C37*'выручка от общепита'!C38*'скидки для типов гостей'!$B$11</f>
        <v>500.62320000000005</v>
      </c>
      <c r="D39" s="305">
        <f>'выручка номеров'!E11*'выручка от общепита'!D37*'выручка от общепита'!D38*'скидки для типов гостей'!$B$11</f>
        <v>554.26139999999998</v>
      </c>
      <c r="E39" s="305">
        <f>'выручка номеров'!F11*'выручка от общепита'!E37*'выручка от общепита'!E38*'скидки для типов гостей'!$B$11</f>
        <v>536.38199999999995</v>
      </c>
      <c r="F39" s="305">
        <f>'выручка номеров'!G11*'выручка от общепита'!F37*'выручка от общепита'!F38*'скидки для типов гостей'!$B$11</f>
        <v>755.81099999999992</v>
      </c>
      <c r="G39" s="305">
        <f>'выручка номеров'!H11*'выручка от общепита'!G37*'выручка от общепита'!G38*'скидки для типов гостей'!$B$11</f>
        <v>828.95399999999995</v>
      </c>
      <c r="H39" s="305">
        <f>'выручка номеров'!I11*'выручка от общепита'!H37*'выручка от общепита'!H38*'скидки для типов гостей'!$B$11</f>
        <v>856.58579999999984</v>
      </c>
      <c r="I39" s="305">
        <f>'выручка номеров'!J11*'выручка от общепита'!I37*'выручка от общепита'!I38*'скидки для типов гостей'!$B$11</f>
        <v>806.19839999999988</v>
      </c>
      <c r="J39" s="305">
        <f>'выручка номеров'!K11*'выручка от общепита'!J37*'выручка от общепита'!J38*'скидки для типов гостей'!$B$11</f>
        <v>633.90599999999995</v>
      </c>
      <c r="K39" s="305">
        <f>'выручка номеров'!L11*'выручка от общепита'!K37*'выручка от общепита'!K38*'скидки для типов гостей'!$B$11</f>
        <v>554.26139999999998</v>
      </c>
      <c r="L39" s="305">
        <f>'выручка номеров'!M11*'выручка от общепита'!L37*'выручка от общепита'!L38*'скидки для типов гостей'!$B$11</f>
        <v>487.61999999999995</v>
      </c>
      <c r="M39" s="305">
        <f>'выручка номеров'!N11*'выручка от общепита'!M37*'выручка от общепита'!M38*'скидки для типов гостей'!$B$11</f>
        <v>655.03619999999989</v>
      </c>
      <c r="N39" s="308"/>
    </row>
    <row r="40" spans="1:14">
      <c r="A40" s="313" t="s">
        <v>503</v>
      </c>
      <c r="B40" s="314">
        <f t="shared" ref="B40:M40" si="13">B36*SUM(B39)</f>
        <v>491277.14999999997</v>
      </c>
      <c r="C40" s="314">
        <f t="shared" si="13"/>
        <v>325405.08</v>
      </c>
      <c r="D40" s="314">
        <f t="shared" si="13"/>
        <v>360269.91</v>
      </c>
      <c r="E40" s="314">
        <f t="shared" si="13"/>
        <v>348648.3</v>
      </c>
      <c r="F40" s="314">
        <f t="shared" si="13"/>
        <v>491277.14999999997</v>
      </c>
      <c r="G40" s="314">
        <f t="shared" si="13"/>
        <v>538820.1</v>
      </c>
      <c r="H40" s="314">
        <f t="shared" si="13"/>
        <v>556780.7699999999</v>
      </c>
      <c r="I40" s="314">
        <f t="shared" si="13"/>
        <v>524028.9599999999</v>
      </c>
      <c r="J40" s="314">
        <f t="shared" si="13"/>
        <v>412038.89999999997</v>
      </c>
      <c r="K40" s="314">
        <f t="shared" si="13"/>
        <v>360269.91</v>
      </c>
      <c r="L40" s="314">
        <f t="shared" si="13"/>
        <v>316952.99999999994</v>
      </c>
      <c r="M40" s="314">
        <f t="shared" si="13"/>
        <v>425773.52999999991</v>
      </c>
      <c r="N40" s="315">
        <f>SUM(B40:M40)</f>
        <v>5151542.76</v>
      </c>
    </row>
    <row r="41" spans="1:14">
      <c r="A41" s="309"/>
      <c r="B41" s="307"/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8"/>
    </row>
    <row r="42" spans="1:14" ht="56">
      <c r="A42" s="538" t="s">
        <v>791</v>
      </c>
      <c r="B42" s="539">
        <f>SUM(B15,B24,B33,B40)</f>
        <v>10255436.430000002</v>
      </c>
      <c r="C42" s="539">
        <f t="shared" ref="C42:M42" si="14">SUM(C15,C24,C33,C40)</f>
        <v>5958588.216</v>
      </c>
      <c r="D42" s="539">
        <f t="shared" si="14"/>
        <v>6734183.3820000011</v>
      </c>
      <c r="E42" s="539">
        <f t="shared" si="14"/>
        <v>6782451.6600000011</v>
      </c>
      <c r="F42" s="539">
        <f t="shared" si="14"/>
        <v>9843911.4300000016</v>
      </c>
      <c r="G42" s="539">
        <f t="shared" si="14"/>
        <v>10831948.020000001</v>
      </c>
      <c r="H42" s="539">
        <f t="shared" si="14"/>
        <v>11878887.954</v>
      </c>
      <c r="I42" s="539">
        <f t="shared" si="14"/>
        <v>10929987.192</v>
      </c>
      <c r="J42" s="539">
        <f t="shared" si="14"/>
        <v>8220783.7800000012</v>
      </c>
      <c r="K42" s="539">
        <f t="shared" si="14"/>
        <v>6597008.3820000011</v>
      </c>
      <c r="L42" s="539">
        <f t="shared" si="14"/>
        <v>5864160.5999999996</v>
      </c>
      <c r="M42" s="539">
        <f t="shared" si="14"/>
        <v>8769159.9059999995</v>
      </c>
      <c r="N42" s="540">
        <f>SUM(B42:M42)</f>
        <v>102666506.95200001</v>
      </c>
    </row>
    <row r="43" spans="1:14">
      <c r="A43" s="309"/>
      <c r="B43" s="307"/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8"/>
    </row>
    <row r="44" spans="1:14" ht="67" customHeight="1">
      <c r="A44" s="541" t="str">
        <f>'выручка номеров'!A18</f>
        <v>Действующий корпус санатория с новым бальнеологическим комплексом</v>
      </c>
      <c r="B44" s="307"/>
      <c r="C44" s="307"/>
      <c r="D44" s="307"/>
      <c r="E44" s="307"/>
      <c r="F44" s="307"/>
      <c r="G44" s="307"/>
      <c r="H44" s="307"/>
      <c r="I44" s="307"/>
      <c r="J44" s="307"/>
      <c r="K44" s="307"/>
      <c r="L44" s="307"/>
      <c r="M44" s="307"/>
      <c r="N44" s="308"/>
    </row>
    <row r="45" spans="1:14">
      <c r="A45" s="309" t="s">
        <v>792</v>
      </c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8"/>
    </row>
    <row r="46" spans="1:14">
      <c r="A46" s="310" t="s">
        <v>500</v>
      </c>
      <c r="B46" s="305">
        <v>450</v>
      </c>
      <c r="C46" s="305">
        <f>B46</f>
        <v>450</v>
      </c>
      <c r="D46" s="305">
        <f t="shared" ref="D46:M46" si="15">C46</f>
        <v>450</v>
      </c>
      <c r="E46" s="305">
        <f t="shared" si="15"/>
        <v>450</v>
      </c>
      <c r="F46" s="305">
        <f t="shared" si="15"/>
        <v>450</v>
      </c>
      <c r="G46" s="305">
        <f t="shared" si="15"/>
        <v>450</v>
      </c>
      <c r="H46" s="305">
        <f t="shared" si="15"/>
        <v>450</v>
      </c>
      <c r="I46" s="305">
        <f t="shared" si="15"/>
        <v>450</v>
      </c>
      <c r="J46" s="305">
        <f t="shared" si="15"/>
        <v>450</v>
      </c>
      <c r="K46" s="305">
        <f t="shared" si="15"/>
        <v>450</v>
      </c>
      <c r="L46" s="305">
        <f t="shared" si="15"/>
        <v>450</v>
      </c>
      <c r="M46" s="305">
        <f t="shared" si="15"/>
        <v>450</v>
      </c>
      <c r="N46" s="308"/>
    </row>
    <row r="47" spans="1:14" ht="34.5">
      <c r="A47" s="310" t="s">
        <v>504</v>
      </c>
      <c r="B47" s="193">
        <v>0.35</v>
      </c>
      <c r="C47" s="193">
        <f>B47</f>
        <v>0.35</v>
      </c>
      <c r="D47" s="193">
        <f t="shared" ref="D47:M47" si="16">C47</f>
        <v>0.35</v>
      </c>
      <c r="E47" s="193">
        <f t="shared" si="16"/>
        <v>0.35</v>
      </c>
      <c r="F47" s="193">
        <f t="shared" si="16"/>
        <v>0.35</v>
      </c>
      <c r="G47" s="193">
        <f t="shared" si="16"/>
        <v>0.35</v>
      </c>
      <c r="H47" s="193">
        <f t="shared" si="16"/>
        <v>0.35</v>
      </c>
      <c r="I47" s="193">
        <f t="shared" si="16"/>
        <v>0.35</v>
      </c>
      <c r="J47" s="193">
        <f t="shared" si="16"/>
        <v>0.35</v>
      </c>
      <c r="K47" s="193">
        <f t="shared" si="16"/>
        <v>0.35</v>
      </c>
      <c r="L47" s="193">
        <f t="shared" si="16"/>
        <v>0.35</v>
      </c>
      <c r="M47" s="193">
        <f t="shared" si="16"/>
        <v>0.35</v>
      </c>
      <c r="N47" s="308"/>
    </row>
    <row r="48" spans="1:14" ht="34.5">
      <c r="A48" s="310" t="s">
        <v>505</v>
      </c>
      <c r="B48" s="311">
        <v>1</v>
      </c>
      <c r="C48" s="311">
        <v>1</v>
      </c>
      <c r="D48" s="311">
        <v>1</v>
      </c>
      <c r="E48" s="311">
        <v>1</v>
      </c>
      <c r="F48" s="311">
        <v>1</v>
      </c>
      <c r="G48" s="311">
        <v>1</v>
      </c>
      <c r="H48" s="311">
        <v>1</v>
      </c>
      <c r="I48" s="311">
        <v>1</v>
      </c>
      <c r="J48" s="311">
        <v>1</v>
      </c>
      <c r="K48" s="311">
        <v>1</v>
      </c>
      <c r="L48" s="311">
        <v>1</v>
      </c>
      <c r="M48" s="311">
        <v>1</v>
      </c>
      <c r="N48" s="308"/>
    </row>
    <row r="49" spans="1:14" ht="23">
      <c r="A49" s="310" t="s">
        <v>501</v>
      </c>
      <c r="B49" s="305">
        <f>'выручка номеров'!C20*'выручка от общепита'!B47*'выручка от общепита'!B48</f>
        <v>992.77499999999998</v>
      </c>
      <c r="C49" s="305">
        <f>'выручка номеров'!D20*'выручка от общепита'!C47*'выручка от общепита'!C48</f>
        <v>1016.2599999999999</v>
      </c>
      <c r="D49" s="305">
        <f>'выручка номеров'!E20*'выручка от общепита'!D47*'выручка от общепита'!D48</f>
        <v>1125.1449999999998</v>
      </c>
      <c r="E49" s="305">
        <f>'выручка номеров'!F20*'выручка от общепита'!E47*'выручка от общепита'!E48</f>
        <v>986.37</v>
      </c>
      <c r="F49" s="305">
        <f>'выручка номеров'!G20*'выручка от общепита'!F47*'выручка от общепита'!F48</f>
        <v>926.5899999999998</v>
      </c>
      <c r="G49" s="305">
        <f>'выручка номеров'!H20*'выручка от общепита'!G47*'выручка от общепита'!G48</f>
        <v>1088.8499999999999</v>
      </c>
      <c r="H49" s="305">
        <f>'выручка номеров'!I20*'выручка от общепита'!H47*'выручка от общепита'!H48</f>
        <v>1125.1449999999998</v>
      </c>
      <c r="I49" s="305">
        <f>'выручка номеров'!J20*'выручка от общепита'!I47*'выручка от общепита'!I48</f>
        <v>860.40499999999997</v>
      </c>
      <c r="J49" s="305">
        <f>'выручка номеров'!K20*'выручка от общепита'!J47*'выручка от общепита'!J48</f>
        <v>1088.8499999999999</v>
      </c>
      <c r="K49" s="305">
        <f>'выручка номеров'!L20*'выручка от общепита'!K47*'выручка от общепита'!K48</f>
        <v>1085.4339999999997</v>
      </c>
      <c r="L49" s="305">
        <f>'выручка номеров'!M20*'выручка от общепита'!L47*'выручка от общепита'!L48</f>
        <v>999.18</v>
      </c>
      <c r="M49" s="305">
        <f>'выручка номеров'!N20*'выручка от общепита'!M47*'выручка от общепита'!M48</f>
        <v>1125.1449999999998</v>
      </c>
      <c r="N49" s="308"/>
    </row>
    <row r="50" spans="1:14">
      <c r="A50" s="313" t="s">
        <v>503</v>
      </c>
      <c r="B50" s="314">
        <f t="shared" ref="B50:M50" si="17">B46*SUM(B49)</f>
        <v>446748.75</v>
      </c>
      <c r="C50" s="314">
        <f t="shared" si="17"/>
        <v>457316.99999999994</v>
      </c>
      <c r="D50" s="314">
        <f t="shared" si="17"/>
        <v>506315.24999999988</v>
      </c>
      <c r="E50" s="314">
        <f t="shared" si="17"/>
        <v>443866.5</v>
      </c>
      <c r="F50" s="314">
        <f t="shared" si="17"/>
        <v>416965.49999999988</v>
      </c>
      <c r="G50" s="314">
        <f t="shared" si="17"/>
        <v>489982.49999999994</v>
      </c>
      <c r="H50" s="314">
        <f t="shared" si="17"/>
        <v>506315.24999999988</v>
      </c>
      <c r="I50" s="314">
        <f t="shared" si="17"/>
        <v>387182.25</v>
      </c>
      <c r="J50" s="314">
        <f t="shared" si="17"/>
        <v>489982.49999999994</v>
      </c>
      <c r="K50" s="314">
        <f t="shared" si="17"/>
        <v>488445.29999999987</v>
      </c>
      <c r="L50" s="314">
        <f t="shared" si="17"/>
        <v>449631</v>
      </c>
      <c r="M50" s="314">
        <f t="shared" si="17"/>
        <v>506315.24999999988</v>
      </c>
      <c r="N50" s="315">
        <f>SUM(B50:M50)</f>
        <v>5589067.0499999998</v>
      </c>
    </row>
    <row r="51" spans="1:14">
      <c r="A51" s="309"/>
      <c r="B51" s="307"/>
      <c r="C51" s="307"/>
      <c r="D51" s="307"/>
      <c r="E51" s="307"/>
      <c r="F51" s="307"/>
      <c r="G51" s="307"/>
      <c r="H51" s="307"/>
      <c r="I51" s="307"/>
      <c r="J51" s="307"/>
      <c r="K51" s="307"/>
      <c r="L51" s="307"/>
      <c r="M51" s="307"/>
      <c r="N51" s="308"/>
    </row>
    <row r="52" spans="1:14" ht="28">
      <c r="A52" s="538" t="s">
        <v>793</v>
      </c>
      <c r="B52" s="539">
        <f>SUM(B25,B34,B43,B50)</f>
        <v>446748.75</v>
      </c>
      <c r="C52" s="539">
        <f t="shared" ref="C52:M52" si="18">SUM(C25,C34,C43,C50)</f>
        <v>457316.99999999994</v>
      </c>
      <c r="D52" s="539">
        <f t="shared" si="18"/>
        <v>506315.24999999988</v>
      </c>
      <c r="E52" s="539">
        <f t="shared" si="18"/>
        <v>443866.5</v>
      </c>
      <c r="F52" s="539">
        <f t="shared" si="18"/>
        <v>416965.49999999988</v>
      </c>
      <c r="G52" s="539">
        <f t="shared" si="18"/>
        <v>489982.49999999994</v>
      </c>
      <c r="H52" s="539">
        <f t="shared" si="18"/>
        <v>506315.24999999988</v>
      </c>
      <c r="I52" s="539">
        <f t="shared" si="18"/>
        <v>387182.25</v>
      </c>
      <c r="J52" s="539">
        <f t="shared" si="18"/>
        <v>489982.49999999994</v>
      </c>
      <c r="K52" s="539">
        <f t="shared" si="18"/>
        <v>488445.29999999987</v>
      </c>
      <c r="L52" s="539">
        <f t="shared" si="18"/>
        <v>449631</v>
      </c>
      <c r="M52" s="539">
        <f t="shared" si="18"/>
        <v>506315.24999999988</v>
      </c>
      <c r="N52" s="540">
        <f>SUM(B52:M52)</f>
        <v>5589067.0499999998</v>
      </c>
    </row>
    <row r="53" spans="1:14">
      <c r="A53" s="309"/>
      <c r="B53" s="307"/>
      <c r="C53" s="307"/>
      <c r="D53" s="307"/>
      <c r="E53" s="307"/>
      <c r="F53" s="307"/>
      <c r="G53" s="307"/>
      <c r="H53" s="307"/>
      <c r="I53" s="307"/>
      <c r="J53" s="307"/>
      <c r="K53" s="307"/>
      <c r="L53" s="307"/>
      <c r="M53" s="307"/>
      <c r="N53" s="308"/>
    </row>
    <row r="54" spans="1:14" ht="18">
      <c r="A54" s="542" t="str">
        <f>'выручка номеров'!A25</f>
        <v>Эко-вилладж 4*</v>
      </c>
      <c r="B54" s="307"/>
      <c r="C54" s="307"/>
      <c r="D54" s="307"/>
      <c r="E54" s="307"/>
      <c r="F54" s="307"/>
      <c r="G54" s="307"/>
      <c r="H54" s="307"/>
      <c r="I54" s="307"/>
      <c r="J54" s="307"/>
      <c r="K54" s="307"/>
      <c r="L54" s="307"/>
      <c r="M54" s="307"/>
      <c r="N54" s="308"/>
    </row>
    <row r="55" spans="1:14">
      <c r="A55" s="309"/>
      <c r="B55" s="307"/>
      <c r="C55" s="307"/>
      <c r="D55" s="307"/>
      <c r="E55" s="307"/>
      <c r="F55" s="307"/>
      <c r="G55" s="307"/>
      <c r="H55" s="307"/>
      <c r="I55" s="307"/>
      <c r="J55" s="307"/>
      <c r="K55" s="307"/>
      <c r="L55" s="307"/>
      <c r="M55" s="307"/>
      <c r="N55" s="308"/>
    </row>
    <row r="56" spans="1:14" ht="30.65" customHeight="1">
      <c r="A56" s="309" t="str">
        <f>Инфраструктура!A109</f>
        <v>Панорамный ресторан с террасой Эко-Вилладж</v>
      </c>
      <c r="B56" s="307"/>
      <c r="C56" s="307"/>
      <c r="D56" s="307"/>
      <c r="E56" s="307"/>
      <c r="F56" s="307"/>
      <c r="G56" s="307"/>
      <c r="H56" s="307"/>
      <c r="I56" s="307"/>
      <c r="J56" s="307"/>
      <c r="K56" s="307"/>
      <c r="L56" s="307"/>
      <c r="M56" s="307"/>
      <c r="N56" s="308"/>
    </row>
    <row r="57" spans="1:14">
      <c r="A57" s="310" t="s">
        <v>500</v>
      </c>
      <c r="B57" s="305">
        <v>2500</v>
      </c>
      <c r="C57" s="305">
        <f>B57</f>
        <v>2500</v>
      </c>
      <c r="D57" s="305">
        <f t="shared" ref="D57:M57" si="19">C57</f>
        <v>2500</v>
      </c>
      <c r="E57" s="305">
        <f t="shared" si="19"/>
        <v>2500</v>
      </c>
      <c r="F57" s="305">
        <f t="shared" si="19"/>
        <v>2500</v>
      </c>
      <c r="G57" s="305">
        <f t="shared" si="19"/>
        <v>2500</v>
      </c>
      <c r="H57" s="305">
        <f t="shared" si="19"/>
        <v>2500</v>
      </c>
      <c r="I57" s="305">
        <f t="shared" si="19"/>
        <v>2500</v>
      </c>
      <c r="J57" s="305">
        <f t="shared" si="19"/>
        <v>2500</v>
      </c>
      <c r="K57" s="305">
        <f t="shared" si="19"/>
        <v>2500</v>
      </c>
      <c r="L57" s="305">
        <f t="shared" si="19"/>
        <v>2500</v>
      </c>
      <c r="M57" s="305">
        <f t="shared" si="19"/>
        <v>2500</v>
      </c>
      <c r="N57" s="308"/>
    </row>
    <row r="58" spans="1:14" ht="23">
      <c r="A58" s="310" t="s">
        <v>795</v>
      </c>
      <c r="B58" s="193">
        <v>0.55000000000000004</v>
      </c>
      <c r="C58" s="193">
        <f>B58</f>
        <v>0.55000000000000004</v>
      </c>
      <c r="D58" s="193">
        <f t="shared" ref="D58:M58" si="20">C58</f>
        <v>0.55000000000000004</v>
      </c>
      <c r="E58" s="193">
        <f t="shared" si="20"/>
        <v>0.55000000000000004</v>
      </c>
      <c r="F58" s="193">
        <f t="shared" si="20"/>
        <v>0.55000000000000004</v>
      </c>
      <c r="G58" s="193">
        <f t="shared" si="20"/>
        <v>0.55000000000000004</v>
      </c>
      <c r="H58" s="193">
        <f t="shared" si="20"/>
        <v>0.55000000000000004</v>
      </c>
      <c r="I58" s="193">
        <f t="shared" si="20"/>
        <v>0.55000000000000004</v>
      </c>
      <c r="J58" s="193">
        <f t="shared" si="20"/>
        <v>0.55000000000000004</v>
      </c>
      <c r="K58" s="193">
        <f t="shared" si="20"/>
        <v>0.55000000000000004</v>
      </c>
      <c r="L58" s="193">
        <f t="shared" si="20"/>
        <v>0.55000000000000004</v>
      </c>
      <c r="M58" s="193">
        <f t="shared" si="20"/>
        <v>0.55000000000000004</v>
      </c>
      <c r="N58" s="308"/>
    </row>
    <row r="59" spans="1:14">
      <c r="A59" s="310" t="s">
        <v>728</v>
      </c>
      <c r="B59" s="311">
        <v>1.2</v>
      </c>
      <c r="C59" s="311">
        <f>B59</f>
        <v>1.2</v>
      </c>
      <c r="D59" s="311">
        <f t="shared" ref="D59:M59" si="21">C59</f>
        <v>1.2</v>
      </c>
      <c r="E59" s="311">
        <f t="shared" si="21"/>
        <v>1.2</v>
      </c>
      <c r="F59" s="311">
        <f t="shared" si="21"/>
        <v>1.2</v>
      </c>
      <c r="G59" s="311">
        <f t="shared" si="21"/>
        <v>1.2</v>
      </c>
      <c r="H59" s="311">
        <f t="shared" si="21"/>
        <v>1.2</v>
      </c>
      <c r="I59" s="311">
        <f t="shared" si="21"/>
        <v>1.2</v>
      </c>
      <c r="J59" s="311">
        <f t="shared" si="21"/>
        <v>1.2</v>
      </c>
      <c r="K59" s="311">
        <f t="shared" si="21"/>
        <v>1.2</v>
      </c>
      <c r="L59" s="311">
        <f t="shared" si="21"/>
        <v>1.2</v>
      </c>
      <c r="M59" s="311">
        <f t="shared" si="21"/>
        <v>1.2</v>
      </c>
      <c r="N59" s="308"/>
    </row>
    <row r="60" spans="1:14" ht="23">
      <c r="A60" s="310" t="s">
        <v>796</v>
      </c>
      <c r="B60" s="305">
        <f>'выручка номеров'!C27*'выручка от общепита'!B58*'выручка от общепита'!B59*'скидки для типов гостей'!$B$11</f>
        <v>768.57580800000005</v>
      </c>
      <c r="C60" s="305">
        <f>'выручка номеров'!D27*'выручка от общепита'!C58*'выручка от общепита'!C59*'скидки для типов гостей'!$B$11</f>
        <v>427.19846400000006</v>
      </c>
      <c r="D60" s="305">
        <f>'выручка номеров'!E27*'выручка от общепита'!D58*'выручка от общепита'!D59*'скидки для типов гостей'!$B$11</f>
        <v>472.96972800000003</v>
      </c>
      <c r="E60" s="305">
        <f>'выручка номеров'!F27*'выручка от общепита'!E58*'выручка от общепита'!E59*'скидки для типов гостей'!$B$11</f>
        <v>514.92671999999993</v>
      </c>
      <c r="F60" s="305">
        <f>'выручка номеров'!G27*'выручка от общепита'!F58*'выручка от общепита'!F59*'скидки для типов гостей'!$B$11</f>
        <v>650.33337600000004</v>
      </c>
      <c r="G60" s="305">
        <f>'выручка номеров'!H27*'выручка от общепита'!G58*'выручка от общепита'!G59*'скидки для типов гостей'!$B$11</f>
        <v>972.63935999999978</v>
      </c>
      <c r="H60" s="305">
        <f>'выручка номеров'!I27*'выручка от общепита'!H58*'выручка от общепита'!H59*'скидки для типов гостей'!$B$11</f>
        <v>1005.0606719999998</v>
      </c>
      <c r="I60" s="305">
        <f>'выручка номеров'!J27*'выручка от общепита'!I58*'выручка от общепита'!I59*'скидки для типов гостей'!$B$11</f>
        <v>886.81823999999995</v>
      </c>
      <c r="J60" s="305">
        <f>'выручка номеров'!K27*'выручка от общепита'!J58*'выручка от общепита'!J59*'скидки для типов гостей'!$B$11</f>
        <v>629.35487999999998</v>
      </c>
      <c r="K60" s="305">
        <f>'выручка номеров'!L27*'выручка от общепита'!K58*'выручка от общепита'!K59*'скидки для типов гостей'!$B$11</f>
        <v>413.84851199999997</v>
      </c>
      <c r="L60" s="305">
        <f>'выручка номеров'!M27*'выручка от общепита'!L58*'выручка от общепита'!L59*'скидки для типов гостей'!$B$11</f>
        <v>400.49856</v>
      </c>
      <c r="M60" s="305">
        <f>'выручка номеров'!N27*'выручка от общепита'!M58*'выручка от общепита'!M59*'скидки для типов гостей'!$B$11</f>
        <v>532.09094400000004</v>
      </c>
      <c r="N60" s="308"/>
    </row>
    <row r="61" spans="1:14" ht="23">
      <c r="A61" s="310" t="s">
        <v>729</v>
      </c>
      <c r="B61" s="193">
        <v>0.4</v>
      </c>
      <c r="C61" s="193">
        <f>B61</f>
        <v>0.4</v>
      </c>
      <c r="D61" s="193">
        <f t="shared" ref="D61:M61" si="22">C61</f>
        <v>0.4</v>
      </c>
      <c r="E61" s="193">
        <f t="shared" si="22"/>
        <v>0.4</v>
      </c>
      <c r="F61" s="193">
        <f t="shared" si="22"/>
        <v>0.4</v>
      </c>
      <c r="G61" s="193">
        <f t="shared" si="22"/>
        <v>0.4</v>
      </c>
      <c r="H61" s="193">
        <f t="shared" si="22"/>
        <v>0.4</v>
      </c>
      <c r="I61" s="193">
        <f t="shared" si="22"/>
        <v>0.4</v>
      </c>
      <c r="J61" s="193">
        <f t="shared" si="22"/>
        <v>0.4</v>
      </c>
      <c r="K61" s="193">
        <f t="shared" si="22"/>
        <v>0.4</v>
      </c>
      <c r="L61" s="193">
        <f t="shared" si="22"/>
        <v>0.4</v>
      </c>
      <c r="M61" s="193">
        <f t="shared" si="22"/>
        <v>0.4</v>
      </c>
      <c r="N61" s="308"/>
    </row>
    <row r="62" spans="1:14" ht="23">
      <c r="A62" s="310" t="s">
        <v>502</v>
      </c>
      <c r="B62" s="305">
        <f>'выручка номеров'!U11*'выручка от общепита'!B61</f>
        <v>595.20000000000005</v>
      </c>
      <c r="C62" s="305">
        <f>'выручка номеров'!V11*'выручка от общепита'!C61</f>
        <v>168</v>
      </c>
      <c r="D62" s="305">
        <f>'выручка номеров'!W11*'выручка от общепита'!D61</f>
        <v>223.20000000000002</v>
      </c>
      <c r="E62" s="305">
        <f>'выручка номеров'!X11*'выручка от общепита'!E61</f>
        <v>288</v>
      </c>
      <c r="F62" s="305">
        <f>'выручка номеров'!Y11*'выручка от общепита'!F61</f>
        <v>483.6</v>
      </c>
      <c r="G62" s="305">
        <f>'выручка номеров'!Z11*'выручка от общепита'!G61</f>
        <v>540</v>
      </c>
      <c r="H62" s="305">
        <f>'выручка номеров'!AA11*'выручка от общепита'!H61</f>
        <v>744</v>
      </c>
      <c r="I62" s="305">
        <f>'выручка номеров'!AB11*'выручка от общепита'!I61</f>
        <v>632.40000000000009</v>
      </c>
      <c r="J62" s="305">
        <f>'выручка номеров'!AC11*'выручка от общепита'!J61</f>
        <v>396</v>
      </c>
      <c r="K62" s="305">
        <f>'выручка номеров'!AD11*'выручка от общепита'!K61</f>
        <v>186</v>
      </c>
      <c r="L62" s="305">
        <f>'выручка номеров'!AE11*'выручка от общепита'!L61</f>
        <v>180</v>
      </c>
      <c r="M62" s="305">
        <f>'выручка номеров'!AF11*'выручка от общепита'!M61</f>
        <v>483.6</v>
      </c>
    </row>
    <row r="63" spans="1:14">
      <c r="A63" s="313" t="s">
        <v>503</v>
      </c>
      <c r="B63" s="314">
        <f>B57*SUM(B60,B62)</f>
        <v>3409439.52</v>
      </c>
      <c r="C63" s="314">
        <f t="shared" ref="C63" si="23">C57*SUM(C60,C62)</f>
        <v>1487996.1600000001</v>
      </c>
      <c r="D63" s="314">
        <f t="shared" ref="D63" si="24">D57*SUM(D60,D62)</f>
        <v>1740424.3200000003</v>
      </c>
      <c r="E63" s="314">
        <f t="shared" ref="E63" si="25">E57*SUM(E60,E62)</f>
        <v>2007316.7999999998</v>
      </c>
      <c r="F63" s="314">
        <f t="shared" ref="F63" si="26">F57*SUM(F60,F62)</f>
        <v>2834833.44</v>
      </c>
      <c r="G63" s="314">
        <f t="shared" ref="G63" si="27">G57*SUM(G60,G62)</f>
        <v>3781598.399999999</v>
      </c>
      <c r="H63" s="314">
        <f t="shared" ref="H63" si="28">H57*SUM(H60,H62)</f>
        <v>4372651.68</v>
      </c>
      <c r="I63" s="314">
        <f t="shared" ref="I63" si="29">I57*SUM(I60,I62)</f>
        <v>3798045.6000000006</v>
      </c>
      <c r="J63" s="314">
        <f t="shared" ref="J63" si="30">J57*SUM(J60,J62)</f>
        <v>2563387.1999999997</v>
      </c>
      <c r="K63" s="314">
        <f t="shared" ref="K63" si="31">K57*SUM(K60,K62)</f>
        <v>1499621.28</v>
      </c>
      <c r="L63" s="314">
        <f t="shared" ref="L63" si="32">L57*SUM(L60,L62)</f>
        <v>1451246.4</v>
      </c>
      <c r="M63" s="314">
        <f t="shared" ref="M63" si="33">M57*SUM(M60,M62)</f>
        <v>2539227.3600000003</v>
      </c>
      <c r="N63" s="315">
        <f>SUM(B63:M63)</f>
        <v>31485788.16</v>
      </c>
    </row>
    <row r="64" spans="1:14">
      <c r="A64" s="309"/>
      <c r="B64" s="307"/>
      <c r="C64" s="307"/>
      <c r="D64" s="307"/>
      <c r="E64" s="307"/>
      <c r="F64" s="307"/>
      <c r="G64" s="307"/>
      <c r="H64" s="307"/>
      <c r="I64" s="307"/>
      <c r="J64" s="307"/>
      <c r="K64" s="307"/>
      <c r="L64" s="307"/>
      <c r="M64" s="307"/>
      <c r="N64" s="308"/>
    </row>
    <row r="65" spans="1:14" ht="30.65" customHeight="1">
      <c r="A65" s="309" t="str">
        <f>Инфраструктура!A110</f>
        <v>Панорамное Кафе с террасой Эко-Вилладж</v>
      </c>
      <c r="B65" s="307"/>
      <c r="C65" s="307"/>
      <c r="D65" s="307"/>
      <c r="E65" s="307"/>
      <c r="F65" s="307"/>
      <c r="G65" s="307"/>
      <c r="H65" s="307"/>
      <c r="I65" s="307"/>
      <c r="J65" s="307"/>
      <c r="K65" s="307"/>
      <c r="L65" s="307"/>
      <c r="M65" s="307"/>
      <c r="N65" s="308"/>
    </row>
    <row r="66" spans="1:14">
      <c r="A66" s="310" t="s">
        <v>500</v>
      </c>
      <c r="B66" s="305">
        <v>850</v>
      </c>
      <c r="C66" s="305">
        <f>B66</f>
        <v>850</v>
      </c>
      <c r="D66" s="305">
        <f t="shared" ref="D66:M66" si="34">C66</f>
        <v>850</v>
      </c>
      <c r="E66" s="305">
        <f t="shared" si="34"/>
        <v>850</v>
      </c>
      <c r="F66" s="305">
        <f t="shared" si="34"/>
        <v>850</v>
      </c>
      <c r="G66" s="305">
        <f t="shared" si="34"/>
        <v>850</v>
      </c>
      <c r="H66" s="305">
        <f t="shared" si="34"/>
        <v>850</v>
      </c>
      <c r="I66" s="305">
        <f t="shared" si="34"/>
        <v>850</v>
      </c>
      <c r="J66" s="305">
        <f t="shared" si="34"/>
        <v>850</v>
      </c>
      <c r="K66" s="305">
        <f t="shared" si="34"/>
        <v>850</v>
      </c>
      <c r="L66" s="305">
        <f t="shared" si="34"/>
        <v>850</v>
      </c>
      <c r="M66" s="305">
        <f t="shared" si="34"/>
        <v>850</v>
      </c>
      <c r="N66" s="308"/>
    </row>
    <row r="67" spans="1:14" ht="23">
      <c r="A67" s="310" t="s">
        <v>795</v>
      </c>
      <c r="B67" s="193">
        <v>0.55000000000000004</v>
      </c>
      <c r="C67" s="193">
        <f>B67</f>
        <v>0.55000000000000004</v>
      </c>
      <c r="D67" s="193">
        <f t="shared" ref="D67:M67" si="35">C67</f>
        <v>0.55000000000000004</v>
      </c>
      <c r="E67" s="193">
        <f t="shared" si="35"/>
        <v>0.55000000000000004</v>
      </c>
      <c r="F67" s="193">
        <f t="shared" si="35"/>
        <v>0.55000000000000004</v>
      </c>
      <c r="G67" s="193">
        <f t="shared" si="35"/>
        <v>0.55000000000000004</v>
      </c>
      <c r="H67" s="193">
        <f t="shared" si="35"/>
        <v>0.55000000000000004</v>
      </c>
      <c r="I67" s="193">
        <f t="shared" si="35"/>
        <v>0.55000000000000004</v>
      </c>
      <c r="J67" s="193">
        <f t="shared" si="35"/>
        <v>0.55000000000000004</v>
      </c>
      <c r="K67" s="193">
        <f t="shared" si="35"/>
        <v>0.55000000000000004</v>
      </c>
      <c r="L67" s="193">
        <f t="shared" si="35"/>
        <v>0.55000000000000004</v>
      </c>
      <c r="M67" s="193">
        <f t="shared" si="35"/>
        <v>0.55000000000000004</v>
      </c>
      <c r="N67" s="308"/>
    </row>
    <row r="68" spans="1:14">
      <c r="A68" s="310" t="s">
        <v>728</v>
      </c>
      <c r="B68" s="311">
        <v>1</v>
      </c>
      <c r="C68" s="311">
        <f>B68</f>
        <v>1</v>
      </c>
      <c r="D68" s="311">
        <f t="shared" ref="D68:M68" si="36">C68</f>
        <v>1</v>
      </c>
      <c r="E68" s="311">
        <f t="shared" si="36"/>
        <v>1</v>
      </c>
      <c r="F68" s="311">
        <f t="shared" si="36"/>
        <v>1</v>
      </c>
      <c r="G68" s="311">
        <f t="shared" si="36"/>
        <v>1</v>
      </c>
      <c r="H68" s="311">
        <f t="shared" si="36"/>
        <v>1</v>
      </c>
      <c r="I68" s="311">
        <f t="shared" si="36"/>
        <v>1</v>
      </c>
      <c r="J68" s="311">
        <f t="shared" si="36"/>
        <v>1</v>
      </c>
      <c r="K68" s="311">
        <f t="shared" si="36"/>
        <v>1</v>
      </c>
      <c r="L68" s="311">
        <f t="shared" si="36"/>
        <v>1</v>
      </c>
      <c r="M68" s="311">
        <f t="shared" si="36"/>
        <v>1</v>
      </c>
      <c r="N68" s="308"/>
    </row>
    <row r="69" spans="1:14" ht="23">
      <c r="A69" s="310" t="s">
        <v>796</v>
      </c>
      <c r="B69" s="305">
        <f>'выручка номеров'!C27*'выручка от общепита'!B67*'выручка от общепита'!B68*'скидки для типов гостей'!$B$11</f>
        <v>640.47983999999997</v>
      </c>
      <c r="C69" s="305">
        <f>'выручка номеров'!D27*'выручка от общепита'!C67*'выручка от общепита'!C68*'скидки для типов гостей'!$B$11</f>
        <v>355.99872000000005</v>
      </c>
      <c r="D69" s="305">
        <f>'выручка номеров'!E27*'выручка от общепита'!D67*'выручка от общепита'!D68*'скидки для типов гостей'!$B$11</f>
        <v>394.14144000000005</v>
      </c>
      <c r="E69" s="305">
        <f>'выручка номеров'!F27*'выручка от общепита'!E67*'выручка от общепита'!E68*'скидки для типов гостей'!$B$11</f>
        <v>429.10559999999998</v>
      </c>
      <c r="F69" s="305">
        <f>'выручка номеров'!G27*'выручка от общепита'!F67*'выручка от общепита'!F68*'скидки для типов гостей'!$B$11</f>
        <v>541.94448</v>
      </c>
      <c r="G69" s="305">
        <f>'выручка номеров'!H27*'выручка от общепита'!G67*'выручка от общепита'!G68*'скидки для типов гостей'!$B$11</f>
        <v>810.53279999999995</v>
      </c>
      <c r="H69" s="305">
        <f>'выручка номеров'!I27*'выручка от общепита'!H67*'выручка от общепита'!H68*'скидки для типов гостей'!$B$11</f>
        <v>837.5505599999999</v>
      </c>
      <c r="I69" s="305">
        <f>'выручка номеров'!J27*'выручка от общепита'!I67*'выручка от общепита'!I68*'скидки для типов гостей'!$B$11</f>
        <v>739.01520000000005</v>
      </c>
      <c r="J69" s="305">
        <f>'выручка номеров'!K27*'выручка от общепита'!J67*'выручка от общепита'!J68*'скидки для типов гостей'!$B$11</f>
        <v>524.4624</v>
      </c>
      <c r="K69" s="305">
        <f>'выручка номеров'!L27*'выручка от общепита'!K67*'выручка от общепита'!K68*'скидки для типов гостей'!$B$11</f>
        <v>344.87376</v>
      </c>
      <c r="L69" s="305">
        <f>'выручка номеров'!M27*'выручка от общепита'!L67*'выручка от общепита'!L68*'скидки для типов гостей'!$B$11</f>
        <v>333.74880000000002</v>
      </c>
      <c r="M69" s="305">
        <f>'выручка номеров'!N27*'выручка от общепита'!M67*'выручка от общепита'!M68*'скидки для типов гостей'!$B$11</f>
        <v>443.40912000000003</v>
      </c>
      <c r="N69" s="308"/>
    </row>
    <row r="70" spans="1:14" ht="23">
      <c r="A70" s="310" t="s">
        <v>729</v>
      </c>
      <c r="B70" s="193">
        <v>0.7</v>
      </c>
      <c r="C70" s="193">
        <f>B70</f>
        <v>0.7</v>
      </c>
      <c r="D70" s="193">
        <f t="shared" ref="D70:M70" si="37">C70</f>
        <v>0.7</v>
      </c>
      <c r="E70" s="193">
        <f t="shared" si="37"/>
        <v>0.7</v>
      </c>
      <c r="F70" s="193">
        <f t="shared" si="37"/>
        <v>0.7</v>
      </c>
      <c r="G70" s="193">
        <f t="shared" si="37"/>
        <v>0.7</v>
      </c>
      <c r="H70" s="193">
        <f t="shared" si="37"/>
        <v>0.7</v>
      </c>
      <c r="I70" s="193">
        <f t="shared" si="37"/>
        <v>0.7</v>
      </c>
      <c r="J70" s="193">
        <f t="shared" si="37"/>
        <v>0.7</v>
      </c>
      <c r="K70" s="193">
        <f t="shared" si="37"/>
        <v>0.7</v>
      </c>
      <c r="L70" s="193">
        <f t="shared" si="37"/>
        <v>0.7</v>
      </c>
      <c r="M70" s="193">
        <f t="shared" si="37"/>
        <v>0.7</v>
      </c>
      <c r="N70" s="308"/>
    </row>
    <row r="71" spans="1:14" ht="23">
      <c r="A71" s="310" t="s">
        <v>502</v>
      </c>
      <c r="B71" s="305">
        <f>'выручка номеров'!U11*'выручка от общепита'!B70</f>
        <v>1041.5999999999999</v>
      </c>
      <c r="C71" s="305">
        <f>'выручка номеров'!V11*'выручка от общепита'!C70</f>
        <v>294</v>
      </c>
      <c r="D71" s="305">
        <f>'выручка номеров'!W11*'выручка от общепита'!D70</f>
        <v>390.59999999999997</v>
      </c>
      <c r="E71" s="305">
        <f>'выручка номеров'!X11*'выручка от общепита'!E70</f>
        <v>503.99999999999994</v>
      </c>
      <c r="F71" s="305">
        <f>'выручка номеров'!Y11*'выручка от общепита'!F70</f>
        <v>846.3</v>
      </c>
      <c r="G71" s="305">
        <f>'выручка номеров'!Z11*'выручка от общепита'!G70</f>
        <v>944.99999999999989</v>
      </c>
      <c r="H71" s="305">
        <f>'выручка номеров'!AA11*'выручка от общепита'!H70</f>
        <v>1302</v>
      </c>
      <c r="I71" s="305">
        <f>'выручка номеров'!AB11*'выручка от общепита'!I70</f>
        <v>1106.6999999999998</v>
      </c>
      <c r="J71" s="305">
        <f>'выручка номеров'!AC11*'выручка от общепита'!J70</f>
        <v>693</v>
      </c>
      <c r="K71" s="305">
        <f>'выручка номеров'!AD11*'выручка от общепита'!K70</f>
        <v>325.5</v>
      </c>
      <c r="L71" s="305">
        <f>'выручка номеров'!AE11*'выручка от общепита'!L70</f>
        <v>315</v>
      </c>
      <c r="M71" s="305">
        <f>'выручка номеров'!AF11*'выручка от общепита'!M70</f>
        <v>846.3</v>
      </c>
    </row>
    <row r="72" spans="1:14">
      <c r="A72" s="313" t="s">
        <v>503</v>
      </c>
      <c r="B72" s="314">
        <f>B66*SUM(B69,B71)</f>
        <v>1429767.8639999998</v>
      </c>
      <c r="C72" s="314">
        <f t="shared" ref="C72" si="38">C66*SUM(C69,C71)</f>
        <v>552498.91200000001</v>
      </c>
      <c r="D72" s="314">
        <f t="shared" ref="D72" si="39">D66*SUM(D69,D71)</f>
        <v>667030.22400000005</v>
      </c>
      <c r="E72" s="314">
        <f t="shared" ref="E72" si="40">E66*SUM(E69,E71)</f>
        <v>793139.75999999989</v>
      </c>
      <c r="F72" s="314">
        <f t="shared" ref="F72" si="41">F66*SUM(F69,F71)</f>
        <v>1180007.808</v>
      </c>
      <c r="G72" s="314">
        <f t="shared" ref="G72" si="42">G66*SUM(G69,G71)</f>
        <v>1492202.88</v>
      </c>
      <c r="H72" s="314">
        <f t="shared" ref="H72" si="43">H66*SUM(H69,H71)</f>
        <v>1818617.9759999998</v>
      </c>
      <c r="I72" s="314">
        <f t="shared" ref="I72" si="44">I66*SUM(I69,I71)</f>
        <v>1568857.92</v>
      </c>
      <c r="J72" s="314">
        <f t="shared" ref="J72" si="45">J66*SUM(J69,J71)</f>
        <v>1034843.0399999999</v>
      </c>
      <c r="K72" s="314">
        <f t="shared" ref="K72" si="46">K66*SUM(K69,K71)</f>
        <v>569817.696</v>
      </c>
      <c r="L72" s="314">
        <f t="shared" ref="L72" si="47">L66*SUM(L69,L71)</f>
        <v>551436.4800000001</v>
      </c>
      <c r="M72" s="314">
        <f t="shared" ref="M72" si="48">M66*SUM(M69,M71)</f>
        <v>1096252.7520000001</v>
      </c>
      <c r="N72" s="315">
        <f>SUM(B72:M72)</f>
        <v>12754473.312000001</v>
      </c>
    </row>
    <row r="73" spans="1:14">
      <c r="A73" s="309"/>
      <c r="B73" s="307"/>
      <c r="C73" s="307"/>
      <c r="D73" s="307"/>
      <c r="E73" s="307"/>
      <c r="F73" s="307"/>
      <c r="G73" s="307"/>
      <c r="H73" s="307"/>
      <c r="I73" s="307"/>
      <c r="J73" s="307"/>
      <c r="K73" s="307"/>
      <c r="L73" s="307"/>
      <c r="M73" s="307"/>
      <c r="N73" s="308"/>
    </row>
    <row r="74" spans="1:14" ht="30.65" customHeight="1">
      <c r="A74" s="309" t="str">
        <f>Инфраструктура!A131</f>
        <v>Маяк с баром и смотровой площадкой Эко-Вилладж</v>
      </c>
      <c r="B74" s="307"/>
      <c r="C74" s="307"/>
      <c r="D74" s="307"/>
      <c r="E74" s="307"/>
      <c r="F74" s="307"/>
      <c r="G74" s="307"/>
      <c r="H74" s="307"/>
      <c r="I74" s="307"/>
      <c r="J74" s="307"/>
      <c r="K74" s="307"/>
      <c r="L74" s="307"/>
      <c r="M74" s="307"/>
      <c r="N74" s="308"/>
    </row>
    <row r="75" spans="1:14">
      <c r="A75" s="310" t="s">
        <v>500</v>
      </c>
      <c r="B75" s="305">
        <v>1800</v>
      </c>
      <c r="C75" s="305">
        <f>B75</f>
        <v>1800</v>
      </c>
      <c r="D75" s="305">
        <f t="shared" ref="D75:M75" si="49">C75</f>
        <v>1800</v>
      </c>
      <c r="E75" s="305">
        <f t="shared" si="49"/>
        <v>1800</v>
      </c>
      <c r="F75" s="305">
        <f t="shared" si="49"/>
        <v>1800</v>
      </c>
      <c r="G75" s="305">
        <f t="shared" si="49"/>
        <v>1800</v>
      </c>
      <c r="H75" s="305">
        <f t="shared" si="49"/>
        <v>1800</v>
      </c>
      <c r="I75" s="305">
        <f t="shared" si="49"/>
        <v>1800</v>
      </c>
      <c r="J75" s="305">
        <f t="shared" si="49"/>
        <v>1800</v>
      </c>
      <c r="K75" s="305">
        <f t="shared" si="49"/>
        <v>1800</v>
      </c>
      <c r="L75" s="305">
        <f t="shared" si="49"/>
        <v>1800</v>
      </c>
      <c r="M75" s="305">
        <f t="shared" si="49"/>
        <v>1800</v>
      </c>
      <c r="N75" s="308"/>
    </row>
    <row r="76" spans="1:14" ht="23">
      <c r="A76" s="310" t="s">
        <v>795</v>
      </c>
      <c r="B76" s="193">
        <v>0.3</v>
      </c>
      <c r="C76" s="193">
        <v>0.25</v>
      </c>
      <c r="D76" s="193">
        <f t="shared" ref="D76:I76" si="50">C76</f>
        <v>0.25</v>
      </c>
      <c r="E76" s="193">
        <f t="shared" si="50"/>
        <v>0.25</v>
      </c>
      <c r="F76" s="193">
        <v>0.35</v>
      </c>
      <c r="G76" s="193">
        <v>0.45</v>
      </c>
      <c r="H76" s="193">
        <f t="shared" si="50"/>
        <v>0.45</v>
      </c>
      <c r="I76" s="193">
        <f t="shared" si="50"/>
        <v>0.45</v>
      </c>
      <c r="J76" s="193">
        <v>0.4</v>
      </c>
      <c r="K76" s="193">
        <v>0.2</v>
      </c>
      <c r="L76" s="193">
        <v>0.2</v>
      </c>
      <c r="M76" s="193">
        <v>0.35</v>
      </c>
      <c r="N76" s="308"/>
    </row>
    <row r="77" spans="1:14">
      <c r="A77" s="310" t="s">
        <v>728</v>
      </c>
      <c r="B77" s="311">
        <v>1</v>
      </c>
      <c r="C77" s="311">
        <f>B77</f>
        <v>1</v>
      </c>
      <c r="D77" s="311">
        <f t="shared" ref="D77:M77" si="51">C77</f>
        <v>1</v>
      </c>
      <c r="E77" s="311">
        <f t="shared" si="51"/>
        <v>1</v>
      </c>
      <c r="F77" s="311">
        <f t="shared" si="51"/>
        <v>1</v>
      </c>
      <c r="G77" s="311">
        <f t="shared" si="51"/>
        <v>1</v>
      </c>
      <c r="H77" s="311">
        <f t="shared" si="51"/>
        <v>1</v>
      </c>
      <c r="I77" s="311">
        <f t="shared" si="51"/>
        <v>1</v>
      </c>
      <c r="J77" s="311">
        <f t="shared" si="51"/>
        <v>1</v>
      </c>
      <c r="K77" s="311">
        <f t="shared" si="51"/>
        <v>1</v>
      </c>
      <c r="L77" s="311">
        <f t="shared" si="51"/>
        <v>1</v>
      </c>
      <c r="M77" s="311">
        <f t="shared" si="51"/>
        <v>1</v>
      </c>
      <c r="N77" s="308"/>
    </row>
    <row r="78" spans="1:14" ht="23">
      <c r="A78" s="310" t="s">
        <v>796</v>
      </c>
      <c r="B78" s="305">
        <f>'выручка номеров'!C27*'выручка от общепита'!B76*'выручка от общепита'!B77*'скидки для типов гостей'!$B$11</f>
        <v>349.35264000000001</v>
      </c>
      <c r="C78" s="305">
        <f>'выручка номеров'!D27*'выручка от общепита'!C76*'выручка от общепита'!C77*'скидки для типов гостей'!$B$11</f>
        <v>161.8176</v>
      </c>
      <c r="D78" s="305">
        <f>'выручка номеров'!E27*'выручка от общепита'!D76*'выручка от общепита'!D77*'скидки для типов гостей'!$B$11</f>
        <v>179.15519999999998</v>
      </c>
      <c r="E78" s="305">
        <f>'выручка номеров'!F27*'выручка от общепита'!E76*'выручка от общепита'!E77*'скидки для типов гостей'!$B$11</f>
        <v>195.04799999999997</v>
      </c>
      <c r="F78" s="305">
        <f>'выручка номеров'!G27*'выручка от общепита'!F76*'выручка от общепита'!F77*'скидки для типов гостей'!$B$11</f>
        <v>344.87376</v>
      </c>
      <c r="G78" s="305">
        <f>'выручка номеров'!H27*'выручка от общепита'!G76*'выручка от общепита'!G77*'скидки для типов гостей'!$B$11</f>
        <v>663.16319999999996</v>
      </c>
      <c r="H78" s="305">
        <f>'выручка номеров'!I27*'выручка от общепита'!H76*'выручка от общепита'!H77*'скидки для типов гостей'!$B$11</f>
        <v>685.26863999999989</v>
      </c>
      <c r="I78" s="305">
        <f>'выручка номеров'!J27*'выручка от общепита'!I76*'выручка от общепита'!I77*'скидки для типов гостей'!$B$11</f>
        <v>604.64879999999994</v>
      </c>
      <c r="J78" s="305">
        <f>'выручка номеров'!K27*'выручка от общепита'!J76*'выручка от общепита'!J77*'скидки для типов гостей'!$B$11</f>
        <v>381.42719999999997</v>
      </c>
      <c r="K78" s="305">
        <f>'выручка номеров'!L27*'выручка от общепита'!K76*'выручка от общепита'!K77*'скидки для типов гостей'!$B$11</f>
        <v>125.40863999999998</v>
      </c>
      <c r="L78" s="305">
        <f>'выручка номеров'!M27*'выручка от общепита'!L76*'выручка от общепита'!L77*'скидки для типов гостей'!$B$11</f>
        <v>121.36319999999999</v>
      </c>
      <c r="M78" s="305">
        <f>'выручка номеров'!N27*'выручка от общепита'!M76*'выручка от общепита'!M77*'скидки для типов гостей'!$B$11</f>
        <v>282.16944000000001</v>
      </c>
      <c r="N78" s="308"/>
    </row>
    <row r="79" spans="1:14" ht="23">
      <c r="A79" s="310" t="s">
        <v>729</v>
      </c>
      <c r="B79" s="193">
        <v>0.25</v>
      </c>
      <c r="C79" s="193">
        <f>B79</f>
        <v>0.25</v>
      </c>
      <c r="D79" s="193">
        <f t="shared" ref="D79:M79" si="52">C79</f>
        <v>0.25</v>
      </c>
      <c r="E79" s="193">
        <f t="shared" si="52"/>
        <v>0.25</v>
      </c>
      <c r="F79" s="193">
        <f t="shared" si="52"/>
        <v>0.25</v>
      </c>
      <c r="G79" s="193">
        <f t="shared" si="52"/>
        <v>0.25</v>
      </c>
      <c r="H79" s="193">
        <f t="shared" si="52"/>
        <v>0.25</v>
      </c>
      <c r="I79" s="193">
        <f t="shared" si="52"/>
        <v>0.25</v>
      </c>
      <c r="J79" s="193">
        <f t="shared" si="52"/>
        <v>0.25</v>
      </c>
      <c r="K79" s="193">
        <f t="shared" si="52"/>
        <v>0.25</v>
      </c>
      <c r="L79" s="193">
        <f t="shared" si="52"/>
        <v>0.25</v>
      </c>
      <c r="M79" s="193">
        <f t="shared" si="52"/>
        <v>0.25</v>
      </c>
      <c r="N79" s="308"/>
    </row>
    <row r="80" spans="1:14" ht="23">
      <c r="A80" s="310" t="s">
        <v>502</v>
      </c>
      <c r="B80" s="305">
        <f>'выручка номеров'!U11*B79</f>
        <v>372</v>
      </c>
      <c r="C80" s="305">
        <f>'выручка номеров'!V11*C79</f>
        <v>105</v>
      </c>
      <c r="D80" s="305">
        <f>'выручка номеров'!W11*D79</f>
        <v>139.5</v>
      </c>
      <c r="E80" s="305">
        <f>'выручка номеров'!X11*E79</f>
        <v>180</v>
      </c>
      <c r="F80" s="305">
        <f>'выручка номеров'!Y11*F79</f>
        <v>302.25</v>
      </c>
      <c r="G80" s="305">
        <f>'выручка номеров'!Z11*G79</f>
        <v>337.5</v>
      </c>
      <c r="H80" s="305">
        <f>'выручка номеров'!AA11*H79</f>
        <v>465</v>
      </c>
      <c r="I80" s="305">
        <f>'выручка номеров'!AB11*I79</f>
        <v>395.25</v>
      </c>
      <c r="J80" s="305">
        <f>'выручка номеров'!AC11*J79</f>
        <v>247.5</v>
      </c>
      <c r="K80" s="305">
        <f>'выручка номеров'!AD11*K79</f>
        <v>116.25</v>
      </c>
      <c r="L80" s="305">
        <f>'выручка номеров'!AE11*L79</f>
        <v>112.5</v>
      </c>
      <c r="M80" s="305">
        <f>'выручка номеров'!AF11*M79</f>
        <v>302.25</v>
      </c>
    </row>
    <row r="81" spans="1:14">
      <c r="A81" s="313" t="s">
        <v>503</v>
      </c>
      <c r="B81" s="314">
        <f>B75*SUM(B78,B80)</f>
        <v>1298434.7520000001</v>
      </c>
      <c r="C81" s="314">
        <f t="shared" ref="C81" si="53">C75*SUM(C78,C80)</f>
        <v>480271.67999999993</v>
      </c>
      <c r="D81" s="314">
        <f t="shared" ref="D81" si="54">D75*SUM(D78,D80)</f>
        <v>573579.36</v>
      </c>
      <c r="E81" s="314">
        <f t="shared" ref="E81" si="55">E75*SUM(E78,E80)</f>
        <v>675086.4</v>
      </c>
      <c r="F81" s="314">
        <f t="shared" ref="F81" si="56">F75*SUM(F78,F80)</f>
        <v>1164822.7679999999</v>
      </c>
      <c r="G81" s="314">
        <f t="shared" ref="G81" si="57">G75*SUM(G78,G80)</f>
        <v>1801193.76</v>
      </c>
      <c r="H81" s="314">
        <f t="shared" ref="H81" si="58">H75*SUM(H78,H80)</f>
        <v>2070483.5519999997</v>
      </c>
      <c r="I81" s="314">
        <f t="shared" ref="I81" si="59">I75*SUM(I78,I80)</f>
        <v>1799817.8399999999</v>
      </c>
      <c r="J81" s="314">
        <f t="shared" ref="J81" si="60">J75*SUM(J78,J80)</f>
        <v>1132068.96</v>
      </c>
      <c r="K81" s="314">
        <f t="shared" ref="K81" si="61">K75*SUM(K78,K80)</f>
        <v>434985.55199999997</v>
      </c>
      <c r="L81" s="314">
        <f t="shared" ref="L81" si="62">L75*SUM(L78,L80)</f>
        <v>420953.76</v>
      </c>
      <c r="M81" s="314">
        <f t="shared" ref="M81" si="63">M75*SUM(M78,M80)</f>
        <v>1051954.9920000001</v>
      </c>
      <c r="N81" s="315">
        <f>SUM(B81:M81)</f>
        <v>12903653.376</v>
      </c>
    </row>
    <row r="82" spans="1:14">
      <c r="A82" s="309"/>
      <c r="B82" s="307"/>
      <c r="C82" s="307"/>
      <c r="D82" s="307"/>
      <c r="E82" s="307"/>
      <c r="F82" s="307"/>
      <c r="G82" s="307"/>
      <c r="H82" s="307"/>
      <c r="I82" s="307"/>
      <c r="J82" s="307"/>
      <c r="K82" s="307"/>
      <c r="L82" s="307"/>
      <c r="M82" s="307"/>
      <c r="N82" s="308"/>
    </row>
    <row r="83" spans="1:14" ht="25" customHeight="1">
      <c r="A83" s="551" t="str">
        <f>Инфраструктура!A130</f>
        <v>Шатер Многофункциональный  Эко-Вилладж</v>
      </c>
      <c r="B83" s="467"/>
      <c r="C83" s="467"/>
      <c r="D83" s="467"/>
      <c r="E83" s="467"/>
      <c r="F83" s="467"/>
      <c r="G83" s="467"/>
      <c r="H83" s="467"/>
      <c r="I83" s="467"/>
      <c r="J83" s="467"/>
      <c r="K83" s="467"/>
      <c r="L83" s="467"/>
      <c r="M83" s="468"/>
      <c r="N83" s="308"/>
    </row>
    <row r="84" spans="1:14" ht="23">
      <c r="A84" s="304" t="s">
        <v>805</v>
      </c>
      <c r="B84" s="305">
        <v>1</v>
      </c>
      <c r="C84" s="305">
        <v>2</v>
      </c>
      <c r="D84" s="305">
        <v>2</v>
      </c>
      <c r="E84" s="305">
        <v>3</v>
      </c>
      <c r="F84" s="305">
        <v>3</v>
      </c>
      <c r="G84" s="305">
        <v>4</v>
      </c>
      <c r="H84" s="305">
        <v>4</v>
      </c>
      <c r="I84" s="305">
        <v>2</v>
      </c>
      <c r="J84" s="305">
        <v>2</v>
      </c>
      <c r="K84" s="305">
        <v>2</v>
      </c>
      <c r="L84" s="305">
        <v>2</v>
      </c>
      <c r="M84" s="305">
        <v>8</v>
      </c>
      <c r="N84" s="308"/>
    </row>
    <row r="85" spans="1:14">
      <c r="A85" s="304" t="s">
        <v>804</v>
      </c>
      <c r="B85" s="305">
        <v>50</v>
      </c>
      <c r="C85" s="305">
        <f>B85</f>
        <v>50</v>
      </c>
      <c r="D85" s="305">
        <v>50</v>
      </c>
      <c r="E85" s="305">
        <f t="shared" ref="E85:M85" si="64">D85</f>
        <v>50</v>
      </c>
      <c r="F85" s="305">
        <f t="shared" si="64"/>
        <v>50</v>
      </c>
      <c r="G85" s="305">
        <f t="shared" si="64"/>
        <v>50</v>
      </c>
      <c r="H85" s="305">
        <f t="shared" si="64"/>
        <v>50</v>
      </c>
      <c r="I85" s="305">
        <f t="shared" si="64"/>
        <v>50</v>
      </c>
      <c r="J85" s="305">
        <f t="shared" si="64"/>
        <v>50</v>
      </c>
      <c r="K85" s="305">
        <f t="shared" si="64"/>
        <v>50</v>
      </c>
      <c r="L85" s="305">
        <f t="shared" si="64"/>
        <v>50</v>
      </c>
      <c r="M85" s="305">
        <f t="shared" si="64"/>
        <v>50</v>
      </c>
      <c r="N85" s="308"/>
    </row>
    <row r="86" spans="1:14">
      <c r="A86" s="304" t="s">
        <v>506</v>
      </c>
      <c r="B86" s="305">
        <v>4200</v>
      </c>
      <c r="C86" s="305">
        <f>B86</f>
        <v>4200</v>
      </c>
      <c r="D86" s="305">
        <f t="shared" ref="D86:M86" si="65">C86</f>
        <v>4200</v>
      </c>
      <c r="E86" s="305">
        <f t="shared" si="65"/>
        <v>4200</v>
      </c>
      <c r="F86" s="305">
        <f t="shared" si="65"/>
        <v>4200</v>
      </c>
      <c r="G86" s="305">
        <f t="shared" si="65"/>
        <v>4200</v>
      </c>
      <c r="H86" s="305">
        <f t="shared" si="65"/>
        <v>4200</v>
      </c>
      <c r="I86" s="305">
        <f t="shared" si="65"/>
        <v>4200</v>
      </c>
      <c r="J86" s="305">
        <f t="shared" si="65"/>
        <v>4200</v>
      </c>
      <c r="K86" s="305">
        <f t="shared" si="65"/>
        <v>4200</v>
      </c>
      <c r="L86" s="305">
        <f t="shared" si="65"/>
        <v>4200</v>
      </c>
      <c r="M86" s="305">
        <f t="shared" si="65"/>
        <v>4200</v>
      </c>
      <c r="N86" s="308"/>
    </row>
    <row r="87" spans="1:14">
      <c r="A87" s="313" t="s">
        <v>503</v>
      </c>
      <c r="B87" s="314">
        <f>B85*B86*B84</f>
        <v>210000</v>
      </c>
      <c r="C87" s="314">
        <f t="shared" ref="C87:M87" si="66">C85*C86*C84</f>
        <v>420000</v>
      </c>
      <c r="D87" s="314">
        <f t="shared" si="66"/>
        <v>420000</v>
      </c>
      <c r="E87" s="314">
        <f t="shared" si="66"/>
        <v>630000</v>
      </c>
      <c r="F87" s="314">
        <f t="shared" si="66"/>
        <v>630000</v>
      </c>
      <c r="G87" s="314">
        <f t="shared" si="66"/>
        <v>840000</v>
      </c>
      <c r="H87" s="314">
        <f t="shared" si="66"/>
        <v>840000</v>
      </c>
      <c r="I87" s="314">
        <f t="shared" si="66"/>
        <v>420000</v>
      </c>
      <c r="J87" s="314">
        <f t="shared" si="66"/>
        <v>420000</v>
      </c>
      <c r="K87" s="314">
        <f t="shared" si="66"/>
        <v>420000</v>
      </c>
      <c r="L87" s="314">
        <f t="shared" si="66"/>
        <v>420000</v>
      </c>
      <c r="M87" s="314">
        <f t="shared" si="66"/>
        <v>1680000</v>
      </c>
      <c r="N87" s="314">
        <f>SUM(B87:M87)</f>
        <v>7350000</v>
      </c>
    </row>
    <row r="88" spans="1:14">
      <c r="A88" s="309"/>
      <c r="B88" s="307"/>
      <c r="C88" s="307"/>
      <c r="D88" s="307"/>
      <c r="E88" s="307"/>
      <c r="F88" s="307"/>
      <c r="G88" s="307"/>
      <c r="H88" s="307"/>
      <c r="I88" s="307"/>
      <c r="J88" s="307"/>
      <c r="K88" s="307"/>
      <c r="L88" s="307"/>
      <c r="M88" s="307"/>
      <c r="N88" s="308"/>
    </row>
    <row r="89" spans="1:14" ht="42">
      <c r="A89" s="538" t="s">
        <v>801</v>
      </c>
      <c r="B89" s="539">
        <f>SUM(B63,B72,B81,B87)</f>
        <v>6347642.1359999999</v>
      </c>
      <c r="C89" s="539">
        <f t="shared" ref="C89:M89" si="67">SUM(C63,C72,C81,C87)</f>
        <v>2940766.7520000003</v>
      </c>
      <c r="D89" s="539">
        <f t="shared" si="67"/>
        <v>3401033.9040000001</v>
      </c>
      <c r="E89" s="539">
        <f t="shared" si="67"/>
        <v>4105542.9599999995</v>
      </c>
      <c r="F89" s="539">
        <f t="shared" si="67"/>
        <v>5809664.0159999998</v>
      </c>
      <c r="G89" s="539">
        <f t="shared" si="67"/>
        <v>7914995.0399999991</v>
      </c>
      <c r="H89" s="539">
        <f t="shared" si="67"/>
        <v>9101753.2079999987</v>
      </c>
      <c r="I89" s="539">
        <f t="shared" si="67"/>
        <v>7586721.3600000003</v>
      </c>
      <c r="J89" s="539">
        <f t="shared" si="67"/>
        <v>5150299.1999999993</v>
      </c>
      <c r="K89" s="539">
        <f t="shared" si="67"/>
        <v>2924424.5279999999</v>
      </c>
      <c r="L89" s="539">
        <f t="shared" si="67"/>
        <v>2843636.6399999997</v>
      </c>
      <c r="M89" s="539">
        <f t="shared" si="67"/>
        <v>6367435.1040000003</v>
      </c>
      <c r="N89" s="540">
        <f>SUM(B89:M89)</f>
        <v>64493914.84799999</v>
      </c>
    </row>
    <row r="90" spans="1:14">
      <c r="A90" s="309"/>
      <c r="B90" s="307"/>
      <c r="C90" s="307"/>
      <c r="D90" s="307"/>
      <c r="E90" s="307"/>
      <c r="F90" s="307"/>
      <c r="G90" s="307"/>
      <c r="H90" s="307"/>
      <c r="I90" s="307"/>
      <c r="J90" s="307"/>
      <c r="K90" s="307"/>
      <c r="L90" s="307"/>
      <c r="M90" s="307"/>
      <c r="N90" s="308"/>
    </row>
    <row r="91" spans="1:14">
      <c r="A91" s="309"/>
      <c r="B91" s="307"/>
      <c r="C91" s="307"/>
      <c r="D91" s="307"/>
      <c r="E91" s="307"/>
      <c r="F91" s="307"/>
      <c r="G91" s="307"/>
      <c r="H91" s="307"/>
      <c r="I91" s="307"/>
      <c r="J91" s="307"/>
      <c r="K91" s="307"/>
      <c r="L91" s="307"/>
      <c r="M91" s="307"/>
      <c r="N91" s="308"/>
    </row>
    <row r="92" spans="1:14" ht="31">
      <c r="A92" s="741" t="s">
        <v>1099</v>
      </c>
      <c r="B92" s="743">
        <f>SUM(B42,B52,B89)</f>
        <v>17049827.316</v>
      </c>
      <c r="C92" s="743">
        <f t="shared" ref="C92:N92" si="68">SUM(C42,C52,C89)</f>
        <v>9356671.9680000003</v>
      </c>
      <c r="D92" s="743">
        <f t="shared" si="68"/>
        <v>10641532.536000002</v>
      </c>
      <c r="E92" s="743">
        <f t="shared" si="68"/>
        <v>11331861.120000001</v>
      </c>
      <c r="F92" s="743">
        <f t="shared" si="68"/>
        <v>16070540.946000002</v>
      </c>
      <c r="G92" s="743">
        <f t="shared" si="68"/>
        <v>19236925.560000002</v>
      </c>
      <c r="H92" s="743">
        <f t="shared" si="68"/>
        <v>21486956.412</v>
      </c>
      <c r="I92" s="743">
        <f t="shared" si="68"/>
        <v>18903890.802000001</v>
      </c>
      <c r="J92" s="743">
        <f t="shared" si="68"/>
        <v>13861065.48</v>
      </c>
      <c r="K92" s="743">
        <f t="shared" si="68"/>
        <v>10009878.210000001</v>
      </c>
      <c r="L92" s="743">
        <f t="shared" si="68"/>
        <v>9157428.2399999984</v>
      </c>
      <c r="M92" s="743">
        <f t="shared" si="68"/>
        <v>15642910.26</v>
      </c>
      <c r="N92" s="743">
        <f t="shared" si="68"/>
        <v>172749488.84999999</v>
      </c>
    </row>
    <row r="93" spans="1:14">
      <c r="A93" s="309"/>
      <c r="B93" s="307"/>
      <c r="C93" s="307"/>
      <c r="D93" s="307"/>
      <c r="E93" s="307"/>
      <c r="F93" s="307"/>
      <c r="G93" s="307"/>
      <c r="H93" s="307"/>
      <c r="I93" s="307"/>
      <c r="J93" s="307"/>
      <c r="K93" s="307"/>
      <c r="L93" s="307"/>
      <c r="M93" s="307"/>
      <c r="N93" s="308"/>
    </row>
    <row r="94" spans="1:14">
      <c r="A94" s="309"/>
      <c r="B94" s="307"/>
      <c r="C94" s="307"/>
      <c r="D94" s="307"/>
      <c r="E94" s="307"/>
      <c r="F94" s="307"/>
      <c r="G94" s="307"/>
      <c r="H94" s="307"/>
      <c r="I94" s="307"/>
      <c r="J94" s="307"/>
      <c r="K94" s="307"/>
      <c r="L94" s="307"/>
      <c r="M94" s="307"/>
      <c r="N94" s="308"/>
    </row>
    <row r="95" spans="1:14" ht="44.5" customHeight="1">
      <c r="A95" s="542" t="str">
        <f>Инфраструктура!A159</f>
        <v>Этно-деревня у водохранилища</v>
      </c>
      <c r="B95" s="307"/>
      <c r="C95" s="307"/>
      <c r="D95" s="307"/>
      <c r="E95" s="307"/>
      <c r="F95" s="307"/>
      <c r="G95" s="307"/>
      <c r="H95" s="307"/>
      <c r="I95" s="307"/>
      <c r="J95" s="307"/>
      <c r="K95" s="307"/>
      <c r="L95" s="307"/>
      <c r="M95" s="307"/>
      <c r="N95" s="308"/>
    </row>
    <row r="96" spans="1:14">
      <c r="A96" s="863" t="s">
        <v>497</v>
      </c>
      <c r="B96" s="812"/>
      <c r="C96" s="812"/>
      <c r="D96" s="812"/>
      <c r="E96" s="812"/>
      <c r="F96" s="812"/>
      <c r="G96" s="812"/>
      <c r="H96" s="812"/>
      <c r="I96" s="812"/>
      <c r="J96" s="812"/>
      <c r="K96" s="812"/>
      <c r="L96" s="812"/>
      <c r="M96" s="812"/>
      <c r="N96" s="813"/>
    </row>
    <row r="97" spans="1:14">
      <c r="A97" s="299"/>
      <c r="B97" s="300" t="s">
        <v>327</v>
      </c>
      <c r="C97" s="300" t="s">
        <v>328</v>
      </c>
      <c r="D97" s="300" t="s">
        <v>329</v>
      </c>
      <c r="E97" s="301" t="s">
        <v>330</v>
      </c>
      <c r="F97" s="301" t="s">
        <v>331</v>
      </c>
      <c r="G97" s="301" t="s">
        <v>332</v>
      </c>
      <c r="H97" s="301" t="s">
        <v>333</v>
      </c>
      <c r="I97" s="301" t="s">
        <v>334</v>
      </c>
      <c r="J97" s="301" t="s">
        <v>335</v>
      </c>
      <c r="K97" s="301" t="s">
        <v>336</v>
      </c>
      <c r="L97" s="301" t="s">
        <v>337</v>
      </c>
      <c r="M97" s="301" t="s">
        <v>338</v>
      </c>
      <c r="N97" s="302" t="s">
        <v>498</v>
      </c>
    </row>
    <row r="98" spans="1:14">
      <c r="A98" s="304" t="s">
        <v>499</v>
      </c>
      <c r="B98" s="305">
        <v>31</v>
      </c>
      <c r="C98" s="305">
        <v>28</v>
      </c>
      <c r="D98" s="305">
        <v>31</v>
      </c>
      <c r="E98" s="305">
        <v>30</v>
      </c>
      <c r="F98" s="305">
        <v>31</v>
      </c>
      <c r="G98" s="305">
        <v>30</v>
      </c>
      <c r="H98" s="305">
        <v>31</v>
      </c>
      <c r="I98" s="305">
        <v>31</v>
      </c>
      <c r="J98" s="305">
        <v>30</v>
      </c>
      <c r="K98" s="305">
        <v>31</v>
      </c>
      <c r="L98" s="305">
        <v>30</v>
      </c>
      <c r="M98" s="305">
        <v>31</v>
      </c>
      <c r="N98" s="306"/>
    </row>
    <row r="100" spans="1:14" ht="30.65" customHeight="1">
      <c r="A100" s="309" t="str">
        <f>Инфраструктура!A171</f>
        <v>Комплекс "Трапезная" в Этно-Деревне</v>
      </c>
      <c r="B100" s="307"/>
      <c r="C100" s="307"/>
      <c r="D100" s="307"/>
      <c r="E100" s="307"/>
      <c r="F100" s="307"/>
      <c r="G100" s="307"/>
      <c r="H100" s="307"/>
      <c r="I100" s="307"/>
      <c r="J100" s="307"/>
      <c r="K100" s="307"/>
      <c r="L100" s="307"/>
      <c r="M100" s="307"/>
      <c r="N100" s="308"/>
    </row>
    <row r="101" spans="1:14">
      <c r="A101" s="310" t="s">
        <v>500</v>
      </c>
      <c r="B101" s="305">
        <v>750</v>
      </c>
      <c r="C101" s="305">
        <f>B101</f>
        <v>750</v>
      </c>
      <c r="D101" s="305">
        <f t="shared" ref="D101:M101" si="69">C101</f>
        <v>750</v>
      </c>
      <c r="E101" s="305">
        <f t="shared" si="69"/>
        <v>750</v>
      </c>
      <c r="F101" s="305">
        <f t="shared" si="69"/>
        <v>750</v>
      </c>
      <c r="G101" s="305">
        <f t="shared" si="69"/>
        <v>750</v>
      </c>
      <c r="H101" s="305">
        <f t="shared" si="69"/>
        <v>750</v>
      </c>
      <c r="I101" s="305">
        <f t="shared" si="69"/>
        <v>750</v>
      </c>
      <c r="J101" s="305">
        <f t="shared" si="69"/>
        <v>750</v>
      </c>
      <c r="K101" s="305">
        <f t="shared" si="69"/>
        <v>750</v>
      </c>
      <c r="L101" s="305">
        <f t="shared" si="69"/>
        <v>750</v>
      </c>
      <c r="M101" s="305">
        <f t="shared" si="69"/>
        <v>750</v>
      </c>
      <c r="N101" s="308"/>
    </row>
    <row r="102" spans="1:14" ht="23">
      <c r="A102" s="310" t="s">
        <v>795</v>
      </c>
      <c r="B102" s="193">
        <v>0.85</v>
      </c>
      <c r="C102" s="193">
        <f>B102</f>
        <v>0.85</v>
      </c>
      <c r="D102" s="193">
        <f t="shared" ref="D102:M102" si="70">C102</f>
        <v>0.85</v>
      </c>
      <c r="E102" s="193">
        <f t="shared" si="70"/>
        <v>0.85</v>
      </c>
      <c r="F102" s="193">
        <f t="shared" si="70"/>
        <v>0.85</v>
      </c>
      <c r="G102" s="193">
        <f t="shared" si="70"/>
        <v>0.85</v>
      </c>
      <c r="H102" s="193">
        <f t="shared" si="70"/>
        <v>0.85</v>
      </c>
      <c r="I102" s="193">
        <f t="shared" si="70"/>
        <v>0.85</v>
      </c>
      <c r="J102" s="193">
        <f t="shared" si="70"/>
        <v>0.85</v>
      </c>
      <c r="K102" s="193">
        <f t="shared" si="70"/>
        <v>0.85</v>
      </c>
      <c r="L102" s="193">
        <f t="shared" si="70"/>
        <v>0.85</v>
      </c>
      <c r="M102" s="193">
        <f t="shared" si="70"/>
        <v>0.85</v>
      </c>
      <c r="N102" s="308"/>
    </row>
    <row r="103" spans="1:14">
      <c r="A103" s="310" t="s">
        <v>728</v>
      </c>
      <c r="B103" s="311">
        <v>1.4</v>
      </c>
      <c r="C103" s="311">
        <f>B103</f>
        <v>1.4</v>
      </c>
      <c r="D103" s="311">
        <f t="shared" ref="D103:M103" si="71">C103</f>
        <v>1.4</v>
      </c>
      <c r="E103" s="311">
        <f t="shared" si="71"/>
        <v>1.4</v>
      </c>
      <c r="F103" s="311">
        <f t="shared" si="71"/>
        <v>1.4</v>
      </c>
      <c r="G103" s="311">
        <f t="shared" si="71"/>
        <v>1.4</v>
      </c>
      <c r="H103" s="311">
        <f t="shared" si="71"/>
        <v>1.4</v>
      </c>
      <c r="I103" s="311">
        <f t="shared" si="71"/>
        <v>1.4</v>
      </c>
      <c r="J103" s="311">
        <f t="shared" si="71"/>
        <v>1.4</v>
      </c>
      <c r="K103" s="311">
        <f t="shared" si="71"/>
        <v>1.4</v>
      </c>
      <c r="L103" s="311">
        <f t="shared" si="71"/>
        <v>1.4</v>
      </c>
      <c r="M103" s="311">
        <f t="shared" si="71"/>
        <v>1.4</v>
      </c>
      <c r="N103" s="308"/>
    </row>
    <row r="104" spans="1:14" ht="23">
      <c r="A104" s="310" t="s">
        <v>796</v>
      </c>
      <c r="B104" s="305">
        <f>'выручка номеров'!C70*'выручка от общепита'!B102*'выручка от общепита'!B103*'скидки для типов гостей'!$B$11</f>
        <v>1998.7001999999995</v>
      </c>
      <c r="C104" s="305">
        <f>'выручка номеров'!D70*'выручка от общепита'!C102*'выручка от общепита'!C103*'скидки для типов гостей'!$B$11</f>
        <v>752.19899999999996</v>
      </c>
      <c r="D104" s="305">
        <f>'выручка номеров'!E70*'выручка от общепита'!D102*'выручка от общепита'!D103*'скидки для типов гостей'!$B$11</f>
        <v>832.79174999999987</v>
      </c>
      <c r="E104" s="305">
        <f>'выручка номеров'!F70*'выручка от общепита'!E102*'выручка от общепита'!E103*'скидки для типов гостей'!$B$11</f>
        <v>967.11299999999994</v>
      </c>
      <c r="F104" s="305">
        <f>'выручка номеров'!G70*'выручка от общепита'!F102*'выручка от общепита'!F103*'скидки для типов гостей'!$B$11</f>
        <v>1665.5834999999997</v>
      </c>
      <c r="G104" s="305">
        <f>'выручка номеров'!H70*'выручка от общепита'!G102*'выручка от общепита'!G103*'скидки для типов гостей'!$B$11</f>
        <v>2417.7824999999998</v>
      </c>
      <c r="H104" s="305">
        <f>'выручка номеров'!I70*'выручка от общепита'!H102*'выручка от общепита'!H103*'скидки для типов гостей'!$B$11</f>
        <v>2498.3752499999996</v>
      </c>
      <c r="I104" s="305">
        <f>'выручка номеров'!J70*'выручка от общепита'!I102*'выручка от общепита'!I103*'скидки для типов гостей'!$B$11</f>
        <v>2331.8168999999994</v>
      </c>
      <c r="J104" s="305">
        <f>'выручка номеров'!K70*'выручка от общепита'!J102*'выручка от общепита'!J103*'скидки для типов гостей'!$B$11</f>
        <v>1611.8549999999998</v>
      </c>
      <c r="K104" s="305">
        <f>'выручка номеров'!L70*'выручка от общепита'!K102*'выручка от общепита'!K103*'скидки для типов гостей'!$B$11</f>
        <v>832.79174999999987</v>
      </c>
      <c r="L104" s="305">
        <f>'выручка номеров'!M70*'выручка от общепита'!L102*'выручка от общепита'!L103*'скидки для типов гостей'!$B$11</f>
        <v>805.9274999999999</v>
      </c>
      <c r="M104" s="305">
        <f>'выручка номеров'!N70*'выручка от общепита'!M102*'выручка от общепита'!M103*'скидки для типов гостей'!$B$11</f>
        <v>1332.4667999999997</v>
      </c>
      <c r="N104" s="308"/>
    </row>
    <row r="105" spans="1:14" ht="23">
      <c r="A105" s="310" t="s">
        <v>729</v>
      </c>
      <c r="B105" s="193">
        <v>0.75</v>
      </c>
      <c r="C105" s="193">
        <f>B105</f>
        <v>0.75</v>
      </c>
      <c r="D105" s="193">
        <f t="shared" ref="D105:M105" si="72">C105</f>
        <v>0.75</v>
      </c>
      <c r="E105" s="193">
        <f t="shared" si="72"/>
        <v>0.75</v>
      </c>
      <c r="F105" s="193">
        <f t="shared" si="72"/>
        <v>0.75</v>
      </c>
      <c r="G105" s="193">
        <f t="shared" si="72"/>
        <v>0.75</v>
      </c>
      <c r="H105" s="193">
        <f t="shared" si="72"/>
        <v>0.75</v>
      </c>
      <c r="I105" s="193">
        <f t="shared" si="72"/>
        <v>0.75</v>
      </c>
      <c r="J105" s="193">
        <f t="shared" si="72"/>
        <v>0.75</v>
      </c>
      <c r="K105" s="193">
        <f t="shared" si="72"/>
        <v>0.75</v>
      </c>
      <c r="L105" s="193">
        <f t="shared" si="72"/>
        <v>0.75</v>
      </c>
      <c r="M105" s="193">
        <f t="shared" si="72"/>
        <v>0.75</v>
      </c>
      <c r="N105" s="308"/>
    </row>
    <row r="106" spans="1:14" ht="23">
      <c r="A106" s="310" t="s">
        <v>502</v>
      </c>
      <c r="B106" s="305">
        <f>'выручка номеров'!U12*'выручка от общепита'!B105</f>
        <v>1860</v>
      </c>
      <c r="C106" s="305">
        <f>'выручка номеров'!V12*'выручка от общепита'!C105</f>
        <v>525</v>
      </c>
      <c r="D106" s="305">
        <f>'выручка номеров'!W12*'выручка от общепита'!D105</f>
        <v>697.5</v>
      </c>
      <c r="E106" s="305">
        <f>'выручка номеров'!X12*'выручка от общепита'!E105</f>
        <v>900</v>
      </c>
      <c r="F106" s="305">
        <f>'выручка номеров'!Y12*'выручка от общепита'!F105</f>
        <v>1511.25</v>
      </c>
      <c r="G106" s="305">
        <f>'выручка номеров'!Z12*'выручка от общепита'!G105</f>
        <v>1687.5</v>
      </c>
      <c r="H106" s="305">
        <f>'выручка номеров'!AA12*'выручка от общепита'!H105</f>
        <v>2325</v>
      </c>
      <c r="I106" s="305">
        <f>'выручка номеров'!AB12*'выручка от общепита'!I105</f>
        <v>1976.25</v>
      </c>
      <c r="J106" s="305">
        <f>'выручка номеров'!AC12*'выручка от общепита'!J105</f>
        <v>1237.5000000000002</v>
      </c>
      <c r="K106" s="305">
        <f>'выручка номеров'!AD12*'выручка от общепита'!K105</f>
        <v>581.25</v>
      </c>
      <c r="L106" s="305">
        <f>'выручка номеров'!AE12*'выручка от общепита'!L105</f>
        <v>562.5</v>
      </c>
      <c r="M106" s="305">
        <f>'выручка номеров'!AF12*'выручка от общепита'!M105</f>
        <v>1511.25</v>
      </c>
    </row>
    <row r="107" spans="1:14">
      <c r="A107" s="313" t="s">
        <v>503</v>
      </c>
      <c r="B107" s="314">
        <f>B101*SUM(B104,B106)</f>
        <v>2894025.1499999994</v>
      </c>
      <c r="C107" s="314">
        <f t="shared" ref="C107" si="73">C101*SUM(C104,C106)</f>
        <v>957899.25</v>
      </c>
      <c r="D107" s="314">
        <f t="shared" ref="D107" si="74">D101*SUM(D104,D106)</f>
        <v>1147718.8125</v>
      </c>
      <c r="E107" s="314">
        <f t="shared" ref="E107" si="75">E101*SUM(E104,E106)</f>
        <v>1400334.7499999998</v>
      </c>
      <c r="F107" s="314">
        <f t="shared" ref="F107" si="76">F101*SUM(F104,F106)</f>
        <v>2382625.125</v>
      </c>
      <c r="G107" s="314">
        <f t="shared" ref="G107" si="77">G101*SUM(G104,G106)</f>
        <v>3078961.8749999995</v>
      </c>
      <c r="H107" s="314">
        <f t="shared" ref="H107" si="78">H101*SUM(H104,H106)</f>
        <v>3617531.4374999995</v>
      </c>
      <c r="I107" s="314">
        <f t="shared" ref="I107" si="79">I101*SUM(I104,I106)</f>
        <v>3231050.1749999998</v>
      </c>
      <c r="J107" s="314">
        <f t="shared" ref="J107" si="80">J101*SUM(J104,J106)</f>
        <v>2137016.25</v>
      </c>
      <c r="K107" s="314">
        <f t="shared" ref="K107" si="81">K101*SUM(K104,K106)</f>
        <v>1060531.3125</v>
      </c>
      <c r="L107" s="314">
        <f t="shared" ref="L107" si="82">L101*SUM(L104,L106)</f>
        <v>1026320.6249999999</v>
      </c>
      <c r="M107" s="314">
        <f t="shared" ref="M107" si="83">M101*SUM(M104,M106)</f>
        <v>2132787.5999999996</v>
      </c>
      <c r="N107" s="315">
        <f>SUM(B107:M107)</f>
        <v>25066802.362499997</v>
      </c>
    </row>
    <row r="108" spans="1:14">
      <c r="A108" s="309"/>
      <c r="B108" s="307"/>
      <c r="C108" s="307"/>
      <c r="D108" s="307"/>
      <c r="E108" s="307"/>
      <c r="F108" s="307"/>
      <c r="G108" s="307"/>
      <c r="H108" s="307"/>
      <c r="I108" s="307"/>
      <c r="J108" s="307"/>
      <c r="K108" s="307"/>
      <c r="L108" s="307"/>
      <c r="M108" s="307"/>
      <c r="N108" s="308"/>
    </row>
    <row r="109" spans="1:14" ht="28">
      <c r="A109" s="746" t="s">
        <v>1101</v>
      </c>
      <c r="B109" s="742">
        <f>SUM(B107)</f>
        <v>2894025.1499999994</v>
      </c>
      <c r="C109" s="742">
        <f t="shared" ref="C109:N109" si="84">SUM(C107)</f>
        <v>957899.25</v>
      </c>
      <c r="D109" s="742">
        <f t="shared" si="84"/>
        <v>1147718.8125</v>
      </c>
      <c r="E109" s="742">
        <f t="shared" si="84"/>
        <v>1400334.7499999998</v>
      </c>
      <c r="F109" s="742">
        <f t="shared" si="84"/>
        <v>2382625.125</v>
      </c>
      <c r="G109" s="742">
        <f t="shared" si="84"/>
        <v>3078961.8749999995</v>
      </c>
      <c r="H109" s="742">
        <f t="shared" si="84"/>
        <v>3617531.4374999995</v>
      </c>
      <c r="I109" s="742">
        <f t="shared" si="84"/>
        <v>3231050.1749999998</v>
      </c>
      <c r="J109" s="742">
        <f t="shared" si="84"/>
        <v>2137016.25</v>
      </c>
      <c r="K109" s="742">
        <f t="shared" si="84"/>
        <v>1060531.3125</v>
      </c>
      <c r="L109" s="742">
        <f t="shared" si="84"/>
        <v>1026320.6249999999</v>
      </c>
      <c r="M109" s="742">
        <f t="shared" si="84"/>
        <v>2132787.5999999996</v>
      </c>
      <c r="N109" s="742">
        <f t="shared" si="84"/>
        <v>25066802.362499997</v>
      </c>
    </row>
    <row r="110" spans="1:14" ht="11.5" customHeight="1"/>
    <row r="111" spans="1:14">
      <c r="A111" s="317"/>
      <c r="B111" s="303"/>
      <c r="C111" s="303"/>
      <c r="D111" s="303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</row>
  </sheetData>
  <mergeCells count="2">
    <mergeCell ref="A4:N4"/>
    <mergeCell ref="A96:N96"/>
  </mergeCells>
  <pageMargins left="0.43307086614173229" right="0.19685039370078741" top="0.55118110236220474" bottom="0.59055118110236227" header="0" footer="0"/>
  <pageSetup paperSize="9" scale="93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4"/>
  <dimension ref="A1:S55"/>
  <sheetViews>
    <sheetView workbookViewId="0">
      <selection activeCell="F58" sqref="F58"/>
    </sheetView>
  </sheetViews>
  <sheetFormatPr defaultColWidth="14.453125" defaultRowHeight="12.5"/>
  <cols>
    <col min="1" max="1" width="31" style="530" customWidth="1"/>
    <col min="2" max="2" width="9.54296875" style="530" customWidth="1"/>
    <col min="3" max="5" width="8.7265625" style="530" customWidth="1"/>
    <col min="6" max="6" width="9.26953125" style="530" customWidth="1"/>
    <col min="7" max="7" width="9.453125" style="530" customWidth="1"/>
    <col min="8" max="11" width="9.26953125" style="530" customWidth="1"/>
    <col min="12" max="13" width="8.7265625" style="530" customWidth="1"/>
    <col min="14" max="14" width="10.1796875" style="530" customWidth="1"/>
    <col min="15" max="19" width="8.7265625" style="530" customWidth="1"/>
    <col min="20" max="16384" width="14.453125" style="530"/>
  </cols>
  <sheetData>
    <row r="1" spans="1:19">
      <c r="A1" s="864" t="s">
        <v>807</v>
      </c>
      <c r="B1" s="865"/>
      <c r="C1" s="865"/>
      <c r="D1" s="865"/>
      <c r="E1" s="865"/>
      <c r="F1" s="865"/>
      <c r="G1" s="865"/>
      <c r="H1" s="865"/>
      <c r="I1" s="865"/>
      <c r="J1" s="865"/>
      <c r="K1" s="865"/>
      <c r="L1" s="865"/>
      <c r="M1" s="865"/>
      <c r="N1" s="866"/>
      <c r="O1" s="319"/>
      <c r="P1" s="319"/>
      <c r="Q1" s="319"/>
      <c r="R1" s="319"/>
      <c r="S1" s="319"/>
    </row>
    <row r="2" spans="1:19" ht="13">
      <c r="A2" s="552" t="str">
        <f>Инфраструктура!A15</f>
        <v>Medical  SPA "У Бювета"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53"/>
      <c r="P2" s="553"/>
      <c r="Q2" s="553"/>
      <c r="R2" s="553"/>
      <c r="S2" s="553"/>
    </row>
    <row r="3" spans="1:19">
      <c r="A3" s="299"/>
      <c r="B3" s="305" t="s">
        <v>370</v>
      </c>
      <c r="C3" s="305" t="s">
        <v>371</v>
      </c>
      <c r="D3" s="305" t="s">
        <v>372</v>
      </c>
      <c r="E3" s="305" t="s">
        <v>373</v>
      </c>
      <c r="F3" s="305" t="s">
        <v>331</v>
      </c>
      <c r="G3" s="305" t="s">
        <v>374</v>
      </c>
      <c r="H3" s="305" t="s">
        <v>375</v>
      </c>
      <c r="I3" s="305" t="s">
        <v>376</v>
      </c>
      <c r="J3" s="305" t="s">
        <v>377</v>
      </c>
      <c r="K3" s="305" t="s">
        <v>378</v>
      </c>
      <c r="L3" s="305" t="s">
        <v>379</v>
      </c>
      <c r="M3" s="305" t="s">
        <v>380</v>
      </c>
      <c r="N3" s="308"/>
      <c r="O3" s="303"/>
      <c r="P3" s="303"/>
      <c r="Q3" s="303"/>
      <c r="R3" s="303"/>
      <c r="S3" s="303"/>
    </row>
    <row r="4" spans="1:19">
      <c r="A4" s="299" t="str">
        <f>Инфраструктура!A17</f>
        <v>Водно-оздоровительный комплекс</v>
      </c>
      <c r="B4" s="305">
        <v>31</v>
      </c>
      <c r="C4" s="305">
        <v>28</v>
      </c>
      <c r="D4" s="305">
        <v>31</v>
      </c>
      <c r="E4" s="305">
        <v>30</v>
      </c>
      <c r="F4" s="305">
        <v>31</v>
      </c>
      <c r="G4" s="305">
        <v>30</v>
      </c>
      <c r="H4" s="305">
        <v>31</v>
      </c>
      <c r="I4" s="305">
        <v>31</v>
      </c>
      <c r="J4" s="305">
        <v>30</v>
      </c>
      <c r="K4" s="305">
        <v>31</v>
      </c>
      <c r="L4" s="305">
        <v>30</v>
      </c>
      <c r="M4" s="305">
        <v>31</v>
      </c>
      <c r="N4" s="308"/>
      <c r="O4" s="303"/>
      <c r="P4" s="303"/>
      <c r="Q4" s="303"/>
      <c r="R4" s="303"/>
      <c r="S4" s="303"/>
    </row>
    <row r="5" spans="1:19">
      <c r="A5" s="304" t="s">
        <v>509</v>
      </c>
      <c r="B5" s="305">
        <v>3000</v>
      </c>
      <c r="C5" s="305">
        <v>2000</v>
      </c>
      <c r="D5" s="305">
        <v>2000</v>
      </c>
      <c r="E5" s="305">
        <v>1200</v>
      </c>
      <c r="F5" s="305">
        <v>1200</v>
      </c>
      <c r="G5" s="305">
        <v>2000</v>
      </c>
      <c r="H5" s="305">
        <v>2000</v>
      </c>
      <c r="I5" s="305">
        <v>2000</v>
      </c>
      <c r="J5" s="305">
        <v>1200</v>
      </c>
      <c r="K5" s="305">
        <v>1200</v>
      </c>
      <c r="L5" s="305">
        <v>1200</v>
      </c>
      <c r="M5" s="305">
        <v>2000</v>
      </c>
      <c r="N5" s="308"/>
      <c r="O5" s="303"/>
      <c r="P5" s="303"/>
      <c r="Q5" s="303"/>
      <c r="R5" s="303"/>
      <c r="S5" s="303"/>
    </row>
    <row r="6" spans="1:19">
      <c r="A6" s="304" t="s">
        <v>510</v>
      </c>
      <c r="B6" s="305">
        <f>B4*3*'выручка номеров'!C12</f>
        <v>69.75</v>
      </c>
      <c r="C6" s="305">
        <f>C4*3*'выручка номеров'!D12</f>
        <v>46.2</v>
      </c>
      <c r="D6" s="305">
        <f>D4*3*'выручка номеров'!E12</f>
        <v>51.150000000000006</v>
      </c>
      <c r="E6" s="305">
        <f>E4*3*'выручка номеров'!F12</f>
        <v>49.500000000000007</v>
      </c>
      <c r="F6" s="305">
        <f>F4*3*'выручка номеров'!G12</f>
        <v>69.75</v>
      </c>
      <c r="G6" s="305">
        <f>G4*3*'выручка номеров'!H12</f>
        <v>76.5</v>
      </c>
      <c r="H6" s="305">
        <f>H4*3*'выручка номеров'!I12</f>
        <v>79.05</v>
      </c>
      <c r="I6" s="305">
        <f>I4*3*'выручка номеров'!J12</f>
        <v>74.400000000000006</v>
      </c>
      <c r="J6" s="305">
        <f>J4*3*'выручка номеров'!K12</f>
        <v>58.5</v>
      </c>
      <c r="K6" s="305">
        <f>K4*3*'выручка номеров'!L12</f>
        <v>51.150000000000006</v>
      </c>
      <c r="L6" s="305">
        <f>L4*3*'выручка номеров'!M12</f>
        <v>45</v>
      </c>
      <c r="M6" s="305">
        <f>M4*3*'выручка номеров'!N12</f>
        <v>60.45</v>
      </c>
      <c r="N6" s="306"/>
      <c r="O6" s="303"/>
      <c r="P6" s="303"/>
      <c r="Q6" s="303"/>
      <c r="R6" s="303"/>
      <c r="S6" s="303"/>
    </row>
    <row r="7" spans="1:19">
      <c r="A7" s="304" t="s">
        <v>511</v>
      </c>
      <c r="B7" s="305">
        <f>'выручка номеров'!C11*0.3*'выручка номеров'!C12/B4</f>
        <v>20.25</v>
      </c>
      <c r="C7" s="305">
        <f>'выручка номеров'!D11*0.3*'выручка номеров'!D12/C4</f>
        <v>10.890000000000002</v>
      </c>
      <c r="D7" s="305">
        <f>'выручка номеров'!E11*0.3*'выручка номеров'!E12/D4</f>
        <v>10.890000000000002</v>
      </c>
      <c r="E7" s="305">
        <f>'выручка номеров'!F11*0.3*'выручка номеров'!F12/E4</f>
        <v>10.890000000000002</v>
      </c>
      <c r="F7" s="305">
        <f>'выручка номеров'!G11*0.3*'выручка номеров'!G12/F4</f>
        <v>20.25</v>
      </c>
      <c r="G7" s="305">
        <f>'выручка номеров'!H11*0.3*'выручка номеров'!H12/G4</f>
        <v>26.009999999999998</v>
      </c>
      <c r="H7" s="305">
        <f>'выручка номеров'!I11*0.3*'выручка номеров'!I12/H4</f>
        <v>26.009999999999998</v>
      </c>
      <c r="I7" s="305">
        <f>'выручка номеров'!J11*0.3*'выручка номеров'!J12/I4</f>
        <v>23.04</v>
      </c>
      <c r="J7" s="305">
        <f>'выручка номеров'!K11*0.3*'выручка номеров'!K12/J4</f>
        <v>15.21</v>
      </c>
      <c r="K7" s="305">
        <f>'выручка номеров'!L11*0.3*'выручка номеров'!L12/K4</f>
        <v>10.890000000000002</v>
      </c>
      <c r="L7" s="305">
        <f>'выручка номеров'!M11*0.3*'выручка номеров'!M12/L4</f>
        <v>9</v>
      </c>
      <c r="M7" s="305">
        <f>'выручка номеров'!N11*0.3*'выручка номеров'!N12/M4</f>
        <v>15.209999999999999</v>
      </c>
      <c r="N7" s="306"/>
      <c r="O7" s="303"/>
      <c r="P7" s="303"/>
      <c r="Q7" s="303"/>
      <c r="R7" s="303"/>
      <c r="S7" s="303"/>
    </row>
    <row r="8" spans="1:19">
      <c r="A8" s="313" t="s">
        <v>503</v>
      </c>
      <c r="B8" s="314">
        <f t="shared" ref="B8:M8" si="0">B5*B6*B7</f>
        <v>4237312.5</v>
      </c>
      <c r="C8" s="314">
        <f t="shared" si="0"/>
        <v>1006236.0000000002</v>
      </c>
      <c r="D8" s="314">
        <f t="shared" si="0"/>
        <v>1114047.0000000005</v>
      </c>
      <c r="E8" s="314">
        <f t="shared" si="0"/>
        <v>646866.00000000023</v>
      </c>
      <c r="F8" s="314">
        <f t="shared" si="0"/>
        <v>1694925</v>
      </c>
      <c r="G8" s="314">
        <f t="shared" si="0"/>
        <v>3979529.9999999995</v>
      </c>
      <c r="H8" s="314">
        <f t="shared" si="0"/>
        <v>4112180.9999999995</v>
      </c>
      <c r="I8" s="314">
        <f t="shared" si="0"/>
        <v>3428352</v>
      </c>
      <c r="J8" s="314">
        <f t="shared" si="0"/>
        <v>1067742</v>
      </c>
      <c r="K8" s="314">
        <f t="shared" si="0"/>
        <v>668428.20000000019</v>
      </c>
      <c r="L8" s="314">
        <f t="shared" si="0"/>
        <v>486000</v>
      </c>
      <c r="M8" s="314">
        <f t="shared" si="0"/>
        <v>1838889</v>
      </c>
      <c r="N8" s="315">
        <f>SUM(B8:M8)</f>
        <v>24280508.699999999</v>
      </c>
      <c r="O8" s="320"/>
      <c r="P8" s="320"/>
      <c r="Q8" s="321"/>
      <c r="R8" s="321"/>
      <c r="S8" s="322"/>
    </row>
    <row r="9" spans="1:19">
      <c r="A9" s="309"/>
      <c r="B9" s="307"/>
      <c r="C9" s="307"/>
      <c r="D9" s="307"/>
      <c r="E9" s="307"/>
      <c r="F9" s="307"/>
      <c r="G9" s="307"/>
      <c r="H9" s="307"/>
      <c r="I9" s="307"/>
      <c r="J9" s="307"/>
      <c r="K9" s="307"/>
      <c r="L9" s="307"/>
      <c r="M9" s="307"/>
      <c r="N9" s="308"/>
      <c r="O9" s="167"/>
      <c r="P9" s="167"/>
      <c r="Q9" s="168"/>
      <c r="R9" s="168"/>
      <c r="S9" s="318"/>
    </row>
    <row r="10" spans="1:19">
      <c r="A10" s="299" t="str">
        <f>Инфраструктура!A26</f>
        <v>СПА-комплекс (Процедурные кабинеты)</v>
      </c>
      <c r="B10" s="307"/>
      <c r="C10" s="307"/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8"/>
      <c r="O10" s="323"/>
      <c r="P10" s="323"/>
      <c r="Q10" s="323"/>
      <c r="R10" s="323"/>
      <c r="S10" s="323"/>
    </row>
    <row r="11" spans="1:19">
      <c r="A11" s="299" t="s">
        <v>512</v>
      </c>
      <c r="B11" s="307">
        <f>SUM(Инфраструктура!B27:B30)</f>
        <v>9</v>
      </c>
      <c r="C11" s="307"/>
      <c r="D11" s="307"/>
      <c r="E11" s="307"/>
      <c r="F11" s="307"/>
      <c r="G11" s="307"/>
      <c r="H11" s="307"/>
      <c r="I11" s="307"/>
      <c r="J11" s="307"/>
      <c r="K11" s="307"/>
      <c r="L11" s="307"/>
      <c r="M11" s="307"/>
      <c r="N11" s="308"/>
      <c r="O11" s="323"/>
      <c r="P11" s="323"/>
      <c r="Q11" s="323"/>
      <c r="R11" s="323"/>
      <c r="S11" s="323"/>
    </row>
    <row r="12" spans="1:19">
      <c r="A12" s="299" t="s">
        <v>513</v>
      </c>
      <c r="B12" s="307">
        <v>3500</v>
      </c>
      <c r="C12" s="307">
        <f>B12</f>
        <v>3500</v>
      </c>
      <c r="D12" s="307">
        <f t="shared" ref="D12:M12" si="1">C12</f>
        <v>3500</v>
      </c>
      <c r="E12" s="307">
        <f t="shared" si="1"/>
        <v>3500</v>
      </c>
      <c r="F12" s="307">
        <f t="shared" si="1"/>
        <v>3500</v>
      </c>
      <c r="G12" s="307">
        <f t="shared" si="1"/>
        <v>3500</v>
      </c>
      <c r="H12" s="307">
        <f t="shared" si="1"/>
        <v>3500</v>
      </c>
      <c r="I12" s="307">
        <f t="shared" si="1"/>
        <v>3500</v>
      </c>
      <c r="J12" s="307">
        <f t="shared" si="1"/>
        <v>3500</v>
      </c>
      <c r="K12" s="307">
        <f t="shared" si="1"/>
        <v>3500</v>
      </c>
      <c r="L12" s="307">
        <f t="shared" si="1"/>
        <v>3500</v>
      </c>
      <c r="M12" s="307">
        <f t="shared" si="1"/>
        <v>3500</v>
      </c>
      <c r="N12" s="308"/>
      <c r="O12" s="323"/>
      <c r="P12" s="323"/>
      <c r="Q12" s="323"/>
      <c r="R12" s="323"/>
      <c r="S12" s="323"/>
    </row>
    <row r="13" spans="1:19">
      <c r="A13" s="317" t="s">
        <v>812</v>
      </c>
      <c r="B13" s="324">
        <f>$B$11*5</f>
        <v>45</v>
      </c>
      <c r="C13" s="325"/>
      <c r="D13" s="324"/>
      <c r="E13" s="324"/>
      <c r="F13" s="324"/>
      <c r="G13" s="324"/>
      <c r="H13" s="324"/>
      <c r="I13" s="324"/>
      <c r="J13" s="324"/>
      <c r="K13" s="324"/>
      <c r="L13" s="324"/>
      <c r="M13" s="324"/>
      <c r="N13" s="326"/>
      <c r="O13" s="303"/>
      <c r="P13" s="303"/>
      <c r="Q13" s="303"/>
      <c r="R13" s="303"/>
      <c r="S13" s="303"/>
    </row>
    <row r="14" spans="1:19">
      <c r="A14" s="317" t="s">
        <v>813</v>
      </c>
      <c r="B14" s="307">
        <f>$B$13*B4*0.7*'выручка номеров'!C12</f>
        <v>732.37499999999989</v>
      </c>
      <c r="C14" s="307">
        <f>$B$13*C4*0.7*'выручка номеров'!D12</f>
        <v>485.1</v>
      </c>
      <c r="D14" s="307">
        <f>$B$13*D4*0.7*'выручка номеров'!E12</f>
        <v>537.07499999999993</v>
      </c>
      <c r="E14" s="307">
        <f>$B$13*E4*0.7*'выручка номеров'!F12</f>
        <v>519.75</v>
      </c>
      <c r="F14" s="307">
        <f>$B$13*F4*0.7*'выручка номеров'!G12</f>
        <v>732.37499999999989</v>
      </c>
      <c r="G14" s="307">
        <f>$B$13*G4*0.7*'выручка номеров'!H12</f>
        <v>803.24999999999989</v>
      </c>
      <c r="H14" s="307">
        <f>$B$13*H4*0.7*'выручка номеров'!I12</f>
        <v>830.02499999999986</v>
      </c>
      <c r="I14" s="307">
        <f>$B$13*I4*0.7*'выручка номеров'!J12</f>
        <v>781.19999999999993</v>
      </c>
      <c r="J14" s="307">
        <f>$B$13*J4*0.7*'выручка номеров'!K12</f>
        <v>614.25</v>
      </c>
      <c r="K14" s="307">
        <f>$B$13*K4*0.7*'выручка номеров'!L12</f>
        <v>537.07499999999993</v>
      </c>
      <c r="L14" s="307">
        <f>$B$13*L4*0.7*'выручка номеров'!M12</f>
        <v>472.49999999999994</v>
      </c>
      <c r="M14" s="307">
        <f>$B$13*M4*0.7*'выручка номеров'!N12</f>
        <v>634.72499999999991</v>
      </c>
      <c r="N14" s="308"/>
      <c r="O14" s="323"/>
      <c r="P14" s="323"/>
      <c r="Q14" s="323"/>
      <c r="R14" s="323"/>
      <c r="S14" s="323"/>
    </row>
    <row r="15" spans="1:19">
      <c r="A15" s="313" t="s">
        <v>503</v>
      </c>
      <c r="B15" s="314">
        <f t="shared" ref="B15:M15" si="2">B14*B12</f>
        <v>2563312.4999999995</v>
      </c>
      <c r="C15" s="314">
        <f t="shared" si="2"/>
        <v>1697850</v>
      </c>
      <c r="D15" s="314">
        <f t="shared" si="2"/>
        <v>1879762.4999999998</v>
      </c>
      <c r="E15" s="314">
        <f t="shared" si="2"/>
        <v>1819125</v>
      </c>
      <c r="F15" s="314">
        <f t="shared" si="2"/>
        <v>2563312.4999999995</v>
      </c>
      <c r="G15" s="314">
        <f t="shared" si="2"/>
        <v>2811374.9999999995</v>
      </c>
      <c r="H15" s="314">
        <f t="shared" si="2"/>
        <v>2905087.4999999995</v>
      </c>
      <c r="I15" s="314">
        <f t="shared" si="2"/>
        <v>2734199.9999999995</v>
      </c>
      <c r="J15" s="314">
        <f t="shared" si="2"/>
        <v>2149875</v>
      </c>
      <c r="K15" s="314">
        <f t="shared" si="2"/>
        <v>1879762.4999999998</v>
      </c>
      <c r="L15" s="314">
        <f t="shared" si="2"/>
        <v>1653749.9999999998</v>
      </c>
      <c r="M15" s="314">
        <f t="shared" si="2"/>
        <v>2221537.4999999995</v>
      </c>
      <c r="N15" s="315">
        <f>SUM(B15:M15)</f>
        <v>26878950</v>
      </c>
      <c r="O15" s="320"/>
      <c r="P15" s="320"/>
      <c r="Q15" s="321"/>
      <c r="R15" s="321"/>
      <c r="S15" s="322"/>
    </row>
    <row r="16" spans="1:19">
      <c r="A16" s="316"/>
      <c r="B16" s="562"/>
      <c r="C16" s="562"/>
      <c r="D16" s="562"/>
      <c r="E16" s="562"/>
      <c r="F16" s="562"/>
      <c r="G16" s="562"/>
      <c r="H16" s="562"/>
      <c r="I16" s="562"/>
      <c r="J16" s="562"/>
      <c r="K16" s="562"/>
      <c r="L16" s="562"/>
      <c r="M16" s="562"/>
      <c r="N16" s="563"/>
      <c r="O16" s="323"/>
      <c r="P16" s="323"/>
      <c r="Q16" s="323"/>
      <c r="R16" s="323"/>
      <c r="S16" s="323"/>
    </row>
    <row r="17" spans="1:19" s="585" customFormat="1">
      <c r="A17" s="583" t="s">
        <v>514</v>
      </c>
      <c r="B17" s="584">
        <f>'выручка номеров'!C16*18%</f>
        <v>4806055.1137499996</v>
      </c>
      <c r="C17" s="584">
        <f>'выручка номеров'!D16*18%</f>
        <v>2276335.8288000007</v>
      </c>
      <c r="D17" s="584">
        <f>'выручка номеров'!E16*18%</f>
        <v>2547944.0810999996</v>
      </c>
      <c r="E17" s="584">
        <f>'выручка номеров'!F16*18%</f>
        <v>2431540.5444000005</v>
      </c>
      <c r="F17" s="584">
        <f>'выручка номеров'!G16*18%</f>
        <v>4462135.573499999</v>
      </c>
      <c r="G17" s="584">
        <f>'выручка номеров'!H16*18%</f>
        <v>5996545.8299999991</v>
      </c>
      <c r="H17" s="584">
        <f>'выручка номеров'!I16*18%</f>
        <v>6196430.6909999987</v>
      </c>
      <c r="I17" s="584">
        <f>'выручка номеров'!J16*18%</f>
        <v>5831934.7679999983</v>
      </c>
      <c r="J17" s="584">
        <f>'выручка номеров'!K16*18%</f>
        <v>4058250.5749499998</v>
      </c>
      <c r="K17" s="584">
        <f>'выручка номеров'!L16*18%</f>
        <v>2159932.2921000002</v>
      </c>
      <c r="L17" s="584">
        <f>'выручка номеров'!M16*18%</f>
        <v>1904785.1459999997</v>
      </c>
      <c r="M17" s="584">
        <f>'выручка номеров'!N16*18%</f>
        <v>3385696.8073499999</v>
      </c>
      <c r="N17" s="315">
        <f>SUM(B17:M17)</f>
        <v>46057587.250949994</v>
      </c>
    </row>
    <row r="18" spans="1:19">
      <c r="A18" s="582"/>
      <c r="B18" s="557"/>
      <c r="C18" s="557"/>
      <c r="D18" s="557"/>
      <c r="E18" s="557"/>
      <c r="F18" s="557"/>
      <c r="G18" s="557"/>
      <c r="H18" s="557"/>
      <c r="I18" s="557"/>
      <c r="J18" s="557"/>
      <c r="K18" s="557"/>
      <c r="L18" s="557"/>
      <c r="M18" s="557"/>
      <c r="N18" s="557"/>
      <c r="O18" s="554"/>
      <c r="P18" s="554"/>
      <c r="Q18" s="555"/>
      <c r="R18" s="555"/>
      <c r="S18" s="556"/>
    </row>
    <row r="19" spans="1:19" ht="28">
      <c r="A19" s="538" t="s">
        <v>818</v>
      </c>
      <c r="B19" s="586">
        <f>SUM(B8,B15,B17)</f>
        <v>11606680.11375</v>
      </c>
      <c r="C19" s="586">
        <f t="shared" ref="C19:M19" si="3">SUM(C8,C15,C17)</f>
        <v>4980421.8288000003</v>
      </c>
      <c r="D19" s="586">
        <f t="shared" si="3"/>
        <v>5541753.5811000001</v>
      </c>
      <c r="E19" s="586">
        <f t="shared" si="3"/>
        <v>4897531.5444000009</v>
      </c>
      <c r="F19" s="586">
        <f t="shared" si="3"/>
        <v>8720373.0734999999</v>
      </c>
      <c r="G19" s="586">
        <f t="shared" si="3"/>
        <v>12787450.829999998</v>
      </c>
      <c r="H19" s="586">
        <f t="shared" si="3"/>
        <v>13213699.190999998</v>
      </c>
      <c r="I19" s="586">
        <f t="shared" si="3"/>
        <v>11994486.767999999</v>
      </c>
      <c r="J19" s="586">
        <f t="shared" si="3"/>
        <v>7275867.5749500003</v>
      </c>
      <c r="K19" s="586">
        <f t="shared" si="3"/>
        <v>4708122.9921000004</v>
      </c>
      <c r="L19" s="586">
        <f t="shared" si="3"/>
        <v>4044535.1459999997</v>
      </c>
      <c r="M19" s="586">
        <f t="shared" si="3"/>
        <v>7446123.3073499994</v>
      </c>
      <c r="N19" s="587">
        <f t="shared" ref="N19" si="4">SUM(B19:M19)</f>
        <v>97217045.950949982</v>
      </c>
      <c r="O19" s="323"/>
      <c r="P19" s="323"/>
      <c r="Q19" s="323"/>
      <c r="R19" s="323"/>
      <c r="S19" s="323"/>
    </row>
    <row r="20" spans="1:19" ht="13">
      <c r="A20" s="552"/>
      <c r="B20" s="557"/>
      <c r="C20" s="557"/>
      <c r="D20" s="557"/>
      <c r="E20" s="557"/>
      <c r="F20" s="557"/>
      <c r="G20" s="557"/>
      <c r="H20" s="557"/>
      <c r="I20" s="557"/>
      <c r="J20" s="557"/>
      <c r="K20" s="557"/>
      <c r="L20" s="557"/>
      <c r="M20" s="557"/>
      <c r="N20" s="558"/>
      <c r="O20" s="323"/>
      <c r="P20" s="323"/>
      <c r="Q20" s="323"/>
      <c r="R20" s="323"/>
      <c r="S20" s="323"/>
    </row>
    <row r="21" spans="1:19" ht="39">
      <c r="A21" s="552" t="str">
        <f>'выручка номеров'!A18</f>
        <v>Действующий корпус санатория с новым бальнеологическим комплексом</v>
      </c>
      <c r="B21" s="557"/>
      <c r="C21" s="557"/>
      <c r="D21" s="557"/>
      <c r="E21" s="557"/>
      <c r="F21" s="557"/>
      <c r="G21" s="557"/>
      <c r="H21" s="557"/>
      <c r="I21" s="557"/>
      <c r="J21" s="557"/>
      <c r="K21" s="557"/>
      <c r="L21" s="557"/>
      <c r="M21" s="557"/>
      <c r="N21" s="558"/>
      <c r="O21" s="323"/>
      <c r="P21" s="323"/>
      <c r="Q21" s="323"/>
      <c r="R21" s="323"/>
      <c r="S21" s="323"/>
    </row>
    <row r="22" spans="1:19" s="585" customFormat="1" ht="23">
      <c r="A22" s="583" t="s">
        <v>825</v>
      </c>
      <c r="B22" s="584">
        <f>540000*'выручка номеров'!C21</f>
        <v>405000</v>
      </c>
      <c r="C22" s="584">
        <f>540000*'выручка номеров'!D21</f>
        <v>459000</v>
      </c>
      <c r="D22" s="584">
        <f>540000*'выручка номеров'!E21</f>
        <v>459000</v>
      </c>
      <c r="E22" s="584">
        <f>540000*'выручка номеров'!F21</f>
        <v>415800</v>
      </c>
      <c r="F22" s="584">
        <f>540000*'выручка номеров'!G21</f>
        <v>378000</v>
      </c>
      <c r="G22" s="584">
        <f>540000*'выручка номеров'!H21</f>
        <v>459000</v>
      </c>
      <c r="H22" s="584">
        <f>540000*'выручка номеров'!I21</f>
        <v>459000</v>
      </c>
      <c r="I22" s="584">
        <f>540000*'выручка номеров'!J21</f>
        <v>351000</v>
      </c>
      <c r="J22" s="584">
        <f>540000*'выручка номеров'!K21</f>
        <v>459000</v>
      </c>
      <c r="K22" s="584">
        <f>540000*'выручка номеров'!L21</f>
        <v>442800</v>
      </c>
      <c r="L22" s="584">
        <f>540000*'выручка номеров'!M21</f>
        <v>421200</v>
      </c>
      <c r="M22" s="584">
        <f>540000*'выручка номеров'!N21</f>
        <v>459000</v>
      </c>
      <c r="N22" s="315">
        <f>SUM(B22:M22)</f>
        <v>5167800</v>
      </c>
    </row>
    <row r="23" spans="1:19" s="585" customFormat="1">
      <c r="A23" s="583" t="s">
        <v>514</v>
      </c>
      <c r="B23" s="584">
        <f>'выручка номеров'!C23*5%</f>
        <v>589640.65147058829</v>
      </c>
      <c r="C23" s="584">
        <f>'выручка номеров'!D23*5%</f>
        <v>548717.4</v>
      </c>
      <c r="D23" s="584">
        <f>'выручка номеров'!E23*5%</f>
        <v>607508.55000000005</v>
      </c>
      <c r="E23" s="584">
        <f>'выручка номеров'!F23*5%</f>
        <v>532578.65294117655</v>
      </c>
      <c r="F23" s="584">
        <f>'выручка номеров'!G23*5%</f>
        <v>550331.2747058823</v>
      </c>
      <c r="G23" s="584">
        <f>'выручка номеров'!H23*5%</f>
        <v>646702.65</v>
      </c>
      <c r="H23" s="584">
        <f>'выручка номеров'!I23*5%</f>
        <v>668259.40500000003</v>
      </c>
      <c r="I23" s="584">
        <f>'выручка номеров'!J23*5%</f>
        <v>511021.89794117655</v>
      </c>
      <c r="J23" s="584">
        <f>'выручка номеров'!K23*5%</f>
        <v>587911.50000000012</v>
      </c>
      <c r="K23" s="584">
        <f>'выручка номеров'!L23*5%</f>
        <v>586067.07176470594</v>
      </c>
      <c r="L23" s="584">
        <f>'выручка номеров'!M23*5%</f>
        <v>539495.25882352958</v>
      </c>
      <c r="M23" s="584">
        <f>'выручка номеров'!N23*5%</f>
        <v>607508.55000000005</v>
      </c>
      <c r="N23" s="315">
        <f>SUM(B23:M23)</f>
        <v>6975742.8626470594</v>
      </c>
    </row>
    <row r="24" spans="1:19">
      <c r="A24" s="581"/>
      <c r="B24" s="557"/>
      <c r="C24" s="557"/>
      <c r="D24" s="557"/>
      <c r="E24" s="557"/>
      <c r="F24" s="557"/>
      <c r="G24" s="557"/>
      <c r="H24" s="557"/>
      <c r="I24" s="557"/>
      <c r="J24" s="557"/>
      <c r="K24" s="557"/>
      <c r="L24" s="557"/>
      <c r="M24" s="557"/>
      <c r="N24" s="558"/>
      <c r="O24" s="323"/>
      <c r="P24" s="323"/>
      <c r="Q24" s="323"/>
      <c r="R24" s="323"/>
      <c r="S24" s="323"/>
    </row>
    <row r="25" spans="1:19" ht="28">
      <c r="A25" s="538" t="s">
        <v>826</v>
      </c>
      <c r="B25" s="586">
        <f>SUM(B22:B23)</f>
        <v>994640.65147058829</v>
      </c>
      <c r="C25" s="586">
        <f t="shared" ref="C25:M25" si="5">SUM(C22:C23)</f>
        <v>1007717.4</v>
      </c>
      <c r="D25" s="586">
        <f t="shared" si="5"/>
        <v>1066508.55</v>
      </c>
      <c r="E25" s="586">
        <f t="shared" si="5"/>
        <v>948378.65294117655</v>
      </c>
      <c r="F25" s="586">
        <f t="shared" si="5"/>
        <v>928331.2747058823</v>
      </c>
      <c r="G25" s="586">
        <f t="shared" si="5"/>
        <v>1105702.6499999999</v>
      </c>
      <c r="H25" s="586">
        <f t="shared" si="5"/>
        <v>1127259.405</v>
      </c>
      <c r="I25" s="586">
        <f t="shared" si="5"/>
        <v>862021.89794117655</v>
      </c>
      <c r="J25" s="586">
        <f t="shared" si="5"/>
        <v>1046911.5000000001</v>
      </c>
      <c r="K25" s="586">
        <f t="shared" si="5"/>
        <v>1028867.0717647059</v>
      </c>
      <c r="L25" s="586">
        <f t="shared" si="5"/>
        <v>960695.25882352958</v>
      </c>
      <c r="M25" s="586">
        <f t="shared" si="5"/>
        <v>1066508.55</v>
      </c>
      <c r="N25" s="587">
        <f t="shared" ref="N25" si="6">SUM(B25:M25)</f>
        <v>12143542.86264706</v>
      </c>
      <c r="O25" s="323"/>
      <c r="P25" s="323"/>
      <c r="Q25" s="323"/>
      <c r="R25" s="323"/>
      <c r="S25" s="323"/>
    </row>
    <row r="26" spans="1:19">
      <c r="A26" s="581"/>
      <c r="B26" s="557"/>
      <c r="C26" s="557"/>
      <c r="D26" s="557"/>
      <c r="E26" s="557"/>
      <c r="F26" s="557"/>
      <c r="G26" s="557"/>
      <c r="H26" s="557"/>
      <c r="I26" s="557"/>
      <c r="J26" s="557"/>
      <c r="K26" s="557"/>
      <c r="L26" s="557"/>
      <c r="M26" s="557"/>
      <c r="N26" s="558"/>
      <c r="O26" s="323"/>
      <c r="P26" s="323"/>
      <c r="Q26" s="323"/>
      <c r="R26" s="323"/>
      <c r="S26" s="323"/>
    </row>
    <row r="27" spans="1:19">
      <c r="A27" s="581"/>
      <c r="B27" s="557"/>
      <c r="C27" s="557"/>
      <c r="D27" s="557"/>
      <c r="E27" s="557"/>
      <c r="F27" s="557"/>
      <c r="G27" s="557"/>
      <c r="H27" s="557"/>
      <c r="I27" s="557"/>
      <c r="J27" s="557"/>
      <c r="K27" s="557"/>
      <c r="L27" s="557"/>
      <c r="M27" s="557"/>
      <c r="N27" s="558"/>
      <c r="O27" s="323"/>
      <c r="P27" s="323"/>
      <c r="Q27" s="323"/>
      <c r="R27" s="323"/>
      <c r="S27" s="323"/>
    </row>
    <row r="28" spans="1:19" ht="33.65" customHeight="1">
      <c r="A28" s="564" t="str">
        <f>Инфраструктура!A112</f>
        <v>Многофункциональный комплекс FRESH Эко-Вилладж</v>
      </c>
      <c r="B28" s="565"/>
      <c r="C28" s="565"/>
      <c r="D28" s="565"/>
      <c r="E28" s="565"/>
      <c r="F28" s="565"/>
      <c r="G28" s="565"/>
      <c r="H28" s="565"/>
      <c r="I28" s="565"/>
      <c r="J28" s="565"/>
      <c r="K28" s="565"/>
      <c r="L28" s="565"/>
      <c r="M28" s="565"/>
      <c r="N28" s="566"/>
      <c r="O28" s="560"/>
      <c r="P28" s="323"/>
      <c r="Q28" s="323"/>
      <c r="R28" s="323"/>
      <c r="S28" s="323"/>
    </row>
    <row r="29" spans="1:19" ht="12.65" customHeight="1">
      <c r="A29" s="567" t="str">
        <f>Инфраструктура!A113</f>
        <v>Водно-оздоровительный центр</v>
      </c>
      <c r="B29" s="565"/>
      <c r="C29" s="565"/>
      <c r="D29" s="565"/>
      <c r="E29" s="565"/>
      <c r="F29" s="565"/>
      <c r="G29" s="565"/>
      <c r="H29" s="565"/>
      <c r="I29" s="565"/>
      <c r="J29" s="565"/>
      <c r="K29" s="565"/>
      <c r="L29" s="565"/>
      <c r="M29" s="565"/>
      <c r="N29" s="566"/>
      <c r="O29" s="560"/>
      <c r="P29" s="323"/>
      <c r="Q29" s="323"/>
      <c r="R29" s="323"/>
      <c r="S29" s="323"/>
    </row>
    <row r="30" spans="1:19">
      <c r="A30" s="568" t="s">
        <v>509</v>
      </c>
      <c r="B30" s="569">
        <v>3000</v>
      </c>
      <c r="C30" s="569">
        <v>2000</v>
      </c>
      <c r="D30" s="569">
        <v>2000</v>
      </c>
      <c r="E30" s="569">
        <v>1200</v>
      </c>
      <c r="F30" s="569">
        <v>1200</v>
      </c>
      <c r="G30" s="569">
        <v>2000</v>
      </c>
      <c r="H30" s="569">
        <v>2000</v>
      </c>
      <c r="I30" s="569">
        <v>2000</v>
      </c>
      <c r="J30" s="569">
        <v>1200</v>
      </c>
      <c r="K30" s="569">
        <v>1200</v>
      </c>
      <c r="L30" s="569">
        <v>1200</v>
      </c>
      <c r="M30" s="569">
        <v>2000</v>
      </c>
      <c r="N30" s="566"/>
      <c r="O30" s="553"/>
      <c r="P30" s="303"/>
      <c r="Q30" s="303"/>
      <c r="R30" s="303"/>
      <c r="S30" s="303"/>
    </row>
    <row r="31" spans="1:19">
      <c r="A31" s="568" t="s">
        <v>510</v>
      </c>
      <c r="B31" s="569">
        <f>B4*3*'выручка номеров'!C28</f>
        <v>60.45</v>
      </c>
      <c r="C31" s="569">
        <f>C4*3*'выручка номеров'!D28</f>
        <v>33.6</v>
      </c>
      <c r="D31" s="569">
        <f>D4*3*'выручка номеров'!E28</f>
        <v>37.200000000000003</v>
      </c>
      <c r="E31" s="569">
        <f>E4*3*'выручка номеров'!F28</f>
        <v>40.5</v>
      </c>
      <c r="F31" s="569">
        <f>F4*3*'выручка номеров'!G28</f>
        <v>51.150000000000006</v>
      </c>
      <c r="G31" s="569">
        <f>G4*3*'выручка номеров'!H28</f>
        <v>76.5</v>
      </c>
      <c r="H31" s="569">
        <f>H4*3*'выручка номеров'!I28</f>
        <v>79.05</v>
      </c>
      <c r="I31" s="569">
        <f>I4*3*'выручка номеров'!J28</f>
        <v>69.75</v>
      </c>
      <c r="J31" s="569">
        <f>J4*3*'выручка номеров'!K28</f>
        <v>49.500000000000007</v>
      </c>
      <c r="K31" s="569">
        <f>K4*3*'выручка номеров'!L28</f>
        <v>32.549999999999997</v>
      </c>
      <c r="L31" s="569">
        <f>L4*3*'выручка номеров'!M28</f>
        <v>31.499999999999996</v>
      </c>
      <c r="M31" s="569">
        <f>M4*3*'выручка номеров'!N28</f>
        <v>41.85</v>
      </c>
      <c r="N31" s="570"/>
      <c r="O31" s="553"/>
      <c r="P31" s="303"/>
      <c r="Q31" s="303"/>
      <c r="R31" s="303"/>
      <c r="S31" s="303"/>
    </row>
    <row r="32" spans="1:19">
      <c r="A32" s="568" t="s">
        <v>511</v>
      </c>
      <c r="B32" s="569">
        <f>'выручка номеров'!C27*'скидки для типов гостей'!$B$11*'выручка номеров'!C28/B4</f>
        <v>24.417120000000001</v>
      </c>
      <c r="C32" s="569">
        <f>'выручка номеров'!D27*'скидки для типов гостей'!$B$11*'выручка номеров'!D28/C4</f>
        <v>9.2467199999999998</v>
      </c>
      <c r="D32" s="569">
        <f>'выручка номеров'!E27*'скидки для типов гостей'!$B$11*'выручка номеров'!E28/D4</f>
        <v>9.2467199999999981</v>
      </c>
      <c r="E32" s="569">
        <f>'выручка номеров'!F27*'скидки для типов гостей'!$B$11*'выручка номеров'!F28/E4</f>
        <v>11.702879999999999</v>
      </c>
      <c r="F32" s="569">
        <f>'выручка номеров'!G27*'скидки для типов гостей'!$B$11*'выручка номеров'!G28/F4</f>
        <v>17.48208</v>
      </c>
      <c r="G32" s="569">
        <f>'выручка номеров'!H27*'скидки для типов гостей'!$B$11*'выручка номеров'!H28/G4</f>
        <v>41.754719999999999</v>
      </c>
      <c r="H32" s="569">
        <f>'выручка номеров'!I27*'скидки для типов гостей'!$B$11*'выручка номеров'!I28/H4</f>
        <v>41.754719999999985</v>
      </c>
      <c r="I32" s="569">
        <f>'выручка номеров'!J27*'скидки для типов гостей'!$B$11*'выручка номеров'!J28/I4</f>
        <v>32.507999999999996</v>
      </c>
      <c r="J32" s="569">
        <f>'выручка номеров'!K27*'скидки для типов гостей'!$B$11*'выручка номеров'!K28/J4</f>
        <v>17.48208</v>
      </c>
      <c r="K32" s="569">
        <f>'выручка номеров'!L27*'скидки для типов гостей'!$B$11*'выручка номеров'!L28/K4</f>
        <v>7.0795199999999996</v>
      </c>
      <c r="L32" s="569">
        <f>'выручка номеров'!M27*'скидки для типов гостей'!$B$11*'выручка номеров'!M28/L4</f>
        <v>7.0795199999999987</v>
      </c>
      <c r="M32" s="569">
        <f>'выручка номеров'!N27*'скидки для типов гостей'!$B$11*'выручка номеров'!N28/M4</f>
        <v>11.70288</v>
      </c>
      <c r="N32" s="570"/>
      <c r="O32" s="553"/>
      <c r="P32" s="303"/>
      <c r="Q32" s="303"/>
      <c r="R32" s="303"/>
      <c r="S32" s="303"/>
    </row>
    <row r="33" spans="1:19">
      <c r="A33" s="571" t="s">
        <v>503</v>
      </c>
      <c r="B33" s="572">
        <f t="shared" ref="B33:M33" si="7">B30*B31*B32</f>
        <v>4428044.7120000003</v>
      </c>
      <c r="C33" s="572">
        <f t="shared" si="7"/>
        <v>621379.58400000003</v>
      </c>
      <c r="D33" s="572">
        <f t="shared" si="7"/>
        <v>687955.96799999988</v>
      </c>
      <c r="E33" s="572">
        <f t="shared" si="7"/>
        <v>568759.96799999988</v>
      </c>
      <c r="F33" s="572">
        <f t="shared" si="7"/>
        <v>1073050.0704000001</v>
      </c>
      <c r="G33" s="572">
        <f t="shared" si="7"/>
        <v>6388472.1600000001</v>
      </c>
      <c r="H33" s="572">
        <f t="shared" si="7"/>
        <v>6601421.231999998</v>
      </c>
      <c r="I33" s="572">
        <f t="shared" si="7"/>
        <v>4534865.9999999991</v>
      </c>
      <c r="J33" s="572">
        <f t="shared" si="7"/>
        <v>1038435.5520000001</v>
      </c>
      <c r="K33" s="572">
        <f t="shared" si="7"/>
        <v>276526.05119999999</v>
      </c>
      <c r="L33" s="572">
        <f t="shared" si="7"/>
        <v>267605.85599999991</v>
      </c>
      <c r="M33" s="572">
        <f t="shared" si="7"/>
        <v>979531.05599999998</v>
      </c>
      <c r="N33" s="573">
        <f>SUM(B33:M33)</f>
        <v>27466048.209599998</v>
      </c>
      <c r="O33" s="561"/>
      <c r="P33" s="320"/>
      <c r="Q33" s="321"/>
      <c r="R33" s="321"/>
      <c r="S33" s="322"/>
    </row>
    <row r="34" spans="1:19">
      <c r="A34" s="574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565"/>
      <c r="M34" s="565"/>
      <c r="N34" s="566"/>
      <c r="O34" s="554"/>
      <c r="P34" s="554"/>
      <c r="Q34" s="555"/>
      <c r="R34" s="555"/>
      <c r="S34" s="556"/>
    </row>
    <row r="35" spans="1:19">
      <c r="A35" s="575" t="str">
        <f>Инфраструктура!A126</f>
        <v>Процедурные кабинеты</v>
      </c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565"/>
      <c r="M35" s="565"/>
      <c r="N35" s="566"/>
      <c r="O35" s="560"/>
      <c r="P35" s="323"/>
      <c r="Q35" s="323"/>
      <c r="R35" s="323"/>
      <c r="S35" s="323"/>
    </row>
    <row r="36" spans="1:19">
      <c r="A36" s="568" t="s">
        <v>512</v>
      </c>
      <c r="B36" s="565">
        <f>Инфраструктура!B126</f>
        <v>7</v>
      </c>
      <c r="C36" s="565"/>
      <c r="D36" s="565"/>
      <c r="E36" s="565"/>
      <c r="F36" s="565"/>
      <c r="G36" s="565"/>
      <c r="H36" s="565"/>
      <c r="I36" s="565"/>
      <c r="J36" s="565"/>
      <c r="K36" s="565"/>
      <c r="L36" s="565"/>
      <c r="M36" s="565"/>
      <c r="N36" s="566"/>
      <c r="O36" s="560"/>
      <c r="P36" s="323"/>
      <c r="Q36" s="323"/>
      <c r="R36" s="323"/>
      <c r="S36" s="323"/>
    </row>
    <row r="37" spans="1:19">
      <c r="A37" s="568" t="s">
        <v>513</v>
      </c>
      <c r="B37" s="565">
        <f>B12</f>
        <v>3500</v>
      </c>
      <c r="C37" s="565">
        <f>B37</f>
        <v>3500</v>
      </c>
      <c r="D37" s="565">
        <f t="shared" ref="D37:M37" si="8">C37</f>
        <v>3500</v>
      </c>
      <c r="E37" s="565">
        <f t="shared" si="8"/>
        <v>3500</v>
      </c>
      <c r="F37" s="565">
        <f t="shared" si="8"/>
        <v>3500</v>
      </c>
      <c r="G37" s="565">
        <f t="shared" si="8"/>
        <v>3500</v>
      </c>
      <c r="H37" s="565">
        <f t="shared" si="8"/>
        <v>3500</v>
      </c>
      <c r="I37" s="565">
        <f t="shared" si="8"/>
        <v>3500</v>
      </c>
      <c r="J37" s="565">
        <f t="shared" si="8"/>
        <v>3500</v>
      </c>
      <c r="K37" s="565">
        <f t="shared" si="8"/>
        <v>3500</v>
      </c>
      <c r="L37" s="565">
        <f t="shared" si="8"/>
        <v>3500</v>
      </c>
      <c r="M37" s="565">
        <f t="shared" si="8"/>
        <v>3500</v>
      </c>
      <c r="N37" s="566"/>
      <c r="O37" s="560"/>
      <c r="P37" s="323"/>
      <c r="Q37" s="323"/>
      <c r="R37" s="323"/>
      <c r="S37" s="323"/>
    </row>
    <row r="38" spans="1:19">
      <c r="A38" s="576" t="s">
        <v>812</v>
      </c>
      <c r="B38" s="577">
        <f>$B$11*5</f>
        <v>45</v>
      </c>
      <c r="C38" s="578"/>
      <c r="D38" s="577"/>
      <c r="E38" s="577"/>
      <c r="F38" s="577"/>
      <c r="G38" s="577"/>
      <c r="H38" s="577"/>
      <c r="I38" s="577"/>
      <c r="J38" s="577"/>
      <c r="K38" s="577"/>
      <c r="L38" s="577"/>
      <c r="M38" s="577"/>
      <c r="N38" s="579"/>
      <c r="O38" s="553"/>
      <c r="P38" s="303"/>
      <c r="Q38" s="303"/>
      <c r="R38" s="303"/>
      <c r="S38" s="303"/>
    </row>
    <row r="39" spans="1:19">
      <c r="A39" s="576" t="s">
        <v>813</v>
      </c>
      <c r="B39" s="565">
        <f>$B$38*B4*'выручка номеров'!C28*0.35</f>
        <v>317.36249999999995</v>
      </c>
      <c r="C39" s="565">
        <f>$B$38*C4*'выручка номеров'!D28*0.35</f>
        <v>176.39999999999998</v>
      </c>
      <c r="D39" s="565">
        <f>$B$38*D4*'выручка номеров'!E28*0.35</f>
        <v>195.29999999999998</v>
      </c>
      <c r="E39" s="565">
        <f>$B$38*E4*'выручка номеров'!F28*0.35</f>
        <v>212.625</v>
      </c>
      <c r="F39" s="565">
        <f>$B$38*F4*'выручка номеров'!G28*0.35</f>
        <v>268.53750000000002</v>
      </c>
      <c r="G39" s="565">
        <f>$B$38*G4*'выручка номеров'!H28*0.35</f>
        <v>401.625</v>
      </c>
      <c r="H39" s="565">
        <f>$B$38*H4*'выручка номеров'!I28*0.35</f>
        <v>415.01249999999999</v>
      </c>
      <c r="I39" s="565">
        <f>$B$38*I4*'выручка номеров'!J28*0.35</f>
        <v>366.1875</v>
      </c>
      <c r="J39" s="565">
        <f>$B$38*J4*'выручка номеров'!K28*0.35</f>
        <v>259.875</v>
      </c>
      <c r="K39" s="565">
        <f>$B$38*K4*'выручка номеров'!L28*0.35</f>
        <v>170.88749999999996</v>
      </c>
      <c r="L39" s="565">
        <f>$B$38*L4*'выручка номеров'!M28*0.35</f>
        <v>165.37499999999997</v>
      </c>
      <c r="M39" s="565">
        <f>$B$38*M4*'выручка номеров'!N28*0.35</f>
        <v>219.71249999999998</v>
      </c>
      <c r="N39" s="566"/>
      <c r="O39" s="560"/>
      <c r="P39" s="323"/>
      <c r="Q39" s="323"/>
      <c r="R39" s="323"/>
      <c r="S39" s="323"/>
    </row>
    <row r="40" spans="1:19">
      <c r="A40" s="571" t="s">
        <v>503</v>
      </c>
      <c r="B40" s="572">
        <f>B39*B37</f>
        <v>1110768.7499999998</v>
      </c>
      <c r="C40" s="572">
        <f t="shared" ref="C40:M40" si="9">C39*C37</f>
        <v>617399.99999999988</v>
      </c>
      <c r="D40" s="572">
        <f t="shared" si="9"/>
        <v>683549.99999999988</v>
      </c>
      <c r="E40" s="572">
        <f t="shared" si="9"/>
        <v>744187.5</v>
      </c>
      <c r="F40" s="572">
        <f t="shared" si="9"/>
        <v>939881.25000000012</v>
      </c>
      <c r="G40" s="572">
        <f t="shared" si="9"/>
        <v>1405687.5</v>
      </c>
      <c r="H40" s="572">
        <f t="shared" si="9"/>
        <v>1452543.75</v>
      </c>
      <c r="I40" s="572">
        <f t="shared" si="9"/>
        <v>1281656.25</v>
      </c>
      <c r="J40" s="572">
        <f t="shared" si="9"/>
        <v>909562.5</v>
      </c>
      <c r="K40" s="572">
        <f t="shared" si="9"/>
        <v>598106.24999999988</v>
      </c>
      <c r="L40" s="572">
        <f t="shared" si="9"/>
        <v>578812.49999999988</v>
      </c>
      <c r="M40" s="572">
        <f t="shared" si="9"/>
        <v>768993.74999999988</v>
      </c>
      <c r="N40" s="573">
        <f>SUM(B40:M40)</f>
        <v>11091150</v>
      </c>
      <c r="O40" s="561"/>
      <c r="P40" s="320"/>
      <c r="Q40" s="321"/>
      <c r="R40" s="321"/>
      <c r="S40" s="322"/>
    </row>
    <row r="41" spans="1:19" ht="12.65" customHeight="1">
      <c r="A41" s="567"/>
      <c r="B41" s="565"/>
      <c r="C41" s="565"/>
      <c r="D41" s="565"/>
      <c r="E41" s="565"/>
      <c r="F41" s="565"/>
      <c r="G41" s="565"/>
      <c r="H41" s="565"/>
      <c r="I41" s="565"/>
      <c r="J41" s="565"/>
      <c r="K41" s="565"/>
      <c r="L41" s="565"/>
      <c r="M41" s="565"/>
      <c r="N41" s="566"/>
      <c r="O41" s="560"/>
      <c r="P41" s="323"/>
      <c r="Q41" s="323"/>
      <c r="R41" s="323"/>
      <c r="S41" s="323"/>
    </row>
    <row r="42" spans="1:19" s="585" customFormat="1">
      <c r="A42" s="583" t="s">
        <v>514</v>
      </c>
      <c r="B42" s="584">
        <f>'выручка номеров'!C30*20%</f>
        <v>3293688.9700000007</v>
      </c>
      <c r="C42" s="584">
        <f>'выручка номеров'!D30*20%</f>
        <v>1309107.7120000005</v>
      </c>
      <c r="D42" s="584">
        <f>'выручка номеров'!E30*20%</f>
        <v>1465308.0640000005</v>
      </c>
      <c r="E42" s="584">
        <f>'выручка номеров'!F30*20%</f>
        <v>1573160.6880000005</v>
      </c>
      <c r="F42" s="584">
        <f>'выручка номеров'!G30*20%</f>
        <v>2587533.2120000008</v>
      </c>
      <c r="G42" s="584">
        <f>'выручка номеров'!H30*20%</f>
        <v>4741796.4000000004</v>
      </c>
      <c r="H42" s="584">
        <f>'выручка номеров'!I30*20%</f>
        <v>4899856.28</v>
      </c>
      <c r="I42" s="584">
        <f>'выручка номеров'!J30*20%</f>
        <v>4323402.6000000006</v>
      </c>
      <c r="J42" s="584">
        <f>'выручка номеров'!K30*20%</f>
        <v>2715375.7620000006</v>
      </c>
      <c r="K42" s="584">
        <f>'выручка номеров'!L30*20%</f>
        <v>1086894.1160000002</v>
      </c>
      <c r="L42" s="584">
        <f>'выручка номеров'!M30*20%</f>
        <v>1054352.3759999999</v>
      </c>
      <c r="M42" s="584">
        <f>'выручка номеров'!N30*20%</f>
        <v>1853484.5340000005</v>
      </c>
      <c r="N42" s="315">
        <f>SUM(B42:M42)</f>
        <v>30903960.714000009</v>
      </c>
    </row>
    <row r="43" spans="1:19" ht="12.65" customHeight="1">
      <c r="A43" s="552"/>
      <c r="B43" s="557"/>
      <c r="C43" s="557"/>
      <c r="D43" s="557"/>
      <c r="E43" s="557"/>
      <c r="F43" s="557"/>
      <c r="G43" s="557"/>
      <c r="H43" s="557"/>
      <c r="I43" s="557"/>
      <c r="J43" s="557"/>
      <c r="K43" s="557"/>
      <c r="L43" s="557"/>
      <c r="M43" s="557"/>
      <c r="N43" s="558"/>
      <c r="O43" s="560"/>
      <c r="P43" s="323"/>
      <c r="Q43" s="323"/>
      <c r="R43" s="323"/>
      <c r="S43" s="323"/>
    </row>
    <row r="44" spans="1:19" ht="28">
      <c r="A44" s="538" t="s">
        <v>819</v>
      </c>
      <c r="B44" s="586">
        <f>SUM(B33,B40,B42)</f>
        <v>8832502.432</v>
      </c>
      <c r="C44" s="586">
        <f t="shared" ref="C44:M44" si="10">SUM(C33,C40,C42)</f>
        <v>2547887.2960000001</v>
      </c>
      <c r="D44" s="586">
        <f t="shared" si="10"/>
        <v>2836814.0320000006</v>
      </c>
      <c r="E44" s="586">
        <f t="shared" si="10"/>
        <v>2886108.1560000004</v>
      </c>
      <c r="F44" s="586">
        <f t="shared" si="10"/>
        <v>4600464.5324000008</v>
      </c>
      <c r="G44" s="586">
        <f t="shared" si="10"/>
        <v>12535956.060000001</v>
      </c>
      <c r="H44" s="586">
        <f t="shared" si="10"/>
        <v>12953821.261999998</v>
      </c>
      <c r="I44" s="586">
        <f t="shared" si="10"/>
        <v>10139924.85</v>
      </c>
      <c r="J44" s="586">
        <f t="shared" si="10"/>
        <v>4663373.8140000012</v>
      </c>
      <c r="K44" s="586">
        <f t="shared" si="10"/>
        <v>1961526.4172</v>
      </c>
      <c r="L44" s="586">
        <f t="shared" si="10"/>
        <v>1900770.7319999998</v>
      </c>
      <c r="M44" s="586">
        <f t="shared" si="10"/>
        <v>3602009.3400000003</v>
      </c>
      <c r="N44" s="587">
        <f t="shared" ref="N44" si="11">SUM(B44:M44)</f>
        <v>69461158.923600003</v>
      </c>
      <c r="O44" s="323"/>
      <c r="P44" s="323"/>
      <c r="Q44" s="323"/>
      <c r="R44" s="323"/>
      <c r="S44" s="323"/>
    </row>
    <row r="45" spans="1:19" ht="12.65" customHeight="1">
      <c r="A45" s="552"/>
      <c r="B45" s="557"/>
      <c r="C45" s="557"/>
      <c r="D45" s="557"/>
      <c r="E45" s="557"/>
      <c r="F45" s="557"/>
      <c r="G45" s="557"/>
      <c r="H45" s="557"/>
      <c r="I45" s="557"/>
      <c r="J45" s="557"/>
      <c r="K45" s="557"/>
      <c r="L45" s="557"/>
      <c r="M45" s="557"/>
      <c r="N45" s="558"/>
      <c r="O45" s="560"/>
      <c r="P45" s="323"/>
      <c r="Q45" s="323"/>
      <c r="R45" s="323"/>
      <c r="S45" s="323"/>
    </row>
    <row r="46" spans="1:19" ht="12.65" customHeight="1">
      <c r="A46" s="552"/>
      <c r="B46" s="557"/>
      <c r="C46" s="557"/>
      <c r="D46" s="557"/>
      <c r="E46" s="557"/>
      <c r="F46" s="557"/>
      <c r="G46" s="557"/>
      <c r="H46" s="557"/>
      <c r="I46" s="557"/>
      <c r="J46" s="557"/>
      <c r="K46" s="557"/>
      <c r="L46" s="557"/>
      <c r="M46" s="557"/>
      <c r="N46" s="558"/>
      <c r="O46" s="560"/>
      <c r="P46" s="323"/>
      <c r="Q46" s="323"/>
      <c r="R46" s="323"/>
      <c r="S46" s="323"/>
    </row>
    <row r="47" spans="1:19" ht="29.5" customHeight="1">
      <c r="A47" s="559" t="str">
        <f>Инфраструктура!A179</f>
        <v>Ремесленная слобода (посад) в Этно-Деревне</v>
      </c>
      <c r="B47" s="557"/>
      <c r="C47" s="557"/>
      <c r="D47" s="557"/>
      <c r="E47" s="557"/>
      <c r="F47" s="557"/>
      <c r="G47" s="557"/>
      <c r="H47" s="557"/>
      <c r="I47" s="557"/>
      <c r="J47" s="557"/>
      <c r="K47" s="557"/>
      <c r="L47" s="557"/>
      <c r="M47" s="557"/>
      <c r="N47" s="558"/>
      <c r="O47" s="323"/>
      <c r="P47" s="323"/>
      <c r="Q47" s="323"/>
      <c r="R47" s="323"/>
      <c r="S47" s="323"/>
    </row>
    <row r="48" spans="1:19" ht="12.65" customHeight="1">
      <c r="A48" s="568" t="s">
        <v>815</v>
      </c>
      <c r="B48" s="565">
        <v>2600</v>
      </c>
      <c r="C48" s="565"/>
      <c r="D48" s="565"/>
      <c r="E48" s="565"/>
      <c r="F48" s="565"/>
      <c r="G48" s="565"/>
      <c r="H48" s="565"/>
      <c r="I48" s="565"/>
      <c r="J48" s="565"/>
      <c r="K48" s="565"/>
      <c r="L48" s="565"/>
      <c r="M48" s="565"/>
      <c r="N48" s="566"/>
      <c r="O48" s="323"/>
      <c r="P48" s="323"/>
      <c r="Q48" s="323"/>
      <c r="R48" s="323"/>
      <c r="S48" s="323"/>
    </row>
    <row r="49" spans="1:19" ht="12.65" customHeight="1">
      <c r="A49" s="568" t="s">
        <v>816</v>
      </c>
      <c r="B49" s="565">
        <f>('выручка номеров'!C34*'скидки для типов гостей'!$B$11+'выручка номеров'!U12)*0.8</f>
        <v>3327.6640000000002</v>
      </c>
      <c r="C49" s="565">
        <f>('выручка номеров'!D34*'скидки для типов гостей'!$B$11+'выручка номеров'!V12)*0.8</f>
        <v>1065.68</v>
      </c>
      <c r="D49" s="565">
        <f>('выручка номеров'!E34*'скидки для типов гостей'!$B$11+'выручка номеров'!W12)*0.8</f>
        <v>1303.8599999999999</v>
      </c>
      <c r="E49" s="565">
        <f>('выручка номеров'!F34*'скидки для типов гостей'!$B$11+'выручка номеров'!X12)*0.8</f>
        <v>1610.1599999999999</v>
      </c>
      <c r="F49" s="565">
        <f>('выручка номеров'!G34*'скидки для типов гостей'!$B$11+'выручка номеров'!Y12)*0.8</f>
        <v>2731.72</v>
      </c>
      <c r="G49" s="565">
        <f>('выручка номеров'!H34*'скидки для типов гостей'!$B$11+'выручка номеров'!Z12)*0.8</f>
        <v>3425.4</v>
      </c>
      <c r="H49" s="565">
        <f>('выручка номеров'!I34*'скидки для типов гостей'!$B$11+'выручка номеров'!AA12)*0.8</f>
        <v>4159.5800000000008</v>
      </c>
      <c r="I49" s="565">
        <f>('выручка номеров'!J34*'скидки для типов гостей'!$B$11+'выручка номеров'!AB12)*0.8</f>
        <v>3675.6080000000002</v>
      </c>
      <c r="J49" s="565">
        <f>('выручка номеров'!K34*'скидки для типов гостей'!$B$11+'выручка номеров'!AC12)*0.8</f>
        <v>2403.6</v>
      </c>
      <c r="K49" s="565">
        <f>('выручка номеров'!L34*'скидки для типов гостей'!$B$11+'выручка номеров'!AD12)*0.8</f>
        <v>1179.8599999999999</v>
      </c>
      <c r="L49" s="565">
        <f>('выручка номеров'!M34*'скидки для типов гостей'!$B$11+'выручка номеров'!AE12)*0.8</f>
        <v>1141.8</v>
      </c>
      <c r="M49" s="565">
        <f>('выручка номеров'!N34*'скидки для типов гостей'!$B$11+'выручка номеров'!AF12)*0.8</f>
        <v>2507.7759999999998</v>
      </c>
      <c r="N49" s="566">
        <f>SUM(B49:M49)</f>
        <v>28532.707999999999</v>
      </c>
      <c r="O49" s="323"/>
      <c r="P49" s="323"/>
      <c r="Q49" s="323"/>
      <c r="R49" s="323"/>
      <c r="S49" s="323"/>
    </row>
    <row r="50" spans="1:19">
      <c r="A50" s="571" t="s">
        <v>503</v>
      </c>
      <c r="B50" s="572">
        <f>B49*$B$48</f>
        <v>8651926.4000000004</v>
      </c>
      <c r="C50" s="572">
        <f t="shared" ref="C50:M50" si="12">C49*$B$48</f>
        <v>2770768</v>
      </c>
      <c r="D50" s="572">
        <f t="shared" si="12"/>
        <v>3390035.9999999995</v>
      </c>
      <c r="E50" s="572">
        <f t="shared" si="12"/>
        <v>4186415.9999999995</v>
      </c>
      <c r="F50" s="572">
        <f t="shared" si="12"/>
        <v>7102471.9999999991</v>
      </c>
      <c r="G50" s="572">
        <f t="shared" si="12"/>
        <v>8906040</v>
      </c>
      <c r="H50" s="572">
        <f t="shared" si="12"/>
        <v>10814908.000000002</v>
      </c>
      <c r="I50" s="572">
        <f t="shared" si="12"/>
        <v>9556580.8000000007</v>
      </c>
      <c r="J50" s="572">
        <f t="shared" si="12"/>
        <v>6249360</v>
      </c>
      <c r="K50" s="572">
        <f t="shared" si="12"/>
        <v>3067635.9999999995</v>
      </c>
      <c r="L50" s="572">
        <f t="shared" si="12"/>
        <v>2968680</v>
      </c>
      <c r="M50" s="572">
        <f t="shared" si="12"/>
        <v>6520217.5999999996</v>
      </c>
      <c r="N50" s="573">
        <f>SUM(B50:M50)</f>
        <v>74185040.799999997</v>
      </c>
      <c r="O50" s="561"/>
      <c r="P50" s="320"/>
      <c r="Q50" s="321"/>
      <c r="R50" s="321"/>
      <c r="S50" s="322"/>
    </row>
    <row r="51" spans="1:19" ht="12.65" customHeight="1">
      <c r="A51" s="552"/>
      <c r="B51" s="557"/>
      <c r="C51" s="557"/>
      <c r="D51" s="557"/>
      <c r="E51" s="557"/>
      <c r="F51" s="557"/>
      <c r="G51" s="557"/>
      <c r="H51" s="557"/>
      <c r="I51" s="557"/>
      <c r="J51" s="557"/>
      <c r="K51" s="557"/>
      <c r="L51" s="557"/>
      <c r="M51" s="557"/>
      <c r="N51" s="573"/>
      <c r="O51" s="323"/>
      <c r="P51" s="323"/>
      <c r="Q51" s="323"/>
      <c r="R51" s="323"/>
      <c r="S51" s="323"/>
    </row>
    <row r="52" spans="1:19">
      <c r="A52" s="327" t="s">
        <v>514</v>
      </c>
      <c r="N52" s="573"/>
    </row>
    <row r="53" spans="1:19">
      <c r="A53" s="571" t="s">
        <v>817</v>
      </c>
      <c r="B53" s="572">
        <f>B50*10%</f>
        <v>865192.64000000013</v>
      </c>
      <c r="C53" s="572">
        <f t="shared" ref="C53:M53" si="13">C50*10%</f>
        <v>277076.8</v>
      </c>
      <c r="D53" s="572">
        <f t="shared" si="13"/>
        <v>339003.6</v>
      </c>
      <c r="E53" s="572">
        <f t="shared" si="13"/>
        <v>418641.6</v>
      </c>
      <c r="F53" s="572">
        <f t="shared" si="13"/>
        <v>710247.2</v>
      </c>
      <c r="G53" s="572">
        <f t="shared" si="13"/>
        <v>890604</v>
      </c>
      <c r="H53" s="572">
        <f t="shared" si="13"/>
        <v>1081490.8000000003</v>
      </c>
      <c r="I53" s="572">
        <f t="shared" si="13"/>
        <v>955658.08000000007</v>
      </c>
      <c r="J53" s="572">
        <f t="shared" si="13"/>
        <v>624936</v>
      </c>
      <c r="K53" s="572">
        <f t="shared" si="13"/>
        <v>306763.59999999998</v>
      </c>
      <c r="L53" s="572">
        <f t="shared" si="13"/>
        <v>296868</v>
      </c>
      <c r="M53" s="572">
        <f t="shared" si="13"/>
        <v>652021.76000000001</v>
      </c>
      <c r="N53" s="573">
        <f t="shared" ref="N53" si="14">SUM(B53:M53)</f>
        <v>7418504.0800000001</v>
      </c>
      <c r="O53" s="561"/>
      <c r="P53" s="320"/>
      <c r="Q53" s="321"/>
      <c r="R53" s="321"/>
      <c r="S53" s="322"/>
    </row>
    <row r="55" spans="1:19" ht="28">
      <c r="A55" s="538" t="s">
        <v>820</v>
      </c>
      <c r="B55" s="586">
        <f>SUM(B50,B53)</f>
        <v>9517119.040000001</v>
      </c>
      <c r="C55" s="586">
        <f t="shared" ref="C55:M55" si="15">SUM(C50,C53)</f>
        <v>3047844.8</v>
      </c>
      <c r="D55" s="586">
        <f t="shared" si="15"/>
        <v>3729039.5999999996</v>
      </c>
      <c r="E55" s="586">
        <f t="shared" si="15"/>
        <v>4605057.5999999996</v>
      </c>
      <c r="F55" s="586">
        <f t="shared" si="15"/>
        <v>7812719.1999999993</v>
      </c>
      <c r="G55" s="586">
        <f t="shared" si="15"/>
        <v>9796644</v>
      </c>
      <c r="H55" s="586">
        <f t="shared" si="15"/>
        <v>11896398.800000003</v>
      </c>
      <c r="I55" s="586">
        <f t="shared" si="15"/>
        <v>10512238.880000001</v>
      </c>
      <c r="J55" s="586">
        <f t="shared" si="15"/>
        <v>6874296</v>
      </c>
      <c r="K55" s="586">
        <f t="shared" si="15"/>
        <v>3374399.5999999996</v>
      </c>
      <c r="L55" s="586">
        <f t="shared" si="15"/>
        <v>3265548</v>
      </c>
      <c r="M55" s="586">
        <f t="shared" si="15"/>
        <v>7172239.3599999994</v>
      </c>
      <c r="N55" s="587">
        <f t="shared" ref="N55" si="16">SUM(B55:M55)</f>
        <v>81603544.879999995</v>
      </c>
      <c r="O55" s="323"/>
      <c r="P55" s="323"/>
      <c r="Q55" s="323"/>
      <c r="R55" s="323"/>
      <c r="S55" s="323"/>
    </row>
  </sheetData>
  <mergeCells count="1">
    <mergeCell ref="A1:N1"/>
  </mergeCell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BCE3C-93C3-4576-AF8A-465D4B162929}">
  <dimension ref="A1:AB334"/>
  <sheetViews>
    <sheetView workbookViewId="0">
      <pane ySplit="1" topLeftCell="A320" activePane="bottomLeft" state="frozen"/>
      <selection pane="bottomLeft" activeCell="L334" sqref="L334"/>
    </sheetView>
  </sheetViews>
  <sheetFormatPr defaultColWidth="8.7265625" defaultRowHeight="14"/>
  <cols>
    <col min="1" max="1" width="5.1796875" style="696" customWidth="1"/>
    <col min="2" max="2" width="21.54296875" style="696" customWidth="1"/>
    <col min="3" max="3" width="12.54296875" style="697" customWidth="1"/>
    <col min="4" max="4" width="21.54296875" style="698" customWidth="1"/>
    <col min="5" max="5" width="16.1796875" style="696" customWidth="1"/>
    <col min="6" max="6" width="12.453125" style="696" customWidth="1"/>
    <col min="7" max="7" width="11.54296875" style="696" customWidth="1"/>
    <col min="8" max="8" width="8.7265625" style="696"/>
    <col min="9" max="9" width="11.453125" style="696" bestFit="1" customWidth="1"/>
    <col min="10" max="11" width="8.7265625" style="696"/>
    <col min="12" max="12" width="11.453125" style="696" bestFit="1" customWidth="1"/>
    <col min="13" max="16384" width="8.7265625" style="696"/>
  </cols>
  <sheetData>
    <row r="1" spans="1:7" ht="57.65" customHeight="1">
      <c r="A1" s="709"/>
      <c r="B1" s="564" t="s">
        <v>936</v>
      </c>
      <c r="C1" s="564" t="s">
        <v>1073</v>
      </c>
      <c r="D1" s="710" t="s">
        <v>1074</v>
      </c>
      <c r="E1" s="564" t="s">
        <v>1075</v>
      </c>
      <c r="F1" s="564" t="s">
        <v>1076</v>
      </c>
      <c r="G1" s="564" t="s">
        <v>1077</v>
      </c>
    </row>
    <row r="2" spans="1:7" ht="48" customHeight="1">
      <c r="B2" s="709" t="s">
        <v>1083</v>
      </c>
      <c r="C2" s="713"/>
      <c r="D2" s="714"/>
      <c r="E2" s="749"/>
      <c r="F2" s="749"/>
      <c r="G2" s="749"/>
    </row>
    <row r="3" spans="1:7" s="699" customFormat="1">
      <c r="A3" s="702"/>
      <c r="B3" s="707" t="s">
        <v>937</v>
      </c>
      <c r="C3" s="708"/>
      <c r="D3" s="711"/>
    </row>
    <row r="4" spans="1:7">
      <c r="A4" s="700"/>
      <c r="B4" s="700" t="s">
        <v>973</v>
      </c>
      <c r="C4" s="704">
        <v>1</v>
      </c>
      <c r="D4" s="705">
        <v>64840</v>
      </c>
      <c r="E4" s="705">
        <f t="shared" ref="E4:E62" si="0">D4*C4</f>
        <v>64840</v>
      </c>
      <c r="F4" s="705">
        <f>(19242*30.5%+(D4-19242)*15%)*C4</f>
        <v>12708.509999999998</v>
      </c>
      <c r="G4" s="705">
        <f>E4+F4</f>
        <v>77548.509999999995</v>
      </c>
    </row>
    <row r="5" spans="1:7">
      <c r="A5" s="700"/>
      <c r="B5" s="700" t="s">
        <v>974</v>
      </c>
      <c r="C5" s="704">
        <v>1</v>
      </c>
      <c r="D5" s="705">
        <v>60457.215000000004</v>
      </c>
      <c r="E5" s="705">
        <f t="shared" si="0"/>
        <v>60457.215000000004</v>
      </c>
      <c r="F5" s="705">
        <f t="shared" ref="F5:F66" si="1">(19242*30.5%+(D5-19242)*15%)*C5</f>
        <v>12051.09225</v>
      </c>
      <c r="G5" s="705">
        <f t="shared" ref="G5:G62" si="2">E5+F5</f>
        <v>72508.307249999998</v>
      </c>
    </row>
    <row r="6" spans="1:7">
      <c r="A6" s="700"/>
      <c r="B6" s="700" t="s">
        <v>520</v>
      </c>
      <c r="C6" s="704">
        <v>1</v>
      </c>
      <c r="D6" s="705">
        <v>60457.215000000004</v>
      </c>
      <c r="E6" s="705">
        <f t="shared" si="0"/>
        <v>60457.215000000004</v>
      </c>
      <c r="F6" s="705">
        <f t="shared" si="1"/>
        <v>12051.09225</v>
      </c>
      <c r="G6" s="705">
        <f t="shared" si="2"/>
        <v>72508.307249999998</v>
      </c>
    </row>
    <row r="7" spans="1:7" ht="28">
      <c r="A7" s="700"/>
      <c r="B7" s="700" t="s">
        <v>975</v>
      </c>
      <c r="C7" s="704">
        <v>1</v>
      </c>
      <c r="D7" s="705">
        <v>56238.34124999999</v>
      </c>
      <c r="E7" s="705">
        <f t="shared" si="0"/>
        <v>56238.34124999999</v>
      </c>
      <c r="F7" s="705">
        <f t="shared" si="1"/>
        <v>11418.261187499997</v>
      </c>
      <c r="G7" s="705">
        <f t="shared" si="2"/>
        <v>67656.602437499983</v>
      </c>
    </row>
    <row r="8" spans="1:7" ht="42">
      <c r="A8" s="700"/>
      <c r="B8" s="700" t="s">
        <v>1107</v>
      </c>
      <c r="C8" s="704">
        <v>1</v>
      </c>
      <c r="D8" s="705">
        <v>60457.215000000004</v>
      </c>
      <c r="E8" s="705">
        <f t="shared" si="0"/>
        <v>60457.215000000004</v>
      </c>
      <c r="F8" s="705">
        <f t="shared" si="1"/>
        <v>12051.09225</v>
      </c>
      <c r="G8" s="705">
        <f t="shared" si="2"/>
        <v>72508.307249999998</v>
      </c>
    </row>
    <row r="9" spans="1:7" ht="28">
      <c r="A9" s="700"/>
      <c r="B9" s="700" t="s">
        <v>976</v>
      </c>
      <c r="C9" s="704">
        <v>1</v>
      </c>
      <c r="D9" s="705">
        <v>50093.120999999999</v>
      </c>
      <c r="E9" s="705">
        <f t="shared" si="0"/>
        <v>50093.120999999999</v>
      </c>
      <c r="F9" s="705">
        <f t="shared" si="1"/>
        <v>10496.478149999999</v>
      </c>
      <c r="G9" s="705">
        <f t="shared" si="2"/>
        <v>60589.599149999995</v>
      </c>
    </row>
    <row r="10" spans="1:7" ht="28">
      <c r="A10" s="700"/>
      <c r="B10" s="700" t="s">
        <v>977</v>
      </c>
      <c r="C10" s="704">
        <v>1</v>
      </c>
      <c r="D10" s="705">
        <v>63260.924999999996</v>
      </c>
      <c r="E10" s="705">
        <f t="shared" si="0"/>
        <v>63260.924999999996</v>
      </c>
      <c r="F10" s="705">
        <f t="shared" si="1"/>
        <v>12471.648749999998</v>
      </c>
      <c r="G10" s="705">
        <f t="shared" si="2"/>
        <v>75732.573749999996</v>
      </c>
    </row>
    <row r="11" spans="1:7" s="699" customFormat="1">
      <c r="A11" s="702"/>
      <c r="B11" s="702" t="s">
        <v>938</v>
      </c>
      <c r="C11" s="703"/>
      <c r="D11" s="712"/>
      <c r="E11" s="703"/>
      <c r="F11" s="703"/>
      <c r="G11" s="703"/>
    </row>
    <row r="12" spans="1:7">
      <c r="A12" s="700"/>
      <c r="B12" s="706" t="s">
        <v>939</v>
      </c>
      <c r="C12" s="704"/>
      <c r="D12" s="705"/>
      <c r="E12" s="705"/>
      <c r="F12" s="705"/>
      <c r="G12" s="705"/>
    </row>
    <row r="13" spans="1:7" ht="28">
      <c r="A13" s="700"/>
      <c r="B13" s="700" t="s">
        <v>978</v>
      </c>
      <c r="C13" s="704">
        <v>1</v>
      </c>
      <c r="D13" s="705">
        <v>42156.842812499999</v>
      </c>
      <c r="E13" s="705">
        <f t="shared" si="0"/>
        <v>42156.842812499999</v>
      </c>
      <c r="F13" s="705">
        <f t="shared" si="1"/>
        <v>9306.0364218750001</v>
      </c>
      <c r="G13" s="705">
        <f t="shared" si="2"/>
        <v>51462.879234374996</v>
      </c>
    </row>
    <row r="14" spans="1:7">
      <c r="A14" s="700"/>
      <c r="B14" s="700" t="s">
        <v>979</v>
      </c>
      <c r="C14" s="704">
        <v>1</v>
      </c>
      <c r="D14" s="705">
        <v>59246.703750000001</v>
      </c>
      <c r="E14" s="705">
        <f t="shared" si="0"/>
        <v>59246.703750000001</v>
      </c>
      <c r="F14" s="705">
        <f t="shared" si="1"/>
        <v>11869.515562500001</v>
      </c>
      <c r="G14" s="705">
        <f t="shared" si="2"/>
        <v>71116.219312500005</v>
      </c>
    </row>
    <row r="15" spans="1:7">
      <c r="A15" s="700"/>
      <c r="B15" s="700" t="s">
        <v>980</v>
      </c>
      <c r="C15" s="704">
        <v>1</v>
      </c>
      <c r="D15" s="705">
        <v>59246.703750000001</v>
      </c>
      <c r="E15" s="705">
        <f t="shared" si="0"/>
        <v>59246.703750000001</v>
      </c>
      <c r="F15" s="705">
        <f t="shared" si="1"/>
        <v>11869.515562500001</v>
      </c>
      <c r="G15" s="705">
        <f t="shared" si="2"/>
        <v>71116.219312500005</v>
      </c>
    </row>
    <row r="16" spans="1:7">
      <c r="A16" s="700"/>
      <c r="B16" s="700" t="s">
        <v>980</v>
      </c>
      <c r="C16" s="704">
        <v>1</v>
      </c>
      <c r="D16" s="705">
        <v>66444.519375000003</v>
      </c>
      <c r="E16" s="705">
        <f t="shared" si="0"/>
        <v>66444.519375000003</v>
      </c>
      <c r="F16" s="705">
        <f t="shared" si="1"/>
        <v>12949.187906250001</v>
      </c>
      <c r="G16" s="705">
        <f t="shared" si="2"/>
        <v>79393.707281250012</v>
      </c>
    </row>
    <row r="17" spans="1:7">
      <c r="A17" s="700"/>
      <c r="B17" s="700" t="s">
        <v>981</v>
      </c>
      <c r="C17" s="704">
        <v>0.5</v>
      </c>
      <c r="D17" s="705">
        <v>39179.485312500001</v>
      </c>
      <c r="E17" s="705">
        <f t="shared" si="0"/>
        <v>19589.74265625</v>
      </c>
      <c r="F17" s="705">
        <f t="shared" si="1"/>
        <v>4429.7163984375002</v>
      </c>
      <c r="G17" s="705">
        <f t="shared" si="2"/>
        <v>24019.459054687501</v>
      </c>
    </row>
    <row r="18" spans="1:7">
      <c r="A18" s="700"/>
      <c r="B18" s="700" t="s">
        <v>982</v>
      </c>
      <c r="C18" s="704">
        <v>0.5</v>
      </c>
      <c r="D18" s="705">
        <v>39179.485312500001</v>
      </c>
      <c r="E18" s="705">
        <f t="shared" si="0"/>
        <v>19589.74265625</v>
      </c>
      <c r="F18" s="705">
        <f t="shared" si="1"/>
        <v>4429.7163984375002</v>
      </c>
      <c r="G18" s="705">
        <f t="shared" si="2"/>
        <v>24019.459054687501</v>
      </c>
    </row>
    <row r="19" spans="1:7">
      <c r="A19" s="700"/>
      <c r="B19" s="700" t="s">
        <v>983</v>
      </c>
      <c r="C19" s="704">
        <v>1</v>
      </c>
      <c r="D19" s="705">
        <v>66444.519375000003</v>
      </c>
      <c r="E19" s="705">
        <f t="shared" si="0"/>
        <v>66444.519375000003</v>
      </c>
      <c r="F19" s="705">
        <f t="shared" si="1"/>
        <v>12949.187906250001</v>
      </c>
      <c r="G19" s="705">
        <f t="shared" si="2"/>
        <v>79393.707281250012</v>
      </c>
    </row>
    <row r="20" spans="1:7">
      <c r="A20" s="700"/>
      <c r="B20" s="700" t="s">
        <v>980</v>
      </c>
      <c r="C20" s="704">
        <v>1</v>
      </c>
      <c r="D20" s="705">
        <v>66444.519375000003</v>
      </c>
      <c r="E20" s="705">
        <f t="shared" si="0"/>
        <v>66444.519375000003</v>
      </c>
      <c r="F20" s="705">
        <f t="shared" si="1"/>
        <v>12949.187906250001</v>
      </c>
      <c r="G20" s="705">
        <f t="shared" si="2"/>
        <v>79393.707281250012</v>
      </c>
    </row>
    <row r="21" spans="1:7">
      <c r="A21" s="700"/>
      <c r="B21" s="700" t="s">
        <v>980</v>
      </c>
      <c r="C21" s="704">
        <v>1</v>
      </c>
      <c r="D21" s="705">
        <v>47285.464687500003</v>
      </c>
      <c r="E21" s="705">
        <f t="shared" si="0"/>
        <v>47285.464687500003</v>
      </c>
      <c r="F21" s="705">
        <f t="shared" si="1"/>
        <v>10075.329703125</v>
      </c>
      <c r="G21" s="705">
        <f t="shared" si="2"/>
        <v>57360.794390625</v>
      </c>
    </row>
    <row r="22" spans="1:7">
      <c r="A22" s="700"/>
      <c r="B22" s="700" t="s">
        <v>984</v>
      </c>
      <c r="C22" s="704">
        <v>0.25</v>
      </c>
      <c r="D22" s="705">
        <v>39179.485312500001</v>
      </c>
      <c r="E22" s="705">
        <f t="shared" si="0"/>
        <v>9794.8713281250002</v>
      </c>
      <c r="F22" s="705">
        <f t="shared" si="1"/>
        <v>2214.8581992187501</v>
      </c>
      <c r="G22" s="705">
        <f t="shared" si="2"/>
        <v>12009.72952734375</v>
      </c>
    </row>
    <row r="23" spans="1:7" ht="28">
      <c r="A23" s="700"/>
      <c r="B23" s="700" t="s">
        <v>985</v>
      </c>
      <c r="C23" s="704">
        <v>0.5</v>
      </c>
      <c r="D23" s="705">
        <v>47285.464687500003</v>
      </c>
      <c r="E23" s="705">
        <f t="shared" si="0"/>
        <v>23642.732343750002</v>
      </c>
      <c r="F23" s="705">
        <f t="shared" si="1"/>
        <v>5037.6648515625002</v>
      </c>
      <c r="G23" s="705">
        <f t="shared" si="2"/>
        <v>28680.3971953125</v>
      </c>
    </row>
    <row r="24" spans="1:7">
      <c r="A24" s="700"/>
      <c r="B24" s="700" t="s">
        <v>986</v>
      </c>
      <c r="C24" s="704">
        <v>0.5</v>
      </c>
      <c r="D24" s="705">
        <v>39179.485312500001</v>
      </c>
      <c r="E24" s="705">
        <f t="shared" si="0"/>
        <v>19589.74265625</v>
      </c>
      <c r="F24" s="705">
        <f t="shared" si="1"/>
        <v>4429.7163984375002</v>
      </c>
      <c r="G24" s="705">
        <f t="shared" si="2"/>
        <v>24019.459054687501</v>
      </c>
    </row>
    <row r="25" spans="1:7">
      <c r="A25" s="700"/>
      <c r="B25" s="700" t="s">
        <v>987</v>
      </c>
      <c r="C25" s="704">
        <v>0.5</v>
      </c>
      <c r="D25" s="705">
        <v>39179.485312500001</v>
      </c>
      <c r="E25" s="705">
        <f t="shared" si="0"/>
        <v>19589.74265625</v>
      </c>
      <c r="F25" s="705">
        <f t="shared" si="1"/>
        <v>4429.7163984375002</v>
      </c>
      <c r="G25" s="705">
        <f t="shared" si="2"/>
        <v>24019.459054687501</v>
      </c>
    </row>
    <row r="26" spans="1:7">
      <c r="A26" s="700"/>
      <c r="B26" s="700"/>
      <c r="C26" s="704"/>
      <c r="D26" s="705"/>
      <c r="E26" s="705"/>
      <c r="F26" s="705"/>
      <c r="G26" s="705"/>
    </row>
    <row r="27" spans="1:7" ht="28">
      <c r="A27" s="700"/>
      <c r="B27" s="706" t="s">
        <v>940</v>
      </c>
      <c r="C27" s="704"/>
      <c r="D27" s="705"/>
      <c r="E27" s="705"/>
      <c r="F27" s="705"/>
      <c r="G27" s="705"/>
    </row>
    <row r="28" spans="1:7" ht="28">
      <c r="A28" s="700"/>
      <c r="B28" s="700" t="s">
        <v>988</v>
      </c>
      <c r="C28" s="704">
        <v>1</v>
      </c>
      <c r="D28" s="705">
        <v>50878.827187499999</v>
      </c>
      <c r="E28" s="705">
        <f t="shared" si="0"/>
        <v>50878.827187499999</v>
      </c>
      <c r="F28" s="705">
        <f t="shared" si="1"/>
        <v>10614.334078124999</v>
      </c>
      <c r="G28" s="705">
        <f t="shared" si="2"/>
        <v>61493.161265625</v>
      </c>
    </row>
    <row r="29" spans="1:7" ht="28">
      <c r="A29" s="700"/>
      <c r="B29" s="700" t="s">
        <v>989</v>
      </c>
      <c r="C29" s="704">
        <v>2</v>
      </c>
      <c r="D29" s="705">
        <v>47285.464687500003</v>
      </c>
      <c r="E29" s="705">
        <f t="shared" si="0"/>
        <v>94570.929375000007</v>
      </c>
      <c r="F29" s="705">
        <f t="shared" si="1"/>
        <v>20150.659406250001</v>
      </c>
      <c r="G29" s="705">
        <f t="shared" si="2"/>
        <v>114721.58878125</v>
      </c>
    </row>
    <row r="30" spans="1:7" ht="28">
      <c r="A30" s="700"/>
      <c r="B30" s="700" t="s">
        <v>941</v>
      </c>
      <c r="C30" s="704">
        <v>3.25</v>
      </c>
      <c r="D30" s="705">
        <v>39690.08062500001</v>
      </c>
      <c r="E30" s="705">
        <f t="shared" si="0"/>
        <v>128992.76203125004</v>
      </c>
      <c r="F30" s="705">
        <f t="shared" si="1"/>
        <v>29042.071804687504</v>
      </c>
      <c r="G30" s="705">
        <f t="shared" si="2"/>
        <v>158034.83383593755</v>
      </c>
    </row>
    <row r="31" spans="1:7" ht="28">
      <c r="A31" s="700"/>
      <c r="B31" s="700" t="s">
        <v>942</v>
      </c>
      <c r="C31" s="704">
        <v>2</v>
      </c>
      <c r="D31" s="705">
        <v>44290.995937499996</v>
      </c>
      <c r="E31" s="705">
        <f t="shared" si="0"/>
        <v>88581.991874999992</v>
      </c>
      <c r="F31" s="705">
        <f t="shared" si="1"/>
        <v>19252.318781249996</v>
      </c>
      <c r="G31" s="705">
        <f t="shared" si="2"/>
        <v>107834.31065624999</v>
      </c>
    </row>
    <row r="32" spans="1:7" ht="28">
      <c r="A32" s="700"/>
      <c r="B32" s="700" t="s">
        <v>942</v>
      </c>
      <c r="C32" s="704">
        <v>4.5</v>
      </c>
      <c r="D32" s="705">
        <v>33699.818749999999</v>
      </c>
      <c r="E32" s="705">
        <f t="shared" si="0"/>
        <v>151649.18437499998</v>
      </c>
      <c r="F32" s="705">
        <f t="shared" si="1"/>
        <v>36168.672656249997</v>
      </c>
      <c r="G32" s="705">
        <f t="shared" si="2"/>
        <v>187817.85703124997</v>
      </c>
    </row>
    <row r="33" spans="1:7" ht="28">
      <c r="A33" s="700"/>
      <c r="B33" s="700" t="s">
        <v>943</v>
      </c>
      <c r="C33" s="704">
        <v>1</v>
      </c>
      <c r="D33" s="705">
        <v>32218.533750000002</v>
      </c>
      <c r="E33" s="705">
        <f t="shared" si="0"/>
        <v>32218.533750000002</v>
      </c>
      <c r="F33" s="705">
        <f t="shared" si="1"/>
        <v>7815.2900625000002</v>
      </c>
      <c r="G33" s="705">
        <f t="shared" si="2"/>
        <v>40033.823812500006</v>
      </c>
    </row>
    <row r="34" spans="1:7">
      <c r="A34" s="700"/>
      <c r="B34" s="700" t="s">
        <v>944</v>
      </c>
      <c r="C34" s="704">
        <v>1</v>
      </c>
      <c r="D34" s="705">
        <v>42477.678749999999</v>
      </c>
      <c r="E34" s="705">
        <f t="shared" si="0"/>
        <v>42477.678749999999</v>
      </c>
      <c r="F34" s="705">
        <f t="shared" si="1"/>
        <v>9354.1618124999986</v>
      </c>
      <c r="G34" s="705">
        <f t="shared" si="2"/>
        <v>51831.840562500001</v>
      </c>
    </row>
    <row r="35" spans="1:7" ht="28">
      <c r="A35" s="700"/>
      <c r="B35" s="700" t="s">
        <v>945</v>
      </c>
      <c r="C35" s="704">
        <v>1</v>
      </c>
      <c r="D35" s="705">
        <v>42477.678749999999</v>
      </c>
      <c r="E35" s="705">
        <f t="shared" si="0"/>
        <v>42477.678749999999</v>
      </c>
      <c r="F35" s="705">
        <f t="shared" si="1"/>
        <v>9354.1618124999986</v>
      </c>
      <c r="G35" s="705">
        <f t="shared" si="2"/>
        <v>51831.840562500001</v>
      </c>
    </row>
    <row r="36" spans="1:7" ht="28">
      <c r="A36" s="700"/>
      <c r="B36" s="700" t="s">
        <v>946</v>
      </c>
      <c r="C36" s="704">
        <v>5</v>
      </c>
      <c r="D36" s="705">
        <v>36218.003249999994</v>
      </c>
      <c r="E36" s="705">
        <f t="shared" si="0"/>
        <v>181090.01624999999</v>
      </c>
      <c r="F36" s="705">
        <f t="shared" si="1"/>
        <v>42076.052437499995</v>
      </c>
      <c r="G36" s="705">
        <f t="shared" si="2"/>
        <v>223166.06868749997</v>
      </c>
    </row>
    <row r="37" spans="1:7" ht="28">
      <c r="A37" s="700"/>
      <c r="B37" s="700" t="s">
        <v>947</v>
      </c>
      <c r="C37" s="704">
        <v>2</v>
      </c>
      <c r="D37" s="705">
        <v>36300.3590625</v>
      </c>
      <c r="E37" s="705">
        <f t="shared" si="0"/>
        <v>72600.718124999999</v>
      </c>
      <c r="F37" s="705">
        <f t="shared" si="1"/>
        <v>16855.127718749998</v>
      </c>
      <c r="G37" s="705">
        <f t="shared" si="2"/>
        <v>89455.845843749994</v>
      </c>
    </row>
    <row r="38" spans="1:7">
      <c r="A38" s="700"/>
      <c r="B38" s="700" t="s">
        <v>990</v>
      </c>
      <c r="C38" s="704">
        <v>2</v>
      </c>
      <c r="D38" s="705">
        <v>33822.555</v>
      </c>
      <c r="E38" s="705">
        <f t="shared" si="0"/>
        <v>67645.11</v>
      </c>
      <c r="F38" s="705">
        <f t="shared" si="1"/>
        <v>16111.786499999998</v>
      </c>
      <c r="G38" s="705">
        <f t="shared" si="2"/>
        <v>83756.896500000003</v>
      </c>
    </row>
    <row r="39" spans="1:7">
      <c r="A39" s="700"/>
      <c r="B39" s="700"/>
      <c r="C39" s="704"/>
      <c r="D39" s="705"/>
      <c r="E39" s="705"/>
      <c r="F39" s="705"/>
      <c r="G39" s="705"/>
    </row>
    <row r="40" spans="1:7" ht="28">
      <c r="A40" s="700"/>
      <c r="B40" s="706" t="s">
        <v>948</v>
      </c>
      <c r="C40" s="704"/>
      <c r="D40" s="705"/>
      <c r="E40" s="705"/>
      <c r="F40" s="705"/>
      <c r="G40" s="705"/>
    </row>
    <row r="41" spans="1:7">
      <c r="A41" s="700"/>
      <c r="B41" s="700" t="s">
        <v>949</v>
      </c>
      <c r="C41" s="704">
        <v>1</v>
      </c>
      <c r="D41" s="705">
        <v>23787.7575</v>
      </c>
      <c r="E41" s="705">
        <f t="shared" si="0"/>
        <v>23787.7575</v>
      </c>
      <c r="F41" s="705">
        <f t="shared" si="1"/>
        <v>6550.6736249999994</v>
      </c>
      <c r="G41" s="705">
        <f t="shared" si="2"/>
        <v>30338.431124999999</v>
      </c>
    </row>
    <row r="42" spans="1:7" ht="28">
      <c r="A42" s="700"/>
      <c r="B42" s="700" t="s">
        <v>950</v>
      </c>
      <c r="C42" s="704">
        <v>11.5</v>
      </c>
      <c r="D42" s="705">
        <v>20319.370500000001</v>
      </c>
      <c r="E42" s="705">
        <f t="shared" si="0"/>
        <v>233672.76075000002</v>
      </c>
      <c r="F42" s="705">
        <f t="shared" si="1"/>
        <v>69349.779112499993</v>
      </c>
      <c r="G42" s="705">
        <f t="shared" si="2"/>
        <v>303022.53986250004</v>
      </c>
    </row>
    <row r="43" spans="1:7">
      <c r="A43" s="700"/>
      <c r="B43" s="700"/>
      <c r="C43" s="704"/>
      <c r="D43" s="705"/>
      <c r="E43" s="705"/>
      <c r="F43" s="705"/>
      <c r="G43" s="705"/>
    </row>
    <row r="44" spans="1:7">
      <c r="A44" s="706"/>
      <c r="B44" s="706" t="s">
        <v>951</v>
      </c>
      <c r="C44" s="704"/>
      <c r="D44" s="705"/>
      <c r="E44" s="705"/>
      <c r="F44" s="705"/>
      <c r="G44" s="705"/>
    </row>
    <row r="45" spans="1:7" ht="28">
      <c r="A45" s="700"/>
      <c r="B45" s="706" t="s">
        <v>940</v>
      </c>
      <c r="C45" s="704"/>
      <c r="D45" s="705"/>
      <c r="E45" s="705"/>
      <c r="F45" s="705"/>
      <c r="G45" s="705"/>
    </row>
    <row r="46" spans="1:7" ht="28">
      <c r="A46" s="700"/>
      <c r="B46" s="700" t="s">
        <v>952</v>
      </c>
      <c r="C46" s="704">
        <v>1</v>
      </c>
      <c r="D46" s="705">
        <v>42477.678749999999</v>
      </c>
      <c r="E46" s="705">
        <f t="shared" si="0"/>
        <v>42477.678749999999</v>
      </c>
      <c r="F46" s="705">
        <f t="shared" si="1"/>
        <v>9354.1618124999986</v>
      </c>
      <c r="G46" s="705">
        <f t="shared" si="2"/>
        <v>51831.840562500001</v>
      </c>
    </row>
    <row r="47" spans="1:7" ht="28">
      <c r="A47" s="700"/>
      <c r="B47" s="700" t="s">
        <v>942</v>
      </c>
      <c r="C47" s="704">
        <v>2</v>
      </c>
      <c r="D47" s="705">
        <v>44290.995937499996</v>
      </c>
      <c r="E47" s="705">
        <f t="shared" si="0"/>
        <v>88581.991874999992</v>
      </c>
      <c r="F47" s="705">
        <f t="shared" si="1"/>
        <v>19252.318781249996</v>
      </c>
      <c r="G47" s="705">
        <f t="shared" si="2"/>
        <v>107834.31065624999</v>
      </c>
    </row>
    <row r="48" spans="1:7" ht="28">
      <c r="A48" s="700"/>
      <c r="B48" s="700" t="s">
        <v>942</v>
      </c>
      <c r="C48" s="704">
        <v>2</v>
      </c>
      <c r="D48" s="705">
        <v>42477.678749999999</v>
      </c>
      <c r="E48" s="705">
        <f t="shared" si="0"/>
        <v>84955.357499999998</v>
      </c>
      <c r="F48" s="705">
        <f t="shared" si="1"/>
        <v>18708.323624999997</v>
      </c>
      <c r="G48" s="705">
        <f t="shared" si="2"/>
        <v>103663.681125</v>
      </c>
    </row>
    <row r="49" spans="1:7" ht="28">
      <c r="A49" s="700"/>
      <c r="B49" s="700" t="s">
        <v>942</v>
      </c>
      <c r="C49" s="704">
        <v>9.5</v>
      </c>
      <c r="D49" s="705">
        <v>36134.258190789471</v>
      </c>
      <c r="E49" s="705">
        <f t="shared" si="0"/>
        <v>343275.45281249995</v>
      </c>
      <c r="F49" s="705">
        <f t="shared" si="1"/>
        <v>79825.162921874988</v>
      </c>
      <c r="G49" s="705">
        <f t="shared" si="2"/>
        <v>423100.61573437497</v>
      </c>
    </row>
    <row r="50" spans="1:7">
      <c r="A50" s="700"/>
      <c r="B50" s="700" t="s">
        <v>953</v>
      </c>
      <c r="C50" s="704">
        <v>1</v>
      </c>
      <c r="D50" s="705">
        <v>44290.995937499996</v>
      </c>
      <c r="E50" s="705">
        <f t="shared" si="0"/>
        <v>44290.995937499996</v>
      </c>
      <c r="F50" s="705">
        <f t="shared" si="1"/>
        <v>9626.1593906249982</v>
      </c>
      <c r="G50" s="705">
        <f t="shared" si="2"/>
        <v>53917.155328124994</v>
      </c>
    </row>
    <row r="51" spans="1:7">
      <c r="A51" s="700"/>
      <c r="B51" s="700"/>
      <c r="C51" s="704"/>
      <c r="D51" s="705"/>
      <c r="E51" s="705"/>
      <c r="F51" s="705"/>
      <c r="G51" s="705"/>
    </row>
    <row r="52" spans="1:7" ht="28">
      <c r="A52" s="700"/>
      <c r="B52" s="706" t="s">
        <v>948</v>
      </c>
      <c r="C52" s="704"/>
      <c r="D52" s="705"/>
      <c r="E52" s="705"/>
      <c r="F52" s="705"/>
      <c r="G52" s="705"/>
    </row>
    <row r="53" spans="1:7" ht="28">
      <c r="A53" s="700"/>
      <c r="B53" s="700" t="s">
        <v>991</v>
      </c>
      <c r="C53" s="704">
        <v>2</v>
      </c>
      <c r="D53" s="705">
        <v>19662.171750000001</v>
      </c>
      <c r="E53" s="705">
        <f t="shared" si="0"/>
        <v>39324.343500000003</v>
      </c>
      <c r="F53" s="705">
        <f t="shared" si="1"/>
        <v>11863.671525</v>
      </c>
      <c r="G53" s="705">
        <f t="shared" si="2"/>
        <v>51188.015025000001</v>
      </c>
    </row>
    <row r="54" spans="1:7">
      <c r="A54" s="700"/>
      <c r="B54" s="700" t="s">
        <v>949</v>
      </c>
      <c r="C54" s="704">
        <v>1</v>
      </c>
      <c r="D54" s="705">
        <v>23730.086250000004</v>
      </c>
      <c r="E54" s="705">
        <f t="shared" si="0"/>
        <v>23730.086250000004</v>
      </c>
      <c r="F54" s="705">
        <f t="shared" si="1"/>
        <v>6542.0229374999999</v>
      </c>
      <c r="G54" s="705">
        <f t="shared" si="2"/>
        <v>30272.109187500006</v>
      </c>
    </row>
    <row r="55" spans="1:7" ht="28">
      <c r="A55" s="700"/>
      <c r="B55" s="700" t="s">
        <v>950</v>
      </c>
      <c r="C55" s="704">
        <v>14.5</v>
      </c>
      <c r="D55" s="705">
        <v>19777.946948275861</v>
      </c>
      <c r="E55" s="705">
        <f t="shared" si="0"/>
        <v>286780.23074999999</v>
      </c>
      <c r="F55" s="705">
        <f t="shared" si="1"/>
        <v>86263.429612499996</v>
      </c>
      <c r="G55" s="705">
        <f t="shared" si="2"/>
        <v>373043.6603625</v>
      </c>
    </row>
    <row r="56" spans="1:7">
      <c r="A56" s="700"/>
      <c r="B56" s="700"/>
      <c r="C56" s="704"/>
      <c r="D56" s="705"/>
      <c r="E56" s="705"/>
      <c r="F56" s="705"/>
      <c r="G56" s="705"/>
    </row>
    <row r="57" spans="1:7">
      <c r="A57" s="706"/>
      <c r="B57" s="706" t="s">
        <v>954</v>
      </c>
      <c r="C57" s="704"/>
      <c r="D57" s="705"/>
      <c r="E57" s="705"/>
      <c r="F57" s="705"/>
      <c r="G57" s="705"/>
    </row>
    <row r="58" spans="1:7">
      <c r="A58" s="700"/>
      <c r="B58" s="700"/>
      <c r="C58" s="704"/>
      <c r="D58" s="705"/>
      <c r="E58" s="705"/>
      <c r="F58" s="705"/>
      <c r="G58" s="705"/>
    </row>
    <row r="59" spans="1:7">
      <c r="A59" s="700"/>
      <c r="B59" s="700" t="s">
        <v>955</v>
      </c>
      <c r="C59" s="704">
        <v>1</v>
      </c>
      <c r="D59" s="705">
        <v>39179.485312500001</v>
      </c>
      <c r="E59" s="705">
        <f t="shared" si="0"/>
        <v>39179.485312500001</v>
      </c>
      <c r="F59" s="705">
        <f t="shared" si="1"/>
        <v>8859.4327968750003</v>
      </c>
      <c r="G59" s="705">
        <f t="shared" si="2"/>
        <v>48038.918109375001</v>
      </c>
    </row>
    <row r="60" spans="1:7">
      <c r="A60" s="700"/>
      <c r="B60" s="700"/>
      <c r="C60" s="704"/>
      <c r="D60" s="705"/>
      <c r="E60" s="705"/>
      <c r="F60" s="705"/>
      <c r="G60" s="705"/>
    </row>
    <row r="61" spans="1:7" ht="28">
      <c r="A61" s="700"/>
      <c r="B61" s="706" t="s">
        <v>940</v>
      </c>
      <c r="C61" s="704"/>
      <c r="D61" s="705"/>
      <c r="E61" s="705"/>
      <c r="F61" s="705"/>
      <c r="G61" s="705"/>
    </row>
    <row r="62" spans="1:7" ht="28">
      <c r="A62" s="700"/>
      <c r="B62" s="700" t="s">
        <v>956</v>
      </c>
      <c r="C62" s="704">
        <v>2</v>
      </c>
      <c r="D62" s="705">
        <v>35551.424999999996</v>
      </c>
      <c r="E62" s="705">
        <f t="shared" si="0"/>
        <v>71102.849999999991</v>
      </c>
      <c r="F62" s="705">
        <f t="shared" si="1"/>
        <v>16630.447499999998</v>
      </c>
      <c r="G62" s="705">
        <f t="shared" si="2"/>
        <v>87733.297499999986</v>
      </c>
    </row>
    <row r="63" spans="1:7">
      <c r="A63" s="700"/>
      <c r="B63" s="700"/>
      <c r="C63" s="704"/>
      <c r="D63" s="705"/>
      <c r="E63" s="705"/>
      <c r="F63" s="705"/>
      <c r="G63" s="705"/>
    </row>
    <row r="64" spans="1:7">
      <c r="A64" s="700"/>
      <c r="B64" s="706" t="s">
        <v>957</v>
      </c>
      <c r="C64" s="704"/>
      <c r="D64" s="705"/>
      <c r="E64" s="705"/>
      <c r="F64" s="705"/>
      <c r="G64" s="705"/>
    </row>
    <row r="65" spans="1:7" ht="28">
      <c r="A65" s="700"/>
      <c r="B65" s="700" t="s">
        <v>958</v>
      </c>
      <c r="C65" s="704">
        <v>1</v>
      </c>
      <c r="D65" s="705">
        <v>32218.533750000002</v>
      </c>
      <c r="E65" s="705">
        <f t="shared" ref="E65:E116" si="3">D65*C65</f>
        <v>32218.533750000002</v>
      </c>
      <c r="F65" s="705">
        <f t="shared" si="1"/>
        <v>7815.2900625000002</v>
      </c>
      <c r="G65" s="705">
        <f t="shared" ref="G65:G116" si="4">E65+F65</f>
        <v>40033.823812500006</v>
      </c>
    </row>
    <row r="66" spans="1:7">
      <c r="A66" s="700"/>
      <c r="B66" s="700" t="s">
        <v>959</v>
      </c>
      <c r="C66" s="704">
        <v>1</v>
      </c>
      <c r="D66" s="705">
        <v>37021.091249999998</v>
      </c>
      <c r="E66" s="705">
        <f t="shared" si="3"/>
        <v>37021.091249999998</v>
      </c>
      <c r="F66" s="705">
        <f t="shared" si="1"/>
        <v>8535.6736874999988</v>
      </c>
      <c r="G66" s="705">
        <f t="shared" si="4"/>
        <v>45556.764937499996</v>
      </c>
    </row>
    <row r="67" spans="1:7">
      <c r="A67" s="700"/>
      <c r="B67" s="700"/>
      <c r="C67" s="704"/>
      <c r="D67" s="705"/>
      <c r="E67" s="705"/>
      <c r="F67" s="705"/>
      <c r="G67" s="705"/>
    </row>
    <row r="68" spans="1:7" ht="28">
      <c r="A68" s="706"/>
      <c r="B68" s="706" t="s">
        <v>960</v>
      </c>
      <c r="C68" s="704"/>
      <c r="D68" s="705"/>
      <c r="E68" s="705"/>
      <c r="F68" s="705"/>
      <c r="G68" s="705"/>
    </row>
    <row r="69" spans="1:7">
      <c r="A69" s="700"/>
      <c r="B69" s="700" t="s">
        <v>961</v>
      </c>
      <c r="C69" s="704">
        <v>1</v>
      </c>
      <c r="D69" s="705">
        <v>32218.533750000002</v>
      </c>
      <c r="E69" s="705">
        <f t="shared" si="3"/>
        <v>32218.533750000002</v>
      </c>
      <c r="F69" s="705">
        <f t="shared" ref="F69:F132" si="5">(19242*30.5%+(D69-19242)*15%)*C69</f>
        <v>7815.2900625000002</v>
      </c>
      <c r="G69" s="705">
        <f t="shared" si="4"/>
        <v>40033.823812500006</v>
      </c>
    </row>
    <row r="70" spans="1:7">
      <c r="A70" s="700"/>
      <c r="B70" s="700"/>
      <c r="C70" s="704"/>
      <c r="D70" s="705"/>
      <c r="E70" s="705"/>
      <c r="F70" s="705"/>
      <c r="G70" s="705"/>
    </row>
    <row r="71" spans="1:7" s="699" customFormat="1">
      <c r="A71" s="702"/>
      <c r="B71" s="702" t="s">
        <v>515</v>
      </c>
      <c r="C71" s="703"/>
      <c r="D71" s="712"/>
      <c r="E71" s="712"/>
      <c r="F71" s="712"/>
      <c r="G71" s="712"/>
    </row>
    <row r="72" spans="1:7">
      <c r="A72" s="700"/>
      <c r="B72" s="700" t="s">
        <v>992</v>
      </c>
      <c r="C72" s="704">
        <v>1</v>
      </c>
      <c r="D72" s="705">
        <v>32828.25</v>
      </c>
      <c r="E72" s="705">
        <f t="shared" si="3"/>
        <v>32828.25</v>
      </c>
      <c r="F72" s="705">
        <f t="shared" si="5"/>
        <v>7906.7474999999995</v>
      </c>
      <c r="G72" s="705">
        <f t="shared" si="4"/>
        <v>40734.997499999998</v>
      </c>
    </row>
    <row r="73" spans="1:7">
      <c r="A73" s="700"/>
      <c r="B73" s="700" t="s">
        <v>993</v>
      </c>
      <c r="C73" s="704">
        <v>1</v>
      </c>
      <c r="D73" s="705">
        <v>42172.1015625</v>
      </c>
      <c r="E73" s="705">
        <f t="shared" si="3"/>
        <v>42172.1015625</v>
      </c>
      <c r="F73" s="705">
        <f t="shared" si="5"/>
        <v>9308.3252343749991</v>
      </c>
      <c r="G73" s="705">
        <f t="shared" si="4"/>
        <v>51480.426796874999</v>
      </c>
    </row>
    <row r="74" spans="1:7">
      <c r="A74" s="700"/>
      <c r="B74" s="700" t="s">
        <v>994</v>
      </c>
      <c r="C74" s="704">
        <v>1</v>
      </c>
      <c r="D74" s="705">
        <v>18724.270500000002</v>
      </c>
      <c r="E74" s="705">
        <f t="shared" si="3"/>
        <v>18724.270500000002</v>
      </c>
      <c r="F74" s="705">
        <f t="shared" si="5"/>
        <v>5791.1505749999997</v>
      </c>
      <c r="G74" s="705">
        <f t="shared" si="4"/>
        <v>24515.421075000002</v>
      </c>
    </row>
    <row r="75" spans="1:7" ht="28">
      <c r="A75" s="700"/>
      <c r="B75" s="700" t="s">
        <v>995</v>
      </c>
      <c r="C75" s="704">
        <v>1</v>
      </c>
      <c r="D75" s="705">
        <v>33509.055937500001</v>
      </c>
      <c r="E75" s="705">
        <f t="shared" si="3"/>
        <v>33509.055937500001</v>
      </c>
      <c r="F75" s="705">
        <f t="shared" si="5"/>
        <v>8008.8683906249989</v>
      </c>
      <c r="G75" s="705">
        <f t="shared" si="4"/>
        <v>41517.924328125002</v>
      </c>
    </row>
    <row r="76" spans="1:7" ht="28">
      <c r="A76" s="700"/>
      <c r="B76" s="700" t="s">
        <v>996</v>
      </c>
      <c r="C76" s="704">
        <v>1</v>
      </c>
      <c r="D76" s="705">
        <v>42172.1015625</v>
      </c>
      <c r="E76" s="705">
        <f t="shared" si="3"/>
        <v>42172.1015625</v>
      </c>
      <c r="F76" s="705">
        <f t="shared" si="5"/>
        <v>9308.3252343749991</v>
      </c>
      <c r="G76" s="705">
        <f t="shared" si="4"/>
        <v>51480.426796874999</v>
      </c>
    </row>
    <row r="77" spans="1:7">
      <c r="A77" s="700"/>
      <c r="B77" s="700" t="s">
        <v>997</v>
      </c>
      <c r="C77" s="704">
        <v>1</v>
      </c>
      <c r="D77" s="705">
        <v>48454.940624999996</v>
      </c>
      <c r="E77" s="705">
        <f t="shared" si="3"/>
        <v>48454.940624999996</v>
      </c>
      <c r="F77" s="705">
        <f t="shared" si="5"/>
        <v>10250.751093749997</v>
      </c>
      <c r="G77" s="705">
        <f t="shared" si="4"/>
        <v>58705.691718749993</v>
      </c>
    </row>
    <row r="78" spans="1:7" ht="28">
      <c r="A78" s="700"/>
      <c r="B78" s="700" t="s">
        <v>998</v>
      </c>
      <c r="C78" s="704">
        <v>1</v>
      </c>
      <c r="D78" s="705">
        <v>29180.860312500001</v>
      </c>
      <c r="E78" s="705">
        <f t="shared" si="3"/>
        <v>29180.860312500001</v>
      </c>
      <c r="F78" s="705">
        <f t="shared" si="5"/>
        <v>7359.6390468749996</v>
      </c>
      <c r="G78" s="705">
        <f t="shared" si="4"/>
        <v>36540.499359374997</v>
      </c>
    </row>
    <row r="79" spans="1:7">
      <c r="A79" s="700"/>
      <c r="B79" s="700" t="s">
        <v>999</v>
      </c>
      <c r="C79" s="704">
        <v>1</v>
      </c>
      <c r="D79" s="705">
        <v>18724.270500000002</v>
      </c>
      <c r="E79" s="705">
        <f t="shared" si="3"/>
        <v>18724.270500000002</v>
      </c>
      <c r="F79" s="705">
        <f t="shared" si="5"/>
        <v>5791.1505749999997</v>
      </c>
      <c r="G79" s="705">
        <f t="shared" si="4"/>
        <v>24515.421075000002</v>
      </c>
    </row>
    <row r="80" spans="1:7">
      <c r="A80" s="700"/>
      <c r="B80" s="700" t="s">
        <v>1000</v>
      </c>
      <c r="C80" s="704">
        <v>1</v>
      </c>
      <c r="D80" s="705">
        <v>48454.940624999996</v>
      </c>
      <c r="E80" s="705">
        <f t="shared" si="3"/>
        <v>48454.940624999996</v>
      </c>
      <c r="F80" s="705">
        <f t="shared" si="5"/>
        <v>10250.751093749997</v>
      </c>
      <c r="G80" s="705">
        <f t="shared" si="4"/>
        <v>58705.691718749993</v>
      </c>
    </row>
    <row r="81" spans="1:7">
      <c r="A81" s="700"/>
      <c r="B81" s="700" t="s">
        <v>1001</v>
      </c>
      <c r="C81" s="704">
        <v>0.5</v>
      </c>
      <c r="D81" s="705">
        <v>42172.1015625</v>
      </c>
      <c r="E81" s="705">
        <f t="shared" si="3"/>
        <v>21086.05078125</v>
      </c>
      <c r="F81" s="705">
        <f t="shared" si="5"/>
        <v>4654.1626171874996</v>
      </c>
      <c r="G81" s="705">
        <f t="shared" si="4"/>
        <v>25740.2133984375</v>
      </c>
    </row>
    <row r="82" spans="1:7">
      <c r="A82" s="700"/>
      <c r="B82" s="700"/>
      <c r="C82" s="704"/>
      <c r="D82" s="705"/>
      <c r="E82" s="705"/>
      <c r="F82" s="705"/>
      <c r="G82" s="705"/>
    </row>
    <row r="83" spans="1:7" s="699" customFormat="1" ht="28">
      <c r="A83" s="702"/>
      <c r="B83" s="702" t="s">
        <v>962</v>
      </c>
      <c r="C83" s="703"/>
      <c r="D83" s="712"/>
      <c r="E83" s="712"/>
      <c r="F83" s="712"/>
      <c r="G83" s="712"/>
    </row>
    <row r="84" spans="1:7">
      <c r="A84" s="700"/>
      <c r="B84" s="700" t="s">
        <v>1002</v>
      </c>
      <c r="C84" s="704">
        <v>1</v>
      </c>
      <c r="D84" s="705">
        <v>35323.640625</v>
      </c>
      <c r="E84" s="705">
        <f t="shared" si="3"/>
        <v>35323.640625</v>
      </c>
      <c r="F84" s="705">
        <f t="shared" si="5"/>
        <v>8281.0560937499995</v>
      </c>
      <c r="G84" s="705">
        <f t="shared" si="4"/>
        <v>43604.696718749998</v>
      </c>
    </row>
    <row r="85" spans="1:7" ht="28">
      <c r="A85" s="700"/>
      <c r="B85" s="700" t="s">
        <v>1003</v>
      </c>
      <c r="C85" s="704">
        <v>1</v>
      </c>
      <c r="D85" s="705">
        <v>29268.159374999999</v>
      </c>
      <c r="E85" s="705">
        <f t="shared" si="3"/>
        <v>29268.159374999999</v>
      </c>
      <c r="F85" s="705">
        <f t="shared" si="5"/>
        <v>7372.7339062499996</v>
      </c>
      <c r="G85" s="705">
        <f t="shared" si="4"/>
        <v>36640.893281249999</v>
      </c>
    </row>
    <row r="86" spans="1:7" ht="28">
      <c r="A86" s="700"/>
      <c r="B86" s="700" t="s">
        <v>1004</v>
      </c>
      <c r="C86" s="704">
        <v>1</v>
      </c>
      <c r="D86" s="705">
        <v>38739.553124999999</v>
      </c>
      <c r="E86" s="705">
        <f t="shared" si="3"/>
        <v>38739.553124999999</v>
      </c>
      <c r="F86" s="705">
        <f t="shared" si="5"/>
        <v>8793.4429687499996</v>
      </c>
      <c r="G86" s="705">
        <f t="shared" si="4"/>
        <v>47532.99609375</v>
      </c>
    </row>
    <row r="87" spans="1:7">
      <c r="A87" s="700"/>
      <c r="B87" s="700"/>
      <c r="C87" s="704"/>
      <c r="D87" s="705"/>
      <c r="E87" s="705"/>
      <c r="F87" s="705"/>
      <c r="G87" s="705"/>
    </row>
    <row r="88" spans="1:7" s="699" customFormat="1" ht="28">
      <c r="A88" s="702"/>
      <c r="B88" s="702" t="s">
        <v>1084</v>
      </c>
      <c r="C88" s="703"/>
      <c r="D88" s="712"/>
      <c r="E88" s="712"/>
      <c r="F88" s="712"/>
      <c r="G88" s="712"/>
    </row>
    <row r="89" spans="1:7">
      <c r="A89" s="700"/>
      <c r="B89" s="700" t="s">
        <v>1005</v>
      </c>
      <c r="C89" s="704">
        <v>1</v>
      </c>
      <c r="D89" s="705">
        <v>32098.486875000002</v>
      </c>
      <c r="E89" s="705">
        <f t="shared" si="3"/>
        <v>32098.486875000002</v>
      </c>
      <c r="F89" s="705">
        <f t="shared" si="5"/>
        <v>7797.28303125</v>
      </c>
      <c r="G89" s="705">
        <f t="shared" si="4"/>
        <v>39895.769906250003</v>
      </c>
    </row>
    <row r="90" spans="1:7">
      <c r="A90" s="700"/>
      <c r="B90" s="700" t="s">
        <v>1005</v>
      </c>
      <c r="C90" s="704">
        <v>1</v>
      </c>
      <c r="D90" s="705">
        <v>32098.486875000002</v>
      </c>
      <c r="E90" s="705">
        <f t="shared" si="3"/>
        <v>32098.486875000002</v>
      </c>
      <c r="F90" s="705">
        <f t="shared" si="5"/>
        <v>7797.28303125</v>
      </c>
      <c r="G90" s="705">
        <f t="shared" si="4"/>
        <v>39895.769906250003</v>
      </c>
    </row>
    <row r="91" spans="1:7">
      <c r="A91" s="700"/>
      <c r="B91" s="700" t="s">
        <v>1006</v>
      </c>
      <c r="C91" s="704">
        <v>0.5</v>
      </c>
      <c r="D91" s="705">
        <v>29268.159374999999</v>
      </c>
      <c r="E91" s="705">
        <f t="shared" si="3"/>
        <v>14634.0796875</v>
      </c>
      <c r="F91" s="705">
        <f t="shared" si="5"/>
        <v>3686.3669531249998</v>
      </c>
      <c r="G91" s="705">
        <f t="shared" si="4"/>
        <v>18320.446640624999</v>
      </c>
    </row>
    <row r="92" spans="1:7">
      <c r="A92" s="700"/>
      <c r="B92" s="700"/>
      <c r="C92" s="704"/>
      <c r="D92" s="705"/>
      <c r="E92" s="705"/>
      <c r="F92" s="705"/>
      <c r="G92" s="705"/>
    </row>
    <row r="93" spans="1:7" s="699" customFormat="1" ht="28">
      <c r="A93" s="702"/>
      <c r="B93" s="702" t="s">
        <v>963</v>
      </c>
      <c r="C93" s="703"/>
      <c r="D93" s="712"/>
      <c r="E93" s="712"/>
      <c r="F93" s="712"/>
      <c r="G93" s="712"/>
    </row>
    <row r="94" spans="1:7">
      <c r="A94" s="700"/>
      <c r="B94" s="700" t="s">
        <v>1007</v>
      </c>
      <c r="C94" s="704">
        <v>1</v>
      </c>
      <c r="D94" s="705">
        <v>38739.553124999999</v>
      </c>
      <c r="E94" s="705">
        <f t="shared" si="3"/>
        <v>38739.553124999999</v>
      </c>
      <c r="F94" s="705">
        <f t="shared" si="5"/>
        <v>8793.4429687499996</v>
      </c>
      <c r="G94" s="705">
        <f t="shared" si="4"/>
        <v>47532.99609375</v>
      </c>
    </row>
    <row r="95" spans="1:7">
      <c r="A95" s="700"/>
      <c r="B95" s="700" t="s">
        <v>1008</v>
      </c>
      <c r="C95" s="704">
        <v>1</v>
      </c>
      <c r="D95" s="705">
        <v>30674.133750000001</v>
      </c>
      <c r="E95" s="705">
        <f t="shared" si="3"/>
        <v>30674.133750000001</v>
      </c>
      <c r="F95" s="705">
        <f t="shared" si="5"/>
        <v>7583.6300624999994</v>
      </c>
      <c r="G95" s="705">
        <f t="shared" si="4"/>
        <v>38257.763812500001</v>
      </c>
    </row>
    <row r="96" spans="1:7">
      <c r="A96" s="700"/>
      <c r="B96" s="700" t="s">
        <v>543</v>
      </c>
      <c r="C96" s="704">
        <v>5</v>
      </c>
      <c r="D96" s="705">
        <v>29451.629999999997</v>
      </c>
      <c r="E96" s="705">
        <f t="shared" si="3"/>
        <v>147258.15</v>
      </c>
      <c r="F96" s="705">
        <f t="shared" si="5"/>
        <v>37001.272499999992</v>
      </c>
      <c r="G96" s="705">
        <f t="shared" si="4"/>
        <v>184259.42249999999</v>
      </c>
    </row>
    <row r="97" spans="1:7">
      <c r="A97" s="700"/>
      <c r="B97" s="700"/>
      <c r="C97" s="704"/>
      <c r="D97" s="705"/>
      <c r="E97" s="705"/>
      <c r="F97" s="705">
        <f t="shared" si="5"/>
        <v>0</v>
      </c>
      <c r="G97" s="705"/>
    </row>
    <row r="98" spans="1:7" s="699" customFormat="1" ht="28">
      <c r="A98" s="702"/>
      <c r="B98" s="702" t="s">
        <v>964</v>
      </c>
      <c r="C98" s="703"/>
      <c r="D98" s="712"/>
      <c r="E98" s="712"/>
      <c r="F98" s="712"/>
      <c r="G98" s="712"/>
    </row>
    <row r="99" spans="1:7">
      <c r="A99" s="700"/>
      <c r="B99" s="700" t="s">
        <v>1007</v>
      </c>
      <c r="C99" s="704">
        <v>1</v>
      </c>
      <c r="D99" s="705">
        <v>36525.864375000005</v>
      </c>
      <c r="E99" s="705">
        <f t="shared" si="3"/>
        <v>36525.864375000005</v>
      </c>
      <c r="F99" s="705">
        <f t="shared" si="5"/>
        <v>8461.3896562499995</v>
      </c>
      <c r="G99" s="705">
        <f t="shared" si="4"/>
        <v>44987.254031250006</v>
      </c>
    </row>
    <row r="100" spans="1:7">
      <c r="A100" s="700"/>
      <c r="B100" s="700" t="s">
        <v>1009</v>
      </c>
      <c r="C100" s="704">
        <v>6</v>
      </c>
      <c r="D100" s="705">
        <v>30950.237499999999</v>
      </c>
      <c r="E100" s="705">
        <f t="shared" si="3"/>
        <v>185701.42499999999</v>
      </c>
      <c r="F100" s="705">
        <f t="shared" si="5"/>
        <v>45750.273749999993</v>
      </c>
      <c r="G100" s="705">
        <f t="shared" si="4"/>
        <v>231451.69874999998</v>
      </c>
    </row>
    <row r="101" spans="1:7">
      <c r="A101" s="700"/>
      <c r="B101" s="700" t="s">
        <v>1010</v>
      </c>
      <c r="C101" s="704">
        <v>1</v>
      </c>
      <c r="D101" s="705">
        <v>40272.435937499999</v>
      </c>
      <c r="E101" s="705">
        <f t="shared" si="3"/>
        <v>40272.435937499999</v>
      </c>
      <c r="F101" s="705">
        <f t="shared" si="5"/>
        <v>9023.3753906249985</v>
      </c>
      <c r="G101" s="705">
        <f t="shared" si="4"/>
        <v>49295.811328124997</v>
      </c>
    </row>
    <row r="102" spans="1:7" ht="28">
      <c r="A102" s="700"/>
      <c r="B102" s="700" t="s">
        <v>950</v>
      </c>
      <c r="C102" s="704">
        <v>1</v>
      </c>
      <c r="D102" s="705">
        <v>22065.907500000001</v>
      </c>
      <c r="E102" s="705">
        <f t="shared" si="3"/>
        <v>22065.907500000001</v>
      </c>
      <c r="F102" s="705">
        <f t="shared" si="5"/>
        <v>6292.3961249999993</v>
      </c>
      <c r="G102" s="705">
        <f t="shared" si="4"/>
        <v>28358.303625</v>
      </c>
    </row>
    <row r="103" spans="1:7">
      <c r="A103" s="700"/>
      <c r="B103" s="700" t="s">
        <v>1011</v>
      </c>
      <c r="C103" s="704">
        <v>1</v>
      </c>
      <c r="D103" s="705">
        <v>18283.180499999999</v>
      </c>
      <c r="E103" s="705">
        <f t="shared" si="3"/>
        <v>18283.180499999999</v>
      </c>
      <c r="F103" s="705">
        <f t="shared" si="5"/>
        <v>5724.9870749999991</v>
      </c>
      <c r="G103" s="705">
        <f t="shared" si="4"/>
        <v>24008.167574999999</v>
      </c>
    </row>
    <row r="104" spans="1:7">
      <c r="A104" s="700"/>
      <c r="B104" s="700"/>
      <c r="C104" s="704"/>
      <c r="D104" s="705"/>
      <c r="E104" s="705"/>
      <c r="F104" s="705">
        <f t="shared" si="5"/>
        <v>0</v>
      </c>
      <c r="G104" s="705"/>
    </row>
    <row r="105" spans="1:7" s="699" customFormat="1">
      <c r="A105" s="702"/>
      <c r="B105" s="702" t="s">
        <v>965</v>
      </c>
      <c r="C105" s="703"/>
      <c r="D105" s="712"/>
      <c r="E105" s="712"/>
      <c r="F105" s="712"/>
      <c r="G105" s="712"/>
    </row>
    <row r="106" spans="1:7" ht="42">
      <c r="A106" s="700"/>
      <c r="B106" s="700" t="s">
        <v>1012</v>
      </c>
      <c r="C106" s="704">
        <v>1</v>
      </c>
      <c r="D106" s="705">
        <v>37308.862499999996</v>
      </c>
      <c r="E106" s="705">
        <f t="shared" si="3"/>
        <v>37308.862499999996</v>
      </c>
      <c r="F106" s="705">
        <f t="shared" si="5"/>
        <v>8578.8393749999996</v>
      </c>
      <c r="G106" s="705">
        <f t="shared" si="4"/>
        <v>45887.701874999999</v>
      </c>
    </row>
    <row r="107" spans="1:7" ht="56">
      <c r="A107" s="700"/>
      <c r="B107" s="700" t="s">
        <v>1013</v>
      </c>
      <c r="C107" s="704">
        <v>1</v>
      </c>
      <c r="D107" s="705">
        <v>45027.9375</v>
      </c>
      <c r="E107" s="705">
        <f t="shared" si="3"/>
        <v>45027.9375</v>
      </c>
      <c r="F107" s="705">
        <f t="shared" si="5"/>
        <v>9736.7006249999995</v>
      </c>
      <c r="G107" s="705">
        <f t="shared" si="4"/>
        <v>54764.638124999998</v>
      </c>
    </row>
    <row r="108" spans="1:7" ht="28">
      <c r="A108" s="700"/>
      <c r="B108" s="700" t="s">
        <v>1014</v>
      </c>
      <c r="C108" s="704">
        <v>1</v>
      </c>
      <c r="D108" s="705">
        <v>32828.25</v>
      </c>
      <c r="E108" s="705">
        <f t="shared" si="3"/>
        <v>32828.25</v>
      </c>
      <c r="F108" s="705">
        <f t="shared" si="5"/>
        <v>7906.7474999999995</v>
      </c>
      <c r="G108" s="705">
        <f t="shared" si="4"/>
        <v>40734.997499999998</v>
      </c>
    </row>
    <row r="109" spans="1:7" ht="42">
      <c r="A109" s="700"/>
      <c r="B109" s="700" t="s">
        <v>1015</v>
      </c>
      <c r="C109" s="704">
        <v>1</v>
      </c>
      <c r="D109" s="705">
        <v>37308.862499999996</v>
      </c>
      <c r="E109" s="705">
        <f t="shared" si="3"/>
        <v>37308.862499999996</v>
      </c>
      <c r="F109" s="705">
        <f t="shared" si="5"/>
        <v>8578.8393749999996</v>
      </c>
      <c r="G109" s="705">
        <f t="shared" si="4"/>
        <v>45887.701874999999</v>
      </c>
    </row>
    <row r="110" spans="1:7" ht="42">
      <c r="A110" s="700"/>
      <c r="B110" s="700" t="s">
        <v>1016</v>
      </c>
      <c r="C110" s="704">
        <v>1</v>
      </c>
      <c r="D110" s="705">
        <v>37308.862499999996</v>
      </c>
      <c r="E110" s="705">
        <f t="shared" si="3"/>
        <v>37308.862499999996</v>
      </c>
      <c r="F110" s="705">
        <f t="shared" si="5"/>
        <v>8578.8393749999996</v>
      </c>
      <c r="G110" s="705">
        <f t="shared" si="4"/>
        <v>45887.701874999999</v>
      </c>
    </row>
    <row r="111" spans="1:7" ht="42">
      <c r="A111" s="700"/>
      <c r="B111" s="700" t="s">
        <v>1017</v>
      </c>
      <c r="C111" s="704">
        <v>1</v>
      </c>
      <c r="D111" s="705">
        <v>42172.1015625</v>
      </c>
      <c r="E111" s="705">
        <f t="shared" si="3"/>
        <v>42172.1015625</v>
      </c>
      <c r="F111" s="705">
        <f t="shared" si="5"/>
        <v>9308.3252343749991</v>
      </c>
      <c r="G111" s="705">
        <f t="shared" si="4"/>
        <v>51480.426796874999</v>
      </c>
    </row>
    <row r="112" spans="1:7">
      <c r="A112" s="700"/>
      <c r="B112" s="700" t="s">
        <v>523</v>
      </c>
      <c r="C112" s="704">
        <v>1</v>
      </c>
      <c r="D112" s="705">
        <v>18724.270500000002</v>
      </c>
      <c r="E112" s="705">
        <f t="shared" si="3"/>
        <v>18724.270500000002</v>
      </c>
      <c r="F112" s="705">
        <f t="shared" si="5"/>
        <v>5791.1505749999997</v>
      </c>
      <c r="G112" s="705">
        <f t="shared" si="4"/>
        <v>24515.421075000002</v>
      </c>
    </row>
    <row r="113" spans="1:7">
      <c r="A113" s="700"/>
      <c r="B113" s="700"/>
      <c r="C113" s="704"/>
      <c r="D113" s="705"/>
      <c r="E113" s="705"/>
      <c r="F113" s="705">
        <f t="shared" si="5"/>
        <v>0</v>
      </c>
      <c r="G113" s="705"/>
    </row>
    <row r="114" spans="1:7" s="699" customFormat="1" ht="42">
      <c r="A114" s="702"/>
      <c r="B114" s="702" t="s">
        <v>966</v>
      </c>
      <c r="C114" s="703"/>
      <c r="D114" s="712"/>
      <c r="E114" s="712"/>
      <c r="F114" s="712"/>
      <c r="G114" s="712"/>
    </row>
    <row r="115" spans="1:7">
      <c r="A115" s="700"/>
      <c r="B115" s="700" t="s">
        <v>1018</v>
      </c>
      <c r="C115" s="704">
        <v>1</v>
      </c>
      <c r="D115" s="705">
        <v>33305.146874999999</v>
      </c>
      <c r="E115" s="705">
        <f t="shared" si="3"/>
        <v>33305.146874999999</v>
      </c>
      <c r="F115" s="705">
        <f t="shared" si="5"/>
        <v>7978.2820312499989</v>
      </c>
      <c r="G115" s="705">
        <f t="shared" si="4"/>
        <v>41283.428906249996</v>
      </c>
    </row>
    <row r="116" spans="1:7" ht="28">
      <c r="A116" s="700"/>
      <c r="B116" s="700" t="s">
        <v>1019</v>
      </c>
      <c r="C116" s="704">
        <v>0.5</v>
      </c>
      <c r="D116" s="705">
        <v>40148.379375000004</v>
      </c>
      <c r="E116" s="705">
        <f t="shared" si="3"/>
        <v>20074.189687500002</v>
      </c>
      <c r="F116" s="705">
        <f t="shared" si="5"/>
        <v>4502.3834531249995</v>
      </c>
      <c r="G116" s="705">
        <f t="shared" si="4"/>
        <v>24576.573140625002</v>
      </c>
    </row>
    <row r="117" spans="1:7">
      <c r="A117" s="700"/>
      <c r="B117" s="700"/>
      <c r="C117" s="704"/>
      <c r="D117" s="705"/>
      <c r="E117" s="705"/>
      <c r="F117" s="705">
        <f t="shared" si="5"/>
        <v>0</v>
      </c>
      <c r="G117" s="705"/>
    </row>
    <row r="118" spans="1:7" s="699" customFormat="1" ht="28">
      <c r="A118" s="702"/>
      <c r="B118" s="702" t="s">
        <v>967</v>
      </c>
      <c r="C118" s="703"/>
      <c r="D118" s="712"/>
      <c r="E118" s="712"/>
      <c r="F118" s="712"/>
      <c r="G118" s="712"/>
    </row>
    <row r="119" spans="1:7">
      <c r="A119" s="700"/>
      <c r="B119" s="700" t="s">
        <v>1020</v>
      </c>
      <c r="C119" s="704">
        <v>1</v>
      </c>
      <c r="D119" s="705">
        <v>26262.6</v>
      </c>
      <c r="E119" s="705">
        <f t="shared" ref="E119:E182" si="6">D119*C119</f>
        <v>26262.6</v>
      </c>
      <c r="F119" s="705">
        <f t="shared" si="5"/>
        <v>6921.9</v>
      </c>
      <c r="G119" s="705">
        <f t="shared" ref="G119:G182" si="7">E119+F119</f>
        <v>33184.5</v>
      </c>
    </row>
    <row r="120" spans="1:7">
      <c r="A120" s="700"/>
      <c r="B120" s="700" t="s">
        <v>1021</v>
      </c>
      <c r="C120" s="704">
        <v>1</v>
      </c>
      <c r="D120" s="705">
        <v>22065.907500000001</v>
      </c>
      <c r="E120" s="705">
        <f t="shared" si="6"/>
        <v>22065.907500000001</v>
      </c>
      <c r="F120" s="705">
        <f t="shared" si="5"/>
        <v>6292.3961249999993</v>
      </c>
      <c r="G120" s="705">
        <f t="shared" si="7"/>
        <v>28358.303625</v>
      </c>
    </row>
    <row r="121" spans="1:7">
      <c r="A121" s="700"/>
      <c r="B121" s="700"/>
      <c r="C121" s="704"/>
      <c r="D121" s="705"/>
      <c r="E121" s="705"/>
      <c r="F121" s="705">
        <f t="shared" si="5"/>
        <v>0</v>
      </c>
      <c r="G121" s="705"/>
    </row>
    <row r="122" spans="1:7" s="699" customFormat="1">
      <c r="A122" s="702"/>
      <c r="B122" s="702" t="s">
        <v>968</v>
      </c>
      <c r="C122" s="703"/>
      <c r="D122" s="712"/>
      <c r="E122" s="712"/>
      <c r="F122" s="712"/>
      <c r="G122" s="712"/>
    </row>
    <row r="123" spans="1:7">
      <c r="A123" s="700"/>
      <c r="B123" s="700" t="s">
        <v>1022</v>
      </c>
      <c r="C123" s="704">
        <v>1</v>
      </c>
      <c r="D123" s="705">
        <v>38739.553124999999</v>
      </c>
      <c r="E123" s="705">
        <f t="shared" si="6"/>
        <v>38739.553124999999</v>
      </c>
      <c r="F123" s="705">
        <f t="shared" si="5"/>
        <v>8793.4429687499996</v>
      </c>
      <c r="G123" s="705">
        <f t="shared" si="7"/>
        <v>47532.99609375</v>
      </c>
    </row>
    <row r="124" spans="1:7" ht="28">
      <c r="A124" s="700"/>
      <c r="B124" s="700" t="s">
        <v>1023</v>
      </c>
      <c r="C124" s="704">
        <v>6</v>
      </c>
      <c r="D124" s="705">
        <v>21748.272000000001</v>
      </c>
      <c r="E124" s="705">
        <f t="shared" si="6"/>
        <v>130489.63200000001</v>
      </c>
      <c r="F124" s="705">
        <f t="shared" si="5"/>
        <v>37468.504799999995</v>
      </c>
      <c r="G124" s="705">
        <f t="shared" si="7"/>
        <v>167958.13680000001</v>
      </c>
    </row>
    <row r="125" spans="1:7" ht="28">
      <c r="A125" s="700"/>
      <c r="B125" s="700" t="s">
        <v>950</v>
      </c>
      <c r="C125" s="704">
        <v>1</v>
      </c>
      <c r="D125" s="705">
        <v>20804.998500000002</v>
      </c>
      <c r="E125" s="705">
        <f t="shared" si="6"/>
        <v>20804.998500000002</v>
      </c>
      <c r="F125" s="705">
        <f t="shared" si="5"/>
        <v>6103.2597749999995</v>
      </c>
      <c r="G125" s="705">
        <f t="shared" si="7"/>
        <v>26908.258275</v>
      </c>
    </row>
    <row r="126" spans="1:7">
      <c r="A126" s="700"/>
      <c r="B126" s="700"/>
      <c r="C126" s="704"/>
      <c r="D126" s="705"/>
      <c r="E126" s="705"/>
      <c r="F126" s="705">
        <f t="shared" si="5"/>
        <v>0</v>
      </c>
      <c r="G126" s="705"/>
    </row>
    <row r="127" spans="1:7" s="699" customFormat="1">
      <c r="A127" s="702"/>
      <c r="B127" s="702" t="s">
        <v>969</v>
      </c>
      <c r="C127" s="703"/>
      <c r="D127" s="712"/>
      <c r="E127" s="712"/>
      <c r="F127" s="712"/>
      <c r="G127" s="712"/>
    </row>
    <row r="128" spans="1:7" ht="28">
      <c r="A128" s="700"/>
      <c r="B128" s="700" t="s">
        <v>1024</v>
      </c>
      <c r="C128" s="704">
        <v>1</v>
      </c>
      <c r="D128" s="705">
        <v>38739.553124999999</v>
      </c>
      <c r="E128" s="705">
        <f t="shared" si="6"/>
        <v>38739.553124999999</v>
      </c>
      <c r="F128" s="705">
        <f t="shared" si="5"/>
        <v>8793.4429687499996</v>
      </c>
      <c r="G128" s="705">
        <f t="shared" si="7"/>
        <v>47532.99609375</v>
      </c>
    </row>
    <row r="129" spans="1:7">
      <c r="A129" s="700"/>
      <c r="B129" s="700" t="s">
        <v>1025</v>
      </c>
      <c r="C129" s="704">
        <v>1</v>
      </c>
      <c r="D129" s="705">
        <v>29268.159374999999</v>
      </c>
      <c r="E129" s="705">
        <f t="shared" si="6"/>
        <v>29268.159374999999</v>
      </c>
      <c r="F129" s="705">
        <f t="shared" si="5"/>
        <v>7372.7339062499996</v>
      </c>
      <c r="G129" s="705">
        <f t="shared" si="7"/>
        <v>36640.893281249999</v>
      </c>
    </row>
    <row r="130" spans="1:7">
      <c r="A130" s="700"/>
      <c r="B130" s="700" t="s">
        <v>1026</v>
      </c>
      <c r="C130" s="704">
        <v>0.5</v>
      </c>
      <c r="D130" s="705">
        <v>24636.714375</v>
      </c>
      <c r="E130" s="705">
        <f t="shared" si="6"/>
        <v>12318.3571875</v>
      </c>
      <c r="F130" s="705">
        <f t="shared" si="5"/>
        <v>3339.0085781249995</v>
      </c>
      <c r="G130" s="705">
        <f t="shared" si="7"/>
        <v>15657.365765625</v>
      </c>
    </row>
    <row r="131" spans="1:7" ht="42">
      <c r="A131" s="700"/>
      <c r="B131" s="700" t="s">
        <v>1027</v>
      </c>
      <c r="C131" s="704">
        <v>5.75</v>
      </c>
      <c r="D131" s="705">
        <v>21127.737065217389</v>
      </c>
      <c r="E131" s="705">
        <f t="shared" si="6"/>
        <v>121484.48812499999</v>
      </c>
      <c r="F131" s="705">
        <f t="shared" si="5"/>
        <v>35372.105718749997</v>
      </c>
      <c r="G131" s="705">
        <f t="shared" si="7"/>
        <v>156856.59384374999</v>
      </c>
    </row>
    <row r="132" spans="1:7">
      <c r="A132" s="700"/>
      <c r="B132" s="700" t="s">
        <v>1028</v>
      </c>
      <c r="C132" s="704">
        <v>6</v>
      </c>
      <c r="D132" s="705">
        <v>21748.272000000001</v>
      </c>
      <c r="E132" s="705">
        <f t="shared" si="6"/>
        <v>130489.63200000001</v>
      </c>
      <c r="F132" s="705">
        <f t="shared" si="5"/>
        <v>37468.504799999995</v>
      </c>
      <c r="G132" s="705">
        <f t="shared" si="7"/>
        <v>167958.13680000001</v>
      </c>
    </row>
    <row r="133" spans="1:7">
      <c r="A133" s="700"/>
      <c r="B133" s="700" t="s">
        <v>1029</v>
      </c>
      <c r="C133" s="704">
        <v>2.75</v>
      </c>
      <c r="D133" s="705">
        <v>20253.078300000001</v>
      </c>
      <c r="E133" s="705">
        <f t="shared" si="6"/>
        <v>55695.965325000005</v>
      </c>
      <c r="F133" s="705">
        <f t="shared" ref="F133:F196" si="8">(19242*30.5%+(D133-19242)*15%)*C133</f>
        <v>16556.29729875</v>
      </c>
      <c r="G133" s="705">
        <f t="shared" si="7"/>
        <v>72252.262623750008</v>
      </c>
    </row>
    <row r="134" spans="1:7">
      <c r="A134" s="700"/>
      <c r="B134" s="700" t="s">
        <v>1030</v>
      </c>
      <c r="C134" s="704">
        <v>2</v>
      </c>
      <c r="D134" s="705">
        <v>21612.345299999997</v>
      </c>
      <c r="E134" s="705">
        <f t="shared" si="6"/>
        <v>43224.690599999994</v>
      </c>
      <c r="F134" s="705">
        <f t="shared" si="8"/>
        <v>12448.723589999998</v>
      </c>
      <c r="G134" s="705">
        <f t="shared" si="7"/>
        <v>55673.414189999996</v>
      </c>
    </row>
    <row r="135" spans="1:7">
      <c r="A135" s="700"/>
      <c r="B135" s="700" t="s">
        <v>1031</v>
      </c>
      <c r="C135" s="704">
        <v>1</v>
      </c>
      <c r="D135" s="705">
        <v>24330.879300000001</v>
      </c>
      <c r="E135" s="705">
        <f t="shared" si="6"/>
        <v>24330.879300000001</v>
      </c>
      <c r="F135" s="705">
        <f t="shared" si="8"/>
        <v>6632.1418949999997</v>
      </c>
      <c r="G135" s="705">
        <f t="shared" si="7"/>
        <v>30963.021195000001</v>
      </c>
    </row>
    <row r="136" spans="1:7">
      <c r="A136" s="700"/>
      <c r="B136" s="700" t="s">
        <v>1032</v>
      </c>
      <c r="C136" s="704">
        <v>3</v>
      </c>
      <c r="D136" s="705">
        <v>21068.638500000001</v>
      </c>
      <c r="E136" s="705">
        <f t="shared" si="6"/>
        <v>63205.915500000003</v>
      </c>
      <c r="F136" s="705">
        <f t="shared" si="8"/>
        <v>18428.417324999999</v>
      </c>
      <c r="G136" s="705">
        <f t="shared" si="7"/>
        <v>81634.332825000005</v>
      </c>
    </row>
    <row r="137" spans="1:7">
      <c r="A137" s="700"/>
      <c r="B137" s="700" t="s">
        <v>1033</v>
      </c>
      <c r="C137" s="704">
        <v>1</v>
      </c>
      <c r="D137" s="705">
        <v>19709.371500000001</v>
      </c>
      <c r="E137" s="705">
        <f t="shared" si="6"/>
        <v>19709.371500000001</v>
      </c>
      <c r="F137" s="705">
        <f t="shared" si="8"/>
        <v>5938.9157249999998</v>
      </c>
      <c r="G137" s="705">
        <f t="shared" si="7"/>
        <v>25648.287225</v>
      </c>
    </row>
    <row r="138" spans="1:7">
      <c r="A138" s="700"/>
      <c r="B138" s="700" t="s">
        <v>1034</v>
      </c>
      <c r="C138" s="704">
        <v>1</v>
      </c>
      <c r="D138" s="705">
        <v>19709.371500000001</v>
      </c>
      <c r="E138" s="705">
        <f t="shared" si="6"/>
        <v>19709.371500000001</v>
      </c>
      <c r="F138" s="705">
        <f t="shared" si="8"/>
        <v>5938.9157249999998</v>
      </c>
      <c r="G138" s="705">
        <f t="shared" si="7"/>
        <v>25648.287225</v>
      </c>
    </row>
    <row r="139" spans="1:7">
      <c r="A139" s="700"/>
      <c r="B139" s="700" t="s">
        <v>1035</v>
      </c>
      <c r="C139" s="704">
        <v>6</v>
      </c>
      <c r="D139" s="705">
        <v>19333.937999999998</v>
      </c>
      <c r="E139" s="705">
        <f t="shared" si="6"/>
        <v>116003.628</v>
      </c>
      <c r="F139" s="705">
        <f t="shared" si="8"/>
        <v>35295.604199999994</v>
      </c>
      <c r="G139" s="705">
        <f t="shared" si="7"/>
        <v>151299.2322</v>
      </c>
    </row>
    <row r="140" spans="1:7">
      <c r="A140" s="700"/>
      <c r="B140" s="700"/>
      <c r="C140" s="704"/>
      <c r="D140" s="705"/>
      <c r="E140" s="705"/>
      <c r="F140" s="705">
        <f t="shared" si="8"/>
        <v>0</v>
      </c>
      <c r="G140" s="705"/>
    </row>
    <row r="141" spans="1:7" s="699" customFormat="1" ht="28">
      <c r="A141" s="702"/>
      <c r="B141" s="702" t="s">
        <v>970</v>
      </c>
      <c r="C141" s="703"/>
      <c r="D141" s="712"/>
      <c r="E141" s="712"/>
      <c r="F141" s="712"/>
      <c r="G141" s="712"/>
    </row>
    <row r="142" spans="1:7" ht="28">
      <c r="A142" s="700"/>
      <c r="B142" s="700" t="s">
        <v>1036</v>
      </c>
      <c r="C142" s="704">
        <v>1</v>
      </c>
      <c r="D142" s="705">
        <v>38739.553124999999</v>
      </c>
      <c r="E142" s="705">
        <f t="shared" si="6"/>
        <v>38739.553124999999</v>
      </c>
      <c r="F142" s="705">
        <f t="shared" si="8"/>
        <v>8793.4429687499996</v>
      </c>
      <c r="G142" s="705">
        <f t="shared" si="7"/>
        <v>47532.99609375</v>
      </c>
    </row>
    <row r="143" spans="1:7">
      <c r="A143" s="700"/>
      <c r="B143" s="700" t="s">
        <v>1037</v>
      </c>
      <c r="C143" s="704">
        <v>10</v>
      </c>
      <c r="D143" s="705">
        <v>21306.928500000002</v>
      </c>
      <c r="E143" s="705">
        <f t="shared" si="6"/>
        <v>213069.28500000003</v>
      </c>
      <c r="F143" s="705">
        <f t="shared" si="8"/>
        <v>61785.49274999999</v>
      </c>
      <c r="G143" s="705">
        <f t="shared" si="7"/>
        <v>274854.77775000001</v>
      </c>
    </row>
    <row r="144" spans="1:7" ht="28">
      <c r="A144" s="700"/>
      <c r="B144" s="700" t="s">
        <v>950</v>
      </c>
      <c r="C144" s="704">
        <v>10.75</v>
      </c>
      <c r="D144" s="705">
        <v>20277.176127906972</v>
      </c>
      <c r="E144" s="705">
        <f t="shared" si="6"/>
        <v>217979.64337499996</v>
      </c>
      <c r="F144" s="705">
        <f t="shared" si="8"/>
        <v>64758.929006249993</v>
      </c>
      <c r="G144" s="705">
        <f t="shared" si="7"/>
        <v>282738.57238124998</v>
      </c>
    </row>
    <row r="145" spans="1:7">
      <c r="A145" s="700"/>
      <c r="B145" s="700" t="s">
        <v>1038</v>
      </c>
      <c r="C145" s="704">
        <v>1</v>
      </c>
      <c r="D145" s="705">
        <v>22065.907500000001</v>
      </c>
      <c r="E145" s="705">
        <f t="shared" si="6"/>
        <v>22065.907500000001</v>
      </c>
      <c r="F145" s="705">
        <f t="shared" si="8"/>
        <v>6292.3961249999993</v>
      </c>
      <c r="G145" s="705">
        <f t="shared" si="7"/>
        <v>28358.303625</v>
      </c>
    </row>
    <row r="146" spans="1:7">
      <c r="A146" s="700"/>
      <c r="B146" s="700" t="s">
        <v>1039</v>
      </c>
      <c r="C146" s="704">
        <v>1</v>
      </c>
      <c r="D146" s="705">
        <v>18283.180499999999</v>
      </c>
      <c r="E146" s="705">
        <f t="shared" si="6"/>
        <v>18283.180499999999</v>
      </c>
      <c r="F146" s="705">
        <f t="shared" si="8"/>
        <v>5724.9870749999991</v>
      </c>
      <c r="G146" s="705">
        <f t="shared" si="7"/>
        <v>24008.167574999999</v>
      </c>
    </row>
    <row r="147" spans="1:7">
      <c r="A147" s="700"/>
      <c r="B147" s="700" t="s">
        <v>1040</v>
      </c>
      <c r="C147" s="704">
        <v>3.25</v>
      </c>
      <c r="D147" s="705">
        <v>18283.180499999999</v>
      </c>
      <c r="E147" s="705">
        <f t="shared" si="6"/>
        <v>59420.336624999996</v>
      </c>
      <c r="F147" s="705">
        <f t="shared" si="8"/>
        <v>18606.207993749998</v>
      </c>
      <c r="G147" s="705">
        <f t="shared" si="7"/>
        <v>78026.544618749991</v>
      </c>
    </row>
    <row r="148" spans="1:7">
      <c r="A148" s="700"/>
      <c r="B148" s="700" t="s">
        <v>1041</v>
      </c>
      <c r="C148" s="704">
        <v>3</v>
      </c>
      <c r="D148" s="705">
        <v>20384.695500000002</v>
      </c>
      <c r="E148" s="705">
        <f t="shared" si="6"/>
        <v>61154.086500000005</v>
      </c>
      <c r="F148" s="705">
        <f t="shared" si="8"/>
        <v>18120.642974999999</v>
      </c>
      <c r="G148" s="705">
        <f t="shared" si="7"/>
        <v>79274.729475</v>
      </c>
    </row>
    <row r="149" spans="1:7" ht="42">
      <c r="A149" s="700"/>
      <c r="B149" s="700" t="s">
        <v>1042</v>
      </c>
      <c r="C149" s="704">
        <v>1</v>
      </c>
      <c r="D149" s="705">
        <v>21306.928500000002</v>
      </c>
      <c r="E149" s="705">
        <f t="shared" si="6"/>
        <v>21306.928500000002</v>
      </c>
      <c r="F149" s="705">
        <f t="shared" si="8"/>
        <v>6178.5492749999994</v>
      </c>
      <c r="G149" s="705">
        <f t="shared" si="7"/>
        <v>27485.477774999999</v>
      </c>
    </row>
    <row r="150" spans="1:7">
      <c r="A150" s="700"/>
      <c r="B150" s="700" t="s">
        <v>1043</v>
      </c>
      <c r="C150" s="704">
        <v>0.75</v>
      </c>
      <c r="D150" s="705">
        <v>18724.270500000002</v>
      </c>
      <c r="E150" s="705">
        <f t="shared" si="6"/>
        <v>14043.202875000003</v>
      </c>
      <c r="F150" s="705">
        <f t="shared" si="8"/>
        <v>4343.3629312499997</v>
      </c>
      <c r="G150" s="705">
        <f t="shared" si="7"/>
        <v>18386.565806250001</v>
      </c>
    </row>
    <row r="151" spans="1:7">
      <c r="A151" s="700"/>
      <c r="B151" s="700"/>
      <c r="C151" s="704"/>
      <c r="D151" s="705"/>
      <c r="E151" s="705"/>
      <c r="F151" s="705">
        <f t="shared" si="8"/>
        <v>0</v>
      </c>
      <c r="G151" s="705"/>
    </row>
    <row r="152" spans="1:7" s="699" customFormat="1">
      <c r="A152" s="702"/>
      <c r="B152" s="702" t="s">
        <v>971</v>
      </c>
      <c r="C152" s="703"/>
      <c r="D152" s="712"/>
      <c r="E152" s="712"/>
      <c r="F152" s="712"/>
      <c r="G152" s="712"/>
    </row>
    <row r="153" spans="1:7" ht="13" customHeight="1">
      <c r="A153" s="700"/>
      <c r="B153" s="700" t="s">
        <v>1044</v>
      </c>
      <c r="C153" s="704">
        <v>1</v>
      </c>
      <c r="D153" s="705">
        <v>32098.486875000002</v>
      </c>
      <c r="E153" s="705">
        <f t="shared" si="6"/>
        <v>32098.486875000002</v>
      </c>
      <c r="F153" s="705">
        <f t="shared" si="8"/>
        <v>7797.28303125</v>
      </c>
      <c r="G153" s="705">
        <f t="shared" si="7"/>
        <v>39895.769906250003</v>
      </c>
    </row>
    <row r="154" spans="1:7">
      <c r="A154" s="700"/>
      <c r="B154" s="700" t="s">
        <v>1045</v>
      </c>
      <c r="C154" s="704">
        <v>7</v>
      </c>
      <c r="D154" s="705">
        <v>32305.551107142852</v>
      </c>
      <c r="E154" s="705">
        <f t="shared" si="6"/>
        <v>226138.85774999997</v>
      </c>
      <c r="F154" s="705">
        <f t="shared" si="8"/>
        <v>54798.398662499989</v>
      </c>
      <c r="G154" s="705">
        <f t="shared" si="7"/>
        <v>280937.25641249993</v>
      </c>
    </row>
    <row r="155" spans="1:7">
      <c r="A155" s="700"/>
      <c r="B155" s="700" t="s">
        <v>1046</v>
      </c>
      <c r="C155" s="704">
        <v>1</v>
      </c>
      <c r="D155" s="705">
        <v>20253.078299999997</v>
      </c>
      <c r="E155" s="705">
        <f t="shared" si="6"/>
        <v>20253.078299999997</v>
      </c>
      <c r="F155" s="705">
        <f t="shared" si="8"/>
        <v>6020.4717449999989</v>
      </c>
      <c r="G155" s="705">
        <f t="shared" si="7"/>
        <v>26273.550044999996</v>
      </c>
    </row>
    <row r="156" spans="1:7" ht="28">
      <c r="A156" s="700"/>
      <c r="B156" s="700" t="s">
        <v>1047</v>
      </c>
      <c r="C156" s="704">
        <v>1</v>
      </c>
      <c r="D156" s="705">
        <v>24330.879300000001</v>
      </c>
      <c r="E156" s="705">
        <f t="shared" si="6"/>
        <v>24330.879300000001</v>
      </c>
      <c r="F156" s="705">
        <f t="shared" si="8"/>
        <v>6632.1418949999997</v>
      </c>
      <c r="G156" s="705">
        <f t="shared" si="7"/>
        <v>30963.021195000001</v>
      </c>
    </row>
    <row r="157" spans="1:7">
      <c r="A157" s="700"/>
      <c r="B157" s="700"/>
      <c r="C157" s="704"/>
      <c r="D157" s="705"/>
      <c r="E157" s="705"/>
      <c r="F157" s="705">
        <f t="shared" si="8"/>
        <v>0</v>
      </c>
      <c r="G157" s="705"/>
    </row>
    <row r="158" spans="1:7" s="699" customFormat="1">
      <c r="A158" s="702"/>
      <c r="B158" s="702" t="s">
        <v>972</v>
      </c>
      <c r="C158" s="703"/>
      <c r="D158" s="712"/>
      <c r="E158" s="712"/>
      <c r="F158" s="712"/>
      <c r="G158" s="712"/>
    </row>
    <row r="159" spans="1:7">
      <c r="A159" s="700"/>
      <c r="B159" s="700" t="s">
        <v>1048</v>
      </c>
      <c r="C159" s="704">
        <v>1</v>
      </c>
      <c r="D159" s="705">
        <v>38739.553124999999</v>
      </c>
      <c r="E159" s="705">
        <f t="shared" si="6"/>
        <v>38739.553124999999</v>
      </c>
      <c r="F159" s="705">
        <f t="shared" si="8"/>
        <v>8793.4429687499996</v>
      </c>
      <c r="G159" s="705">
        <f t="shared" si="7"/>
        <v>47532.99609375</v>
      </c>
    </row>
    <row r="160" spans="1:7" ht="28">
      <c r="A160" s="700"/>
      <c r="B160" s="700" t="s">
        <v>1049</v>
      </c>
      <c r="C160" s="704">
        <v>1</v>
      </c>
      <c r="D160" s="705">
        <v>40441.964062499996</v>
      </c>
      <c r="E160" s="705">
        <f t="shared" si="6"/>
        <v>40441.964062499996</v>
      </c>
      <c r="F160" s="705">
        <f t="shared" si="8"/>
        <v>9048.8046093749981</v>
      </c>
      <c r="G160" s="705">
        <f t="shared" si="7"/>
        <v>49490.76867187499</v>
      </c>
    </row>
    <row r="161" spans="1:7">
      <c r="A161" s="700"/>
      <c r="B161" s="700" t="s">
        <v>1050</v>
      </c>
      <c r="C161" s="704">
        <v>2</v>
      </c>
      <c r="D161" s="705">
        <v>32828.25</v>
      </c>
      <c r="E161" s="705">
        <f t="shared" si="6"/>
        <v>65656.5</v>
      </c>
      <c r="F161" s="705">
        <f t="shared" si="8"/>
        <v>15813.494999999999</v>
      </c>
      <c r="G161" s="705">
        <f t="shared" si="7"/>
        <v>81469.994999999995</v>
      </c>
    </row>
    <row r="162" spans="1:7">
      <c r="A162" s="700"/>
      <c r="B162" s="700" t="s">
        <v>1051</v>
      </c>
      <c r="C162" s="704">
        <v>1</v>
      </c>
      <c r="D162" s="705">
        <v>19661.586749999999</v>
      </c>
      <c r="E162" s="705">
        <f t="shared" si="6"/>
        <v>19661.586749999999</v>
      </c>
      <c r="F162" s="705">
        <f t="shared" si="8"/>
        <v>5931.7480124999993</v>
      </c>
      <c r="G162" s="705">
        <f t="shared" si="7"/>
        <v>25593.334762499999</v>
      </c>
    </row>
    <row r="163" spans="1:7">
      <c r="A163" s="700"/>
      <c r="B163" s="700" t="s">
        <v>1052</v>
      </c>
      <c r="C163" s="704">
        <v>2</v>
      </c>
      <c r="D163" s="705">
        <v>24195.662399999997</v>
      </c>
      <c r="E163" s="705">
        <f t="shared" si="6"/>
        <v>48391.324799999995</v>
      </c>
      <c r="F163" s="705">
        <f t="shared" si="8"/>
        <v>13223.718719999999</v>
      </c>
      <c r="G163" s="705">
        <f t="shared" si="7"/>
        <v>61615.043519999992</v>
      </c>
    </row>
    <row r="164" spans="1:7">
      <c r="A164" s="700"/>
      <c r="B164" s="700" t="s">
        <v>1053</v>
      </c>
      <c r="C164" s="704">
        <v>8</v>
      </c>
      <c r="D164" s="705">
        <v>22801.703925000002</v>
      </c>
      <c r="E164" s="705">
        <f t="shared" si="6"/>
        <v>182413.63140000001</v>
      </c>
      <c r="F164" s="705">
        <f t="shared" si="8"/>
        <v>51222.124709999996</v>
      </c>
      <c r="G164" s="705">
        <f t="shared" si="7"/>
        <v>233635.75611000002</v>
      </c>
    </row>
    <row r="165" spans="1:7">
      <c r="A165" s="700"/>
      <c r="B165" s="700" t="s">
        <v>1054</v>
      </c>
      <c r="C165" s="704">
        <v>13</v>
      </c>
      <c r="D165" s="705">
        <v>19816.933499999999</v>
      </c>
      <c r="E165" s="705">
        <f t="shared" si="6"/>
        <v>257620.13549999997</v>
      </c>
      <c r="F165" s="705">
        <f t="shared" si="8"/>
        <v>77415.650324999995</v>
      </c>
      <c r="G165" s="705">
        <f t="shared" si="7"/>
        <v>335035.78582499997</v>
      </c>
    </row>
    <row r="166" spans="1:7">
      <c r="A166" s="700"/>
      <c r="B166" s="700" t="s">
        <v>1055</v>
      </c>
      <c r="C166" s="704">
        <v>3.25</v>
      </c>
      <c r="D166" s="705">
        <v>18283.180499999999</v>
      </c>
      <c r="E166" s="705">
        <f t="shared" si="6"/>
        <v>59420.336624999996</v>
      </c>
      <c r="F166" s="705">
        <f t="shared" si="8"/>
        <v>18606.207993749998</v>
      </c>
      <c r="G166" s="705">
        <f t="shared" si="7"/>
        <v>78026.544618749991</v>
      </c>
    </row>
    <row r="167" spans="1:7">
      <c r="A167" s="700"/>
      <c r="B167" s="700" t="s">
        <v>1056</v>
      </c>
      <c r="C167" s="704">
        <v>4</v>
      </c>
      <c r="D167" s="705">
        <v>20174.544000000002</v>
      </c>
      <c r="E167" s="705">
        <f t="shared" si="6"/>
        <v>80698.176000000007</v>
      </c>
      <c r="F167" s="705">
        <f t="shared" si="8"/>
        <v>24034.7664</v>
      </c>
      <c r="G167" s="705">
        <f t="shared" si="7"/>
        <v>104732.9424</v>
      </c>
    </row>
    <row r="168" spans="1:7">
      <c r="A168" s="700"/>
      <c r="B168" s="700" t="s">
        <v>1057</v>
      </c>
      <c r="C168" s="704">
        <v>2</v>
      </c>
      <c r="D168" s="705">
        <v>21068.638500000001</v>
      </c>
      <c r="E168" s="705">
        <f t="shared" si="6"/>
        <v>42137.277000000002</v>
      </c>
      <c r="F168" s="705">
        <f t="shared" si="8"/>
        <v>12285.61155</v>
      </c>
      <c r="G168" s="705">
        <f t="shared" si="7"/>
        <v>54422.888550000003</v>
      </c>
    </row>
    <row r="169" spans="1:7">
      <c r="A169" s="700"/>
      <c r="B169" s="700" t="s">
        <v>1058</v>
      </c>
      <c r="C169" s="704">
        <v>2.5</v>
      </c>
      <c r="D169" s="705">
        <v>21884.198700000001</v>
      </c>
      <c r="E169" s="705">
        <f t="shared" si="6"/>
        <v>54710.496750000006</v>
      </c>
      <c r="F169" s="705">
        <f t="shared" si="8"/>
        <v>15662.849512499999</v>
      </c>
      <c r="G169" s="705">
        <f t="shared" si="7"/>
        <v>70373.34626250001</v>
      </c>
    </row>
    <row r="170" spans="1:7" ht="28">
      <c r="A170" s="700"/>
      <c r="B170" s="700" t="s">
        <v>950</v>
      </c>
      <c r="C170" s="704">
        <v>6</v>
      </c>
      <c r="D170" s="705">
        <v>19964.392499999998</v>
      </c>
      <c r="E170" s="705">
        <f t="shared" si="6"/>
        <v>119786.35499999998</v>
      </c>
      <c r="F170" s="705">
        <f t="shared" si="8"/>
        <v>35863.013249999996</v>
      </c>
      <c r="G170" s="705">
        <f t="shared" si="7"/>
        <v>155649.36824999997</v>
      </c>
    </row>
    <row r="171" spans="1:7">
      <c r="A171" s="700"/>
      <c r="B171" s="700" t="s">
        <v>1059</v>
      </c>
      <c r="C171" s="704">
        <v>1</v>
      </c>
      <c r="D171" s="705">
        <v>18283.180499999999</v>
      </c>
      <c r="E171" s="705">
        <f t="shared" si="6"/>
        <v>18283.180499999999</v>
      </c>
      <c r="F171" s="705">
        <f t="shared" si="8"/>
        <v>5724.9870749999991</v>
      </c>
      <c r="G171" s="705">
        <f t="shared" si="7"/>
        <v>24008.167574999999</v>
      </c>
    </row>
    <row r="172" spans="1:7">
      <c r="A172" s="700"/>
      <c r="B172" s="700"/>
      <c r="C172" s="704"/>
      <c r="D172" s="705"/>
      <c r="E172" s="705"/>
      <c r="F172" s="705">
        <f t="shared" si="8"/>
        <v>0</v>
      </c>
      <c r="G172" s="705"/>
    </row>
    <row r="173" spans="1:7" s="699" customFormat="1" ht="28">
      <c r="A173" s="702"/>
      <c r="B173" s="702" t="s">
        <v>1060</v>
      </c>
      <c r="C173" s="703"/>
      <c r="D173" s="712"/>
      <c r="E173" s="712"/>
      <c r="F173" s="712"/>
      <c r="G173" s="712"/>
    </row>
    <row r="174" spans="1:7" ht="28">
      <c r="A174" s="700"/>
      <c r="B174" s="700" t="s">
        <v>1061</v>
      </c>
      <c r="C174" s="704">
        <v>1</v>
      </c>
      <c r="D174" s="705">
        <v>38739.553124999999</v>
      </c>
      <c r="E174" s="705">
        <f t="shared" si="6"/>
        <v>38739.553124999999</v>
      </c>
      <c r="F174" s="705">
        <f t="shared" si="8"/>
        <v>8793.4429687499996</v>
      </c>
      <c r="G174" s="705">
        <f t="shared" si="7"/>
        <v>47532.99609375</v>
      </c>
    </row>
    <row r="175" spans="1:7">
      <c r="A175" s="700"/>
      <c r="B175" s="700" t="s">
        <v>1062</v>
      </c>
      <c r="C175" s="704">
        <v>1</v>
      </c>
      <c r="D175" s="705">
        <v>29268.159374999999</v>
      </c>
      <c r="E175" s="705">
        <f t="shared" si="6"/>
        <v>29268.159374999999</v>
      </c>
      <c r="F175" s="705">
        <f t="shared" si="8"/>
        <v>7372.7339062499996</v>
      </c>
      <c r="G175" s="705">
        <f t="shared" si="7"/>
        <v>36640.893281249999</v>
      </c>
    </row>
    <row r="176" spans="1:7">
      <c r="A176" s="700"/>
      <c r="B176" s="700" t="s">
        <v>1063</v>
      </c>
      <c r="C176" s="704">
        <v>1</v>
      </c>
      <c r="D176" s="705">
        <v>29268.159374999999</v>
      </c>
      <c r="E176" s="705">
        <f t="shared" si="6"/>
        <v>29268.159374999999</v>
      </c>
      <c r="F176" s="705">
        <f t="shared" si="8"/>
        <v>7372.7339062499996</v>
      </c>
      <c r="G176" s="705">
        <f t="shared" si="7"/>
        <v>36640.893281249999</v>
      </c>
    </row>
    <row r="177" spans="1:7">
      <c r="A177" s="700"/>
      <c r="B177" s="700" t="s">
        <v>1064</v>
      </c>
      <c r="C177" s="704">
        <v>1</v>
      </c>
      <c r="D177" s="705">
        <v>29268.159374999999</v>
      </c>
      <c r="E177" s="705">
        <f t="shared" si="6"/>
        <v>29268.159374999999</v>
      </c>
      <c r="F177" s="705">
        <f t="shared" si="8"/>
        <v>7372.7339062499996</v>
      </c>
      <c r="G177" s="705">
        <f t="shared" si="7"/>
        <v>36640.893281249999</v>
      </c>
    </row>
    <row r="178" spans="1:7" ht="28">
      <c r="A178" s="700"/>
      <c r="B178" s="700" t="s">
        <v>1065</v>
      </c>
      <c r="C178" s="704">
        <v>1</v>
      </c>
      <c r="D178" s="705">
        <v>29268.159374999999</v>
      </c>
      <c r="E178" s="705">
        <f t="shared" si="6"/>
        <v>29268.159374999999</v>
      </c>
      <c r="F178" s="705">
        <f t="shared" si="8"/>
        <v>7372.7339062499996</v>
      </c>
      <c r="G178" s="705">
        <f t="shared" si="7"/>
        <v>36640.893281249999</v>
      </c>
    </row>
    <row r="179" spans="1:7">
      <c r="A179" s="700"/>
      <c r="B179" s="700" t="s">
        <v>521</v>
      </c>
      <c r="C179" s="704">
        <v>1</v>
      </c>
      <c r="D179" s="705">
        <v>29268.159374999999</v>
      </c>
      <c r="E179" s="705">
        <f t="shared" si="6"/>
        <v>29268.159374999999</v>
      </c>
      <c r="F179" s="705">
        <f t="shared" si="8"/>
        <v>7372.7339062499996</v>
      </c>
      <c r="G179" s="705">
        <f t="shared" si="7"/>
        <v>36640.893281249999</v>
      </c>
    </row>
    <row r="180" spans="1:7">
      <c r="A180" s="700"/>
      <c r="B180" s="700" t="s">
        <v>1066</v>
      </c>
      <c r="C180" s="704">
        <v>5</v>
      </c>
      <c r="D180" s="705">
        <v>19709.371499999997</v>
      </c>
      <c r="E180" s="705">
        <f t="shared" si="6"/>
        <v>98546.857499999984</v>
      </c>
      <c r="F180" s="705">
        <f t="shared" si="8"/>
        <v>29694.578624999995</v>
      </c>
      <c r="G180" s="705">
        <f t="shared" si="7"/>
        <v>128241.43612499998</v>
      </c>
    </row>
    <row r="181" spans="1:7">
      <c r="A181" s="700"/>
      <c r="B181" s="700" t="s">
        <v>1067</v>
      </c>
      <c r="C181" s="704">
        <v>1</v>
      </c>
      <c r="D181" s="705">
        <v>28725.225750000005</v>
      </c>
      <c r="E181" s="705">
        <f t="shared" si="6"/>
        <v>28725.225750000005</v>
      </c>
      <c r="F181" s="705">
        <f t="shared" si="8"/>
        <v>7291.2938625000006</v>
      </c>
      <c r="G181" s="705">
        <f t="shared" si="7"/>
        <v>36016.519612500007</v>
      </c>
    </row>
    <row r="182" spans="1:7" ht="28">
      <c r="A182" s="700"/>
      <c r="B182" s="700" t="s">
        <v>1068</v>
      </c>
      <c r="C182" s="704">
        <v>4</v>
      </c>
      <c r="D182" s="705">
        <v>18283.180499999999</v>
      </c>
      <c r="E182" s="705">
        <f t="shared" si="6"/>
        <v>73132.721999999994</v>
      </c>
      <c r="F182" s="705">
        <f t="shared" si="8"/>
        <v>22899.948299999996</v>
      </c>
      <c r="G182" s="705">
        <f t="shared" si="7"/>
        <v>96032.670299999998</v>
      </c>
    </row>
    <row r="183" spans="1:7" ht="28">
      <c r="A183" s="700"/>
      <c r="B183" s="700" t="s">
        <v>1069</v>
      </c>
      <c r="C183" s="704">
        <v>4</v>
      </c>
      <c r="D183" s="705">
        <v>19709.371500000001</v>
      </c>
      <c r="E183" s="705">
        <f t="shared" ref="E183:E189" si="9">D183*C183</f>
        <v>78837.486000000004</v>
      </c>
      <c r="F183" s="705">
        <f t="shared" si="8"/>
        <v>23755.662899999999</v>
      </c>
      <c r="G183" s="705">
        <f t="shared" ref="G183:G189" si="10">E183+F183</f>
        <v>102593.1489</v>
      </c>
    </row>
    <row r="184" spans="1:7">
      <c r="A184" s="700"/>
      <c r="B184" s="700" t="s">
        <v>1070</v>
      </c>
      <c r="C184" s="704">
        <v>1</v>
      </c>
      <c r="D184" s="705">
        <v>19709.371500000001</v>
      </c>
      <c r="E184" s="705">
        <f t="shared" si="9"/>
        <v>19709.371500000001</v>
      </c>
      <c r="F184" s="705">
        <f t="shared" si="8"/>
        <v>5938.9157249999998</v>
      </c>
      <c r="G184" s="705">
        <f t="shared" si="10"/>
        <v>25648.287225</v>
      </c>
    </row>
    <row r="185" spans="1:7" ht="28">
      <c r="A185" s="700"/>
      <c r="B185" s="700" t="s">
        <v>950</v>
      </c>
      <c r="C185" s="704">
        <v>1</v>
      </c>
      <c r="D185" s="705">
        <v>18283.180499999999</v>
      </c>
      <c r="E185" s="705">
        <f t="shared" si="9"/>
        <v>18283.180499999999</v>
      </c>
      <c r="F185" s="705">
        <f t="shared" si="8"/>
        <v>5724.9870749999991</v>
      </c>
      <c r="G185" s="705">
        <f t="shared" si="10"/>
        <v>24008.167574999999</v>
      </c>
    </row>
    <row r="186" spans="1:7">
      <c r="A186" s="700"/>
      <c r="B186" s="700"/>
      <c r="C186" s="704"/>
      <c r="D186" s="705"/>
      <c r="E186" s="705"/>
      <c r="F186" s="705">
        <f t="shared" si="8"/>
        <v>0</v>
      </c>
      <c r="G186" s="705"/>
    </row>
    <row r="187" spans="1:7" s="699" customFormat="1" ht="28">
      <c r="A187" s="702"/>
      <c r="B187" s="702" t="s">
        <v>1071</v>
      </c>
      <c r="C187" s="703"/>
      <c r="D187" s="712"/>
      <c r="E187" s="703"/>
      <c r="F187" s="703"/>
      <c r="G187" s="703"/>
    </row>
    <row r="188" spans="1:7" ht="28">
      <c r="A188" s="700"/>
      <c r="B188" s="700" t="s">
        <v>1072</v>
      </c>
      <c r="C188" s="704">
        <v>5</v>
      </c>
      <c r="D188" s="705">
        <v>19709.371499999997</v>
      </c>
      <c r="E188" s="705">
        <f t="shared" si="9"/>
        <v>98546.857499999984</v>
      </c>
      <c r="F188" s="705">
        <f t="shared" si="8"/>
        <v>29694.578624999995</v>
      </c>
      <c r="G188" s="705">
        <f t="shared" si="10"/>
        <v>128241.43612499998</v>
      </c>
    </row>
    <row r="189" spans="1:7">
      <c r="A189" s="700"/>
      <c r="B189" s="700"/>
      <c r="C189" s="704">
        <v>5</v>
      </c>
      <c r="D189" s="705">
        <v>19709.371499999997</v>
      </c>
      <c r="E189" s="705">
        <f t="shared" si="9"/>
        <v>98546.857499999984</v>
      </c>
      <c r="F189" s="705">
        <f t="shared" si="8"/>
        <v>29694.578624999995</v>
      </c>
      <c r="G189" s="705">
        <f t="shared" si="10"/>
        <v>128241.43612499998</v>
      </c>
    </row>
    <row r="190" spans="1:7" s="718" customFormat="1" ht="22.5" customHeight="1">
      <c r="A190" s="715"/>
      <c r="B190" s="715" t="s">
        <v>383</v>
      </c>
      <c r="C190" s="716">
        <f>SUM(C4:C189)</f>
        <v>295</v>
      </c>
      <c r="D190" s="717"/>
      <c r="E190" s="717">
        <f>SUM(E4:E189)</f>
        <v>8260514.3972593704</v>
      </c>
      <c r="F190" s="717">
        <f>SUM(F4:F189)</f>
        <v>2118917.6095889057</v>
      </c>
      <c r="G190" s="717">
        <f>SUM(G4:G189)</f>
        <v>10379432.006848272</v>
      </c>
    </row>
    <row r="191" spans="1:7">
      <c r="F191" s="705"/>
    </row>
    <row r="192" spans="1:7" s="699" customFormat="1" ht="62">
      <c r="A192" s="702"/>
      <c r="B192" s="719" t="s">
        <v>1078</v>
      </c>
      <c r="C192" s="703"/>
      <c r="D192" s="712"/>
      <c r="E192" s="703"/>
      <c r="F192" s="703"/>
      <c r="G192" s="703"/>
    </row>
    <row r="193" spans="1:20" customFormat="1">
      <c r="A193" s="334"/>
      <c r="B193" s="335" t="s">
        <v>1081</v>
      </c>
      <c r="C193" s="331">
        <v>2</v>
      </c>
      <c r="D193" s="331">
        <v>39690</v>
      </c>
      <c r="E193" s="331">
        <f>D193*C193</f>
        <v>79380</v>
      </c>
      <c r="F193" s="705">
        <f t="shared" si="8"/>
        <v>17872.019999999997</v>
      </c>
      <c r="G193" s="331">
        <f>E193+F193</f>
        <v>97252.01999999999</v>
      </c>
      <c r="H193" s="328"/>
      <c r="I193" s="328"/>
      <c r="J193" s="328"/>
      <c r="K193" s="328"/>
      <c r="L193" s="328"/>
      <c r="M193" s="328"/>
      <c r="N193" s="328"/>
      <c r="O193" s="328"/>
      <c r="P193" s="328"/>
    </row>
    <row r="194" spans="1:20" customFormat="1" ht="42">
      <c r="A194" s="334"/>
      <c r="B194" s="335" t="s">
        <v>1079</v>
      </c>
      <c r="C194" s="336">
        <v>2</v>
      </c>
      <c r="D194" s="336">
        <f>D96</f>
        <v>29451.629999999997</v>
      </c>
      <c r="E194" s="331">
        <f>D194*C194</f>
        <v>58903.259999999995</v>
      </c>
      <c r="F194" s="705">
        <f t="shared" si="8"/>
        <v>14800.508999999998</v>
      </c>
      <c r="G194" s="331">
        <f>E194+F194</f>
        <v>73703.769</v>
      </c>
      <c r="H194" s="328"/>
      <c r="I194" s="328"/>
      <c r="J194" s="328"/>
      <c r="K194" s="328"/>
      <c r="L194" s="328"/>
      <c r="M194" s="328"/>
      <c r="N194" s="328"/>
      <c r="O194" s="328"/>
      <c r="P194" s="328"/>
    </row>
    <row r="195" spans="1:20" customFormat="1" ht="42">
      <c r="A195" s="334"/>
      <c r="B195" s="335" t="s">
        <v>1080</v>
      </c>
      <c r="C195" s="331">
        <v>4</v>
      </c>
      <c r="D195" s="336">
        <f>D149</f>
        <v>21306.928500000002</v>
      </c>
      <c r="E195" s="331">
        <f>D195*C195</f>
        <v>85227.714000000007</v>
      </c>
      <c r="F195" s="705">
        <f t="shared" si="8"/>
        <v>24714.197099999998</v>
      </c>
      <c r="G195" s="331">
        <f>E195+F195</f>
        <v>109941.9111</v>
      </c>
      <c r="H195" s="328"/>
      <c r="I195" s="328"/>
      <c r="J195" s="328"/>
      <c r="K195" s="328"/>
      <c r="L195" s="328"/>
      <c r="M195" s="328"/>
      <c r="N195" s="328"/>
      <c r="O195" s="328"/>
      <c r="P195" s="328"/>
    </row>
    <row r="196" spans="1:20" customFormat="1">
      <c r="A196" s="334"/>
      <c r="B196" s="332" t="s">
        <v>544</v>
      </c>
      <c r="C196" s="336">
        <v>4</v>
      </c>
      <c r="D196" s="336">
        <f>D194</f>
        <v>29451.629999999997</v>
      </c>
      <c r="E196" s="331">
        <f>D196*C196</f>
        <v>117806.51999999999</v>
      </c>
      <c r="F196" s="705">
        <f t="shared" si="8"/>
        <v>29601.017999999996</v>
      </c>
      <c r="G196" s="331">
        <f>E196+F196</f>
        <v>147407.538</v>
      </c>
      <c r="H196" s="328"/>
      <c r="I196" s="328"/>
      <c r="J196" s="328"/>
      <c r="K196" s="328"/>
      <c r="L196" s="328"/>
      <c r="M196" s="328"/>
      <c r="N196" s="328"/>
      <c r="O196" s="328"/>
      <c r="P196" s="328"/>
    </row>
    <row r="197" spans="1:20" s="718" customFormat="1" ht="22.5" customHeight="1">
      <c r="A197" s="715"/>
      <c r="B197" s="715" t="s">
        <v>383</v>
      </c>
      <c r="C197" s="716">
        <f>SUM(C193:C196)</f>
        <v>12</v>
      </c>
      <c r="D197" s="716"/>
      <c r="E197" s="717">
        <f>SUM(E193:E196)</f>
        <v>341317.49400000001</v>
      </c>
      <c r="F197" s="717">
        <f>SUM(F193:F196)</f>
        <v>86987.744099999982</v>
      </c>
      <c r="G197" s="717">
        <f>SUM(G193:G196)</f>
        <v>428305.23810000002</v>
      </c>
    </row>
    <row r="198" spans="1:20" customFormat="1">
      <c r="A198" s="750"/>
      <c r="B198" s="337"/>
      <c r="C198" s="751"/>
      <c r="D198" s="751"/>
      <c r="E198" s="752"/>
      <c r="F198" s="705"/>
      <c r="G198" s="752"/>
      <c r="H198" s="328"/>
      <c r="I198" s="328"/>
      <c r="J198" s="328"/>
      <c r="K198" s="328"/>
      <c r="L198" s="328"/>
      <c r="M198" s="328"/>
      <c r="N198" s="328"/>
      <c r="O198" s="328"/>
      <c r="P198" s="328"/>
    </row>
    <row r="199" spans="1:20">
      <c r="F199" s="705"/>
    </row>
    <row r="200" spans="1:20" ht="45" customHeight="1">
      <c r="B200" s="753" t="str">
        <f>Инфраструктура!A6</f>
        <v>Гостиничный комплекс 4* "У Бювета"</v>
      </c>
      <c r="C200" s="701"/>
      <c r="D200" s="705"/>
      <c r="E200" s="700"/>
      <c r="F200" s="705"/>
      <c r="G200" s="700"/>
    </row>
    <row r="201" spans="1:20" s="725" customFormat="1">
      <c r="A201" s="722"/>
      <c r="B201" s="754" t="s">
        <v>515</v>
      </c>
      <c r="C201" s="755"/>
      <c r="D201" s="755"/>
      <c r="E201" s="755"/>
      <c r="F201" s="755"/>
      <c r="G201" s="755"/>
      <c r="H201" s="724"/>
      <c r="I201" s="756"/>
      <c r="J201" s="723"/>
      <c r="K201" s="723"/>
      <c r="L201" s="723"/>
      <c r="M201" s="723"/>
      <c r="N201" s="723"/>
      <c r="O201" s="724"/>
      <c r="P201" s="724"/>
      <c r="Q201" s="724"/>
      <c r="R201" s="756"/>
      <c r="S201" s="723"/>
      <c r="T201" s="723"/>
    </row>
    <row r="202" spans="1:20">
      <c r="B202" s="700" t="s">
        <v>1082</v>
      </c>
      <c r="C202" s="704">
        <v>1</v>
      </c>
      <c r="D202" s="705">
        <v>150000</v>
      </c>
      <c r="E202" s="705">
        <f t="shared" ref="E202:E203" si="11">D202*C202</f>
        <v>150000</v>
      </c>
      <c r="F202" s="705">
        <f t="shared" ref="F202:F264" si="12">(19242*30.5%+(D202-19242)*15%)*C202</f>
        <v>25482.510000000002</v>
      </c>
      <c r="G202" s="705">
        <f t="shared" ref="G202:G203" si="13">E202+F202</f>
        <v>175482.51</v>
      </c>
    </row>
    <row r="203" spans="1:20">
      <c r="B203" s="700" t="s">
        <v>516</v>
      </c>
      <c r="C203" s="704">
        <v>1</v>
      </c>
      <c r="D203" s="705">
        <v>50000</v>
      </c>
      <c r="E203" s="705">
        <f t="shared" si="11"/>
        <v>50000</v>
      </c>
      <c r="F203" s="705">
        <f t="shared" si="12"/>
        <v>10482.509999999998</v>
      </c>
      <c r="G203" s="705">
        <f t="shared" si="13"/>
        <v>60482.509999999995</v>
      </c>
    </row>
    <row r="204" spans="1:20" s="725" customFormat="1">
      <c r="A204" s="722"/>
      <c r="B204" s="754" t="s">
        <v>517</v>
      </c>
      <c r="C204" s="755"/>
      <c r="D204" s="755"/>
      <c r="E204" s="755"/>
      <c r="F204" s="755"/>
      <c r="G204" s="755"/>
      <c r="H204" s="724"/>
      <c r="I204" s="756"/>
      <c r="J204" s="723"/>
      <c r="K204" s="723"/>
      <c r="L204" s="723"/>
      <c r="M204" s="723"/>
      <c r="N204" s="723"/>
      <c r="O204" s="724"/>
      <c r="P204" s="724"/>
      <c r="Q204" s="724"/>
      <c r="R204" s="756"/>
      <c r="S204" s="723"/>
      <c r="T204" s="723"/>
    </row>
    <row r="205" spans="1:20">
      <c r="A205" s="700"/>
      <c r="B205" s="700" t="s">
        <v>1001</v>
      </c>
      <c r="C205" s="704">
        <v>1</v>
      </c>
      <c r="D205" s="705">
        <v>45000</v>
      </c>
      <c r="E205" s="705">
        <f>D205*C205</f>
        <v>45000</v>
      </c>
      <c r="F205" s="705">
        <f t="shared" si="12"/>
        <v>9732.5099999999984</v>
      </c>
      <c r="G205" s="705">
        <f>E205+F205</f>
        <v>54732.509999999995</v>
      </c>
    </row>
    <row r="206" spans="1:20" customFormat="1">
      <c r="A206" s="329"/>
      <c r="B206" s="727" t="s">
        <v>518</v>
      </c>
      <c r="C206" s="757"/>
      <c r="D206" s="757"/>
      <c r="E206" s="757"/>
      <c r="F206" s="757"/>
      <c r="G206" s="757"/>
      <c r="H206" s="330"/>
      <c r="I206" s="758"/>
      <c r="J206" s="333"/>
      <c r="K206" s="333"/>
      <c r="L206" s="333"/>
      <c r="M206" s="333"/>
      <c r="N206" s="333"/>
      <c r="O206" s="330"/>
      <c r="P206" s="330"/>
      <c r="Q206" s="330"/>
      <c r="R206" s="758"/>
      <c r="S206" s="333"/>
      <c r="T206" s="333"/>
    </row>
    <row r="207" spans="1:20">
      <c r="A207" s="700"/>
      <c r="B207" s="700" t="s">
        <v>1005</v>
      </c>
      <c r="C207" s="704">
        <v>1</v>
      </c>
      <c r="D207" s="705">
        <v>45000</v>
      </c>
      <c r="E207" s="705">
        <f t="shared" ref="E207" si="14">D207*C207</f>
        <v>45000</v>
      </c>
      <c r="F207" s="705">
        <f t="shared" si="12"/>
        <v>9732.5099999999984</v>
      </c>
      <c r="G207" s="705">
        <f t="shared" ref="G207" si="15">E207+F207</f>
        <v>54732.509999999995</v>
      </c>
    </row>
    <row r="208" spans="1:20" customFormat="1">
      <c r="A208" s="329"/>
      <c r="B208" s="727" t="s">
        <v>519</v>
      </c>
      <c r="C208" s="757"/>
      <c r="D208" s="757"/>
      <c r="E208" s="757"/>
      <c r="F208" s="757"/>
      <c r="G208" s="757"/>
      <c r="H208" s="330"/>
      <c r="I208" s="758"/>
      <c r="J208" s="333"/>
      <c r="K208" s="333"/>
      <c r="L208" s="333"/>
      <c r="M208" s="333"/>
      <c r="N208" s="333"/>
      <c r="O208" s="330"/>
      <c r="P208" s="330"/>
      <c r="Q208" s="330"/>
      <c r="R208" s="758"/>
      <c r="S208" s="333"/>
      <c r="T208" s="333"/>
    </row>
    <row r="209" spans="1:20">
      <c r="A209" s="700"/>
      <c r="B209" s="700" t="s">
        <v>1085</v>
      </c>
      <c r="C209" s="704">
        <v>2</v>
      </c>
      <c r="D209" s="705">
        <v>47000</v>
      </c>
      <c r="E209" s="705">
        <f t="shared" ref="E209:E210" si="16">D209*C209</f>
        <v>94000</v>
      </c>
      <c r="F209" s="705">
        <f t="shared" si="12"/>
        <v>20065.019999999997</v>
      </c>
      <c r="G209" s="705">
        <f t="shared" ref="G209:G210" si="17">E209+F209</f>
        <v>114065.01999999999</v>
      </c>
    </row>
    <row r="210" spans="1:20">
      <c r="A210" s="700"/>
      <c r="B210" s="700" t="s">
        <v>522</v>
      </c>
      <c r="C210" s="704">
        <v>1</v>
      </c>
      <c r="D210" s="705">
        <v>47000</v>
      </c>
      <c r="E210" s="705">
        <f t="shared" si="16"/>
        <v>47000</v>
      </c>
      <c r="F210" s="705">
        <f t="shared" si="12"/>
        <v>10032.509999999998</v>
      </c>
      <c r="G210" s="705">
        <f t="shared" si="17"/>
        <v>57032.509999999995</v>
      </c>
    </row>
    <row r="211" spans="1:20" customFormat="1">
      <c r="A211" s="329"/>
      <c r="B211" s="727" t="s">
        <v>524</v>
      </c>
      <c r="C211" s="757"/>
      <c r="D211" s="757"/>
      <c r="E211" s="757"/>
      <c r="F211" s="757"/>
      <c r="G211" s="757"/>
      <c r="H211" s="330"/>
      <c r="I211" s="758"/>
      <c r="J211" s="333"/>
      <c r="K211" s="333"/>
      <c r="L211" s="333"/>
      <c r="M211" s="333"/>
      <c r="N211" s="333"/>
      <c r="O211" s="330"/>
      <c r="P211" s="330"/>
      <c r="Q211" s="330"/>
      <c r="R211" s="758"/>
      <c r="S211" s="333"/>
      <c r="T211" s="333"/>
    </row>
    <row r="212" spans="1:20">
      <c r="A212" s="721"/>
      <c r="B212" s="700" t="s">
        <v>1086</v>
      </c>
      <c r="C212" s="704">
        <v>6</v>
      </c>
      <c r="D212" s="705">
        <v>35000</v>
      </c>
      <c r="E212" s="705">
        <f t="shared" ref="E212:E213" si="18">D212*C212</f>
        <v>210000</v>
      </c>
      <c r="F212" s="705">
        <f t="shared" si="12"/>
        <v>49395.05999999999</v>
      </c>
      <c r="G212" s="705">
        <f t="shared" ref="G212:G213" si="19">E212+F212</f>
        <v>259395.06</v>
      </c>
    </row>
    <row r="213" spans="1:20" ht="28">
      <c r="A213" s="721"/>
      <c r="B213" s="700" t="s">
        <v>525</v>
      </c>
      <c r="C213" s="704">
        <v>2</v>
      </c>
      <c r="D213" s="705">
        <v>35000</v>
      </c>
      <c r="E213" s="705">
        <f t="shared" si="18"/>
        <v>70000</v>
      </c>
      <c r="F213" s="705">
        <f t="shared" si="12"/>
        <v>16465.019999999997</v>
      </c>
      <c r="G213" s="705">
        <f t="shared" si="19"/>
        <v>86465.01999999999</v>
      </c>
    </row>
    <row r="214" spans="1:20" customFormat="1" ht="28">
      <c r="A214" s="329"/>
      <c r="B214" s="727" t="s">
        <v>526</v>
      </c>
      <c r="C214" s="757"/>
      <c r="D214" s="757"/>
      <c r="E214" s="757"/>
      <c r="F214" s="757"/>
      <c r="G214" s="757"/>
      <c r="H214" s="330"/>
      <c r="I214" s="758"/>
      <c r="J214" s="333"/>
      <c r="K214" s="333"/>
      <c r="L214" s="333"/>
      <c r="M214" s="333"/>
      <c r="N214" s="333"/>
      <c r="O214" s="330"/>
      <c r="P214" s="330"/>
      <c r="Q214" s="330"/>
      <c r="R214" s="758"/>
      <c r="S214" s="333"/>
      <c r="T214" s="333"/>
    </row>
    <row r="215" spans="1:20" ht="42">
      <c r="A215" s="700"/>
      <c r="B215" s="700" t="s">
        <v>1027</v>
      </c>
      <c r="C215" s="704">
        <v>2</v>
      </c>
      <c r="D215" s="705">
        <v>25000</v>
      </c>
      <c r="E215" s="705">
        <f t="shared" ref="E215:E216" si="20">D215*C215</f>
        <v>50000</v>
      </c>
      <c r="F215" s="705">
        <f t="shared" si="12"/>
        <v>13465.019999999999</v>
      </c>
      <c r="G215" s="705">
        <f t="shared" ref="G215:G216" si="21">E215+F215</f>
        <v>63465.02</v>
      </c>
    </row>
    <row r="216" spans="1:20">
      <c r="A216" s="700"/>
      <c r="B216" s="700" t="s">
        <v>1028</v>
      </c>
      <c r="C216" s="704">
        <v>2</v>
      </c>
      <c r="D216" s="705">
        <v>25000</v>
      </c>
      <c r="E216" s="705">
        <f t="shared" si="20"/>
        <v>50000</v>
      </c>
      <c r="F216" s="705">
        <f t="shared" si="12"/>
        <v>13465.019999999999</v>
      </c>
      <c r="G216" s="705">
        <f t="shared" si="21"/>
        <v>63465.02</v>
      </c>
    </row>
    <row r="217" spans="1:20" customFormat="1">
      <c r="A217" s="329"/>
      <c r="B217" s="727" t="s">
        <v>527</v>
      </c>
      <c r="C217" s="759"/>
      <c r="D217" s="757"/>
      <c r="E217" s="757"/>
      <c r="F217" s="757"/>
      <c r="G217" s="757"/>
      <c r="H217" s="330"/>
      <c r="I217" s="758"/>
      <c r="J217" s="333"/>
      <c r="K217" s="333"/>
      <c r="L217" s="333"/>
      <c r="M217" s="333"/>
      <c r="N217" s="333"/>
      <c r="O217" s="330"/>
      <c r="P217" s="330"/>
      <c r="Q217" s="330"/>
      <c r="R217" s="758"/>
      <c r="S217" s="333"/>
      <c r="T217" s="333"/>
    </row>
    <row r="218" spans="1:20">
      <c r="A218" s="700"/>
      <c r="B218" s="700" t="s">
        <v>1045</v>
      </c>
      <c r="C218" s="704">
        <v>2</v>
      </c>
      <c r="D218" s="705">
        <v>40000</v>
      </c>
      <c r="E218" s="705">
        <f t="shared" ref="E218:E219" si="22">D218*C218</f>
        <v>80000</v>
      </c>
      <c r="F218" s="705">
        <f t="shared" si="12"/>
        <v>17965.019999999997</v>
      </c>
      <c r="G218" s="705">
        <f t="shared" ref="G218:G219" si="23">E218+F218</f>
        <v>97965.01999999999</v>
      </c>
    </row>
    <row r="219" spans="1:20" ht="28">
      <c r="A219" s="700"/>
      <c r="B219" s="700" t="s">
        <v>1047</v>
      </c>
      <c r="C219" s="704">
        <v>1</v>
      </c>
      <c r="D219" s="705">
        <v>40000</v>
      </c>
      <c r="E219" s="705">
        <f t="shared" si="22"/>
        <v>40000</v>
      </c>
      <c r="F219" s="705">
        <f t="shared" si="12"/>
        <v>8982.5099999999984</v>
      </c>
      <c r="G219" s="705">
        <f t="shared" si="23"/>
        <v>48982.509999999995</v>
      </c>
    </row>
    <row r="220" spans="1:20" customFormat="1">
      <c r="A220" s="329"/>
      <c r="B220" s="727" t="s">
        <v>529</v>
      </c>
      <c r="C220" s="757"/>
      <c r="D220" s="757"/>
      <c r="E220" s="757"/>
      <c r="F220" s="757"/>
      <c r="G220" s="757"/>
      <c r="H220" s="330"/>
      <c r="I220" s="758"/>
      <c r="J220" s="333"/>
      <c r="K220" s="333"/>
      <c r="L220" s="333"/>
      <c r="M220" s="333"/>
      <c r="N220" s="333"/>
      <c r="O220" s="330"/>
      <c r="P220" s="330"/>
      <c r="Q220" s="330"/>
      <c r="R220" s="758"/>
      <c r="S220" s="333"/>
      <c r="T220" s="333"/>
    </row>
    <row r="221" spans="1:20" customFormat="1">
      <c r="A221" s="330"/>
      <c r="B221" s="700" t="s">
        <v>1087</v>
      </c>
      <c r="C221" s="704">
        <v>2</v>
      </c>
      <c r="D221" s="752">
        <v>38000</v>
      </c>
      <c r="E221" s="705">
        <f t="shared" ref="E221:E228" si="24">D221*C221</f>
        <v>76000</v>
      </c>
      <c r="F221" s="705">
        <f t="shared" si="12"/>
        <v>17365.019999999997</v>
      </c>
      <c r="G221" s="705">
        <f t="shared" ref="G221:G228" si="25">E221+F221</f>
        <v>93365.01999999999</v>
      </c>
      <c r="H221" s="330"/>
      <c r="I221" s="758"/>
      <c r="J221" s="333"/>
      <c r="K221" s="333"/>
      <c r="L221" s="333"/>
      <c r="M221" s="333"/>
      <c r="N221" s="333"/>
      <c r="O221" s="330"/>
      <c r="P221" s="330"/>
      <c r="Q221" s="330"/>
      <c r="R221" s="758"/>
      <c r="S221" s="333"/>
      <c r="T221" s="333"/>
    </row>
    <row r="222" spans="1:20">
      <c r="A222" s="700"/>
      <c r="B222" s="700" t="s">
        <v>1037</v>
      </c>
      <c r="C222" s="704">
        <f>Инфраструктура!B7/15*2</f>
        <v>16</v>
      </c>
      <c r="D222" s="705">
        <v>30000</v>
      </c>
      <c r="E222" s="705">
        <f t="shared" si="24"/>
        <v>480000</v>
      </c>
      <c r="F222" s="705">
        <f t="shared" si="12"/>
        <v>119720.15999999999</v>
      </c>
      <c r="G222" s="705">
        <f t="shared" si="25"/>
        <v>599720.16</v>
      </c>
    </row>
    <row r="223" spans="1:20" ht="28">
      <c r="A223" s="700"/>
      <c r="B223" s="700" t="s">
        <v>950</v>
      </c>
      <c r="C223" s="704">
        <v>8</v>
      </c>
      <c r="D223" s="705">
        <v>30000</v>
      </c>
      <c r="E223" s="705">
        <f t="shared" si="24"/>
        <v>240000</v>
      </c>
      <c r="F223" s="705">
        <f t="shared" si="12"/>
        <v>59860.079999999994</v>
      </c>
      <c r="G223" s="705">
        <f t="shared" si="25"/>
        <v>299860.08</v>
      </c>
    </row>
    <row r="224" spans="1:20" customFormat="1" ht="28">
      <c r="A224" s="334"/>
      <c r="B224" s="335" t="s">
        <v>530</v>
      </c>
      <c r="C224" s="704">
        <v>4</v>
      </c>
      <c r="D224" s="705">
        <v>30000</v>
      </c>
      <c r="E224" s="705">
        <f t="shared" si="24"/>
        <v>120000</v>
      </c>
      <c r="F224" s="705">
        <f t="shared" si="12"/>
        <v>29930.039999999997</v>
      </c>
      <c r="G224" s="705">
        <f t="shared" si="25"/>
        <v>149930.04</v>
      </c>
      <c r="H224" s="328"/>
      <c r="I224" s="328"/>
      <c r="J224" s="328"/>
      <c r="K224" s="328"/>
      <c r="L224" s="328"/>
      <c r="M224" s="328"/>
      <c r="N224" s="328"/>
      <c r="O224" s="328"/>
      <c r="P224" s="328"/>
      <c r="Q224" s="328"/>
      <c r="R224" s="328"/>
      <c r="S224" s="328"/>
      <c r="T224" s="328"/>
    </row>
    <row r="225" spans="1:24" customFormat="1">
      <c r="A225" s="334"/>
      <c r="B225" s="335" t="s">
        <v>531</v>
      </c>
      <c r="C225" s="704">
        <v>2</v>
      </c>
      <c r="D225" s="705">
        <v>30000</v>
      </c>
      <c r="E225" s="705">
        <f t="shared" si="24"/>
        <v>60000</v>
      </c>
      <c r="F225" s="705">
        <f t="shared" si="12"/>
        <v>14965.019999999999</v>
      </c>
      <c r="G225" s="705">
        <f t="shared" si="25"/>
        <v>74965.02</v>
      </c>
      <c r="H225" s="328"/>
      <c r="I225" s="328"/>
      <c r="J225" s="328"/>
      <c r="K225" s="328"/>
      <c r="L225" s="328"/>
      <c r="M225" s="328"/>
      <c r="N225" s="328"/>
      <c r="O225" s="328"/>
      <c r="P225" s="328"/>
      <c r="Q225" s="328"/>
      <c r="R225" s="328"/>
      <c r="S225" s="328"/>
      <c r="T225" s="328"/>
    </row>
    <row r="226" spans="1:24" customFormat="1">
      <c r="A226" s="334"/>
      <c r="B226" s="335" t="s">
        <v>532</v>
      </c>
      <c r="C226" s="704">
        <v>2</v>
      </c>
      <c r="D226" s="705">
        <v>30000</v>
      </c>
      <c r="E226" s="705">
        <f t="shared" si="24"/>
        <v>60000</v>
      </c>
      <c r="F226" s="705">
        <f t="shared" si="12"/>
        <v>14965.019999999999</v>
      </c>
      <c r="G226" s="705">
        <f t="shared" si="25"/>
        <v>74965.02</v>
      </c>
      <c r="H226" s="328"/>
      <c r="I226" s="328"/>
      <c r="J226" s="328"/>
      <c r="K226" s="328"/>
      <c r="L226" s="328"/>
      <c r="M226" s="328"/>
      <c r="N226" s="328"/>
      <c r="O226" s="328"/>
      <c r="P226" s="328"/>
      <c r="Q226" s="328"/>
      <c r="R226" s="328"/>
      <c r="S226" s="328"/>
      <c r="T226" s="328"/>
    </row>
    <row r="227" spans="1:24" customFormat="1">
      <c r="A227" s="334"/>
      <c r="B227" s="335" t="s">
        <v>533</v>
      </c>
      <c r="C227" s="704">
        <v>2</v>
      </c>
      <c r="D227" s="705">
        <v>30000</v>
      </c>
      <c r="E227" s="705">
        <f t="shared" si="24"/>
        <v>60000</v>
      </c>
      <c r="F227" s="705">
        <f t="shared" si="12"/>
        <v>14965.019999999999</v>
      </c>
      <c r="G227" s="705">
        <f t="shared" si="25"/>
        <v>74965.02</v>
      </c>
      <c r="H227" s="328"/>
      <c r="I227" s="328"/>
      <c r="J227" s="328"/>
      <c r="K227" s="328"/>
      <c r="L227" s="328"/>
      <c r="M227" s="328"/>
      <c r="N227" s="328"/>
      <c r="O227" s="328"/>
      <c r="P227" s="328"/>
      <c r="Q227" s="328"/>
      <c r="R227" s="328"/>
      <c r="S227" s="328"/>
      <c r="T227" s="328"/>
    </row>
    <row r="228" spans="1:24" ht="28">
      <c r="A228" s="700"/>
      <c r="B228" s="700" t="s">
        <v>1023</v>
      </c>
      <c r="C228" s="704">
        <v>2</v>
      </c>
      <c r="D228" s="705">
        <v>30000</v>
      </c>
      <c r="E228" s="705">
        <f t="shared" si="24"/>
        <v>60000</v>
      </c>
      <c r="F228" s="705">
        <f t="shared" si="12"/>
        <v>14965.019999999999</v>
      </c>
      <c r="G228" s="705">
        <f t="shared" si="25"/>
        <v>74965.02</v>
      </c>
    </row>
    <row r="229" spans="1:24" customFormat="1">
      <c r="A229" s="329"/>
      <c r="B229" s="727" t="s">
        <v>534</v>
      </c>
      <c r="C229" s="757"/>
      <c r="D229" s="757"/>
      <c r="E229" s="757"/>
      <c r="F229" s="757"/>
      <c r="G229" s="757"/>
      <c r="H229" s="333"/>
      <c r="I229" s="333"/>
      <c r="J229" s="330"/>
      <c r="K229" s="330"/>
      <c r="L229" s="330"/>
      <c r="M229" s="758"/>
      <c r="N229" s="333"/>
      <c r="O229" s="333"/>
      <c r="P229" s="333"/>
      <c r="Q229" s="333"/>
      <c r="R229" s="333"/>
      <c r="S229" s="330"/>
      <c r="T229" s="330"/>
      <c r="U229" s="330"/>
      <c r="V229" s="758"/>
      <c r="W229" s="333"/>
      <c r="X229" s="333"/>
    </row>
    <row r="230" spans="1:24" customFormat="1" ht="28">
      <c r="A230" s="334"/>
      <c r="B230" s="335" t="s">
        <v>535</v>
      </c>
      <c r="C230" s="704">
        <v>2</v>
      </c>
      <c r="D230" s="336">
        <v>35000</v>
      </c>
      <c r="E230" s="705">
        <f t="shared" ref="E230:E237" si="26">D230*C230</f>
        <v>70000</v>
      </c>
      <c r="F230" s="705">
        <f t="shared" si="12"/>
        <v>16465.019999999997</v>
      </c>
      <c r="G230" s="705">
        <f t="shared" ref="G230:G238" si="27">E230+F230</f>
        <v>86465.01999999999</v>
      </c>
      <c r="H230" s="328"/>
      <c r="I230" s="328"/>
      <c r="J230" s="328"/>
      <c r="K230" s="328"/>
      <c r="L230" s="328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</row>
    <row r="231" spans="1:24" customFormat="1">
      <c r="A231" s="334"/>
      <c r="B231" s="335" t="s">
        <v>536</v>
      </c>
      <c r="C231" s="704">
        <v>1</v>
      </c>
      <c r="D231" s="336">
        <v>45000</v>
      </c>
      <c r="E231" s="705">
        <f t="shared" si="26"/>
        <v>45000</v>
      </c>
      <c r="F231" s="705">
        <f t="shared" si="12"/>
        <v>9732.5099999999984</v>
      </c>
      <c r="G231" s="705">
        <f t="shared" si="27"/>
        <v>54732.509999999995</v>
      </c>
      <c r="H231" s="328"/>
      <c r="I231" s="328"/>
      <c r="J231" s="328"/>
      <c r="K231" s="328"/>
      <c r="L231" s="328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</row>
    <row r="232" spans="1:24" customFormat="1">
      <c r="A232" s="334"/>
      <c r="B232" s="335" t="s">
        <v>537</v>
      </c>
      <c r="C232" s="704">
        <v>1</v>
      </c>
      <c r="D232" s="336">
        <v>60000</v>
      </c>
      <c r="E232" s="705">
        <f t="shared" si="26"/>
        <v>60000</v>
      </c>
      <c r="F232" s="705">
        <f t="shared" si="12"/>
        <v>11982.509999999998</v>
      </c>
      <c r="G232" s="705">
        <f t="shared" si="27"/>
        <v>71982.509999999995</v>
      </c>
      <c r="H232" s="328"/>
      <c r="I232" s="328"/>
      <c r="J232" s="328"/>
      <c r="K232" s="328"/>
      <c r="L232" s="328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</row>
    <row r="233" spans="1:24" customFormat="1">
      <c r="A233" s="334"/>
      <c r="B233" s="335" t="s">
        <v>538</v>
      </c>
      <c r="C233" s="704">
        <v>4</v>
      </c>
      <c r="D233" s="336">
        <v>35000</v>
      </c>
      <c r="E233" s="705">
        <f t="shared" si="26"/>
        <v>140000</v>
      </c>
      <c r="F233" s="705">
        <f t="shared" si="12"/>
        <v>32930.039999999994</v>
      </c>
      <c r="G233" s="705">
        <f t="shared" si="27"/>
        <v>172930.03999999998</v>
      </c>
      <c r="H233" s="328"/>
      <c r="I233" s="328"/>
      <c r="J233" s="328"/>
      <c r="K233" s="328"/>
      <c r="L233" s="328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</row>
    <row r="234" spans="1:24" customFormat="1" ht="28">
      <c r="A234" s="334"/>
      <c r="B234" s="335" t="s">
        <v>539</v>
      </c>
      <c r="C234" s="704">
        <v>2</v>
      </c>
      <c r="D234" s="336">
        <v>35000</v>
      </c>
      <c r="E234" s="705">
        <f t="shared" si="26"/>
        <v>70000</v>
      </c>
      <c r="F234" s="705">
        <f t="shared" si="12"/>
        <v>16465.019999999997</v>
      </c>
      <c r="G234" s="705">
        <f t="shared" si="27"/>
        <v>86465.01999999999</v>
      </c>
      <c r="H234" s="328"/>
      <c r="I234" s="328"/>
      <c r="J234" s="328"/>
      <c r="K234" s="328"/>
      <c r="L234" s="328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</row>
    <row r="235" spans="1:24" customFormat="1">
      <c r="A235" s="334"/>
      <c r="B235" s="335" t="s">
        <v>540</v>
      </c>
      <c r="C235" s="704">
        <v>1</v>
      </c>
      <c r="D235" s="336">
        <v>45000</v>
      </c>
      <c r="E235" s="705">
        <f t="shared" si="26"/>
        <v>45000</v>
      </c>
      <c r="F235" s="705">
        <f t="shared" si="12"/>
        <v>9732.5099999999984</v>
      </c>
      <c r="G235" s="705">
        <f t="shared" si="27"/>
        <v>54732.509999999995</v>
      </c>
      <c r="H235" s="328"/>
      <c r="I235" s="328"/>
      <c r="J235" s="328"/>
      <c r="K235" s="328"/>
      <c r="L235" s="328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</row>
    <row r="236" spans="1:24" customFormat="1">
      <c r="A236" s="329"/>
      <c r="B236" s="727" t="s">
        <v>541</v>
      </c>
      <c r="C236" s="757"/>
      <c r="D236" s="757"/>
      <c r="E236" s="757"/>
      <c r="F236" s="757"/>
      <c r="G236" s="757"/>
      <c r="H236" s="333"/>
      <c r="I236" s="333"/>
      <c r="J236" s="330"/>
      <c r="K236" s="330"/>
      <c r="L236" s="330"/>
      <c r="M236" s="758"/>
      <c r="N236" s="333"/>
      <c r="O236" s="333"/>
      <c r="P236" s="333"/>
      <c r="Q236" s="333"/>
      <c r="R236" s="333"/>
      <c r="S236" s="330"/>
      <c r="T236" s="330"/>
      <c r="U236" s="330"/>
      <c r="V236" s="758"/>
      <c r="W236" s="333"/>
      <c r="X236" s="333"/>
    </row>
    <row r="237" spans="1:24" customFormat="1">
      <c r="A237" s="334"/>
      <c r="B237" s="335" t="s">
        <v>542</v>
      </c>
      <c r="C237" s="704">
        <v>1</v>
      </c>
      <c r="D237" s="331">
        <v>60000</v>
      </c>
      <c r="E237" s="705">
        <f t="shared" si="26"/>
        <v>60000</v>
      </c>
      <c r="F237" s="705">
        <f t="shared" si="12"/>
        <v>11982.509999999998</v>
      </c>
      <c r="G237" s="705">
        <f t="shared" si="27"/>
        <v>71982.509999999995</v>
      </c>
      <c r="H237" s="328"/>
      <c r="I237" s="328"/>
      <c r="J237" s="328"/>
      <c r="K237" s="328"/>
      <c r="L237" s="328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</row>
    <row r="238" spans="1:24" customFormat="1">
      <c r="A238" s="334"/>
      <c r="B238" s="335" t="s">
        <v>543</v>
      </c>
      <c r="C238" s="704">
        <v>4</v>
      </c>
      <c r="D238" s="336">
        <v>35000</v>
      </c>
      <c r="E238" s="705">
        <f>D238*C238</f>
        <v>140000</v>
      </c>
      <c r="F238" s="705">
        <f t="shared" si="12"/>
        <v>32930.039999999994</v>
      </c>
      <c r="G238" s="705">
        <f t="shared" si="27"/>
        <v>172930.03999999998</v>
      </c>
      <c r="H238" s="328"/>
      <c r="I238" s="328"/>
      <c r="J238" s="328"/>
      <c r="K238" s="328"/>
      <c r="L238" s="328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</row>
    <row r="239" spans="1:24" customFormat="1">
      <c r="A239" s="329"/>
      <c r="B239" s="727" t="s">
        <v>1088</v>
      </c>
      <c r="C239" s="757"/>
      <c r="D239" s="757"/>
      <c r="E239" s="757"/>
      <c r="F239" s="757"/>
      <c r="G239" s="757"/>
      <c r="H239" s="333"/>
      <c r="I239" s="333"/>
      <c r="J239" s="330"/>
      <c r="K239" s="330"/>
      <c r="L239" s="330"/>
      <c r="M239" s="758"/>
      <c r="N239" s="333"/>
      <c r="O239" s="333"/>
      <c r="P239" s="333"/>
      <c r="Q239" s="333"/>
      <c r="R239" s="333"/>
      <c r="S239" s="330"/>
      <c r="T239" s="330"/>
      <c r="U239" s="330"/>
      <c r="V239" s="758"/>
      <c r="W239" s="333"/>
      <c r="X239" s="333"/>
    </row>
    <row r="240" spans="1:24">
      <c r="A240" s="721"/>
      <c r="B240" s="700" t="s">
        <v>1089</v>
      </c>
      <c r="C240" s="704">
        <v>2</v>
      </c>
      <c r="D240" s="336">
        <v>35000</v>
      </c>
      <c r="E240" s="705">
        <f t="shared" ref="E240" si="28">D240*C240</f>
        <v>70000</v>
      </c>
      <c r="F240" s="705">
        <f t="shared" si="12"/>
        <v>16465.019999999997</v>
      </c>
      <c r="G240" s="705">
        <f t="shared" ref="G240" si="29">E240+F240</f>
        <v>86465.01999999999</v>
      </c>
    </row>
    <row r="241" spans="1:28" customFormat="1" ht="28">
      <c r="A241" s="329"/>
      <c r="B241" s="727" t="s">
        <v>545</v>
      </c>
      <c r="C241" s="757"/>
      <c r="D241" s="757"/>
      <c r="E241" s="757"/>
      <c r="F241" s="757"/>
      <c r="G241" s="757"/>
      <c r="H241" s="758"/>
      <c r="I241" s="333"/>
      <c r="J241" s="333"/>
      <c r="K241" s="333"/>
      <c r="L241" s="333"/>
      <c r="M241" s="333"/>
      <c r="N241" s="330"/>
      <c r="O241" s="330"/>
      <c r="P241" s="330"/>
      <c r="Q241" s="758"/>
      <c r="R241" s="333"/>
      <c r="S241" s="333"/>
      <c r="T241" s="333"/>
      <c r="U241" s="333"/>
      <c r="V241" s="333"/>
      <c r="W241" s="330"/>
      <c r="X241" s="330"/>
      <c r="Y241" s="330"/>
      <c r="Z241" s="758"/>
      <c r="AA241" s="333"/>
      <c r="AB241" s="333"/>
    </row>
    <row r="242" spans="1:28" customFormat="1" ht="28">
      <c r="A242" s="334"/>
      <c r="B242" s="335" t="s">
        <v>549</v>
      </c>
      <c r="C242" s="704">
        <v>2</v>
      </c>
      <c r="D242" s="336">
        <v>60000</v>
      </c>
      <c r="E242" s="705">
        <f t="shared" ref="E242:E257" si="30">D242*C242</f>
        <v>120000</v>
      </c>
      <c r="F242" s="705">
        <f t="shared" si="12"/>
        <v>23965.019999999997</v>
      </c>
      <c r="G242" s="705">
        <f t="shared" ref="G242:G257" si="31">E242+F242</f>
        <v>143965.01999999999</v>
      </c>
      <c r="H242" s="328"/>
      <c r="I242" s="328"/>
      <c r="J242" s="328"/>
      <c r="K242" s="328"/>
      <c r="L242" s="328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  <c r="AA242" s="328"/>
      <c r="AB242" s="328"/>
    </row>
    <row r="243" spans="1:28" customFormat="1" ht="28">
      <c r="A243" s="334"/>
      <c r="B243" s="335" t="s">
        <v>546</v>
      </c>
      <c r="C243" s="704">
        <v>1</v>
      </c>
      <c r="D243" s="336">
        <v>60000</v>
      </c>
      <c r="E243" s="705">
        <f t="shared" si="30"/>
        <v>60000</v>
      </c>
      <c r="F243" s="705">
        <f t="shared" si="12"/>
        <v>11982.509999999998</v>
      </c>
      <c r="G243" s="705">
        <f t="shared" si="31"/>
        <v>71982.509999999995</v>
      </c>
      <c r="H243" s="328"/>
      <c r="I243" s="328"/>
      <c r="J243" s="328"/>
      <c r="K243" s="328"/>
      <c r="L243" s="328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  <c r="AA243" s="328"/>
      <c r="AB243" s="328"/>
    </row>
    <row r="244" spans="1:28" customFormat="1" ht="28">
      <c r="A244" s="334"/>
      <c r="B244" s="335" t="s">
        <v>547</v>
      </c>
      <c r="C244" s="704">
        <v>2</v>
      </c>
      <c r="D244" s="336">
        <v>40000</v>
      </c>
      <c r="E244" s="705">
        <f t="shared" si="30"/>
        <v>80000</v>
      </c>
      <c r="F244" s="705">
        <f t="shared" si="12"/>
        <v>17965.019999999997</v>
      </c>
      <c r="G244" s="705">
        <f t="shared" si="31"/>
        <v>97965.01999999999</v>
      </c>
      <c r="H244" s="328"/>
      <c r="I244" s="328"/>
      <c r="J244" s="328"/>
      <c r="K244" s="328"/>
      <c r="L244" s="328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  <c r="AA244" s="328"/>
      <c r="AB244" s="328"/>
    </row>
    <row r="245" spans="1:28" customFormat="1">
      <c r="A245" s="334"/>
      <c r="B245" s="335" t="s">
        <v>548</v>
      </c>
      <c r="C245" s="704">
        <v>2</v>
      </c>
      <c r="D245" s="336">
        <v>50000</v>
      </c>
      <c r="E245" s="705">
        <f t="shared" si="30"/>
        <v>100000</v>
      </c>
      <c r="F245" s="705">
        <f t="shared" si="12"/>
        <v>20965.019999999997</v>
      </c>
      <c r="G245" s="705">
        <f t="shared" si="31"/>
        <v>120965.01999999999</v>
      </c>
      <c r="H245" s="328"/>
      <c r="I245" s="328"/>
      <c r="J245" s="328"/>
      <c r="K245" s="328"/>
      <c r="L245" s="328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  <c r="AA245" s="328"/>
      <c r="AB245" s="328"/>
    </row>
    <row r="246" spans="1:28" customFormat="1">
      <c r="A246" s="334"/>
      <c r="B246" s="335" t="s">
        <v>550</v>
      </c>
      <c r="C246" s="704">
        <v>1</v>
      </c>
      <c r="D246" s="336">
        <v>120000</v>
      </c>
      <c r="E246" s="705">
        <f t="shared" si="30"/>
        <v>120000</v>
      </c>
      <c r="F246" s="705">
        <f t="shared" si="12"/>
        <v>20982.51</v>
      </c>
      <c r="G246" s="705">
        <f t="shared" si="31"/>
        <v>140982.51</v>
      </c>
      <c r="H246" s="328"/>
      <c r="I246" s="328"/>
      <c r="J246" s="328"/>
      <c r="K246" s="328"/>
      <c r="L246" s="328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  <c r="AA246" s="328"/>
      <c r="AB246" s="328"/>
    </row>
    <row r="247" spans="1:28" customFormat="1">
      <c r="A247" s="334"/>
      <c r="B247" s="335" t="s">
        <v>551</v>
      </c>
      <c r="C247" s="704">
        <v>2</v>
      </c>
      <c r="D247" s="336">
        <v>75000</v>
      </c>
      <c r="E247" s="705">
        <f t="shared" si="30"/>
        <v>150000</v>
      </c>
      <c r="F247" s="705">
        <f t="shared" si="12"/>
        <v>28465.019999999997</v>
      </c>
      <c r="G247" s="705">
        <f t="shared" si="31"/>
        <v>178465.02</v>
      </c>
      <c r="H247" s="328"/>
      <c r="I247" s="328"/>
      <c r="J247" s="328"/>
      <c r="K247" s="328"/>
      <c r="L247" s="328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  <c r="AA247" s="328"/>
      <c r="AB247" s="328"/>
    </row>
    <row r="248" spans="1:28" customFormat="1">
      <c r="A248" s="334"/>
      <c r="B248" s="335" t="s">
        <v>1104</v>
      </c>
      <c r="C248" s="704">
        <v>8</v>
      </c>
      <c r="D248" s="336">
        <v>65000</v>
      </c>
      <c r="E248" s="705">
        <f t="shared" si="30"/>
        <v>520000</v>
      </c>
      <c r="F248" s="705">
        <f t="shared" si="12"/>
        <v>101860.07999999999</v>
      </c>
      <c r="G248" s="705">
        <f t="shared" si="31"/>
        <v>621860.07999999996</v>
      </c>
      <c r="H248" s="328"/>
      <c r="I248" s="328"/>
      <c r="J248" s="328"/>
      <c r="K248" s="328"/>
      <c r="L248" s="328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  <c r="AA248" s="328"/>
      <c r="AB248" s="328"/>
    </row>
    <row r="249" spans="1:28" customFormat="1">
      <c r="A249" s="334"/>
      <c r="B249" s="335" t="s">
        <v>553</v>
      </c>
      <c r="C249" s="704">
        <v>6</v>
      </c>
      <c r="D249" s="336">
        <v>65000</v>
      </c>
      <c r="E249" s="705">
        <f t="shared" si="30"/>
        <v>390000</v>
      </c>
      <c r="F249" s="705">
        <f t="shared" si="12"/>
        <v>76395.06</v>
      </c>
      <c r="G249" s="705">
        <f t="shared" si="31"/>
        <v>466395.06</v>
      </c>
      <c r="H249" s="328"/>
      <c r="I249" s="328"/>
      <c r="J249" s="328"/>
      <c r="K249" s="328"/>
      <c r="L249" s="328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  <c r="AA249" s="328"/>
      <c r="AB249" s="328"/>
    </row>
    <row r="250" spans="1:28" customFormat="1">
      <c r="A250" s="334"/>
      <c r="B250" s="335" t="s">
        <v>554</v>
      </c>
      <c r="C250" s="704">
        <v>2</v>
      </c>
      <c r="D250" s="336">
        <v>65000</v>
      </c>
      <c r="E250" s="705">
        <f t="shared" si="30"/>
        <v>130000</v>
      </c>
      <c r="F250" s="705">
        <f t="shared" si="12"/>
        <v>25465.019999999997</v>
      </c>
      <c r="G250" s="705">
        <f t="shared" si="31"/>
        <v>155465.01999999999</v>
      </c>
      <c r="H250" s="328"/>
      <c r="I250" s="328"/>
      <c r="J250" s="328"/>
      <c r="K250" s="328"/>
      <c r="L250" s="328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  <c r="AA250" s="328"/>
      <c r="AB250" s="328"/>
    </row>
    <row r="251" spans="1:28" customFormat="1">
      <c r="A251" s="334"/>
      <c r="B251" s="332" t="s">
        <v>555</v>
      </c>
      <c r="C251" s="704">
        <v>1</v>
      </c>
      <c r="D251" s="336">
        <v>65000</v>
      </c>
      <c r="E251" s="705">
        <f t="shared" si="30"/>
        <v>65000</v>
      </c>
      <c r="F251" s="705">
        <f t="shared" si="12"/>
        <v>12732.509999999998</v>
      </c>
      <c r="G251" s="705">
        <f t="shared" si="31"/>
        <v>77732.509999999995</v>
      </c>
      <c r="H251" s="328"/>
      <c r="I251" s="328"/>
      <c r="J251" s="328"/>
      <c r="K251" s="328"/>
      <c r="L251" s="328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  <c r="AA251" s="328"/>
      <c r="AB251" s="328"/>
    </row>
    <row r="252" spans="1:28" customFormat="1">
      <c r="A252" s="334"/>
      <c r="B252" s="332" t="s">
        <v>556</v>
      </c>
      <c r="C252" s="704">
        <v>4</v>
      </c>
      <c r="D252" s="336">
        <v>45000</v>
      </c>
      <c r="E252" s="705">
        <f t="shared" si="30"/>
        <v>180000</v>
      </c>
      <c r="F252" s="705">
        <f t="shared" si="12"/>
        <v>38930.039999999994</v>
      </c>
      <c r="G252" s="705">
        <f t="shared" si="31"/>
        <v>218930.03999999998</v>
      </c>
      <c r="H252" s="328"/>
      <c r="I252" s="328"/>
      <c r="J252" s="328"/>
      <c r="K252" s="328"/>
      <c r="L252" s="328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  <c r="AA252" s="328"/>
      <c r="AB252" s="328"/>
    </row>
    <row r="253" spans="1:28" customFormat="1">
      <c r="A253" s="334"/>
      <c r="B253" s="332" t="s">
        <v>557</v>
      </c>
      <c r="C253" s="704">
        <v>4</v>
      </c>
      <c r="D253" s="336">
        <v>45000</v>
      </c>
      <c r="E253" s="705">
        <f t="shared" si="30"/>
        <v>180000</v>
      </c>
      <c r="F253" s="705">
        <f t="shared" si="12"/>
        <v>38930.039999999994</v>
      </c>
      <c r="G253" s="705">
        <f t="shared" si="31"/>
        <v>218930.03999999998</v>
      </c>
      <c r="H253" s="328"/>
      <c r="I253" s="328"/>
      <c r="J253" s="328"/>
      <c r="K253" s="328"/>
      <c r="L253" s="328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  <c r="AA253" s="328"/>
      <c r="AB253" s="328"/>
    </row>
    <row r="254" spans="1:28" customFormat="1">
      <c r="A254" s="334"/>
      <c r="B254" s="332" t="s">
        <v>1090</v>
      </c>
      <c r="C254" s="704">
        <v>4</v>
      </c>
      <c r="D254" s="336">
        <v>65000</v>
      </c>
      <c r="E254" s="705">
        <f t="shared" si="30"/>
        <v>260000</v>
      </c>
      <c r="F254" s="705">
        <f t="shared" si="12"/>
        <v>50930.039999999994</v>
      </c>
      <c r="G254" s="705">
        <f t="shared" si="31"/>
        <v>310930.03999999998</v>
      </c>
      <c r="H254" s="328"/>
      <c r="I254" s="328"/>
      <c r="J254" s="328"/>
      <c r="K254" s="328"/>
      <c r="L254" s="328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  <c r="AA254" s="328"/>
      <c r="AB254" s="328"/>
    </row>
    <row r="255" spans="1:28" customFormat="1">
      <c r="A255" s="334"/>
      <c r="B255" s="332" t="s">
        <v>558</v>
      </c>
      <c r="C255" s="704">
        <v>10</v>
      </c>
      <c r="D255" s="336">
        <v>45000</v>
      </c>
      <c r="E255" s="705">
        <f t="shared" si="30"/>
        <v>450000</v>
      </c>
      <c r="F255" s="705">
        <f t="shared" si="12"/>
        <v>97325.099999999977</v>
      </c>
      <c r="G255" s="705">
        <f t="shared" si="31"/>
        <v>547325.1</v>
      </c>
      <c r="H255" s="328"/>
      <c r="I255" s="328"/>
      <c r="J255" s="328"/>
      <c r="K255" s="328"/>
      <c r="L255" s="328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  <c r="AA255" s="328"/>
      <c r="AB255" s="328"/>
    </row>
    <row r="256" spans="1:28" customFormat="1" ht="28">
      <c r="A256" s="334"/>
      <c r="B256" s="332" t="s">
        <v>559</v>
      </c>
      <c r="C256" s="704">
        <v>2</v>
      </c>
      <c r="D256" s="336">
        <v>40000</v>
      </c>
      <c r="E256" s="705">
        <f t="shared" si="30"/>
        <v>80000</v>
      </c>
      <c r="F256" s="705">
        <f t="shared" si="12"/>
        <v>17965.019999999997</v>
      </c>
      <c r="G256" s="705">
        <f t="shared" si="31"/>
        <v>97965.01999999999</v>
      </c>
      <c r="H256" s="328"/>
      <c r="I256" s="328"/>
      <c r="J256" s="328"/>
      <c r="K256" s="328"/>
      <c r="L256" s="328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  <c r="AA256" s="328"/>
      <c r="AB256" s="328"/>
    </row>
    <row r="257" spans="1:28" customFormat="1">
      <c r="A257" s="334"/>
      <c r="B257" s="332" t="s">
        <v>560</v>
      </c>
      <c r="C257" s="704">
        <v>2</v>
      </c>
      <c r="D257" s="336">
        <v>40000</v>
      </c>
      <c r="E257" s="705">
        <f t="shared" si="30"/>
        <v>80000</v>
      </c>
      <c r="F257" s="705">
        <f t="shared" si="12"/>
        <v>17965.019999999997</v>
      </c>
      <c r="G257" s="705">
        <f t="shared" si="31"/>
        <v>97965.01999999999</v>
      </c>
      <c r="H257" s="328"/>
      <c r="I257" s="328"/>
      <c r="J257" s="328"/>
      <c r="K257" s="328"/>
      <c r="L257" s="328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  <c r="AA257" s="328"/>
      <c r="AB257" s="328"/>
    </row>
    <row r="258" spans="1:28" customFormat="1">
      <c r="A258" s="329"/>
      <c r="B258" s="727" t="s">
        <v>562</v>
      </c>
      <c r="C258" s="757"/>
      <c r="D258" s="757"/>
      <c r="E258" s="757"/>
      <c r="F258" s="757"/>
      <c r="G258" s="757"/>
      <c r="H258" s="758"/>
      <c r="I258" s="333"/>
      <c r="J258" s="333"/>
      <c r="K258" s="333"/>
      <c r="L258" s="333"/>
      <c r="M258" s="333"/>
      <c r="N258" s="330"/>
      <c r="O258" s="330"/>
      <c r="P258" s="330"/>
      <c r="Q258" s="758"/>
      <c r="R258" s="333"/>
      <c r="S258" s="333"/>
      <c r="T258" s="333"/>
      <c r="U258" s="333"/>
      <c r="V258" s="333"/>
      <c r="W258" s="330"/>
      <c r="X258" s="330"/>
      <c r="Y258" s="330"/>
      <c r="Z258" s="758"/>
      <c r="AA258" s="333"/>
      <c r="AB258" s="333"/>
    </row>
    <row r="259" spans="1:28">
      <c r="A259" s="721"/>
      <c r="B259" s="700" t="s">
        <v>1091</v>
      </c>
      <c r="C259" s="704">
        <v>1</v>
      </c>
      <c r="D259" s="705">
        <v>60000</v>
      </c>
      <c r="E259" s="705">
        <f t="shared" ref="E259:E268" si="32">D259*C259</f>
        <v>60000</v>
      </c>
      <c r="F259" s="705">
        <f t="shared" si="12"/>
        <v>11982.509999999998</v>
      </c>
      <c r="G259" s="705">
        <f t="shared" ref="G259:G268" si="33">E259+F259</f>
        <v>71982.509999999995</v>
      </c>
    </row>
    <row r="260" spans="1:28" ht="28">
      <c r="A260" s="721"/>
      <c r="B260" s="700" t="s">
        <v>985</v>
      </c>
      <c r="C260" s="704">
        <v>1</v>
      </c>
      <c r="D260" s="705">
        <v>60000</v>
      </c>
      <c r="E260" s="705">
        <f t="shared" si="32"/>
        <v>60000</v>
      </c>
      <c r="F260" s="705">
        <f t="shared" si="12"/>
        <v>11982.509999999998</v>
      </c>
      <c r="G260" s="705">
        <f t="shared" si="33"/>
        <v>71982.509999999995</v>
      </c>
    </row>
    <row r="261" spans="1:28" ht="28">
      <c r="A261" s="721"/>
      <c r="B261" s="700" t="s">
        <v>988</v>
      </c>
      <c r="C261" s="704">
        <v>1</v>
      </c>
      <c r="D261" s="705">
        <v>51000</v>
      </c>
      <c r="E261" s="705">
        <f t="shared" si="32"/>
        <v>51000</v>
      </c>
      <c r="F261" s="705">
        <f t="shared" si="12"/>
        <v>10632.509999999998</v>
      </c>
      <c r="G261" s="705">
        <f t="shared" si="33"/>
        <v>61632.509999999995</v>
      </c>
    </row>
    <row r="262" spans="1:28" ht="28">
      <c r="A262" s="700"/>
      <c r="B262" s="700" t="s">
        <v>942</v>
      </c>
      <c r="C262" s="704">
        <v>2</v>
      </c>
      <c r="D262" s="705">
        <v>45000</v>
      </c>
      <c r="E262" s="705">
        <f t="shared" si="32"/>
        <v>90000</v>
      </c>
      <c r="F262" s="705">
        <f t="shared" si="12"/>
        <v>19465.019999999997</v>
      </c>
      <c r="G262" s="705">
        <f t="shared" si="33"/>
        <v>109465.01999999999</v>
      </c>
    </row>
    <row r="263" spans="1:28" ht="28">
      <c r="A263" s="700"/>
      <c r="B263" s="700" t="s">
        <v>946</v>
      </c>
      <c r="C263" s="704">
        <v>4</v>
      </c>
      <c r="D263" s="705">
        <v>45000</v>
      </c>
      <c r="E263" s="705">
        <f t="shared" si="32"/>
        <v>180000</v>
      </c>
      <c r="F263" s="705">
        <f t="shared" si="12"/>
        <v>38930.039999999994</v>
      </c>
      <c r="G263" s="705">
        <f t="shared" si="33"/>
        <v>218930.03999999998</v>
      </c>
    </row>
    <row r="264" spans="1:28">
      <c r="A264" s="700"/>
      <c r="B264" s="700" t="s">
        <v>949</v>
      </c>
      <c r="C264" s="704">
        <v>1</v>
      </c>
      <c r="D264" s="705">
        <v>23787.7575</v>
      </c>
      <c r="E264" s="705">
        <f t="shared" si="32"/>
        <v>23787.7575</v>
      </c>
      <c r="F264" s="705">
        <f t="shared" si="12"/>
        <v>6550.6736249999994</v>
      </c>
      <c r="G264" s="705">
        <f t="shared" si="33"/>
        <v>30338.431124999999</v>
      </c>
    </row>
    <row r="265" spans="1:28">
      <c r="A265" s="329"/>
      <c r="B265" s="727" t="s">
        <v>1092</v>
      </c>
      <c r="C265" s="757"/>
      <c r="D265" s="757"/>
      <c r="E265" s="757"/>
      <c r="F265" s="757"/>
      <c r="G265" s="757"/>
    </row>
    <row r="266" spans="1:28" ht="28">
      <c r="A266" s="700"/>
      <c r="B266" s="700" t="s">
        <v>1003</v>
      </c>
      <c r="C266" s="704">
        <v>1</v>
      </c>
      <c r="D266" s="705">
        <v>60000</v>
      </c>
      <c r="E266" s="705">
        <f t="shared" si="32"/>
        <v>60000</v>
      </c>
      <c r="F266" s="705">
        <f t="shared" ref="F266:F323" si="34">(19242*30.5%+(D266-19242)*15%)*C266</f>
        <v>11982.509999999998</v>
      </c>
      <c r="G266" s="705">
        <f t="shared" si="33"/>
        <v>71982.509999999995</v>
      </c>
    </row>
    <row r="267" spans="1:28">
      <c r="A267" s="700"/>
      <c r="B267" s="700" t="s">
        <v>1020</v>
      </c>
      <c r="C267" s="704">
        <v>1</v>
      </c>
      <c r="D267" s="705">
        <v>45000</v>
      </c>
      <c r="E267" s="705">
        <f t="shared" si="32"/>
        <v>45000</v>
      </c>
      <c r="F267" s="705">
        <f t="shared" si="34"/>
        <v>9732.5099999999984</v>
      </c>
      <c r="G267" s="705">
        <f t="shared" si="33"/>
        <v>54732.509999999995</v>
      </c>
    </row>
    <row r="268" spans="1:28">
      <c r="A268" s="700"/>
      <c r="B268" s="700" t="s">
        <v>1021</v>
      </c>
      <c r="C268" s="704">
        <v>1</v>
      </c>
      <c r="D268" s="705">
        <v>40000</v>
      </c>
      <c r="E268" s="705">
        <f t="shared" si="32"/>
        <v>40000</v>
      </c>
      <c r="F268" s="705">
        <f t="shared" si="34"/>
        <v>8982.5099999999984</v>
      </c>
      <c r="G268" s="705">
        <f t="shared" si="33"/>
        <v>48982.509999999995</v>
      </c>
    </row>
    <row r="269" spans="1:28">
      <c r="A269" s="329"/>
      <c r="B269" s="727" t="s">
        <v>1093</v>
      </c>
      <c r="C269" s="757"/>
      <c r="D269" s="757"/>
      <c r="E269" s="757"/>
      <c r="F269" s="757"/>
      <c r="G269" s="757"/>
    </row>
    <row r="270" spans="1:28">
      <c r="A270" s="700"/>
      <c r="B270" s="700" t="s">
        <v>1038</v>
      </c>
      <c r="C270" s="704">
        <v>1</v>
      </c>
      <c r="D270" s="705">
        <v>40000</v>
      </c>
      <c r="E270" s="705">
        <v>22065.907500000001</v>
      </c>
      <c r="F270" s="705">
        <f t="shared" si="34"/>
        <v>8982.5099999999984</v>
      </c>
      <c r="G270" s="705">
        <v>28729.811565</v>
      </c>
    </row>
    <row r="271" spans="1:28">
      <c r="A271" s="700"/>
      <c r="B271" s="700" t="s">
        <v>1041</v>
      </c>
      <c r="C271" s="704">
        <v>3</v>
      </c>
      <c r="D271" s="705">
        <v>35000</v>
      </c>
      <c r="E271" s="705">
        <v>61154.086500000005</v>
      </c>
      <c r="F271" s="705">
        <f t="shared" si="34"/>
        <v>24697.529999999995</v>
      </c>
      <c r="G271" s="705">
        <v>79622.62062300001</v>
      </c>
    </row>
    <row r="272" spans="1:28" ht="42">
      <c r="A272" s="700"/>
      <c r="B272" s="700" t="s">
        <v>1042</v>
      </c>
      <c r="C272" s="704">
        <v>1</v>
      </c>
      <c r="D272" s="705">
        <v>40000</v>
      </c>
      <c r="E272" s="705">
        <v>21306.928500000002</v>
      </c>
      <c r="F272" s="705">
        <f t="shared" si="34"/>
        <v>8982.5099999999984</v>
      </c>
      <c r="G272" s="705">
        <v>27741.620907000004</v>
      </c>
    </row>
    <row r="273" spans="1:20" s="732" customFormat="1" ht="15.5">
      <c r="A273" s="729"/>
      <c r="B273" s="729" t="s">
        <v>383</v>
      </c>
      <c r="C273" s="730">
        <f>SUM(C202:C272)</f>
        <v>149</v>
      </c>
      <c r="D273" s="730"/>
      <c r="E273" s="731">
        <f>SUM(E202:E272)</f>
        <v>6466314.6800000006</v>
      </c>
      <c r="F273" s="731">
        <f>SUM(F202:F272)</f>
        <v>1426412.1536250007</v>
      </c>
      <c r="G273" s="731">
        <f>SUM(G202:G272)</f>
        <v>7881631.414219995</v>
      </c>
    </row>
    <row r="274" spans="1:20">
      <c r="F274" s="705"/>
    </row>
    <row r="275" spans="1:20">
      <c r="F275" s="705"/>
    </row>
    <row r="276" spans="1:20" ht="25.5" customHeight="1">
      <c r="B276" s="728" t="str">
        <f>Инфраструктура!A100</f>
        <v>Эко-вилладж 4*</v>
      </c>
      <c r="F276" s="705"/>
    </row>
    <row r="277" spans="1:20" s="725" customFormat="1">
      <c r="A277" s="722"/>
      <c r="B277" s="754" t="s">
        <v>515</v>
      </c>
      <c r="C277" s="755"/>
      <c r="D277" s="755"/>
      <c r="E277" s="755"/>
      <c r="F277" s="755"/>
      <c r="G277" s="755"/>
      <c r="H277" s="724"/>
      <c r="I277" s="756"/>
      <c r="J277" s="723"/>
      <c r="K277" s="723"/>
      <c r="L277" s="723"/>
      <c r="M277" s="723"/>
      <c r="N277" s="723"/>
      <c r="O277" s="724"/>
      <c r="P277" s="724"/>
      <c r="Q277" s="724"/>
      <c r="R277" s="756"/>
      <c r="S277" s="723"/>
      <c r="T277" s="723"/>
    </row>
    <row r="278" spans="1:20">
      <c r="B278" s="700" t="s">
        <v>1082</v>
      </c>
      <c r="C278" s="704">
        <v>1</v>
      </c>
      <c r="D278" s="705">
        <v>60000</v>
      </c>
      <c r="E278" s="705">
        <f t="shared" ref="E278" si="35">D278*C278</f>
        <v>60000</v>
      </c>
      <c r="F278" s="705">
        <f t="shared" si="34"/>
        <v>11982.509999999998</v>
      </c>
      <c r="G278" s="705">
        <f t="shared" ref="G278" si="36">E278+F278</f>
        <v>71982.509999999995</v>
      </c>
    </row>
    <row r="279" spans="1:20" customFormat="1">
      <c r="A279" s="329"/>
      <c r="B279" s="727" t="s">
        <v>518</v>
      </c>
      <c r="C279" s="757"/>
      <c r="D279" s="757"/>
      <c r="E279" s="757"/>
      <c r="F279" s="757"/>
      <c r="G279" s="757"/>
      <c r="H279" s="330"/>
      <c r="I279" s="758"/>
      <c r="J279" s="333"/>
      <c r="K279" s="333"/>
      <c r="L279" s="333"/>
      <c r="M279" s="333"/>
      <c r="N279" s="333"/>
      <c r="O279" s="330"/>
      <c r="P279" s="330"/>
      <c r="Q279" s="330"/>
      <c r="R279" s="758"/>
      <c r="S279" s="333"/>
      <c r="T279" s="333"/>
    </row>
    <row r="280" spans="1:20">
      <c r="A280" s="700"/>
      <c r="B280" s="700" t="s">
        <v>1005</v>
      </c>
      <c r="C280" s="704">
        <v>1</v>
      </c>
      <c r="D280" s="705">
        <v>45000</v>
      </c>
      <c r="E280" s="705">
        <f t="shared" ref="E280" si="37">D280*C280</f>
        <v>45000</v>
      </c>
      <c r="F280" s="705">
        <f t="shared" si="34"/>
        <v>9732.5099999999984</v>
      </c>
      <c r="G280" s="705">
        <f t="shared" ref="G280" si="38">E280+F280</f>
        <v>54732.509999999995</v>
      </c>
    </row>
    <row r="281" spans="1:20" customFormat="1">
      <c r="A281" s="329"/>
      <c r="B281" s="727" t="s">
        <v>519</v>
      </c>
      <c r="C281" s="757"/>
      <c r="D281" s="757"/>
      <c r="E281" s="757"/>
      <c r="F281" s="757"/>
      <c r="G281" s="757"/>
      <c r="H281" s="330"/>
      <c r="I281" s="758"/>
      <c r="J281" s="333"/>
      <c r="K281" s="333"/>
      <c r="L281" s="333"/>
      <c r="M281" s="333"/>
      <c r="N281" s="333"/>
      <c r="O281" s="330"/>
      <c r="P281" s="330"/>
      <c r="Q281" s="330"/>
      <c r="R281" s="758"/>
      <c r="S281" s="333"/>
      <c r="T281" s="333"/>
    </row>
    <row r="282" spans="1:20">
      <c r="A282" s="700"/>
      <c r="B282" s="700" t="s">
        <v>1085</v>
      </c>
      <c r="C282" s="704">
        <v>1</v>
      </c>
      <c r="D282" s="705">
        <v>47000</v>
      </c>
      <c r="E282" s="705">
        <f t="shared" ref="E282" si="39">D282*C282</f>
        <v>47000</v>
      </c>
      <c r="F282" s="705">
        <f t="shared" si="34"/>
        <v>10032.509999999998</v>
      </c>
      <c r="G282" s="705">
        <f t="shared" ref="G282" si="40">E282+F282</f>
        <v>57032.509999999995</v>
      </c>
    </row>
    <row r="283" spans="1:20" customFormat="1">
      <c r="A283" s="329"/>
      <c r="B283" s="727" t="s">
        <v>524</v>
      </c>
      <c r="C283" s="757"/>
      <c r="D283" s="757"/>
      <c r="E283" s="757"/>
      <c r="F283" s="757"/>
      <c r="G283" s="757"/>
      <c r="H283" s="330"/>
      <c r="I283" s="758"/>
      <c r="J283" s="333"/>
      <c r="K283" s="333"/>
      <c r="L283" s="333"/>
      <c r="M283" s="333"/>
      <c r="N283" s="333"/>
      <c r="O283" s="330"/>
      <c r="P283" s="330"/>
      <c r="Q283" s="330"/>
      <c r="R283" s="758"/>
      <c r="S283" s="333"/>
      <c r="T283" s="333"/>
    </row>
    <row r="284" spans="1:20">
      <c r="A284" s="721"/>
      <c r="B284" s="700" t="s">
        <v>1086</v>
      </c>
      <c r="C284" s="704">
        <v>4</v>
      </c>
      <c r="D284" s="705">
        <v>35000</v>
      </c>
      <c r="E284" s="705">
        <f t="shared" ref="E284" si="41">D284*C284</f>
        <v>140000</v>
      </c>
      <c r="F284" s="705">
        <f t="shared" si="34"/>
        <v>32930.039999999994</v>
      </c>
      <c r="G284" s="705">
        <f t="shared" ref="G284" si="42">E284+F284</f>
        <v>172930.03999999998</v>
      </c>
    </row>
    <row r="285" spans="1:20" customFormat="1" ht="28">
      <c r="A285" s="329"/>
      <c r="B285" s="727" t="s">
        <v>526</v>
      </c>
      <c r="C285" s="757"/>
      <c r="D285" s="757"/>
      <c r="E285" s="757"/>
      <c r="F285" s="757"/>
      <c r="G285" s="757"/>
      <c r="H285" s="330"/>
      <c r="I285" s="758"/>
      <c r="J285" s="333"/>
      <c r="K285" s="333"/>
      <c r="L285" s="333"/>
      <c r="M285" s="333"/>
      <c r="N285" s="333"/>
      <c r="O285" s="330"/>
      <c r="P285" s="330"/>
      <c r="Q285" s="330"/>
      <c r="R285" s="758"/>
      <c r="S285" s="333"/>
      <c r="T285" s="333"/>
    </row>
    <row r="286" spans="1:20" ht="42">
      <c r="A286" s="700"/>
      <c r="B286" s="700" t="s">
        <v>1027</v>
      </c>
      <c r="C286" s="704">
        <v>1</v>
      </c>
      <c r="D286" s="705">
        <v>25000</v>
      </c>
      <c r="E286" s="705">
        <f t="shared" ref="E286:E287" si="43">D286*C286</f>
        <v>25000</v>
      </c>
      <c r="F286" s="705">
        <f t="shared" si="34"/>
        <v>6732.5099999999993</v>
      </c>
      <c r="G286" s="705">
        <f t="shared" ref="G286:G287" si="44">E286+F286</f>
        <v>31732.51</v>
      </c>
    </row>
    <row r="287" spans="1:20">
      <c r="A287" s="700"/>
      <c r="B287" s="700" t="s">
        <v>1028</v>
      </c>
      <c r="C287" s="704">
        <v>1</v>
      </c>
      <c r="D287" s="705">
        <v>25000</v>
      </c>
      <c r="E287" s="705">
        <f t="shared" si="43"/>
        <v>25000</v>
      </c>
      <c r="F287" s="705">
        <f t="shared" si="34"/>
        <v>6732.5099999999993</v>
      </c>
      <c r="G287" s="705">
        <f t="shared" si="44"/>
        <v>31732.51</v>
      </c>
    </row>
    <row r="288" spans="1:20" customFormat="1">
      <c r="A288" s="329"/>
      <c r="B288" s="727" t="s">
        <v>527</v>
      </c>
      <c r="C288" s="759"/>
      <c r="D288" s="757"/>
      <c r="E288" s="757"/>
      <c r="F288" s="757"/>
      <c r="G288" s="757"/>
      <c r="H288" s="330"/>
      <c r="I288" s="758"/>
      <c r="J288" s="333"/>
      <c r="K288" s="333"/>
      <c r="L288" s="333"/>
      <c r="M288" s="333"/>
      <c r="N288" s="333"/>
      <c r="O288" s="330"/>
      <c r="P288" s="330"/>
      <c r="Q288" s="330"/>
      <c r="R288" s="758"/>
      <c r="S288" s="333"/>
      <c r="T288" s="333"/>
    </row>
    <row r="289" spans="1:28">
      <c r="A289" s="700"/>
      <c r="B289" s="700" t="s">
        <v>1045</v>
      </c>
      <c r="C289" s="704">
        <v>2</v>
      </c>
      <c r="D289" s="705">
        <v>40000</v>
      </c>
      <c r="E289" s="705">
        <f t="shared" ref="E289" si="45">D289*C289</f>
        <v>80000</v>
      </c>
      <c r="F289" s="705">
        <f t="shared" si="34"/>
        <v>17965.019999999997</v>
      </c>
      <c r="G289" s="705">
        <f t="shared" ref="G289" si="46">E289+F289</f>
        <v>97965.01999999999</v>
      </c>
    </row>
    <row r="290" spans="1:28" customFormat="1">
      <c r="A290" s="329"/>
      <c r="B290" s="727" t="s">
        <v>529</v>
      </c>
      <c r="C290" s="757"/>
      <c r="D290" s="757"/>
      <c r="E290" s="757"/>
      <c r="F290" s="757"/>
      <c r="G290" s="757"/>
      <c r="H290" s="330"/>
      <c r="I290" s="758"/>
      <c r="J290" s="333"/>
      <c r="K290" s="333"/>
      <c r="L290" s="333"/>
      <c r="M290" s="333"/>
      <c r="N290" s="333"/>
      <c r="O290" s="330"/>
      <c r="P290" s="330"/>
      <c r="Q290" s="330"/>
      <c r="R290" s="758"/>
      <c r="S290" s="333"/>
      <c r="T290" s="333"/>
    </row>
    <row r="291" spans="1:28">
      <c r="A291" s="700"/>
      <c r="B291" s="700" t="s">
        <v>1037</v>
      </c>
      <c r="C291" s="704">
        <f>Инфраструктура!B103/8*2</f>
        <v>8</v>
      </c>
      <c r="D291" s="705">
        <v>30000</v>
      </c>
      <c r="E291" s="705">
        <f t="shared" ref="E291:E293" si="47">D291*C291</f>
        <v>240000</v>
      </c>
      <c r="F291" s="705">
        <f t="shared" si="34"/>
        <v>59860.079999999994</v>
      </c>
      <c r="G291" s="705">
        <f t="shared" ref="G291:G293" si="48">E291+F291</f>
        <v>299860.08</v>
      </c>
    </row>
    <row r="292" spans="1:28" ht="28">
      <c r="A292" s="700"/>
      <c r="B292" s="700" t="s">
        <v>950</v>
      </c>
      <c r="C292" s="704">
        <v>4</v>
      </c>
      <c r="D292" s="705">
        <v>30000</v>
      </c>
      <c r="E292" s="705">
        <f t="shared" si="47"/>
        <v>120000</v>
      </c>
      <c r="F292" s="705">
        <f t="shared" si="34"/>
        <v>29930.039999999997</v>
      </c>
      <c r="G292" s="705">
        <f t="shared" si="48"/>
        <v>149930.04</v>
      </c>
    </row>
    <row r="293" spans="1:28" customFormat="1" ht="28">
      <c r="A293" s="334"/>
      <c r="B293" s="335" t="s">
        <v>530</v>
      </c>
      <c r="C293" s="704">
        <v>4</v>
      </c>
      <c r="D293" s="705">
        <v>30000</v>
      </c>
      <c r="E293" s="705">
        <f t="shared" si="47"/>
        <v>120000</v>
      </c>
      <c r="F293" s="705">
        <f t="shared" si="34"/>
        <v>29930.039999999997</v>
      </c>
      <c r="G293" s="705">
        <f t="shared" si="48"/>
        <v>149930.04</v>
      </c>
      <c r="H293" s="328"/>
      <c r="I293" s="328"/>
      <c r="J293" s="328"/>
      <c r="K293" s="328"/>
      <c r="L293" s="328"/>
      <c r="M293" s="328"/>
      <c r="N293" s="328"/>
      <c r="O293" s="328"/>
      <c r="P293" s="328"/>
      <c r="Q293" s="328"/>
      <c r="R293" s="328"/>
      <c r="S293" s="328"/>
      <c r="T293" s="328"/>
    </row>
    <row r="294" spans="1:28" customFormat="1">
      <c r="A294" s="329"/>
      <c r="B294" s="727" t="s">
        <v>534</v>
      </c>
      <c r="C294" s="757"/>
      <c r="D294" s="757"/>
      <c r="E294" s="757"/>
      <c r="F294" s="757"/>
      <c r="G294" s="757"/>
      <c r="H294" s="333"/>
      <c r="I294" s="333"/>
      <c r="J294" s="330"/>
      <c r="K294" s="330"/>
      <c r="L294" s="330"/>
      <c r="M294" s="758"/>
      <c r="N294" s="333"/>
      <c r="O294" s="333"/>
      <c r="P294" s="333"/>
      <c r="Q294" s="333"/>
      <c r="R294" s="333"/>
      <c r="S294" s="330"/>
      <c r="T294" s="330"/>
      <c r="U294" s="330"/>
      <c r="V294" s="758"/>
      <c r="W294" s="333"/>
      <c r="X294" s="333"/>
    </row>
    <row r="295" spans="1:28" customFormat="1">
      <c r="A295" s="334"/>
      <c r="B295" s="335" t="s">
        <v>538</v>
      </c>
      <c r="C295" s="704">
        <v>4</v>
      </c>
      <c r="D295" s="336">
        <v>50000</v>
      </c>
      <c r="E295" s="705">
        <f t="shared" ref="E295:E297" si="49">D295*C295</f>
        <v>200000</v>
      </c>
      <c r="F295" s="705">
        <f t="shared" si="34"/>
        <v>41930.039999999994</v>
      </c>
      <c r="G295" s="705">
        <f t="shared" ref="G295:G297" si="50">E295+F295</f>
        <v>241930.03999999998</v>
      </c>
      <c r="H295" s="328"/>
      <c r="I295" s="328"/>
      <c r="J295" s="328"/>
      <c r="K295" s="328"/>
      <c r="L295" s="328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</row>
    <row r="296" spans="1:28" customFormat="1" ht="28">
      <c r="A296" s="334"/>
      <c r="B296" s="335" t="s">
        <v>539</v>
      </c>
      <c r="C296" s="704">
        <v>2</v>
      </c>
      <c r="D296" s="336">
        <v>35000</v>
      </c>
      <c r="E296" s="705">
        <f t="shared" si="49"/>
        <v>70000</v>
      </c>
      <c r="F296" s="705">
        <f t="shared" si="34"/>
        <v>16465.019999999997</v>
      </c>
      <c r="G296" s="705">
        <f t="shared" si="50"/>
        <v>86465.01999999999</v>
      </c>
      <c r="H296" s="328"/>
      <c r="I296" s="328"/>
      <c r="J296" s="328"/>
      <c r="K296" s="328"/>
      <c r="L296" s="328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</row>
    <row r="297" spans="1:28" customFormat="1">
      <c r="A297" s="334"/>
      <c r="B297" s="335" t="s">
        <v>540</v>
      </c>
      <c r="C297" s="704">
        <v>1</v>
      </c>
      <c r="D297" s="336">
        <v>45000</v>
      </c>
      <c r="E297" s="705">
        <f t="shared" si="49"/>
        <v>45000</v>
      </c>
      <c r="F297" s="705">
        <f t="shared" si="34"/>
        <v>9732.5099999999984</v>
      </c>
      <c r="G297" s="705">
        <f t="shared" si="50"/>
        <v>54732.509999999995</v>
      </c>
      <c r="H297" s="328"/>
      <c r="I297" s="328"/>
      <c r="J297" s="328"/>
      <c r="K297" s="328"/>
      <c r="L297" s="328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</row>
    <row r="298" spans="1:28" customFormat="1">
      <c r="A298" s="329"/>
      <c r="B298" s="727" t="s">
        <v>541</v>
      </c>
      <c r="C298" s="757"/>
      <c r="D298" s="757"/>
      <c r="E298" s="757"/>
      <c r="F298" s="757"/>
      <c r="G298" s="757"/>
      <c r="H298" s="333"/>
      <c r="I298" s="333"/>
      <c r="J298" s="330"/>
      <c r="K298" s="330"/>
      <c r="L298" s="330"/>
      <c r="M298" s="758"/>
      <c r="N298" s="333"/>
      <c r="O298" s="333"/>
      <c r="P298" s="333"/>
      <c r="Q298" s="333"/>
      <c r="R298" s="333"/>
      <c r="S298" s="330"/>
      <c r="T298" s="330"/>
      <c r="U298" s="330"/>
      <c r="V298" s="758"/>
      <c r="W298" s="333"/>
      <c r="X298" s="333"/>
    </row>
    <row r="299" spans="1:28" customFormat="1">
      <c r="A299" s="334"/>
      <c r="B299" s="335" t="s">
        <v>542</v>
      </c>
      <c r="C299" s="704">
        <v>1</v>
      </c>
      <c r="D299" s="331">
        <v>60000</v>
      </c>
      <c r="E299" s="705">
        <f t="shared" ref="E299" si="51">D299*C299</f>
        <v>60000</v>
      </c>
      <c r="F299" s="705">
        <f t="shared" si="34"/>
        <v>11982.509999999998</v>
      </c>
      <c r="G299" s="705">
        <f t="shared" ref="G299:G300" si="52">E299+F299</f>
        <v>71982.509999999995</v>
      </c>
      <c r="H299" s="328"/>
      <c r="I299" s="328"/>
      <c r="J299" s="328"/>
      <c r="K299" s="328"/>
      <c r="L299" s="328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</row>
    <row r="300" spans="1:28" customFormat="1">
      <c r="A300" s="334"/>
      <c r="B300" s="335" t="s">
        <v>543</v>
      </c>
      <c r="C300" s="704">
        <v>4</v>
      </c>
      <c r="D300" s="336">
        <v>35000</v>
      </c>
      <c r="E300" s="705">
        <f>D300*C300</f>
        <v>140000</v>
      </c>
      <c r="F300" s="705">
        <f t="shared" si="34"/>
        <v>32930.039999999994</v>
      </c>
      <c r="G300" s="705">
        <f t="shared" si="52"/>
        <v>172930.03999999998</v>
      </c>
      <c r="H300" s="328"/>
      <c r="I300" s="328"/>
      <c r="J300" s="328"/>
      <c r="K300" s="328"/>
      <c r="L300" s="328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</row>
    <row r="301" spans="1:28" customFormat="1">
      <c r="A301" s="329"/>
      <c r="B301" s="727" t="s">
        <v>1088</v>
      </c>
      <c r="C301" s="757"/>
      <c r="D301" s="757"/>
      <c r="E301" s="757"/>
      <c r="F301" s="757"/>
      <c r="G301" s="757"/>
      <c r="H301" s="333"/>
      <c r="I301" s="333"/>
      <c r="J301" s="330"/>
      <c r="K301" s="330"/>
      <c r="L301" s="330"/>
      <c r="M301" s="758"/>
      <c r="N301" s="333"/>
      <c r="O301" s="333"/>
      <c r="P301" s="333"/>
      <c r="Q301" s="333"/>
      <c r="R301" s="333"/>
      <c r="S301" s="330"/>
      <c r="T301" s="330"/>
      <c r="U301" s="330"/>
      <c r="V301" s="758"/>
      <c r="W301" s="333"/>
      <c r="X301" s="333"/>
    </row>
    <row r="302" spans="1:28">
      <c r="A302" s="721"/>
      <c r="B302" s="700" t="s">
        <v>1089</v>
      </c>
      <c r="C302" s="704">
        <v>2</v>
      </c>
      <c r="D302" s="336">
        <v>35000</v>
      </c>
      <c r="E302" s="705">
        <f t="shared" ref="E302" si="53">D302*C302</f>
        <v>70000</v>
      </c>
      <c r="F302" s="705">
        <f t="shared" si="34"/>
        <v>16465.019999999997</v>
      </c>
      <c r="G302" s="705">
        <f t="shared" ref="G302" si="54">E302+F302</f>
        <v>86465.01999999999</v>
      </c>
    </row>
    <row r="303" spans="1:28" customFormat="1" ht="28">
      <c r="A303" s="329"/>
      <c r="B303" s="727" t="s">
        <v>545</v>
      </c>
      <c r="C303" s="757"/>
      <c r="D303" s="757"/>
      <c r="E303" s="757"/>
      <c r="F303" s="757"/>
      <c r="G303" s="757"/>
      <c r="H303" s="758"/>
      <c r="I303" s="333"/>
      <c r="J303" s="333"/>
      <c r="K303" s="333"/>
      <c r="L303" s="333"/>
      <c r="M303" s="333"/>
      <c r="N303" s="330"/>
      <c r="O303" s="330"/>
      <c r="P303" s="330"/>
      <c r="Q303" s="758"/>
      <c r="R303" s="333"/>
      <c r="S303" s="333"/>
      <c r="T303" s="333"/>
      <c r="U303" s="333"/>
      <c r="V303" s="333"/>
      <c r="W303" s="330"/>
      <c r="X303" s="330"/>
      <c r="Y303" s="330"/>
      <c r="Z303" s="758"/>
      <c r="AA303" s="333"/>
      <c r="AB303" s="333"/>
    </row>
    <row r="304" spans="1:28" customFormat="1" ht="28">
      <c r="A304" s="334"/>
      <c r="B304" s="335" t="s">
        <v>549</v>
      </c>
      <c r="C304" s="704">
        <v>2</v>
      </c>
      <c r="D304" s="336">
        <v>60000</v>
      </c>
      <c r="E304" s="705">
        <f t="shared" ref="E304:E314" si="55">D304*C304</f>
        <v>120000</v>
      </c>
      <c r="F304" s="705">
        <f t="shared" si="34"/>
        <v>23965.019999999997</v>
      </c>
      <c r="G304" s="705">
        <f t="shared" ref="G304:G314" si="56">E304+F304</f>
        <v>143965.01999999999</v>
      </c>
      <c r="H304" s="328"/>
      <c r="I304" s="328"/>
      <c r="J304" s="328"/>
      <c r="K304" s="328"/>
      <c r="L304" s="328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  <c r="AA304" s="328"/>
      <c r="AB304" s="328"/>
    </row>
    <row r="305" spans="1:28" customFormat="1">
      <c r="A305" s="334"/>
      <c r="B305" s="335" t="s">
        <v>548</v>
      </c>
      <c r="C305" s="704">
        <v>2</v>
      </c>
      <c r="D305" s="336">
        <v>50000</v>
      </c>
      <c r="E305" s="705">
        <f t="shared" si="55"/>
        <v>100000</v>
      </c>
      <c r="F305" s="705">
        <f t="shared" si="34"/>
        <v>20965.019999999997</v>
      </c>
      <c r="G305" s="705">
        <f t="shared" si="56"/>
        <v>120965.01999999999</v>
      </c>
      <c r="H305" s="328"/>
      <c r="I305" s="328"/>
      <c r="J305" s="328"/>
      <c r="K305" s="328"/>
      <c r="L305" s="328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  <c r="AA305" s="328"/>
      <c r="AB305" s="328"/>
    </row>
    <row r="306" spans="1:28" customFormat="1">
      <c r="A306" s="334"/>
      <c r="B306" s="335" t="s">
        <v>551</v>
      </c>
      <c r="C306" s="704">
        <v>2</v>
      </c>
      <c r="D306" s="336">
        <v>75000</v>
      </c>
      <c r="E306" s="705">
        <f t="shared" si="55"/>
        <v>150000</v>
      </c>
      <c r="F306" s="705">
        <f t="shared" si="34"/>
        <v>28465.019999999997</v>
      </c>
      <c r="G306" s="705">
        <f t="shared" si="56"/>
        <v>178465.02</v>
      </c>
      <c r="H306" s="328"/>
      <c r="I306" s="328"/>
      <c r="J306" s="328"/>
      <c r="K306" s="328"/>
      <c r="L306" s="328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  <c r="AA306" s="328"/>
      <c r="AB306" s="328"/>
    </row>
    <row r="307" spans="1:28" customFormat="1">
      <c r="A307" s="334"/>
      <c r="B307" s="335" t="s">
        <v>1105</v>
      </c>
      <c r="C307" s="704">
        <v>6</v>
      </c>
      <c r="D307" s="336">
        <v>65000</v>
      </c>
      <c r="E307" s="705">
        <f t="shared" si="55"/>
        <v>390000</v>
      </c>
      <c r="F307" s="705">
        <f t="shared" si="34"/>
        <v>76395.06</v>
      </c>
      <c r="G307" s="705">
        <f t="shared" si="56"/>
        <v>466395.06</v>
      </c>
      <c r="H307" s="328"/>
      <c r="I307" s="328"/>
      <c r="J307" s="328"/>
      <c r="K307" s="328"/>
      <c r="L307" s="328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  <c r="AA307" s="328"/>
      <c r="AB307" s="328"/>
    </row>
    <row r="308" spans="1:28" customFormat="1">
      <c r="A308" s="334"/>
      <c r="B308" s="335" t="s">
        <v>552</v>
      </c>
      <c r="C308" s="704">
        <v>6</v>
      </c>
      <c r="D308" s="336">
        <v>65000</v>
      </c>
      <c r="E308" s="705">
        <f t="shared" si="55"/>
        <v>390000</v>
      </c>
      <c r="F308" s="705">
        <f t="shared" si="34"/>
        <v>76395.06</v>
      </c>
      <c r="G308" s="705">
        <f t="shared" si="56"/>
        <v>466395.06</v>
      </c>
      <c r="H308" s="328"/>
      <c r="I308" s="328"/>
      <c r="J308" s="328"/>
      <c r="K308" s="328"/>
      <c r="L308" s="328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  <c r="AA308" s="328"/>
      <c r="AB308" s="328"/>
    </row>
    <row r="309" spans="1:28" customFormat="1">
      <c r="A309" s="334"/>
      <c r="B309" s="332" t="s">
        <v>556</v>
      </c>
      <c r="C309" s="704">
        <v>2</v>
      </c>
      <c r="D309" s="336">
        <v>45000</v>
      </c>
      <c r="E309" s="705">
        <f t="shared" si="55"/>
        <v>90000</v>
      </c>
      <c r="F309" s="705">
        <f t="shared" si="34"/>
        <v>19465.019999999997</v>
      </c>
      <c r="G309" s="705">
        <f t="shared" si="56"/>
        <v>109465.01999999999</v>
      </c>
      <c r="H309" s="328"/>
      <c r="I309" s="328"/>
      <c r="J309" s="328"/>
      <c r="K309" s="328"/>
      <c r="L309" s="328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  <c r="AA309" s="328"/>
      <c r="AB309" s="328"/>
    </row>
    <row r="310" spans="1:28" customFormat="1">
      <c r="A310" s="334"/>
      <c r="B310" s="332" t="s">
        <v>557</v>
      </c>
      <c r="C310" s="704">
        <v>2</v>
      </c>
      <c r="D310" s="336">
        <v>45000</v>
      </c>
      <c r="E310" s="705">
        <f t="shared" si="55"/>
        <v>90000</v>
      </c>
      <c r="F310" s="705">
        <f t="shared" si="34"/>
        <v>19465.019999999997</v>
      </c>
      <c r="G310" s="705">
        <f t="shared" si="56"/>
        <v>109465.01999999999</v>
      </c>
      <c r="H310" s="328"/>
      <c r="I310" s="328"/>
      <c r="J310" s="328"/>
      <c r="K310" s="328"/>
      <c r="L310" s="328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  <c r="AA310" s="328"/>
      <c r="AB310" s="328"/>
    </row>
    <row r="311" spans="1:28" customFormat="1">
      <c r="A311" s="334"/>
      <c r="B311" s="332" t="s">
        <v>1090</v>
      </c>
      <c r="C311" s="704">
        <v>4</v>
      </c>
      <c r="D311" s="336">
        <v>65000</v>
      </c>
      <c r="E311" s="705">
        <f t="shared" si="55"/>
        <v>260000</v>
      </c>
      <c r="F311" s="705">
        <f t="shared" si="34"/>
        <v>50930.039999999994</v>
      </c>
      <c r="G311" s="705">
        <f t="shared" si="56"/>
        <v>310930.03999999998</v>
      </c>
      <c r="H311" s="328"/>
      <c r="I311" s="328"/>
      <c r="J311" s="328"/>
      <c r="K311" s="328"/>
      <c r="L311" s="328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  <c r="AA311" s="328"/>
      <c r="AB311" s="328"/>
    </row>
    <row r="312" spans="1:28" customFormat="1">
      <c r="A312" s="334"/>
      <c r="B312" s="332" t="s">
        <v>558</v>
      </c>
      <c r="C312" s="704">
        <v>8</v>
      </c>
      <c r="D312" s="336">
        <v>45000</v>
      </c>
      <c r="E312" s="705">
        <f t="shared" si="55"/>
        <v>360000</v>
      </c>
      <c r="F312" s="705">
        <f t="shared" si="34"/>
        <v>77860.079999999987</v>
      </c>
      <c r="G312" s="705">
        <f t="shared" si="56"/>
        <v>437860.07999999996</v>
      </c>
      <c r="H312" s="328"/>
      <c r="I312" s="328"/>
      <c r="J312" s="328"/>
      <c r="K312" s="328"/>
      <c r="L312" s="328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  <c r="AA312" s="328"/>
      <c r="AB312" s="328"/>
    </row>
    <row r="313" spans="1:28" customFormat="1" ht="28">
      <c r="A313" s="334"/>
      <c r="B313" s="332" t="s">
        <v>559</v>
      </c>
      <c r="C313" s="704">
        <v>2</v>
      </c>
      <c r="D313" s="336">
        <v>40000</v>
      </c>
      <c r="E313" s="705">
        <f t="shared" si="55"/>
        <v>80000</v>
      </c>
      <c r="F313" s="705">
        <f t="shared" si="34"/>
        <v>17965.019999999997</v>
      </c>
      <c r="G313" s="705">
        <f t="shared" si="56"/>
        <v>97965.01999999999</v>
      </c>
      <c r="H313" s="328"/>
      <c r="I313" s="328"/>
      <c r="J313" s="328"/>
      <c r="K313" s="328"/>
      <c r="L313" s="328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  <c r="AA313" s="328"/>
      <c r="AB313" s="328"/>
    </row>
    <row r="314" spans="1:28" customFormat="1">
      <c r="A314" s="334"/>
      <c r="B314" s="332" t="s">
        <v>560</v>
      </c>
      <c r="C314" s="704">
        <v>2</v>
      </c>
      <c r="D314" s="336">
        <v>40000</v>
      </c>
      <c r="E314" s="705">
        <f t="shared" si="55"/>
        <v>80000</v>
      </c>
      <c r="F314" s="705">
        <f t="shared" si="34"/>
        <v>17965.019999999997</v>
      </c>
      <c r="G314" s="705">
        <f t="shared" si="56"/>
        <v>97965.01999999999</v>
      </c>
      <c r="H314" s="328"/>
      <c r="I314" s="328"/>
      <c r="J314" s="328"/>
      <c r="K314" s="328"/>
      <c r="L314" s="328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  <c r="AA314" s="328"/>
      <c r="AB314" s="328"/>
    </row>
    <row r="315" spans="1:28" customFormat="1">
      <c r="A315" s="329"/>
      <c r="B315" s="727" t="s">
        <v>562</v>
      </c>
      <c r="C315" s="757"/>
      <c r="D315" s="757"/>
      <c r="E315" s="757"/>
      <c r="F315" s="757"/>
      <c r="G315" s="757"/>
      <c r="H315" s="758"/>
      <c r="I315" s="333"/>
      <c r="J315" s="333"/>
      <c r="K315" s="333"/>
      <c r="L315" s="333"/>
      <c r="M315" s="333"/>
      <c r="N315" s="330"/>
      <c r="O315" s="330"/>
      <c r="P315" s="330"/>
      <c r="Q315" s="758"/>
      <c r="R315" s="333"/>
      <c r="S315" s="333"/>
      <c r="T315" s="333"/>
      <c r="U315" s="333"/>
      <c r="V315" s="333"/>
      <c r="W315" s="330"/>
      <c r="X315" s="330"/>
      <c r="Y315" s="330"/>
      <c r="Z315" s="758"/>
      <c r="AA315" s="333"/>
      <c r="AB315" s="333"/>
    </row>
    <row r="316" spans="1:28">
      <c r="A316" s="721"/>
      <c r="B316" s="700" t="s">
        <v>1091</v>
      </c>
      <c r="C316" s="704">
        <v>1</v>
      </c>
      <c r="D316" s="705">
        <v>60000</v>
      </c>
      <c r="E316" s="705">
        <f t="shared" ref="E316:E320" si="57">D316*C316</f>
        <v>60000</v>
      </c>
      <c r="F316" s="705">
        <f t="shared" si="34"/>
        <v>11982.509999999998</v>
      </c>
      <c r="G316" s="705">
        <f t="shared" ref="G316:G320" si="58">E316+F316</f>
        <v>71982.509999999995</v>
      </c>
    </row>
    <row r="317" spans="1:28" ht="28">
      <c r="A317" s="721"/>
      <c r="B317" s="700" t="s">
        <v>985</v>
      </c>
      <c r="C317" s="704">
        <v>1</v>
      </c>
      <c r="D317" s="705">
        <v>60000</v>
      </c>
      <c r="E317" s="705">
        <f t="shared" si="57"/>
        <v>60000</v>
      </c>
      <c r="F317" s="705">
        <f t="shared" si="34"/>
        <v>11982.509999999998</v>
      </c>
      <c r="G317" s="705">
        <f t="shared" si="58"/>
        <v>71982.509999999995</v>
      </c>
    </row>
    <row r="318" spans="1:28" ht="28">
      <c r="A318" s="700"/>
      <c r="B318" s="700" t="s">
        <v>942</v>
      </c>
      <c r="C318" s="704">
        <v>2</v>
      </c>
      <c r="D318" s="705">
        <v>45000</v>
      </c>
      <c r="E318" s="705">
        <f t="shared" si="57"/>
        <v>90000</v>
      </c>
      <c r="F318" s="705">
        <f t="shared" si="34"/>
        <v>19465.019999999997</v>
      </c>
      <c r="G318" s="705">
        <f t="shared" si="58"/>
        <v>109465.01999999999</v>
      </c>
    </row>
    <row r="319" spans="1:28" ht="28">
      <c r="A319" s="700"/>
      <c r="B319" s="700" t="s">
        <v>946</v>
      </c>
      <c r="C319" s="704">
        <v>4</v>
      </c>
      <c r="D319" s="705">
        <v>45000</v>
      </c>
      <c r="E319" s="705">
        <f t="shared" si="57"/>
        <v>180000</v>
      </c>
      <c r="F319" s="705">
        <f t="shared" si="34"/>
        <v>38930.039999999994</v>
      </c>
      <c r="G319" s="705">
        <f t="shared" si="58"/>
        <v>218930.03999999998</v>
      </c>
    </row>
    <row r="320" spans="1:28">
      <c r="A320" s="700"/>
      <c r="B320" s="700" t="s">
        <v>949</v>
      </c>
      <c r="C320" s="704">
        <v>1</v>
      </c>
      <c r="D320" s="705">
        <v>23787.7575</v>
      </c>
      <c r="E320" s="705">
        <f t="shared" si="57"/>
        <v>23787.7575</v>
      </c>
      <c r="F320" s="705">
        <f t="shared" si="34"/>
        <v>6550.6736249999994</v>
      </c>
      <c r="G320" s="705">
        <f t="shared" si="58"/>
        <v>30338.431124999999</v>
      </c>
    </row>
    <row r="321" spans="1:12">
      <c r="A321" s="329"/>
      <c r="B321" s="727" t="s">
        <v>1092</v>
      </c>
      <c r="C321" s="757"/>
      <c r="D321" s="757"/>
      <c r="E321" s="757"/>
      <c r="F321" s="757"/>
      <c r="G321" s="757"/>
    </row>
    <row r="322" spans="1:12">
      <c r="A322" s="700"/>
      <c r="B322" s="700" t="s">
        <v>1020</v>
      </c>
      <c r="C322" s="704">
        <v>1</v>
      </c>
      <c r="D322" s="705">
        <v>45000</v>
      </c>
      <c r="E322" s="705">
        <f t="shared" ref="E322:E323" si="59">D322*C322</f>
        <v>45000</v>
      </c>
      <c r="F322" s="705">
        <f t="shared" si="34"/>
        <v>9732.5099999999984</v>
      </c>
      <c r="G322" s="705">
        <f t="shared" ref="G322:G323" si="60">E322+F322</f>
        <v>54732.509999999995</v>
      </c>
    </row>
    <row r="323" spans="1:12">
      <c r="A323" s="700"/>
      <c r="B323" s="700" t="s">
        <v>1021</v>
      </c>
      <c r="C323" s="704">
        <v>1</v>
      </c>
      <c r="D323" s="705">
        <v>40000</v>
      </c>
      <c r="E323" s="705">
        <f t="shared" si="59"/>
        <v>40000</v>
      </c>
      <c r="F323" s="705">
        <f t="shared" si="34"/>
        <v>8982.5099999999984</v>
      </c>
      <c r="G323" s="705">
        <f t="shared" si="60"/>
        <v>48982.509999999995</v>
      </c>
    </row>
    <row r="324" spans="1:12">
      <c r="A324" s="329"/>
      <c r="B324" s="727" t="s">
        <v>1093</v>
      </c>
      <c r="C324" s="757"/>
      <c r="D324" s="757"/>
      <c r="E324" s="757"/>
      <c r="F324" s="757"/>
      <c r="G324" s="757"/>
    </row>
    <row r="325" spans="1:12">
      <c r="A325" s="700"/>
      <c r="B325" s="700" t="s">
        <v>1038</v>
      </c>
      <c r="C325" s="704">
        <v>1</v>
      </c>
      <c r="D325" s="705">
        <v>40000</v>
      </c>
      <c r="E325" s="705">
        <v>22065.907500000001</v>
      </c>
      <c r="F325" s="705">
        <f t="shared" ref="F325:F327" si="61">(19242*30.5%+(D325-19242)*15%)*C325</f>
        <v>8982.5099999999984</v>
      </c>
      <c r="G325" s="705">
        <v>28729.811565</v>
      </c>
    </row>
    <row r="326" spans="1:12">
      <c r="A326" s="700"/>
      <c r="B326" s="700" t="s">
        <v>1041</v>
      </c>
      <c r="C326" s="704">
        <v>3</v>
      </c>
      <c r="D326" s="705">
        <v>35000</v>
      </c>
      <c r="E326" s="705">
        <v>61154.086500000005</v>
      </c>
      <c r="F326" s="705">
        <f t="shared" si="61"/>
        <v>24697.529999999995</v>
      </c>
      <c r="G326" s="705">
        <v>79622.62062300001</v>
      </c>
    </row>
    <row r="327" spans="1:12" ht="42">
      <c r="A327" s="700"/>
      <c r="B327" s="700" t="s">
        <v>1042</v>
      </c>
      <c r="C327" s="704">
        <v>2</v>
      </c>
      <c r="D327" s="705">
        <v>40000</v>
      </c>
      <c r="E327" s="705">
        <v>21306.928500000002</v>
      </c>
      <c r="F327" s="705">
        <f t="shared" si="61"/>
        <v>17965.019999999997</v>
      </c>
      <c r="G327" s="705">
        <v>27741.620907000004</v>
      </c>
    </row>
    <row r="328" spans="1:12" s="732" customFormat="1" ht="15.5">
      <c r="A328" s="729"/>
      <c r="B328" s="729" t="s">
        <v>383</v>
      </c>
      <c r="C328" s="730">
        <f>SUM(C278:C327)</f>
        <v>96</v>
      </c>
      <c r="D328" s="730"/>
      <c r="E328" s="731">
        <f>SUM(E278:E327)</f>
        <v>4200314.6800000006</v>
      </c>
      <c r="F328" s="731">
        <f>SUM(F278:F327)</f>
        <v>934439.12362500036</v>
      </c>
      <c r="G328" s="731">
        <f>SUM(G278:G327)</f>
        <v>5114675.8742199987</v>
      </c>
    </row>
    <row r="330" spans="1:12" ht="36">
      <c r="A330" s="733"/>
      <c r="B330" s="734" t="s">
        <v>1094</v>
      </c>
      <c r="C330" s="735"/>
      <c r="D330" s="736"/>
      <c r="E330" s="734"/>
      <c r="F330" s="737">
        <f>SUM(F190,F197,F273,F328)</f>
        <v>4566756.6309389062</v>
      </c>
      <c r="G330" s="737">
        <f>SUM(G190,G197,G273,G328)</f>
        <v>23804044.533388264</v>
      </c>
      <c r="I330" s="775">
        <f>F330/G330</f>
        <v>0.19184792838601175</v>
      </c>
    </row>
    <row r="334" spans="1:12">
      <c r="L334" s="696">
        <f>'ФОТ 2 этап'!I62</f>
        <v>0.17826942795315873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0000FF"/>
  </sheetPr>
  <dimension ref="A1:K104"/>
  <sheetViews>
    <sheetView showGridLines="0" topLeftCell="A32" workbookViewId="0">
      <selection activeCell="C32" sqref="C32"/>
    </sheetView>
  </sheetViews>
  <sheetFormatPr defaultColWidth="14.453125" defaultRowHeight="15" customHeight="1"/>
  <cols>
    <col min="1" max="1" width="2.81640625" customWidth="1"/>
    <col min="2" max="2" width="53.81640625" customWidth="1"/>
    <col min="3" max="3" width="22.1796875" customWidth="1"/>
    <col min="4" max="4" width="24.54296875" customWidth="1"/>
    <col min="5" max="5" width="11" customWidth="1"/>
    <col min="6" max="11" width="9.1796875" customWidth="1"/>
  </cols>
  <sheetData>
    <row r="1" spans="1:11" ht="3.7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2.25" customHeight="1">
      <c r="A2" s="5"/>
      <c r="B2" s="6"/>
      <c r="C2" s="5"/>
      <c r="D2" s="5"/>
      <c r="E2" s="5"/>
      <c r="F2" s="5"/>
      <c r="G2" s="5"/>
      <c r="H2" s="5"/>
      <c r="I2" s="5"/>
      <c r="J2" s="5"/>
      <c r="K2" s="5"/>
    </row>
    <row r="3" spans="1:11" ht="12.75" customHeight="1">
      <c r="A3" s="5"/>
      <c r="B3" s="7" t="s">
        <v>69</v>
      </c>
      <c r="C3" s="5"/>
      <c r="D3" s="5"/>
      <c r="E3" s="5"/>
      <c r="F3" s="5"/>
      <c r="G3" s="5"/>
      <c r="H3" s="5"/>
      <c r="I3" s="5"/>
      <c r="J3" s="5"/>
      <c r="K3" s="5"/>
    </row>
    <row r="4" spans="1:11" ht="2.2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 ht="2.2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</row>
    <row r="6" spans="1:11" ht="12.75" customHeight="1">
      <c r="A6" s="5"/>
      <c r="B6" s="1" t="s">
        <v>70</v>
      </c>
      <c r="C6" s="8"/>
      <c r="D6" s="9"/>
      <c r="E6" s="5"/>
      <c r="F6" s="5"/>
      <c r="G6" s="5"/>
      <c r="H6" s="5"/>
      <c r="I6" s="5"/>
      <c r="J6" s="5"/>
      <c r="K6" s="5"/>
    </row>
    <row r="7" spans="1:11" ht="12.75" customHeight="1">
      <c r="A7" s="5"/>
      <c r="B7" s="10" t="s">
        <v>71</v>
      </c>
      <c r="C7" s="11"/>
      <c r="D7" s="12" t="s">
        <v>873</v>
      </c>
      <c r="E7" s="5"/>
      <c r="F7" s="5"/>
      <c r="G7" s="5"/>
      <c r="H7" s="5"/>
      <c r="I7" s="5"/>
      <c r="J7" s="5"/>
      <c r="K7" s="5"/>
    </row>
    <row r="8" spans="1:11" ht="58.5" customHeight="1">
      <c r="A8" s="5"/>
      <c r="B8" s="10" t="s">
        <v>72</v>
      </c>
      <c r="C8" s="11"/>
      <c r="D8" s="603" t="s">
        <v>874</v>
      </c>
      <c r="E8" s="5"/>
      <c r="F8" s="5"/>
      <c r="G8" s="5"/>
      <c r="H8" s="5"/>
      <c r="I8" s="5"/>
      <c r="J8" s="5"/>
      <c r="K8" s="5"/>
    </row>
    <row r="9" spans="1:11" ht="12.75" customHeight="1">
      <c r="A9" s="5"/>
      <c r="B9" s="10" t="s">
        <v>73</v>
      </c>
      <c r="C9" s="13"/>
      <c r="D9" s="14">
        <f>Model!E6</f>
        <v>45200</v>
      </c>
      <c r="E9" s="5"/>
      <c r="F9" s="5"/>
      <c r="G9" s="5"/>
      <c r="H9" s="5"/>
      <c r="I9" s="5"/>
      <c r="J9" s="5"/>
      <c r="K9" s="5"/>
    </row>
    <row r="10" spans="1:11" ht="12.75" customHeight="1">
      <c r="A10" s="5"/>
      <c r="B10" s="10" t="s">
        <v>74</v>
      </c>
      <c r="C10" s="11"/>
      <c r="D10" s="15" t="s">
        <v>75</v>
      </c>
      <c r="E10" s="5"/>
      <c r="F10" s="5"/>
      <c r="G10" s="5"/>
      <c r="H10" s="5"/>
      <c r="I10" s="5"/>
      <c r="J10" s="5"/>
      <c r="K10" s="5"/>
    </row>
    <row r="11" spans="1:11" ht="12.75" customHeight="1">
      <c r="A11" s="5"/>
      <c r="B11" s="10" t="s">
        <v>76</v>
      </c>
      <c r="C11" s="16"/>
      <c r="D11" s="17">
        <f>DiscRate!E3/4</f>
        <v>2.8753885652669561E-2</v>
      </c>
      <c r="E11" s="5"/>
      <c r="F11" s="5"/>
      <c r="G11" s="5"/>
      <c r="H11" s="5"/>
      <c r="I11" s="5"/>
      <c r="J11" s="5"/>
      <c r="K11" s="5"/>
    </row>
    <row r="12" spans="1:11" ht="12.75" customHeight="1">
      <c r="A12" s="5"/>
      <c r="B12" s="10" t="s">
        <v>77</v>
      </c>
      <c r="C12" s="16"/>
      <c r="D12" s="17">
        <f>DiscRate!A51/4</f>
        <v>3.0072499999999999E-2</v>
      </c>
      <c r="E12" s="5"/>
      <c r="F12" s="5"/>
      <c r="G12" s="5"/>
      <c r="H12" s="5"/>
      <c r="I12" s="5"/>
      <c r="J12" s="5"/>
      <c r="K12" s="5"/>
    </row>
    <row r="13" spans="1:11" ht="12.7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</row>
    <row r="14" spans="1:11" ht="12.75" customHeight="1">
      <c r="A14" s="5"/>
      <c r="B14" s="1" t="s">
        <v>78</v>
      </c>
      <c r="C14" s="8"/>
      <c r="D14" s="9"/>
      <c r="E14" s="5"/>
      <c r="F14" s="5"/>
      <c r="G14" s="5"/>
      <c r="H14" s="5"/>
      <c r="I14" s="5"/>
      <c r="J14" s="5"/>
      <c r="K14" s="5"/>
    </row>
    <row r="15" spans="1:11" ht="12.75" customHeight="1">
      <c r="A15" s="5"/>
      <c r="B15" s="10" t="s">
        <v>79</v>
      </c>
      <c r="C15" s="16"/>
      <c r="D15" s="18"/>
      <c r="E15" s="5"/>
      <c r="F15" s="5"/>
      <c r="G15" s="5"/>
      <c r="H15" s="5"/>
      <c r="I15" s="5"/>
      <c r="J15" s="5"/>
      <c r="K15" s="5"/>
    </row>
    <row r="16" spans="1:11" ht="12.75" customHeight="1">
      <c r="A16" s="5"/>
      <c r="B16" s="10" t="s">
        <v>80</v>
      </c>
      <c r="C16" s="16"/>
      <c r="D16" s="18">
        <f>Инфраструктура!B7+Инфраструктура!B55+Инфраструктура!B103+Инфраструктура!B162+Инфраструктура!B167</f>
        <v>324</v>
      </c>
      <c r="E16" s="5"/>
      <c r="F16" s="5"/>
      <c r="G16" s="5"/>
      <c r="H16" s="5"/>
      <c r="I16" s="5"/>
      <c r="J16" s="5"/>
      <c r="K16" s="5"/>
    </row>
    <row r="17" spans="1:11" ht="12.75" customHeight="1">
      <c r="A17" s="5"/>
      <c r="B17" s="10" t="s">
        <v>875</v>
      </c>
      <c r="C17" s="16"/>
      <c r="D17" s="18">
        <f>Инфраструктура!D41</f>
        <v>6836</v>
      </c>
      <c r="E17" s="5"/>
      <c r="F17" s="5"/>
      <c r="G17" s="5"/>
      <c r="H17" s="5"/>
      <c r="I17" s="5"/>
      <c r="J17" s="5"/>
      <c r="K17" s="5"/>
    </row>
    <row r="18" spans="1:11" ht="12.75" customHeight="1">
      <c r="A18" s="5"/>
      <c r="B18" s="10" t="s">
        <v>876</v>
      </c>
      <c r="C18" s="16"/>
      <c r="D18" s="18">
        <f>Инфраструктура!D141</f>
        <v>5618</v>
      </c>
      <c r="E18" s="5"/>
      <c r="F18" s="5"/>
      <c r="G18" s="5"/>
      <c r="H18" s="5"/>
      <c r="I18" s="5"/>
      <c r="J18" s="5"/>
      <c r="K18" s="5"/>
    </row>
    <row r="19" spans="1:11" ht="12.75" customHeight="1">
      <c r="A19" s="5"/>
      <c r="B19" s="10" t="s">
        <v>877</v>
      </c>
      <c r="C19" s="16"/>
      <c r="E19" s="5"/>
      <c r="F19" s="5"/>
      <c r="G19" s="5"/>
      <c r="H19" s="5"/>
      <c r="I19" s="5"/>
      <c r="J19" s="5"/>
      <c r="K19" s="5"/>
    </row>
    <row r="20" spans="1:11" ht="12.75" customHeight="1">
      <c r="A20" s="5"/>
      <c r="B20" s="10" t="s">
        <v>878</v>
      </c>
      <c r="C20" s="16"/>
      <c r="D20" s="18">
        <v>3144</v>
      </c>
      <c r="E20" s="5"/>
      <c r="F20" s="5"/>
      <c r="G20" s="5"/>
      <c r="H20" s="5"/>
      <c r="I20" s="5"/>
      <c r="J20" s="5"/>
      <c r="K20" s="5"/>
    </row>
    <row r="21" spans="1:11" ht="12.75" customHeight="1">
      <c r="A21" s="5"/>
      <c r="B21" s="10" t="s">
        <v>879</v>
      </c>
      <c r="C21" s="16"/>
      <c r="D21" s="18">
        <v>8081</v>
      </c>
      <c r="E21" s="5"/>
      <c r="F21" s="5"/>
      <c r="G21" s="5"/>
      <c r="H21" s="5"/>
      <c r="I21" s="5"/>
      <c r="J21" s="5"/>
      <c r="K21" s="5"/>
    </row>
    <row r="22" spans="1:11" ht="12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</row>
    <row r="23" spans="1:11" ht="12.75" customHeight="1">
      <c r="A23" s="5"/>
      <c r="B23" s="1" t="s">
        <v>81</v>
      </c>
      <c r="C23" s="8"/>
      <c r="D23" s="9"/>
      <c r="E23" s="5"/>
      <c r="F23" s="5"/>
      <c r="G23" s="5"/>
      <c r="H23" s="5"/>
      <c r="I23" s="5"/>
      <c r="J23" s="5"/>
      <c r="K23" s="5"/>
    </row>
    <row r="24" spans="1:11" ht="12.75" customHeight="1">
      <c r="A24" s="5"/>
      <c r="B24" s="10" t="s">
        <v>82</v>
      </c>
      <c r="C24" s="19"/>
      <c r="D24" s="20">
        <v>0.30199999999999999</v>
      </c>
      <c r="E24" s="5"/>
      <c r="F24" s="5"/>
      <c r="G24" s="5"/>
      <c r="H24" s="5"/>
      <c r="I24" s="5"/>
      <c r="J24" s="5"/>
      <c r="K24" s="5"/>
    </row>
    <row r="25" spans="1:11" ht="12.75" customHeight="1">
      <c r="A25" s="5"/>
      <c r="B25" s="10" t="s">
        <v>83</v>
      </c>
      <c r="C25" s="19"/>
      <c r="D25" s="20">
        <v>0.2</v>
      </c>
      <c r="E25" s="5"/>
      <c r="F25" s="5"/>
      <c r="G25" s="5"/>
      <c r="H25" s="5"/>
      <c r="I25" s="5"/>
      <c r="J25" s="5"/>
      <c r="K25" s="5"/>
    </row>
    <row r="26" spans="1:11" ht="12.75" customHeight="1">
      <c r="A26" s="5"/>
      <c r="B26" s="10" t="s">
        <v>1119</v>
      </c>
      <c r="C26" s="19"/>
      <c r="D26" s="20">
        <v>0.155</v>
      </c>
      <c r="E26" s="5"/>
      <c r="F26" s="5"/>
      <c r="G26" s="5"/>
      <c r="H26" s="5"/>
      <c r="I26" s="5"/>
      <c r="J26" s="5"/>
      <c r="K26" s="5"/>
    </row>
    <row r="27" spans="1:11" ht="15" customHeight="1">
      <c r="A27" s="5"/>
      <c r="B27" s="10" t="s">
        <v>84</v>
      </c>
      <c r="C27" s="19"/>
      <c r="D27" s="20">
        <v>0.2</v>
      </c>
      <c r="E27" s="5"/>
      <c r="F27" s="5"/>
      <c r="G27" s="5"/>
      <c r="H27" s="5"/>
      <c r="I27" s="5"/>
      <c r="J27" s="5"/>
      <c r="K27" s="5"/>
    </row>
    <row r="28" spans="1:11" ht="12.75" customHeight="1">
      <c r="A28" s="5"/>
      <c r="B28" s="10" t="s">
        <v>85</v>
      </c>
      <c r="C28" s="16"/>
      <c r="D28" s="18"/>
      <c r="E28" s="5"/>
      <c r="F28" s="5"/>
      <c r="G28" s="5"/>
      <c r="H28" s="5"/>
      <c r="I28" s="5"/>
      <c r="J28" s="5"/>
      <c r="K28" s="5"/>
    </row>
    <row r="29" spans="1:11" ht="12.75" customHeight="1">
      <c r="A29" s="5"/>
      <c r="B29" s="10" t="s">
        <v>635</v>
      </c>
      <c r="C29" s="19"/>
      <c r="D29" s="463">
        <v>0</v>
      </c>
      <c r="E29" s="5"/>
      <c r="F29" s="5"/>
      <c r="G29" s="5"/>
      <c r="H29" s="5"/>
      <c r="I29" s="5"/>
      <c r="J29" s="5"/>
      <c r="K29" s="5"/>
    </row>
    <row r="30" spans="1:11" ht="12.75" customHeight="1">
      <c r="A30" s="5"/>
      <c r="B30" s="10" t="s">
        <v>636</v>
      </c>
      <c r="C30" s="19"/>
      <c r="D30" s="464">
        <v>5.0000000000000001E-3</v>
      </c>
      <c r="E30" s="5"/>
      <c r="F30" s="5"/>
      <c r="G30" s="5"/>
      <c r="H30" s="5"/>
      <c r="I30" s="5"/>
      <c r="J30" s="5"/>
      <c r="K30" s="5"/>
    </row>
    <row r="31" spans="1:11" ht="12.75" customHeight="1">
      <c r="A31" s="5"/>
      <c r="B31" s="10" t="s">
        <v>637</v>
      </c>
      <c r="C31" s="19"/>
      <c r="D31" s="464">
        <v>1.0999999999999999E-2</v>
      </c>
      <c r="E31" s="5"/>
      <c r="F31" s="5"/>
      <c r="G31" s="5"/>
      <c r="H31" s="5"/>
      <c r="I31" s="5"/>
      <c r="J31" s="5"/>
      <c r="K31" s="5"/>
    </row>
    <row r="32" spans="1:11" ht="12.75" customHeight="1">
      <c r="A32" s="5"/>
      <c r="B32" s="10" t="s">
        <v>86</v>
      </c>
      <c r="C32" s="19"/>
      <c r="D32" s="464">
        <v>0.02</v>
      </c>
      <c r="E32" s="5"/>
      <c r="F32" s="5"/>
      <c r="G32" s="5"/>
      <c r="H32" s="5"/>
      <c r="I32" s="5"/>
      <c r="J32" s="5"/>
      <c r="K32" s="5"/>
    </row>
    <row r="33" spans="1:11" ht="12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</row>
    <row r="34" spans="1:11" ht="12.75" customHeight="1">
      <c r="A34" s="5"/>
      <c r="B34" s="1" t="s">
        <v>87</v>
      </c>
      <c r="C34" s="21"/>
      <c r="D34" s="9"/>
      <c r="E34" s="5"/>
      <c r="F34" s="5"/>
      <c r="G34" s="5"/>
      <c r="H34" s="5"/>
      <c r="I34" s="5"/>
      <c r="J34" s="5"/>
      <c r="K34" s="5"/>
    </row>
    <row r="35" spans="1:11" ht="12.75" customHeight="1">
      <c r="A35" s="5"/>
      <c r="B35" s="10" t="s">
        <v>88</v>
      </c>
      <c r="C35" s="16"/>
      <c r="D35" s="18">
        <f>Финансирование!C6</f>
        <v>3818713200</v>
      </c>
      <c r="E35" s="5"/>
      <c r="F35" s="5"/>
      <c r="G35" s="5"/>
      <c r="H35" s="5"/>
      <c r="I35" s="5"/>
      <c r="J35" s="5"/>
      <c r="K35" s="5"/>
    </row>
    <row r="36" spans="1:11" ht="12.75" customHeight="1">
      <c r="A36" s="5"/>
      <c r="B36" s="10" t="s">
        <v>88</v>
      </c>
      <c r="C36" s="16"/>
      <c r="D36" s="18">
        <f>SUM(Model!D89:CN89)*1000</f>
        <v>3818713200</v>
      </c>
      <c r="E36" s="5"/>
      <c r="F36" s="5"/>
      <c r="G36" s="5"/>
      <c r="H36" s="5"/>
      <c r="I36" s="5"/>
      <c r="J36" s="5"/>
      <c r="K36" s="5"/>
    </row>
    <row r="37" spans="1:11" ht="12.75" customHeight="1">
      <c r="A37" s="5"/>
      <c r="B37" s="10" t="s">
        <v>599</v>
      </c>
      <c r="C37" s="16"/>
      <c r="D37" s="22">
        <f>Финансирование!F6</f>
        <v>7.4999999999999997E-2</v>
      </c>
      <c r="E37" s="5"/>
      <c r="F37" s="5"/>
      <c r="G37" s="5"/>
      <c r="H37" s="5"/>
      <c r="I37" s="5"/>
      <c r="J37" s="5"/>
      <c r="K37" s="5"/>
    </row>
    <row r="38" spans="1:11" ht="12.75" customHeight="1">
      <c r="A38" s="5"/>
      <c r="B38" s="10" t="s">
        <v>600</v>
      </c>
      <c r="C38" s="16"/>
      <c r="D38" s="409">
        <f>D37/4</f>
        <v>1.8749999999999999E-2</v>
      </c>
      <c r="E38" s="5"/>
      <c r="F38" s="5"/>
      <c r="G38" s="5"/>
      <c r="H38" s="5"/>
      <c r="I38" s="5"/>
      <c r="J38" s="5"/>
      <c r="K38" s="5"/>
    </row>
    <row r="39" spans="1:11" ht="12.75" customHeight="1">
      <c r="A39" s="5"/>
      <c r="B39" s="10" t="s">
        <v>89</v>
      </c>
      <c r="C39" s="16"/>
      <c r="D39" s="23">
        <v>0</v>
      </c>
      <c r="E39" s="5"/>
      <c r="F39" s="5"/>
      <c r="G39" s="5"/>
      <c r="H39" s="5"/>
      <c r="I39" s="5"/>
      <c r="J39" s="5"/>
      <c r="K39" s="5"/>
    </row>
    <row r="40" spans="1:11" ht="12.75" customHeight="1">
      <c r="A40" s="5"/>
      <c r="B40" s="10" t="s">
        <v>90</v>
      </c>
      <c r="C40" s="16"/>
      <c r="D40" s="24">
        <v>1.2</v>
      </c>
      <c r="E40" s="5"/>
      <c r="F40" s="5"/>
      <c r="G40" s="5"/>
      <c r="H40" s="5"/>
      <c r="I40" s="5"/>
      <c r="J40" s="5"/>
      <c r="K40" s="5"/>
    </row>
    <row r="41" spans="1:1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</row>
    <row r="42" spans="1:11" ht="12.75" customHeight="1">
      <c r="A42" s="5"/>
      <c r="B42" s="1" t="s">
        <v>91</v>
      </c>
      <c r="C42" s="8"/>
      <c r="D42" s="9"/>
      <c r="E42" s="5"/>
      <c r="F42" s="5"/>
      <c r="G42" s="5"/>
      <c r="H42" s="5"/>
      <c r="I42" s="5"/>
      <c r="J42" s="5"/>
      <c r="K42" s="5"/>
    </row>
    <row r="43" spans="1:11" ht="12.75" customHeight="1">
      <c r="A43" s="5"/>
      <c r="B43" s="10" t="s">
        <v>92</v>
      </c>
      <c r="C43" s="16"/>
      <c r="D43" s="25">
        <f>'выручка номеров'!O12</f>
        <v>0.66666666666666663</v>
      </c>
      <c r="E43" s="5"/>
      <c r="F43" s="5"/>
      <c r="G43" s="5"/>
      <c r="H43" s="5"/>
      <c r="I43" s="5"/>
      <c r="J43" s="5"/>
      <c r="K43" s="5"/>
    </row>
    <row r="44" spans="1:11" ht="12.75" customHeight="1">
      <c r="A44" s="5"/>
      <c r="B44" s="10" t="s">
        <v>93</v>
      </c>
      <c r="C44" s="16"/>
      <c r="D44" s="18">
        <f>ADR!AA28</f>
        <v>9496.9984713688336</v>
      </c>
      <c r="E44" s="5"/>
      <c r="F44" s="5"/>
      <c r="G44" s="5"/>
      <c r="H44" s="5"/>
      <c r="I44" s="5"/>
      <c r="J44" s="5"/>
      <c r="K44" s="5"/>
    </row>
    <row r="45" spans="1:11" ht="12.75" customHeight="1">
      <c r="A45" s="5"/>
      <c r="B45" s="10" t="s">
        <v>94</v>
      </c>
      <c r="C45" s="16"/>
      <c r="D45" s="18">
        <f>('Итого выручка 1 этапа'!N5+'Итого выручка 1 этапа'!N7)/'выручка номеров'!O11</f>
        <v>6820.2462042657926</v>
      </c>
      <c r="E45" s="5"/>
      <c r="F45" s="5"/>
      <c r="G45" s="5"/>
      <c r="H45" s="5"/>
      <c r="I45" s="5"/>
      <c r="J45" s="5"/>
      <c r="K45" s="5"/>
    </row>
    <row r="46" spans="1:11" ht="12.75" customHeight="1">
      <c r="A46" s="5"/>
      <c r="B46" s="10" t="s">
        <v>95</v>
      </c>
      <c r="C46" s="16"/>
      <c r="D46" s="18"/>
      <c r="E46" s="26"/>
      <c r="F46" s="5"/>
      <c r="G46" s="5"/>
      <c r="H46" s="5"/>
      <c r="I46" s="5"/>
      <c r="J46" s="5"/>
      <c r="K46" s="5"/>
    </row>
    <row r="47" spans="1:11" ht="12.75" customHeight="1">
      <c r="A47" s="5"/>
      <c r="B47" s="10" t="s">
        <v>96</v>
      </c>
      <c r="C47" s="16"/>
      <c r="D47" s="18"/>
      <c r="E47" s="27"/>
      <c r="F47" s="28"/>
      <c r="G47" s="28"/>
      <c r="H47" s="28"/>
      <c r="I47" s="5"/>
      <c r="J47" s="5"/>
      <c r="K47" s="5"/>
    </row>
    <row r="48" spans="1:11" ht="12.75" customHeight="1">
      <c r="A48" s="5"/>
      <c r="B48" s="10" t="s">
        <v>827</v>
      </c>
      <c r="C48" s="16"/>
      <c r="D48" s="18"/>
      <c r="E48" s="27"/>
      <c r="F48" s="28"/>
      <c r="G48" s="28"/>
      <c r="H48" s="28"/>
      <c r="I48" s="5"/>
      <c r="J48" s="5"/>
      <c r="K48" s="5"/>
    </row>
    <row r="49" spans="1:11" ht="12.75" customHeight="1">
      <c r="A49" s="5"/>
      <c r="B49" s="10" t="s">
        <v>97</v>
      </c>
      <c r="C49" s="16"/>
      <c r="D49" s="18"/>
      <c r="E49" s="27"/>
      <c r="F49" s="28"/>
      <c r="G49" s="28"/>
      <c r="H49" s="28"/>
      <c r="I49" s="5"/>
      <c r="J49" s="5"/>
      <c r="K49" s="5"/>
    </row>
    <row r="50" spans="1:11" ht="12.75" customHeight="1">
      <c r="A50" s="5"/>
      <c r="B50" s="10" t="s">
        <v>98</v>
      </c>
      <c r="C50" s="29"/>
      <c r="D50" s="18"/>
      <c r="E50" s="27"/>
      <c r="F50" s="28"/>
      <c r="G50" s="28"/>
      <c r="H50" s="28"/>
      <c r="I50" s="5"/>
      <c r="J50" s="5"/>
      <c r="K50" s="5"/>
    </row>
    <row r="51" spans="1:11" ht="12.75" customHeight="1">
      <c r="A51" s="5"/>
      <c r="B51" s="10" t="s">
        <v>99</v>
      </c>
      <c r="C51" s="30"/>
      <c r="D51" s="18">
        <f>'Итого выручка 1 этапа'!N8/'выручка номеров'!O11</f>
        <v>3322.9780541068494</v>
      </c>
      <c r="E51" s="26"/>
      <c r="F51" s="5"/>
      <c r="G51" s="5"/>
      <c r="H51" s="5"/>
      <c r="I51" s="5"/>
      <c r="J51" s="5"/>
      <c r="K51" s="5"/>
    </row>
    <row r="52" spans="1:11" ht="12.75" customHeight="1">
      <c r="A52" s="5"/>
      <c r="B52" s="10" t="s">
        <v>100</v>
      </c>
      <c r="C52" s="16"/>
      <c r="D52" s="18">
        <v>91</v>
      </c>
      <c r="E52" s="5"/>
      <c r="F52" s="5"/>
      <c r="G52" s="5"/>
      <c r="H52" s="5"/>
      <c r="I52" s="5"/>
      <c r="J52" s="5"/>
      <c r="K52" s="5"/>
    </row>
    <row r="53" spans="1:11" ht="12.75" customHeight="1">
      <c r="A53" s="5"/>
      <c r="B53" s="10" t="s">
        <v>101</v>
      </c>
      <c r="C53" s="16"/>
      <c r="D53" s="31">
        <v>0.04</v>
      </c>
      <c r="E53" s="5"/>
      <c r="F53" s="5"/>
      <c r="G53" s="5"/>
      <c r="H53" s="5"/>
      <c r="I53" s="5"/>
      <c r="J53" s="5"/>
      <c r="K53" s="5"/>
    </row>
    <row r="54" spans="1:11" ht="12.75" customHeight="1">
      <c r="A54" s="5"/>
      <c r="B54" s="10" t="s">
        <v>102</v>
      </c>
      <c r="C54" s="19"/>
      <c r="D54" s="18">
        <v>21</v>
      </c>
      <c r="E54" s="5"/>
      <c r="F54" s="5"/>
      <c r="G54" s="5"/>
      <c r="H54" s="5"/>
      <c r="I54" s="5"/>
      <c r="J54" s="5"/>
      <c r="K54" s="5"/>
    </row>
    <row r="55" spans="1:11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</row>
    <row r="56" spans="1:11" ht="12.75" customHeight="1">
      <c r="A56" s="5"/>
      <c r="B56" s="1" t="s">
        <v>103</v>
      </c>
      <c r="C56" s="8"/>
      <c r="D56" s="9"/>
      <c r="E56" s="9" t="s">
        <v>626</v>
      </c>
      <c r="F56" s="5"/>
      <c r="G56" s="5"/>
      <c r="H56" s="5"/>
      <c r="I56" s="5"/>
      <c r="J56" s="5"/>
      <c r="K56" s="5"/>
    </row>
    <row r="57" spans="1:11" ht="12.75" customHeight="1">
      <c r="A57" s="5"/>
      <c r="B57" s="10" t="s">
        <v>621</v>
      </c>
      <c r="C57" s="16"/>
      <c r="D57" s="25">
        <v>0.2</v>
      </c>
      <c r="E57" s="18">
        <v>15</v>
      </c>
      <c r="F57" s="5"/>
      <c r="G57" s="5"/>
      <c r="H57" s="5"/>
      <c r="I57" s="5"/>
      <c r="J57" s="5"/>
      <c r="K57" s="5"/>
    </row>
    <row r="58" spans="1:11" ht="12.75" customHeight="1">
      <c r="A58" s="5"/>
      <c r="B58" s="10" t="s">
        <v>104</v>
      </c>
      <c r="C58" s="16"/>
      <c r="D58" s="25">
        <v>0.6</v>
      </c>
      <c r="E58" s="18"/>
      <c r="F58" s="5"/>
      <c r="G58" s="5"/>
      <c r="H58" s="5"/>
      <c r="I58" s="5"/>
      <c r="J58" s="5"/>
      <c r="K58" s="5"/>
    </row>
    <row r="59" spans="1:11" ht="12.75" customHeight="1">
      <c r="A59" s="5"/>
      <c r="B59" s="32" t="s">
        <v>622</v>
      </c>
      <c r="C59" s="16"/>
      <c r="D59" s="25">
        <v>0.2</v>
      </c>
      <c r="E59" s="18">
        <v>10</v>
      </c>
      <c r="F59" s="5"/>
      <c r="G59" s="5"/>
      <c r="H59" s="5"/>
      <c r="I59" s="5"/>
      <c r="J59" s="5"/>
      <c r="K59" s="5"/>
    </row>
    <row r="60" spans="1:11" ht="12.75" customHeight="1">
      <c r="A60" s="5"/>
      <c r="B60" s="32" t="s">
        <v>623</v>
      </c>
      <c r="C60" s="16"/>
      <c r="D60" s="25">
        <v>0.13</v>
      </c>
      <c r="E60" s="18">
        <v>30</v>
      </c>
      <c r="F60" s="5"/>
      <c r="G60" s="5"/>
      <c r="H60" s="5"/>
      <c r="I60" s="5"/>
      <c r="J60" s="5"/>
      <c r="K60" s="5"/>
    </row>
    <row r="61" spans="1:11" ht="12.75" customHeight="1">
      <c r="A61" s="5"/>
      <c r="B61" s="32" t="s">
        <v>624</v>
      </c>
      <c r="C61" s="16"/>
      <c r="D61" s="25">
        <v>7.0000000000000007E-2</v>
      </c>
      <c r="E61" s="18">
        <v>10</v>
      </c>
      <c r="F61" s="5"/>
      <c r="G61" s="5"/>
      <c r="H61" s="5"/>
      <c r="I61" s="5"/>
      <c r="J61" s="5"/>
      <c r="K61" s="5"/>
    </row>
    <row r="62" spans="1:11" ht="12.75" customHeight="1">
      <c r="A62" s="5"/>
      <c r="B62" s="10" t="s">
        <v>105</v>
      </c>
      <c r="C62" s="16"/>
      <c r="D62" s="25">
        <v>0.1</v>
      </c>
      <c r="E62" s="18"/>
      <c r="F62" s="5"/>
      <c r="G62" s="5"/>
      <c r="H62" s="5"/>
      <c r="I62" s="5"/>
      <c r="J62" s="5"/>
      <c r="K62" s="5"/>
    </row>
    <row r="63" spans="1:11" ht="12.75" customHeight="1">
      <c r="A63" s="5"/>
      <c r="B63" s="10" t="s">
        <v>625</v>
      </c>
      <c r="C63" s="16"/>
      <c r="D63" s="25">
        <v>0.6</v>
      </c>
      <c r="E63" s="18">
        <v>30</v>
      </c>
      <c r="F63" s="5"/>
      <c r="G63" s="5"/>
      <c r="H63" s="5"/>
      <c r="I63" s="5"/>
      <c r="J63" s="5"/>
      <c r="K63" s="5"/>
    </row>
    <row r="64" spans="1:11" ht="12.75" customHeight="1">
      <c r="A64" s="5"/>
      <c r="B64" s="10" t="s">
        <v>106</v>
      </c>
      <c r="C64" s="16"/>
      <c r="D64" s="25">
        <v>1</v>
      </c>
      <c r="E64" s="18">
        <v>30</v>
      </c>
      <c r="F64" s="5"/>
      <c r="G64" s="5"/>
      <c r="H64" s="5"/>
      <c r="I64" s="5"/>
      <c r="J64" s="5"/>
      <c r="K64" s="5"/>
    </row>
    <row r="65" spans="1:11" ht="12.75" customHeight="1">
      <c r="A65" s="5"/>
      <c r="B65" s="10" t="s">
        <v>107</v>
      </c>
      <c r="C65" s="16"/>
      <c r="D65" s="33">
        <v>30000</v>
      </c>
      <c r="E65" s="18"/>
      <c r="F65" s="5"/>
      <c r="G65" s="5"/>
      <c r="H65" s="5"/>
      <c r="I65" s="5"/>
      <c r="J65" s="5"/>
      <c r="K65" s="5"/>
    </row>
    <row r="66" spans="1:11" ht="12.75" customHeight="1">
      <c r="A66" s="5"/>
      <c r="B66" s="26"/>
      <c r="C66" s="5"/>
      <c r="D66" s="34"/>
      <c r="E66" s="5"/>
      <c r="F66" s="5"/>
      <c r="G66" s="5"/>
      <c r="H66" s="5"/>
      <c r="I66" s="5"/>
      <c r="J66" s="5"/>
      <c r="K66" s="5"/>
    </row>
    <row r="67" spans="1:11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</row>
    <row r="68" spans="1:11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</row>
    <row r="69" spans="1:11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</row>
    <row r="70" spans="1:11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</row>
    <row r="71" spans="1:1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</row>
    <row r="72" spans="1:11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</row>
    <row r="73" spans="1:11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</row>
    <row r="74" spans="1:11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</row>
    <row r="75" spans="1:11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</row>
    <row r="76" spans="1:11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</row>
    <row r="77" spans="1:11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</row>
    <row r="78" spans="1:11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</row>
    <row r="79" spans="1:11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</row>
    <row r="80" spans="1:11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</row>
    <row r="81" spans="1:1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</row>
    <row r="82" spans="1:11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</row>
    <row r="83" spans="1:11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</row>
    <row r="84" spans="1:11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</row>
    <row r="85" spans="1:11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</row>
    <row r="86" spans="1:11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</row>
    <row r="87" spans="1:11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</row>
    <row r="88" spans="1:11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</row>
    <row r="89" spans="1:11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</row>
    <row r="90" spans="1:11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</row>
    <row r="91" spans="1:1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</row>
    <row r="92" spans="1:11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</row>
    <row r="93" spans="1:11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</row>
    <row r="94" spans="1:11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</row>
    <row r="95" spans="1:11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</row>
    <row r="96" spans="1:11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</row>
    <row r="97" spans="1:11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</row>
    <row r="98" spans="1:11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</row>
    <row r="99" spans="1:11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</row>
    <row r="100" spans="1:11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</row>
    <row r="101" spans="1:1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</row>
    <row r="102" spans="1:11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</row>
    <row r="103" spans="1:11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</row>
    <row r="104" spans="1:11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</row>
  </sheetData>
  <dataValidations count="1">
    <dataValidation type="list" allowBlank="1" showErrorMessage="1" sqref="D10" xr:uid="{00000000-0002-0000-0200-000000000000}">
      <formula1>"Тысячи,Нет"</formula1>
    </dataValidation>
  </dataValidations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778F6-66C6-4238-A379-FE47364F6E6E}">
  <dimension ref="A1:AB62"/>
  <sheetViews>
    <sheetView topLeftCell="A52" workbookViewId="0">
      <selection activeCell="I62" sqref="I62"/>
    </sheetView>
  </sheetViews>
  <sheetFormatPr defaultRowHeight="12.5"/>
  <cols>
    <col min="1" max="1" width="4.81640625" customWidth="1"/>
    <col min="2" max="2" width="16.54296875" customWidth="1"/>
    <col min="3" max="3" width="10.54296875" style="768" customWidth="1"/>
    <col min="4" max="4" width="16.453125" style="768" customWidth="1"/>
    <col min="5" max="5" width="19" style="768" customWidth="1"/>
    <col min="6" max="6" width="12.453125" style="768" customWidth="1"/>
    <col min="7" max="7" width="16.54296875" style="768" customWidth="1"/>
  </cols>
  <sheetData>
    <row r="1" spans="1:20" s="696" customFormat="1" ht="56">
      <c r="A1" s="709"/>
      <c r="B1" s="564" t="s">
        <v>936</v>
      </c>
      <c r="C1" s="564" t="s">
        <v>1073</v>
      </c>
      <c r="D1" s="710" t="s">
        <v>1074</v>
      </c>
      <c r="E1" s="564" t="s">
        <v>1075</v>
      </c>
      <c r="F1" s="564" t="s">
        <v>1076</v>
      </c>
      <c r="G1" s="564" t="s">
        <v>1077</v>
      </c>
    </row>
    <row r="2" spans="1:20" s="725" customFormat="1" ht="14">
      <c r="A2" s="722"/>
      <c r="B2" s="754" t="s">
        <v>515</v>
      </c>
      <c r="C2" s="755"/>
      <c r="D2" s="755"/>
      <c r="E2" s="755"/>
      <c r="F2" s="755"/>
      <c r="G2" s="755"/>
      <c r="H2" s="724"/>
      <c r="I2" s="756"/>
      <c r="J2" s="723"/>
      <c r="K2" s="723"/>
      <c r="L2" s="723"/>
      <c r="M2" s="723"/>
      <c r="N2" s="723"/>
      <c r="O2" s="724"/>
      <c r="P2" s="724"/>
      <c r="Q2" s="724"/>
      <c r="R2" s="756"/>
      <c r="S2" s="723"/>
      <c r="T2" s="723"/>
    </row>
    <row r="3" spans="1:20" s="696" customFormat="1" ht="28">
      <c r="B3" s="700" t="s">
        <v>1106</v>
      </c>
      <c r="C3" s="764">
        <v>1</v>
      </c>
      <c r="D3" s="765">
        <v>120000</v>
      </c>
      <c r="E3" s="765">
        <f t="shared" ref="E3" si="0">D3*C3</f>
        <v>120000</v>
      </c>
      <c r="F3" s="765">
        <f t="shared" ref="F3:F14" si="1">(19242*30.5%+(D3-19242)*15%)*C3</f>
        <v>20982.51</v>
      </c>
      <c r="G3" s="765">
        <f t="shared" ref="G3" si="2">E3+F3</f>
        <v>140982.51</v>
      </c>
    </row>
    <row r="4" spans="1:20" s="696" customFormat="1" ht="14">
      <c r="A4" s="700"/>
      <c r="B4" s="700" t="s">
        <v>993</v>
      </c>
      <c r="C4" s="764">
        <v>0.5</v>
      </c>
      <c r="D4" s="765">
        <v>42172.1015625</v>
      </c>
      <c r="E4" s="765">
        <f t="shared" ref="E4:E5" si="3">D4*C4</f>
        <v>21086.05078125</v>
      </c>
      <c r="F4" s="765">
        <f t="shared" ref="F4:F5" si="4">(19242*30.5%+(D4-19242)*15%)*C4</f>
        <v>4654.1626171874996</v>
      </c>
      <c r="G4" s="765">
        <f t="shared" ref="G4:G5" si="5">E4+F4</f>
        <v>25740.2133984375</v>
      </c>
    </row>
    <row r="5" spans="1:20" s="696" customFormat="1" ht="28">
      <c r="A5" s="700"/>
      <c r="B5" s="700" t="s">
        <v>1001</v>
      </c>
      <c r="C5" s="764">
        <v>0.5</v>
      </c>
      <c r="D5" s="765">
        <v>42172.1015625</v>
      </c>
      <c r="E5" s="765">
        <f t="shared" si="3"/>
        <v>21086.05078125</v>
      </c>
      <c r="F5" s="765">
        <f t="shared" si="4"/>
        <v>4654.1626171874996</v>
      </c>
      <c r="G5" s="765">
        <f t="shared" si="5"/>
        <v>25740.2133984375</v>
      </c>
    </row>
    <row r="6" spans="1:20" ht="14">
      <c r="A6" s="329"/>
      <c r="B6" s="727" t="s">
        <v>518</v>
      </c>
      <c r="C6" s="757"/>
      <c r="D6" s="757"/>
      <c r="E6" s="757"/>
      <c r="F6" s="757"/>
      <c r="G6" s="757"/>
      <c r="H6" s="330"/>
      <c r="I6" s="758"/>
      <c r="J6" s="333"/>
      <c r="K6" s="333"/>
      <c r="L6" s="333"/>
      <c r="M6" s="333"/>
      <c r="N6" s="333"/>
      <c r="O6" s="330"/>
      <c r="P6" s="330"/>
      <c r="Q6" s="330"/>
      <c r="R6" s="758"/>
      <c r="S6" s="333"/>
      <c r="T6" s="333"/>
    </row>
    <row r="7" spans="1:20" s="696" customFormat="1" ht="28">
      <c r="A7" s="700"/>
      <c r="B7" s="700" t="s">
        <v>1005</v>
      </c>
      <c r="C7" s="764">
        <v>1</v>
      </c>
      <c r="D7" s="765">
        <v>45000</v>
      </c>
      <c r="E7" s="765">
        <f t="shared" ref="E7" si="6">D7*C7</f>
        <v>45000</v>
      </c>
      <c r="F7" s="765">
        <f t="shared" si="1"/>
        <v>9732.5099999999984</v>
      </c>
      <c r="G7" s="765">
        <f t="shared" ref="G7" si="7">E7+F7</f>
        <v>54732.509999999995</v>
      </c>
    </row>
    <row r="8" spans="1:20" ht="14">
      <c r="A8" s="329"/>
      <c r="B8" s="727" t="s">
        <v>519</v>
      </c>
      <c r="C8" s="757"/>
      <c r="D8" s="757"/>
      <c r="E8" s="757"/>
      <c r="F8" s="757"/>
      <c r="G8" s="757"/>
      <c r="H8" s="330"/>
      <c r="I8" s="758"/>
      <c r="J8" s="333"/>
      <c r="K8" s="333"/>
      <c r="L8" s="333"/>
      <c r="M8" s="333"/>
      <c r="N8" s="333"/>
      <c r="O8" s="330"/>
      <c r="P8" s="330"/>
      <c r="Q8" s="330"/>
      <c r="R8" s="758"/>
      <c r="S8" s="333"/>
      <c r="T8" s="333"/>
    </row>
    <row r="9" spans="1:20" ht="14">
      <c r="A9" s="726"/>
      <c r="B9" s="760" t="s">
        <v>520</v>
      </c>
      <c r="C9" s="764">
        <v>1</v>
      </c>
      <c r="D9" s="765">
        <v>75000</v>
      </c>
      <c r="E9" s="765">
        <f t="shared" ref="E9" si="8">D9*C9</f>
        <v>75000</v>
      </c>
      <c r="F9" s="765">
        <f t="shared" ref="F9" si="9">(19242*30.5%+(D9-19242)*15%)*C9</f>
        <v>14232.509999999998</v>
      </c>
      <c r="G9" s="765">
        <f t="shared" ref="G9" si="10">E9+F9</f>
        <v>89232.51</v>
      </c>
      <c r="H9" s="330"/>
      <c r="I9" s="758"/>
      <c r="J9" s="333"/>
      <c r="K9" s="333"/>
      <c r="L9" s="333"/>
      <c r="M9" s="333"/>
      <c r="N9" s="333"/>
      <c r="O9" s="330"/>
      <c r="P9" s="330"/>
      <c r="Q9" s="330"/>
      <c r="R9" s="758"/>
      <c r="S9" s="333"/>
      <c r="T9" s="333"/>
    </row>
    <row r="10" spans="1:20" s="696" customFormat="1" ht="14">
      <c r="A10" s="700"/>
      <c r="B10" s="700" t="s">
        <v>1085</v>
      </c>
      <c r="C10" s="764">
        <v>1</v>
      </c>
      <c r="D10" s="765">
        <v>47000</v>
      </c>
      <c r="E10" s="765">
        <f t="shared" ref="E10" si="11">D10*C10</f>
        <v>47000</v>
      </c>
      <c r="F10" s="765">
        <f t="shared" si="1"/>
        <v>10032.509999999998</v>
      </c>
      <c r="G10" s="765">
        <f t="shared" ref="G10" si="12">E10+F10</f>
        <v>57032.509999999995</v>
      </c>
    </row>
    <row r="11" spans="1:20" s="696" customFormat="1" ht="28">
      <c r="A11" s="720"/>
      <c r="B11" s="720" t="s">
        <v>522</v>
      </c>
      <c r="C11" s="764">
        <v>1</v>
      </c>
      <c r="D11" s="765">
        <f>D10</f>
        <v>47000</v>
      </c>
      <c r="E11" s="765">
        <f t="shared" ref="E11" si="13">D11*C11</f>
        <v>47000</v>
      </c>
      <c r="F11" s="765">
        <f t="shared" ref="F11" si="14">(19242*30.5%+(D11-19242)*15%)*C11</f>
        <v>10032.509999999998</v>
      </c>
      <c r="G11" s="765">
        <f t="shared" ref="G11" si="15">E11+F11</f>
        <v>57032.509999999995</v>
      </c>
    </row>
    <row r="12" spans="1:20" ht="28">
      <c r="A12" s="329"/>
      <c r="B12" s="727" t="s">
        <v>524</v>
      </c>
      <c r="C12" s="757"/>
      <c r="D12" s="757"/>
      <c r="E12" s="757"/>
      <c r="F12" s="757"/>
      <c r="G12" s="757"/>
      <c r="H12" s="330"/>
      <c r="I12" s="758"/>
      <c r="J12" s="333"/>
      <c r="K12" s="333"/>
      <c r="L12" s="333"/>
      <c r="M12" s="333"/>
      <c r="N12" s="333"/>
      <c r="O12" s="330"/>
      <c r="P12" s="330"/>
      <c r="Q12" s="330"/>
      <c r="R12" s="758"/>
      <c r="S12" s="333"/>
      <c r="T12" s="333"/>
    </row>
    <row r="13" spans="1:20" s="696" customFormat="1" ht="32.15" customHeight="1">
      <c r="A13" s="700"/>
      <c r="B13" s="700" t="s">
        <v>998</v>
      </c>
      <c r="C13" s="764">
        <v>1</v>
      </c>
      <c r="D13" s="765">
        <v>55000</v>
      </c>
      <c r="E13" s="765">
        <f t="shared" ref="E13" si="16">D13*C13</f>
        <v>55000</v>
      </c>
      <c r="F13" s="765">
        <f t="shared" ref="F13" si="17">(19242*30.5%+(D13-19242)*15%)*C13</f>
        <v>11232.509999999998</v>
      </c>
      <c r="G13" s="765">
        <f t="shared" ref="G13" si="18">E13+F13</f>
        <v>66232.509999999995</v>
      </c>
    </row>
    <row r="14" spans="1:20" s="696" customFormat="1" ht="14">
      <c r="A14" s="721"/>
      <c r="B14" s="700" t="s">
        <v>1086</v>
      </c>
      <c r="C14" s="764">
        <v>6</v>
      </c>
      <c r="D14" s="765">
        <v>35000</v>
      </c>
      <c r="E14" s="765">
        <f t="shared" ref="E14" si="19">D14*C14</f>
        <v>210000</v>
      </c>
      <c r="F14" s="765">
        <f t="shared" si="1"/>
        <v>49395.05999999999</v>
      </c>
      <c r="G14" s="765">
        <f t="shared" ref="G14" si="20">E14+F14</f>
        <v>259395.06</v>
      </c>
    </row>
    <row r="15" spans="1:20" s="699" customFormat="1" ht="14">
      <c r="A15" s="702"/>
      <c r="B15" s="702" t="s">
        <v>1108</v>
      </c>
      <c r="C15" s="766"/>
      <c r="D15" s="767"/>
      <c r="E15" s="767"/>
      <c r="F15" s="767"/>
      <c r="G15" s="767"/>
    </row>
    <row r="16" spans="1:20" s="696" customFormat="1" ht="28">
      <c r="A16" s="700"/>
      <c r="B16" s="700" t="s">
        <v>1005</v>
      </c>
      <c r="C16" s="764">
        <v>1</v>
      </c>
      <c r="D16" s="765">
        <v>45000</v>
      </c>
      <c r="E16" s="765">
        <f t="shared" ref="E16" si="21">D16*C16</f>
        <v>45000</v>
      </c>
      <c r="F16" s="765">
        <f t="shared" ref="F16" si="22">(19242*30.5%+(D16-19242)*15%)*C16</f>
        <v>9732.5099999999984</v>
      </c>
      <c r="G16" s="765">
        <f t="shared" ref="G16" si="23">E16+F16</f>
        <v>54732.509999999995</v>
      </c>
    </row>
    <row r="17" spans="1:24" s="699" customFormat="1" ht="20.149999999999999" customHeight="1">
      <c r="A17" s="702"/>
      <c r="B17" s="702" t="s">
        <v>1109</v>
      </c>
      <c r="C17" s="766"/>
      <c r="D17" s="767"/>
      <c r="E17" s="767"/>
      <c r="F17" s="767"/>
      <c r="G17" s="767"/>
    </row>
    <row r="18" spans="1:24" s="696" customFormat="1" ht="42">
      <c r="A18" s="700"/>
      <c r="B18" s="700" t="s">
        <v>1024</v>
      </c>
      <c r="C18" s="764">
        <v>1</v>
      </c>
      <c r="D18" s="765">
        <v>38739.553124999999</v>
      </c>
      <c r="E18" s="765">
        <f t="shared" ref="E18:E22" si="24">D18*C18</f>
        <v>38739.553124999999</v>
      </c>
      <c r="F18" s="765">
        <f t="shared" ref="F18:F22" si="25">(19242*30.5%+(D18-19242)*15%)*C18</f>
        <v>8793.4429687499996</v>
      </c>
      <c r="G18" s="765">
        <f t="shared" ref="G18:G22" si="26">E18+F18</f>
        <v>47532.99609375</v>
      </c>
    </row>
    <row r="19" spans="1:24" s="696" customFormat="1" ht="70">
      <c r="A19" s="700"/>
      <c r="B19" s="700" t="s">
        <v>1027</v>
      </c>
      <c r="C19" s="764">
        <v>2</v>
      </c>
      <c r="D19" s="765">
        <v>21127.737065217389</v>
      </c>
      <c r="E19" s="765">
        <f t="shared" si="24"/>
        <v>42255.474130434777</v>
      </c>
      <c r="F19" s="765">
        <f t="shared" si="25"/>
        <v>12303.341119565215</v>
      </c>
      <c r="G19" s="765">
        <f t="shared" si="26"/>
        <v>54558.815249999992</v>
      </c>
    </row>
    <row r="20" spans="1:24" s="696" customFormat="1" ht="14">
      <c r="A20" s="700"/>
      <c r="B20" s="700" t="s">
        <v>1028</v>
      </c>
      <c r="C20" s="764">
        <v>2</v>
      </c>
      <c r="D20" s="765">
        <v>21748.272000000001</v>
      </c>
      <c r="E20" s="765">
        <f t="shared" si="24"/>
        <v>43496.544000000002</v>
      </c>
      <c r="F20" s="765">
        <f t="shared" si="25"/>
        <v>12489.5016</v>
      </c>
      <c r="G20" s="765">
        <f t="shared" si="26"/>
        <v>55986.045599999998</v>
      </c>
    </row>
    <row r="21" spans="1:24" s="696" customFormat="1" ht="14">
      <c r="A21" s="700"/>
      <c r="B21" s="700" t="s">
        <v>1029</v>
      </c>
      <c r="C21" s="764">
        <v>1</v>
      </c>
      <c r="D21" s="765">
        <v>20253.078300000001</v>
      </c>
      <c r="E21" s="765">
        <f t="shared" si="24"/>
        <v>20253.078300000001</v>
      </c>
      <c r="F21" s="765">
        <f t="shared" si="25"/>
        <v>6020.4717449999998</v>
      </c>
      <c r="G21" s="765">
        <f t="shared" si="26"/>
        <v>26273.550045</v>
      </c>
    </row>
    <row r="22" spans="1:24" s="696" customFormat="1" ht="14">
      <c r="A22" s="700"/>
      <c r="B22" s="700" t="s">
        <v>1030</v>
      </c>
      <c r="C22" s="764">
        <v>1</v>
      </c>
      <c r="D22" s="765">
        <v>21612.345299999997</v>
      </c>
      <c r="E22" s="765">
        <f t="shared" si="24"/>
        <v>21612.345299999997</v>
      </c>
      <c r="F22" s="765">
        <f t="shared" si="25"/>
        <v>6224.3617949999989</v>
      </c>
      <c r="G22" s="765">
        <f t="shared" si="26"/>
        <v>27836.707094999998</v>
      </c>
    </row>
    <row r="23" spans="1:24" s="696" customFormat="1" ht="14">
      <c r="A23" s="700"/>
      <c r="B23" s="700" t="s">
        <v>1034</v>
      </c>
      <c r="C23" s="764">
        <v>1</v>
      </c>
      <c r="D23" s="765">
        <v>19709.371500000001</v>
      </c>
      <c r="E23" s="765">
        <f t="shared" ref="E23:E26" si="27">D23*C23</f>
        <v>19709.371500000001</v>
      </c>
      <c r="F23" s="765">
        <f t="shared" ref="F23:F26" si="28">(19242*30.5%+(D23-19242)*15%)*C23</f>
        <v>5938.9157249999998</v>
      </c>
      <c r="G23" s="765">
        <f t="shared" ref="G23:G26" si="29">E23+F23</f>
        <v>25648.287225</v>
      </c>
    </row>
    <row r="24" spans="1:24" ht="28">
      <c r="A24" s="329"/>
      <c r="B24" s="727" t="s">
        <v>527</v>
      </c>
      <c r="C24" s="759"/>
      <c r="D24" s="757"/>
      <c r="E24" s="757"/>
      <c r="F24" s="757"/>
      <c r="G24" s="757"/>
      <c r="H24" s="330"/>
      <c r="I24" s="758"/>
      <c r="J24" s="333"/>
      <c r="K24" s="333"/>
      <c r="L24" s="333"/>
      <c r="M24" s="333"/>
      <c r="N24" s="333"/>
      <c r="O24" s="330"/>
      <c r="P24" s="330"/>
      <c r="Q24" s="330"/>
      <c r="R24" s="758"/>
      <c r="S24" s="333"/>
      <c r="T24" s="333"/>
    </row>
    <row r="25" spans="1:24" s="696" customFormat="1" ht="14">
      <c r="A25" s="700"/>
      <c r="B25" s="700" t="s">
        <v>528</v>
      </c>
      <c r="C25" s="764">
        <v>1</v>
      </c>
      <c r="D25" s="765">
        <v>45000</v>
      </c>
      <c r="E25" s="765">
        <f t="shared" si="27"/>
        <v>45000</v>
      </c>
      <c r="F25" s="765">
        <f t="shared" si="28"/>
        <v>9732.5099999999984</v>
      </c>
      <c r="G25" s="765">
        <f t="shared" si="29"/>
        <v>54732.509999999995</v>
      </c>
    </row>
    <row r="26" spans="1:24" s="696" customFormat="1" ht="14">
      <c r="A26" s="700"/>
      <c r="B26" s="700" t="s">
        <v>1045</v>
      </c>
      <c r="C26" s="764">
        <v>2</v>
      </c>
      <c r="D26" s="765">
        <v>40000</v>
      </c>
      <c r="E26" s="765">
        <f t="shared" si="27"/>
        <v>80000</v>
      </c>
      <c r="F26" s="765">
        <f t="shared" si="28"/>
        <v>17965.019999999997</v>
      </c>
      <c r="G26" s="765">
        <f t="shared" si="29"/>
        <v>97965.01999999999</v>
      </c>
    </row>
    <row r="27" spans="1:24" ht="28">
      <c r="A27" s="329"/>
      <c r="B27" s="727" t="s">
        <v>529</v>
      </c>
      <c r="C27" s="757"/>
      <c r="D27" s="757"/>
      <c r="E27" s="757"/>
      <c r="F27" s="757"/>
      <c r="G27" s="757"/>
      <c r="H27" s="330"/>
      <c r="I27" s="758"/>
      <c r="J27" s="333"/>
      <c r="K27" s="333"/>
      <c r="L27" s="333"/>
      <c r="M27" s="333"/>
      <c r="N27" s="333"/>
      <c r="O27" s="330"/>
      <c r="P27" s="330"/>
      <c r="Q27" s="330"/>
      <c r="R27" s="758"/>
      <c r="S27" s="333"/>
      <c r="T27" s="333"/>
    </row>
    <row r="28" spans="1:24" ht="14">
      <c r="A28" s="330"/>
      <c r="B28" s="700" t="s">
        <v>1110</v>
      </c>
      <c r="C28" s="764">
        <v>1</v>
      </c>
      <c r="D28" s="765">
        <v>38000</v>
      </c>
      <c r="E28" s="765">
        <f t="shared" ref="E28:E30" si="30">D28*C28</f>
        <v>38000</v>
      </c>
      <c r="F28" s="765">
        <f t="shared" ref="F28:F30" si="31">(19242*30.5%+(D28-19242)*15%)*C28</f>
        <v>8682.5099999999984</v>
      </c>
      <c r="G28" s="765">
        <f t="shared" ref="G28:G30" si="32">E28+F28</f>
        <v>46682.509999999995</v>
      </c>
      <c r="H28" s="330"/>
      <c r="I28" s="758"/>
      <c r="J28" s="333"/>
      <c r="K28" s="333"/>
      <c r="L28" s="333"/>
      <c r="M28" s="333"/>
      <c r="N28" s="333"/>
      <c r="O28" s="330"/>
      <c r="P28" s="330"/>
      <c r="Q28" s="330"/>
      <c r="R28" s="758"/>
      <c r="S28" s="333"/>
      <c r="T28" s="333"/>
    </row>
    <row r="29" spans="1:24" s="696" customFormat="1" ht="14">
      <c r="A29" s="700"/>
      <c r="B29" s="700" t="s">
        <v>1037</v>
      </c>
      <c r="C29" s="764">
        <f>Инфраструктура!B162/20*2+Инфраструктура!B167/10*2</f>
        <v>6</v>
      </c>
      <c r="D29" s="765">
        <v>30000</v>
      </c>
      <c r="E29" s="765">
        <f t="shared" si="30"/>
        <v>180000</v>
      </c>
      <c r="F29" s="765">
        <f t="shared" si="31"/>
        <v>44895.06</v>
      </c>
      <c r="G29" s="765">
        <f t="shared" si="32"/>
        <v>224895.06</v>
      </c>
    </row>
    <row r="30" spans="1:24" s="696" customFormat="1" ht="28">
      <c r="A30" s="700"/>
      <c r="B30" s="700" t="s">
        <v>950</v>
      </c>
      <c r="C30" s="764">
        <v>4</v>
      </c>
      <c r="D30" s="765">
        <v>30000</v>
      </c>
      <c r="E30" s="765">
        <f t="shared" si="30"/>
        <v>120000</v>
      </c>
      <c r="F30" s="765">
        <f t="shared" si="31"/>
        <v>29930.039999999997</v>
      </c>
      <c r="G30" s="765">
        <f t="shared" si="32"/>
        <v>149930.04</v>
      </c>
    </row>
    <row r="31" spans="1:24" ht="14">
      <c r="A31" s="334"/>
      <c r="B31" s="335" t="s">
        <v>531</v>
      </c>
      <c r="C31" s="764">
        <v>1</v>
      </c>
      <c r="D31" s="765">
        <v>30000</v>
      </c>
      <c r="E31" s="765">
        <f t="shared" ref="E31:E61" si="33">D31*C31</f>
        <v>30000</v>
      </c>
      <c r="F31" s="765">
        <f t="shared" ref="F31:F61" si="34">(19242*30.5%+(D31-19242)*15%)*C31</f>
        <v>7482.5099999999993</v>
      </c>
      <c r="G31" s="765">
        <f t="shared" ref="G31:G61" si="35">E31+F31</f>
        <v>37482.51</v>
      </c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28"/>
    </row>
    <row r="32" spans="1:24" ht="28">
      <c r="A32" s="329"/>
      <c r="B32" s="727" t="s">
        <v>534</v>
      </c>
      <c r="C32" s="757"/>
      <c r="D32" s="757"/>
      <c r="E32" s="757"/>
      <c r="F32" s="757"/>
      <c r="G32" s="757"/>
      <c r="H32" s="333"/>
      <c r="I32" s="333"/>
      <c r="J32" s="330"/>
      <c r="K32" s="330"/>
      <c r="L32" s="330"/>
      <c r="M32" s="758"/>
      <c r="N32" s="333"/>
      <c r="O32" s="333"/>
      <c r="P32" s="333"/>
      <c r="Q32" s="333"/>
      <c r="R32" s="333"/>
      <c r="S32" s="330"/>
      <c r="T32" s="330"/>
      <c r="U32" s="330"/>
      <c r="V32" s="758"/>
      <c r="W32" s="333"/>
      <c r="X32" s="333"/>
    </row>
    <row r="33" spans="1:28" s="763" customFormat="1" ht="28">
      <c r="A33" s="762"/>
      <c r="B33" s="332" t="s">
        <v>1111</v>
      </c>
      <c r="C33" s="764">
        <v>2</v>
      </c>
      <c r="D33" s="331">
        <v>60000</v>
      </c>
      <c r="E33" s="765">
        <f t="shared" ref="E33" si="36">D33*C33</f>
        <v>120000</v>
      </c>
      <c r="F33" s="765">
        <f t="shared" ref="F33" si="37">(19242*30.5%+(D33-19242)*15%)*C33</f>
        <v>23965.019999999997</v>
      </c>
      <c r="G33" s="765">
        <f t="shared" ref="G33" si="38">E33+F33</f>
        <v>143965.01999999999</v>
      </c>
      <c r="H33" s="752"/>
      <c r="I33" s="752"/>
      <c r="J33" s="328"/>
      <c r="K33" s="328"/>
      <c r="L33" s="328"/>
      <c r="M33" s="337"/>
      <c r="N33" s="752"/>
      <c r="O33" s="752"/>
      <c r="P33" s="752"/>
      <c r="Q33" s="752"/>
      <c r="R33" s="752"/>
      <c r="S33" s="328"/>
      <c r="T33" s="328"/>
      <c r="U33" s="328"/>
      <c r="V33" s="337"/>
      <c r="W33" s="752"/>
      <c r="X33" s="752"/>
    </row>
    <row r="34" spans="1:28" ht="28">
      <c r="A34" s="334"/>
      <c r="B34" s="335" t="s">
        <v>535</v>
      </c>
      <c r="C34" s="764">
        <v>2</v>
      </c>
      <c r="D34" s="336">
        <v>35000</v>
      </c>
      <c r="E34" s="765">
        <f t="shared" si="33"/>
        <v>70000</v>
      </c>
      <c r="F34" s="765">
        <f t="shared" si="34"/>
        <v>16465.019999999997</v>
      </c>
      <c r="G34" s="765">
        <f t="shared" si="35"/>
        <v>86465.01999999999</v>
      </c>
      <c r="H34" s="328"/>
      <c r="I34" s="328"/>
      <c r="J34" s="328"/>
      <c r="K34" s="328"/>
      <c r="L34" s="328"/>
      <c r="M34" s="328"/>
      <c r="N34" s="328"/>
      <c r="O34" s="328"/>
      <c r="P34" s="328"/>
      <c r="Q34" s="328"/>
      <c r="R34" s="328"/>
      <c r="S34" s="328"/>
      <c r="T34" s="328"/>
      <c r="U34" s="328"/>
      <c r="V34" s="328"/>
      <c r="W34" s="328"/>
      <c r="X34" s="328"/>
    </row>
    <row r="35" spans="1:28" ht="28">
      <c r="A35" s="334"/>
      <c r="B35" s="335" t="s">
        <v>536</v>
      </c>
      <c r="C35" s="764">
        <v>1</v>
      </c>
      <c r="D35" s="336">
        <v>45000</v>
      </c>
      <c r="E35" s="765">
        <f t="shared" si="33"/>
        <v>45000</v>
      </c>
      <c r="F35" s="765">
        <f t="shared" si="34"/>
        <v>9732.5099999999984</v>
      </c>
      <c r="G35" s="765">
        <f t="shared" si="35"/>
        <v>54732.509999999995</v>
      </c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328"/>
      <c r="U35" s="328"/>
      <c r="V35" s="328"/>
      <c r="W35" s="328"/>
      <c r="X35" s="328"/>
    </row>
    <row r="36" spans="1:28" ht="14">
      <c r="A36" s="334"/>
      <c r="B36" s="335" t="s">
        <v>537</v>
      </c>
      <c r="C36" s="764">
        <v>1</v>
      </c>
      <c r="D36" s="336">
        <v>60000</v>
      </c>
      <c r="E36" s="765">
        <f t="shared" si="33"/>
        <v>60000</v>
      </c>
      <c r="F36" s="765">
        <f t="shared" si="34"/>
        <v>11982.509999999998</v>
      </c>
      <c r="G36" s="765">
        <f t="shared" si="35"/>
        <v>71982.509999999995</v>
      </c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328"/>
      <c r="U36" s="328"/>
      <c r="V36" s="328"/>
      <c r="W36" s="328"/>
      <c r="X36" s="328"/>
    </row>
    <row r="37" spans="1:28" ht="14">
      <c r="A37" s="334"/>
      <c r="B37" s="335" t="s">
        <v>538</v>
      </c>
      <c r="C37" s="764">
        <v>6</v>
      </c>
      <c r="D37" s="336">
        <v>35000</v>
      </c>
      <c r="E37" s="765">
        <f t="shared" si="33"/>
        <v>210000</v>
      </c>
      <c r="F37" s="765">
        <f t="shared" si="34"/>
        <v>49395.05999999999</v>
      </c>
      <c r="G37" s="765">
        <f t="shared" si="35"/>
        <v>259395.06</v>
      </c>
      <c r="H37" s="328"/>
      <c r="I37" s="328"/>
      <c r="J37" s="32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8"/>
      <c r="V37" s="328"/>
      <c r="W37" s="328"/>
      <c r="X37" s="328"/>
    </row>
    <row r="38" spans="1:28" ht="14">
      <c r="A38" s="329"/>
      <c r="B38" s="727" t="s">
        <v>541</v>
      </c>
      <c r="C38" s="757"/>
      <c r="D38" s="757"/>
      <c r="E38" s="757"/>
      <c r="F38" s="757"/>
      <c r="G38" s="757"/>
      <c r="H38" s="333"/>
      <c r="I38" s="333"/>
      <c r="J38" s="330"/>
      <c r="K38" s="330"/>
      <c r="L38" s="330"/>
      <c r="M38" s="758"/>
      <c r="N38" s="333"/>
      <c r="O38" s="333"/>
      <c r="P38" s="333"/>
      <c r="Q38" s="333"/>
      <c r="R38" s="333"/>
      <c r="S38" s="330"/>
      <c r="T38" s="330"/>
      <c r="U38" s="330"/>
      <c r="V38" s="758"/>
      <c r="W38" s="333"/>
      <c r="X38" s="333"/>
    </row>
    <row r="39" spans="1:28" ht="14">
      <c r="A39" s="334"/>
      <c r="B39" s="335" t="s">
        <v>543</v>
      </c>
      <c r="C39" s="764">
        <v>4</v>
      </c>
      <c r="D39" s="336">
        <v>35000</v>
      </c>
      <c r="E39" s="765">
        <f t="shared" si="33"/>
        <v>140000</v>
      </c>
      <c r="F39" s="765">
        <f t="shared" si="34"/>
        <v>32930.039999999994</v>
      </c>
      <c r="G39" s="765">
        <f t="shared" si="35"/>
        <v>172930.03999999998</v>
      </c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</row>
    <row r="40" spans="1:28" ht="14">
      <c r="A40" s="329"/>
      <c r="B40" s="727" t="s">
        <v>1088</v>
      </c>
      <c r="C40" s="757"/>
      <c r="D40" s="757"/>
      <c r="E40" s="757"/>
      <c r="F40" s="757"/>
      <c r="G40" s="757"/>
      <c r="H40" s="333"/>
      <c r="I40" s="333"/>
      <c r="J40" s="330"/>
      <c r="K40" s="330"/>
      <c r="L40" s="330"/>
      <c r="M40" s="758"/>
      <c r="N40" s="333"/>
      <c r="O40" s="333"/>
      <c r="P40" s="333"/>
      <c r="Q40" s="333"/>
      <c r="R40" s="333"/>
      <c r="S40" s="330"/>
      <c r="T40" s="330"/>
      <c r="U40" s="330"/>
      <c r="V40" s="758"/>
      <c r="W40" s="333"/>
      <c r="X40" s="333"/>
    </row>
    <row r="41" spans="1:28" s="696" customFormat="1" ht="28">
      <c r="A41" s="721"/>
      <c r="B41" s="700" t="s">
        <v>1089</v>
      </c>
      <c r="C41" s="764">
        <v>2</v>
      </c>
      <c r="D41" s="336">
        <v>35000</v>
      </c>
      <c r="E41" s="765">
        <f t="shared" si="33"/>
        <v>70000</v>
      </c>
      <c r="F41" s="765">
        <f t="shared" si="34"/>
        <v>16465.019999999997</v>
      </c>
      <c r="G41" s="765">
        <f t="shared" si="35"/>
        <v>86465.01999999999</v>
      </c>
    </row>
    <row r="42" spans="1:28" ht="28">
      <c r="A42" s="329"/>
      <c r="B42" s="727" t="s">
        <v>545</v>
      </c>
      <c r="C42" s="757"/>
      <c r="D42" s="757"/>
      <c r="E42" s="757"/>
      <c r="F42" s="757"/>
      <c r="G42" s="757"/>
      <c r="H42" s="758"/>
      <c r="I42" s="333"/>
      <c r="J42" s="333"/>
      <c r="K42" s="333"/>
      <c r="L42" s="333"/>
      <c r="M42" s="333"/>
      <c r="N42" s="330"/>
      <c r="O42" s="330"/>
      <c r="P42" s="330"/>
      <c r="Q42" s="758"/>
      <c r="R42" s="333"/>
      <c r="S42" s="333"/>
      <c r="T42" s="333"/>
      <c r="U42" s="333"/>
      <c r="V42" s="333"/>
      <c r="W42" s="330"/>
      <c r="X42" s="330"/>
      <c r="Y42" s="330"/>
      <c r="Z42" s="758"/>
      <c r="AA42" s="333"/>
      <c r="AB42" s="333"/>
    </row>
    <row r="43" spans="1:28" ht="28">
      <c r="A43" s="761"/>
      <c r="B43" s="332" t="s">
        <v>1112</v>
      </c>
      <c r="C43" s="764">
        <v>1</v>
      </c>
      <c r="D43" s="331">
        <v>80000</v>
      </c>
      <c r="E43" s="765">
        <f t="shared" ref="E43" si="39">D43*C43</f>
        <v>80000</v>
      </c>
      <c r="F43" s="765">
        <f t="shared" ref="F43" si="40">(19242*30.5%+(D43-19242)*15%)*C43</f>
        <v>14982.509999999998</v>
      </c>
      <c r="G43" s="765">
        <f t="shared" ref="G43" si="41">E43+F43</f>
        <v>94982.51</v>
      </c>
      <c r="H43" s="758"/>
      <c r="I43" s="333"/>
      <c r="J43" s="333"/>
      <c r="K43" s="333"/>
      <c r="L43" s="333"/>
      <c r="M43" s="333"/>
      <c r="N43" s="330"/>
      <c r="O43" s="330"/>
      <c r="P43" s="330"/>
      <c r="Q43" s="758"/>
      <c r="R43" s="333"/>
      <c r="S43" s="333"/>
      <c r="T43" s="333"/>
      <c r="U43" s="333"/>
      <c r="V43" s="333"/>
      <c r="W43" s="330"/>
      <c r="X43" s="330"/>
      <c r="Y43" s="330"/>
      <c r="Z43" s="758"/>
      <c r="AA43" s="333"/>
      <c r="AB43" s="333"/>
    </row>
    <row r="44" spans="1:28" ht="28">
      <c r="A44" s="334"/>
      <c r="B44" s="335" t="s">
        <v>546</v>
      </c>
      <c r="C44" s="764">
        <v>1</v>
      </c>
      <c r="D44" s="336">
        <v>60000</v>
      </c>
      <c r="E44" s="765">
        <f t="shared" si="33"/>
        <v>60000</v>
      </c>
      <c r="F44" s="765">
        <f t="shared" si="34"/>
        <v>11982.509999999998</v>
      </c>
      <c r="G44" s="765">
        <f t="shared" si="35"/>
        <v>71982.509999999995</v>
      </c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  <c r="Y44" s="328"/>
      <c r="Z44" s="328"/>
      <c r="AA44" s="328"/>
      <c r="AB44" s="328"/>
    </row>
    <row r="45" spans="1:28" ht="42">
      <c r="A45" s="334"/>
      <c r="B45" s="335" t="s">
        <v>547</v>
      </c>
      <c r="C45" s="764">
        <v>1</v>
      </c>
      <c r="D45" s="336">
        <v>40000</v>
      </c>
      <c r="E45" s="765">
        <f t="shared" si="33"/>
        <v>40000</v>
      </c>
      <c r="F45" s="765">
        <f t="shared" si="34"/>
        <v>8982.5099999999984</v>
      </c>
      <c r="G45" s="765">
        <f t="shared" si="35"/>
        <v>48982.509999999995</v>
      </c>
      <c r="H45" s="328"/>
      <c r="I45" s="328"/>
      <c r="J45" s="328"/>
      <c r="K45" s="328"/>
      <c r="L45" s="328"/>
      <c r="M45" s="328"/>
      <c r="N45" s="328"/>
      <c r="O45" s="328"/>
      <c r="P45" s="328"/>
      <c r="Q45" s="328"/>
      <c r="R45" s="328"/>
      <c r="S45" s="328"/>
      <c r="T45" s="328"/>
      <c r="U45" s="328"/>
      <c r="V45" s="328"/>
      <c r="W45" s="328"/>
      <c r="X45" s="328"/>
      <c r="Y45" s="328"/>
      <c r="Z45" s="328"/>
      <c r="AA45" s="328"/>
      <c r="AB45" s="328"/>
    </row>
    <row r="46" spans="1:28" ht="14">
      <c r="A46" s="334"/>
      <c r="B46" s="335" t="s">
        <v>550</v>
      </c>
      <c r="C46" s="764">
        <v>1</v>
      </c>
      <c r="D46" s="336">
        <v>120000</v>
      </c>
      <c r="E46" s="765">
        <f t="shared" si="33"/>
        <v>120000</v>
      </c>
      <c r="F46" s="765">
        <f t="shared" si="34"/>
        <v>20982.51</v>
      </c>
      <c r="G46" s="765">
        <f t="shared" si="35"/>
        <v>140982.51</v>
      </c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  <c r="Z46" s="328"/>
      <c r="AA46" s="328"/>
      <c r="AB46" s="328"/>
    </row>
    <row r="47" spans="1:28" ht="14">
      <c r="A47" s="334"/>
      <c r="B47" s="335" t="s">
        <v>551</v>
      </c>
      <c r="C47" s="764">
        <v>1</v>
      </c>
      <c r="D47" s="336">
        <v>75000</v>
      </c>
      <c r="E47" s="765">
        <f t="shared" si="33"/>
        <v>75000</v>
      </c>
      <c r="F47" s="765">
        <f t="shared" si="34"/>
        <v>14232.509999999998</v>
      </c>
      <c r="G47" s="765">
        <f t="shared" si="35"/>
        <v>89232.51</v>
      </c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28"/>
      <c r="U47" s="328"/>
      <c r="V47" s="328"/>
      <c r="W47" s="328"/>
      <c r="X47" s="328"/>
      <c r="Y47" s="328"/>
      <c r="Z47" s="328"/>
      <c r="AA47" s="328"/>
      <c r="AB47" s="328"/>
    </row>
    <row r="48" spans="1:28" ht="14">
      <c r="A48" s="334"/>
      <c r="B48" s="335" t="s">
        <v>1104</v>
      </c>
      <c r="C48" s="764">
        <v>8</v>
      </c>
      <c r="D48" s="336">
        <v>65000</v>
      </c>
      <c r="E48" s="765">
        <f t="shared" si="33"/>
        <v>520000</v>
      </c>
      <c r="F48" s="765">
        <f t="shared" si="34"/>
        <v>101860.07999999999</v>
      </c>
      <c r="G48" s="765">
        <f t="shared" si="35"/>
        <v>621860.07999999996</v>
      </c>
      <c r="H48" s="328"/>
      <c r="I48" s="328"/>
      <c r="J48" s="328"/>
      <c r="K48" s="328"/>
      <c r="L48" s="328"/>
      <c r="M48" s="328"/>
      <c r="N48" s="328"/>
      <c r="O48" s="328"/>
      <c r="P48" s="328"/>
      <c r="Q48" s="328"/>
      <c r="R48" s="328"/>
      <c r="S48" s="328"/>
      <c r="T48" s="328"/>
      <c r="U48" s="328"/>
      <c r="V48" s="328"/>
      <c r="W48" s="328"/>
      <c r="X48" s="328"/>
      <c r="Y48" s="328"/>
      <c r="Z48" s="328"/>
      <c r="AA48" s="328"/>
      <c r="AB48" s="328"/>
    </row>
    <row r="49" spans="1:28" ht="14">
      <c r="A49" s="334"/>
      <c r="B49" s="335" t="s">
        <v>554</v>
      </c>
      <c r="C49" s="764">
        <v>2</v>
      </c>
      <c r="D49" s="336">
        <v>65000</v>
      </c>
      <c r="E49" s="765">
        <f t="shared" si="33"/>
        <v>130000</v>
      </c>
      <c r="F49" s="765">
        <f t="shared" si="34"/>
        <v>25465.019999999997</v>
      </c>
      <c r="G49" s="765">
        <f t="shared" si="35"/>
        <v>155465.01999999999</v>
      </c>
      <c r="H49" s="328"/>
      <c r="I49" s="328"/>
      <c r="J49" s="328"/>
      <c r="K49" s="328"/>
      <c r="L49" s="328"/>
      <c r="M49" s="328"/>
      <c r="N49" s="328"/>
      <c r="O49" s="328"/>
      <c r="P49" s="328"/>
      <c r="Q49" s="328"/>
      <c r="R49" s="328"/>
      <c r="S49" s="328"/>
      <c r="T49" s="328"/>
      <c r="U49" s="328"/>
      <c r="V49" s="328"/>
      <c r="W49" s="328"/>
      <c r="X49" s="328"/>
      <c r="Y49" s="328"/>
      <c r="Z49" s="328"/>
      <c r="AA49" s="328"/>
      <c r="AB49" s="328"/>
    </row>
    <row r="50" spans="1:28" ht="28">
      <c r="A50" s="334"/>
      <c r="B50" s="332" t="s">
        <v>556</v>
      </c>
      <c r="C50" s="764">
        <v>2</v>
      </c>
      <c r="D50" s="336">
        <v>45000</v>
      </c>
      <c r="E50" s="765">
        <f t="shared" si="33"/>
        <v>90000</v>
      </c>
      <c r="F50" s="765">
        <f t="shared" si="34"/>
        <v>19465.019999999997</v>
      </c>
      <c r="G50" s="765">
        <f t="shared" si="35"/>
        <v>109465.01999999999</v>
      </c>
      <c r="H50" s="328"/>
      <c r="I50" s="328"/>
      <c r="J50" s="328"/>
      <c r="K50" s="328"/>
      <c r="L50" s="328"/>
      <c r="M50" s="328"/>
      <c r="N50" s="328"/>
      <c r="O50" s="328"/>
      <c r="P50" s="328"/>
      <c r="Q50" s="328"/>
      <c r="R50" s="328"/>
      <c r="S50" s="328"/>
      <c r="T50" s="328"/>
      <c r="U50" s="328"/>
      <c r="V50" s="328"/>
      <c r="W50" s="328"/>
      <c r="X50" s="328"/>
      <c r="Y50" s="328"/>
      <c r="Z50" s="328"/>
      <c r="AA50" s="328"/>
      <c r="AB50" s="328"/>
    </row>
    <row r="51" spans="1:28" ht="28">
      <c r="A51" s="334"/>
      <c r="B51" s="332" t="s">
        <v>557</v>
      </c>
      <c r="C51" s="764">
        <v>2</v>
      </c>
      <c r="D51" s="336">
        <v>45000</v>
      </c>
      <c r="E51" s="765">
        <f t="shared" si="33"/>
        <v>90000</v>
      </c>
      <c r="F51" s="765">
        <f t="shared" si="34"/>
        <v>19465.019999999997</v>
      </c>
      <c r="G51" s="765">
        <f t="shared" si="35"/>
        <v>109465.01999999999</v>
      </c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28"/>
      <c r="U51" s="328"/>
      <c r="V51" s="328"/>
      <c r="W51" s="328"/>
      <c r="X51" s="328"/>
      <c r="Y51" s="328"/>
      <c r="Z51" s="328"/>
      <c r="AA51" s="328"/>
      <c r="AB51" s="328"/>
    </row>
    <row r="52" spans="1:28" ht="14">
      <c r="A52" s="334"/>
      <c r="B52" s="332" t="s">
        <v>1090</v>
      </c>
      <c r="C52" s="764">
        <v>4</v>
      </c>
      <c r="D52" s="336">
        <v>65000</v>
      </c>
      <c r="E52" s="765">
        <f t="shared" si="33"/>
        <v>260000</v>
      </c>
      <c r="F52" s="765">
        <f t="shared" si="34"/>
        <v>50930.039999999994</v>
      </c>
      <c r="G52" s="765">
        <f t="shared" si="35"/>
        <v>310930.03999999998</v>
      </c>
      <c r="H52" s="328"/>
      <c r="I52" s="328"/>
      <c r="J52" s="328"/>
      <c r="K52" s="328"/>
      <c r="L52" s="328"/>
      <c r="M52" s="328"/>
      <c r="N52" s="328"/>
      <c r="O52" s="328"/>
      <c r="P52" s="328"/>
      <c r="Q52" s="328"/>
      <c r="R52" s="328"/>
      <c r="S52" s="328"/>
      <c r="T52" s="328"/>
      <c r="U52" s="328"/>
      <c r="V52" s="328"/>
      <c r="W52" s="328"/>
      <c r="X52" s="328"/>
      <c r="Y52" s="328"/>
      <c r="Z52" s="328"/>
      <c r="AA52" s="328"/>
      <c r="AB52" s="328"/>
    </row>
    <row r="53" spans="1:28" ht="14">
      <c r="A53" s="334"/>
      <c r="B53" s="332" t="s">
        <v>558</v>
      </c>
      <c r="C53" s="764">
        <v>8</v>
      </c>
      <c r="D53" s="336">
        <v>45000</v>
      </c>
      <c r="E53" s="765">
        <f t="shared" si="33"/>
        <v>360000</v>
      </c>
      <c r="F53" s="765">
        <f t="shared" si="34"/>
        <v>77860.079999999987</v>
      </c>
      <c r="G53" s="765">
        <f t="shared" si="35"/>
        <v>437860.07999999996</v>
      </c>
      <c r="H53" s="328"/>
      <c r="I53" s="328"/>
      <c r="J53" s="328"/>
      <c r="K53" s="328"/>
      <c r="L53" s="328"/>
      <c r="M53" s="328"/>
      <c r="N53" s="328"/>
      <c r="O53" s="328"/>
      <c r="P53" s="328"/>
      <c r="Q53" s="328"/>
      <c r="R53" s="328"/>
      <c r="S53" s="328"/>
      <c r="T53" s="328"/>
      <c r="U53" s="328"/>
      <c r="V53" s="328"/>
      <c r="W53" s="328"/>
      <c r="X53" s="328"/>
      <c r="Y53" s="328"/>
      <c r="Z53" s="328"/>
      <c r="AA53" s="328"/>
      <c r="AB53" s="328"/>
    </row>
    <row r="54" spans="1:28" ht="28">
      <c r="A54" s="334"/>
      <c r="B54" s="332" t="s">
        <v>559</v>
      </c>
      <c r="C54" s="764">
        <v>2</v>
      </c>
      <c r="D54" s="336">
        <v>40000</v>
      </c>
      <c r="E54" s="765">
        <f t="shared" si="33"/>
        <v>80000</v>
      </c>
      <c r="F54" s="765">
        <f t="shared" si="34"/>
        <v>17965.019999999997</v>
      </c>
      <c r="G54" s="765">
        <f t="shared" si="35"/>
        <v>97965.01999999999</v>
      </c>
      <c r="H54" s="328"/>
      <c r="I54" s="328"/>
      <c r="J54" s="328"/>
      <c r="K54" s="328"/>
      <c r="L54" s="328"/>
      <c r="M54" s="328"/>
      <c r="N54" s="328"/>
      <c r="O54" s="328"/>
      <c r="P54" s="328"/>
      <c r="Q54" s="328"/>
      <c r="R54" s="328"/>
      <c r="S54" s="328"/>
      <c r="T54" s="328"/>
      <c r="U54" s="328"/>
      <c r="V54" s="328"/>
      <c r="W54" s="328"/>
      <c r="X54" s="328"/>
      <c r="Y54" s="328"/>
      <c r="Z54" s="328"/>
      <c r="AA54" s="328"/>
      <c r="AB54" s="328"/>
    </row>
    <row r="55" spans="1:28" ht="14">
      <c r="A55" s="334"/>
      <c r="B55" s="332" t="s">
        <v>560</v>
      </c>
      <c r="C55" s="764">
        <v>2</v>
      </c>
      <c r="D55" s="336">
        <v>40000</v>
      </c>
      <c r="E55" s="765">
        <f t="shared" si="33"/>
        <v>80000</v>
      </c>
      <c r="F55" s="765">
        <f t="shared" si="34"/>
        <v>17965.019999999997</v>
      </c>
      <c r="G55" s="765">
        <f t="shared" si="35"/>
        <v>97965.01999999999</v>
      </c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28"/>
      <c r="U55" s="328"/>
      <c r="V55" s="328"/>
      <c r="W55" s="328"/>
      <c r="X55" s="328"/>
      <c r="Y55" s="328"/>
      <c r="Z55" s="328"/>
      <c r="AA55" s="328"/>
      <c r="AB55" s="328"/>
    </row>
    <row r="56" spans="1:28" s="696" customFormat="1" ht="14">
      <c r="A56" s="329"/>
      <c r="B56" s="727" t="s">
        <v>1092</v>
      </c>
      <c r="C56" s="757"/>
      <c r="D56" s="757"/>
      <c r="E56" s="757"/>
      <c r="F56" s="757"/>
      <c r="G56" s="757"/>
    </row>
    <row r="57" spans="1:28" s="696" customFormat="1" ht="28">
      <c r="A57" s="700"/>
      <c r="B57" s="700" t="s">
        <v>1003</v>
      </c>
      <c r="C57" s="764">
        <v>1</v>
      </c>
      <c r="D57" s="765">
        <v>60000</v>
      </c>
      <c r="E57" s="765">
        <f t="shared" si="33"/>
        <v>60000</v>
      </c>
      <c r="F57" s="765">
        <f t="shared" si="34"/>
        <v>11982.509999999998</v>
      </c>
      <c r="G57" s="765">
        <f t="shared" si="35"/>
        <v>71982.509999999995</v>
      </c>
    </row>
    <row r="58" spans="1:28" s="696" customFormat="1" ht="14">
      <c r="A58" s="700"/>
      <c r="B58" s="700" t="s">
        <v>1021</v>
      </c>
      <c r="C58" s="764">
        <v>1</v>
      </c>
      <c r="D58" s="765">
        <v>40000</v>
      </c>
      <c r="E58" s="765">
        <f t="shared" si="33"/>
        <v>40000</v>
      </c>
      <c r="F58" s="765">
        <f t="shared" si="34"/>
        <v>8982.5099999999984</v>
      </c>
      <c r="G58" s="765">
        <f t="shared" si="35"/>
        <v>48982.509999999995</v>
      </c>
    </row>
    <row r="59" spans="1:28" s="696" customFormat="1" ht="14">
      <c r="A59" s="329"/>
      <c r="B59" s="727" t="s">
        <v>1093</v>
      </c>
      <c r="C59" s="757"/>
      <c r="D59" s="757"/>
      <c r="E59" s="757"/>
      <c r="F59" s="757"/>
      <c r="G59" s="757"/>
    </row>
    <row r="60" spans="1:28" s="696" customFormat="1" ht="14">
      <c r="A60" s="700"/>
      <c r="B60" s="700" t="s">
        <v>1038</v>
      </c>
      <c r="C60" s="764">
        <v>2</v>
      </c>
      <c r="D60" s="765">
        <v>40000</v>
      </c>
      <c r="E60" s="765">
        <f t="shared" si="33"/>
        <v>80000</v>
      </c>
      <c r="F60" s="765">
        <f t="shared" si="34"/>
        <v>17965.019999999997</v>
      </c>
      <c r="G60" s="765">
        <f t="shared" si="35"/>
        <v>97965.01999999999</v>
      </c>
    </row>
    <row r="61" spans="1:28" s="696" customFormat="1" ht="14">
      <c r="A61" s="700"/>
      <c r="B61" s="700" t="s">
        <v>1041</v>
      </c>
      <c r="C61" s="764">
        <v>6</v>
      </c>
      <c r="D61" s="765">
        <v>35000</v>
      </c>
      <c r="E61" s="765">
        <f t="shared" si="33"/>
        <v>210000</v>
      </c>
      <c r="F61" s="765">
        <f t="shared" si="34"/>
        <v>49395.05999999999</v>
      </c>
      <c r="G61" s="765">
        <f t="shared" si="35"/>
        <v>259395.06</v>
      </c>
    </row>
    <row r="62" spans="1:28" s="424" customFormat="1" ht="14">
      <c r="A62" s="770"/>
      <c r="B62" s="706" t="s">
        <v>383</v>
      </c>
      <c r="C62" s="769">
        <f>SUM(C3:C61)</f>
        <v>100</v>
      </c>
      <c r="D62" s="769"/>
      <c r="E62" s="769"/>
      <c r="F62" s="710">
        <f>SUM(F3:F61)</f>
        <v>966536.77018769027</v>
      </c>
      <c r="G62" s="710">
        <f>SUM(G3:G61)</f>
        <v>5421775.2381056221</v>
      </c>
      <c r="I62" s="424">
        <f>F62/G62</f>
        <v>0.17826942795315873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2">
    <tabColor rgb="FFE36C09"/>
  </sheetPr>
  <dimension ref="A1:EO1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O30" sqref="O30"/>
    </sheetView>
  </sheetViews>
  <sheetFormatPr defaultColWidth="14.453125" defaultRowHeight="15" customHeight="1"/>
  <cols>
    <col min="1" max="1" width="62.7265625" customWidth="1"/>
    <col min="2" max="3" width="8" customWidth="1"/>
    <col min="4" max="4" width="8.26953125" customWidth="1"/>
    <col min="5" max="15" width="8" customWidth="1"/>
    <col min="16" max="16" width="8.7265625" customWidth="1"/>
    <col min="17" max="17" width="8" customWidth="1"/>
    <col min="18" max="19" width="9" customWidth="1"/>
    <col min="20" max="20" width="8.453125" customWidth="1"/>
    <col min="21" max="145" width="8" customWidth="1"/>
  </cols>
  <sheetData>
    <row r="1" spans="1:26" ht="27.75" customHeight="1">
      <c r="A1" s="867" t="s">
        <v>564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  <c r="Q1" s="828"/>
      <c r="R1" s="828"/>
      <c r="S1" s="828"/>
      <c r="T1" s="828"/>
      <c r="U1" s="338"/>
      <c r="V1" s="339"/>
      <c r="W1" s="339"/>
      <c r="X1" s="339"/>
      <c r="Y1" s="339"/>
      <c r="Z1" s="339"/>
    </row>
    <row r="2" spans="1:26" ht="21" customHeight="1">
      <c r="A2" s="340"/>
      <c r="B2" s="341">
        <v>2017</v>
      </c>
      <c r="C2" s="341">
        <v>2018</v>
      </c>
      <c r="D2" s="341">
        <v>2019</v>
      </c>
      <c r="E2" s="341">
        <v>2020</v>
      </c>
      <c r="F2" s="341">
        <v>2021</v>
      </c>
      <c r="G2" s="341">
        <v>2022</v>
      </c>
      <c r="H2" s="341">
        <v>2023</v>
      </c>
      <c r="I2" s="341">
        <v>2024</v>
      </c>
      <c r="J2" s="342">
        <v>2025</v>
      </c>
      <c r="K2" s="342">
        <v>2026</v>
      </c>
      <c r="L2" s="342">
        <v>2027</v>
      </c>
      <c r="M2" s="342">
        <v>2028</v>
      </c>
      <c r="N2" s="342">
        <v>2029</v>
      </c>
      <c r="O2" s="343">
        <v>2030</v>
      </c>
      <c r="P2" s="343">
        <v>2031</v>
      </c>
      <c r="Q2" s="343">
        <v>2032</v>
      </c>
      <c r="R2" s="343">
        <v>2033</v>
      </c>
      <c r="S2" s="343">
        <v>2034</v>
      </c>
      <c r="T2" s="344">
        <v>2035</v>
      </c>
      <c r="U2" s="344">
        <v>2036</v>
      </c>
      <c r="V2" s="345"/>
      <c r="W2" s="345"/>
      <c r="X2" s="345"/>
      <c r="Y2" s="345"/>
      <c r="Z2" s="345"/>
    </row>
    <row r="3" spans="1:26" ht="15.75" customHeight="1">
      <c r="A3" s="346" t="s">
        <v>565</v>
      </c>
      <c r="B3" s="347">
        <v>108.40592448861526</v>
      </c>
      <c r="C3" s="347">
        <v>114.07374141700963</v>
      </c>
      <c r="D3" s="347">
        <v>104.87084059110614</v>
      </c>
      <c r="E3" s="347">
        <v>103.57294284326241</v>
      </c>
      <c r="F3" s="347">
        <v>103.5628029034289</v>
      </c>
      <c r="G3" s="347">
        <v>104.24068502776242</v>
      </c>
      <c r="H3" s="347">
        <v>104.35191240743966</v>
      </c>
      <c r="I3" s="347">
        <v>104.52405384530601</v>
      </c>
      <c r="J3" s="347">
        <v>104.315</v>
      </c>
      <c r="K3" s="347">
        <v>104.245</v>
      </c>
      <c r="L3" s="347">
        <v>104.265</v>
      </c>
      <c r="M3" s="347">
        <v>104.298</v>
      </c>
      <c r="N3" s="347">
        <v>104.32299999999999</v>
      </c>
      <c r="O3" s="347">
        <v>104.345</v>
      </c>
      <c r="P3" s="347">
        <v>104.22402071580997</v>
      </c>
      <c r="Q3" s="347">
        <v>104.19824540436747</v>
      </c>
      <c r="R3" s="347">
        <v>104.17016377203306</v>
      </c>
      <c r="S3" s="347">
        <v>104.15649208894935</v>
      </c>
      <c r="T3" s="347">
        <v>104.13086895879881</v>
      </c>
      <c r="U3" s="347">
        <v>104.09271699079055</v>
      </c>
      <c r="V3" s="348"/>
      <c r="W3" s="348"/>
      <c r="X3" s="348"/>
      <c r="Y3" s="348"/>
      <c r="Z3" s="348"/>
    </row>
    <row r="4" spans="1:26" ht="15.75" customHeight="1">
      <c r="A4" s="349" t="s">
        <v>566</v>
      </c>
      <c r="B4" s="347">
        <v>115.14413577847469</v>
      </c>
      <c r="C4" s="347">
        <v>125.75365333271074</v>
      </c>
      <c r="D4" s="347">
        <v>105.0750745336988</v>
      </c>
      <c r="E4" s="347">
        <v>102.33237235642724</v>
      </c>
      <c r="F4" s="347">
        <v>102.68407565592726</v>
      </c>
      <c r="G4" s="347">
        <v>103.56376448298145</v>
      </c>
      <c r="H4" s="347">
        <v>103.75610803840945</v>
      </c>
      <c r="I4" s="347">
        <v>104.17890695400051</v>
      </c>
      <c r="J4" s="347">
        <v>104.00143367468098</v>
      </c>
      <c r="K4" s="347">
        <v>103.82629122719919</v>
      </c>
      <c r="L4" s="347">
        <v>103.84722860957119</v>
      </c>
      <c r="M4" s="347">
        <v>103.62120026002482</v>
      </c>
      <c r="N4" s="347">
        <v>103.7144334483342</v>
      </c>
      <c r="O4" s="347">
        <v>103.76734385983146</v>
      </c>
      <c r="P4" s="347">
        <v>103.49168214813452</v>
      </c>
      <c r="Q4" s="347">
        <v>103.52853744292374</v>
      </c>
      <c r="R4" s="347">
        <v>103.54935908462528</v>
      </c>
      <c r="S4" s="347">
        <v>103.60486282887177</v>
      </c>
      <c r="T4" s="347">
        <v>103.61503475931173</v>
      </c>
      <c r="U4" s="347">
        <v>103.62528749645945</v>
      </c>
      <c r="V4" s="348"/>
      <c r="W4" s="348"/>
      <c r="X4" s="348"/>
      <c r="Y4" s="348"/>
      <c r="Z4" s="348"/>
    </row>
    <row r="5" spans="1:26" ht="19.5" customHeight="1">
      <c r="A5" s="350" t="s">
        <v>567</v>
      </c>
      <c r="B5" s="351">
        <v>116.93632288355869</v>
      </c>
      <c r="C5" s="351">
        <v>128.30055345987296</v>
      </c>
      <c r="D5" s="351">
        <v>105.24433026962741</v>
      </c>
      <c r="E5" s="351">
        <v>102.1681807032556</v>
      </c>
      <c r="F5" s="351">
        <v>102.55477078858422</v>
      </c>
      <c r="G5" s="351">
        <v>103.48274723172403</v>
      </c>
      <c r="H5" s="351">
        <v>103.67469860910077</v>
      </c>
      <c r="I5" s="351">
        <v>104.13058531400851</v>
      </c>
      <c r="J5" s="351">
        <v>103.96625915745214</v>
      </c>
      <c r="K5" s="351">
        <v>103.7754341403041</v>
      </c>
      <c r="L5" s="351">
        <v>103.80161752251709</v>
      </c>
      <c r="M5" s="351">
        <v>103.5386025226328</v>
      </c>
      <c r="N5" s="351">
        <v>103.6588891123524</v>
      </c>
      <c r="O5" s="351">
        <v>103.72003643464009</v>
      </c>
      <c r="P5" s="351">
        <v>103.42060460645975</v>
      </c>
      <c r="Q5" s="351">
        <v>103.4782219350091</v>
      </c>
      <c r="R5" s="351">
        <v>103.50759996761658</v>
      </c>
      <c r="S5" s="351">
        <v>103.57753498855344</v>
      </c>
      <c r="T5" s="351">
        <v>103.60025050575075</v>
      </c>
      <c r="U5" s="351">
        <v>103.61639486643107</v>
      </c>
      <c r="V5" s="352"/>
      <c r="W5" s="352"/>
      <c r="X5" s="352"/>
      <c r="Y5" s="352"/>
      <c r="Z5" s="352"/>
    </row>
    <row r="6" spans="1:26" ht="15.75" customHeight="1">
      <c r="A6" s="353" t="s">
        <v>568</v>
      </c>
      <c r="B6" s="351">
        <v>128.35865697124237</v>
      </c>
      <c r="C6" s="351">
        <v>113.19937498185841</v>
      </c>
      <c r="D6" s="351">
        <v>104.7476318936319</v>
      </c>
      <c r="E6" s="351">
        <v>104.2447676143635</v>
      </c>
      <c r="F6" s="351">
        <v>104.31592618097835</v>
      </c>
      <c r="G6" s="351">
        <v>104.74252518015096</v>
      </c>
      <c r="H6" s="351">
        <v>104.84533210864386</v>
      </c>
      <c r="I6" s="351">
        <v>104.87864015731425</v>
      </c>
      <c r="J6" s="351">
        <v>104.52189152512442</v>
      </c>
      <c r="K6" s="351">
        <v>104.47789573017734</v>
      </c>
      <c r="L6" s="351">
        <v>104.29214516552157</v>
      </c>
      <c r="M6" s="351">
        <v>104.22911989201958</v>
      </c>
      <c r="N6" s="351">
        <v>104.12187798222028</v>
      </c>
      <c r="O6" s="351">
        <v>104.03640704750815</v>
      </c>
      <c r="P6" s="351">
        <v>103.9342781638789</v>
      </c>
      <c r="Q6" s="351">
        <v>103.82742693696665</v>
      </c>
      <c r="R6" s="351">
        <v>103.82089974028598</v>
      </c>
      <c r="S6" s="351">
        <v>103.81506558851676</v>
      </c>
      <c r="T6" s="351">
        <v>103.79892467039893</v>
      </c>
      <c r="U6" s="351">
        <v>103.80900321440033</v>
      </c>
      <c r="V6" s="352"/>
      <c r="W6" s="352"/>
      <c r="X6" s="352"/>
      <c r="Y6" s="352"/>
      <c r="Z6" s="352"/>
    </row>
    <row r="7" spans="1:26" ht="15.75" customHeight="1">
      <c r="A7" s="353" t="s">
        <v>569</v>
      </c>
      <c r="B7" s="351">
        <v>115.8460338738677</v>
      </c>
      <c r="C7" s="351">
        <v>130.02813907705496</v>
      </c>
      <c r="D7" s="351">
        <v>105.32067049822638</v>
      </c>
      <c r="E7" s="351">
        <v>101.94377831788388</v>
      </c>
      <c r="F7" s="351">
        <v>102.36805263357236</v>
      </c>
      <c r="G7" s="351">
        <v>103.34582572154443</v>
      </c>
      <c r="H7" s="351">
        <v>103.54537664245773</v>
      </c>
      <c r="I7" s="351">
        <v>104.0464612342584</v>
      </c>
      <c r="J7" s="351">
        <v>103.9031099422979</v>
      </c>
      <c r="K7" s="351">
        <v>103.69512190449889</v>
      </c>
      <c r="L7" s="351">
        <v>103.7451122841919</v>
      </c>
      <c r="M7" s="351">
        <v>103.4586404970016</v>
      </c>
      <c r="N7" s="351">
        <v>103.60487564789049</v>
      </c>
      <c r="O7" s="351">
        <v>103.68294365171573</v>
      </c>
      <c r="P7" s="351">
        <v>103.36017378211538</v>
      </c>
      <c r="Q7" s="351">
        <v>103.4369117311856</v>
      </c>
      <c r="R7" s="351">
        <v>103.47039734921327</v>
      </c>
      <c r="S7" s="351">
        <v>103.54923399614076</v>
      </c>
      <c r="T7" s="351">
        <v>103.57651836108805</v>
      </c>
      <c r="U7" s="351">
        <v>103.59333789595502</v>
      </c>
      <c r="V7" s="352"/>
      <c r="W7" s="352"/>
      <c r="X7" s="352"/>
      <c r="Y7" s="352"/>
      <c r="Z7" s="352"/>
    </row>
    <row r="8" spans="1:26" ht="15.75" customHeight="1">
      <c r="A8" s="354" t="s">
        <v>570</v>
      </c>
      <c r="B8" s="351">
        <v>95.103666336744183</v>
      </c>
      <c r="C8" s="351">
        <v>104.27394095219765</v>
      </c>
      <c r="D8" s="351">
        <v>103.54223147821573</v>
      </c>
      <c r="E8" s="351">
        <v>103.81505720733848</v>
      </c>
      <c r="F8" s="351">
        <v>103.8354274418039</v>
      </c>
      <c r="G8" s="351">
        <v>104.24219436186846</v>
      </c>
      <c r="H8" s="351">
        <v>104.42705587424163</v>
      </c>
      <c r="I8" s="351">
        <v>104.56004542253385</v>
      </c>
      <c r="J8" s="351">
        <v>104.30562228053206</v>
      </c>
      <c r="K8" s="351">
        <v>104.26467147360543</v>
      </c>
      <c r="L8" s="351">
        <v>104.23854433341364</v>
      </c>
      <c r="M8" s="351">
        <v>104.32686888756865</v>
      </c>
      <c r="N8" s="351">
        <v>104.18538752890086</v>
      </c>
      <c r="O8" s="351">
        <v>104.16643109312351</v>
      </c>
      <c r="P8" s="351">
        <v>104.08872540578196</v>
      </c>
      <c r="Q8" s="351">
        <v>103.94846912593628</v>
      </c>
      <c r="R8" s="351">
        <v>103.89630273876172</v>
      </c>
      <c r="S8" s="351">
        <v>103.83105892142807</v>
      </c>
      <c r="T8" s="351">
        <v>103.7371071577205</v>
      </c>
      <c r="U8" s="351">
        <v>103.69861636294726</v>
      </c>
      <c r="V8" s="352"/>
      <c r="W8" s="352"/>
      <c r="X8" s="352"/>
      <c r="Y8" s="352"/>
      <c r="Z8" s="352"/>
    </row>
    <row r="9" spans="1:26" ht="15.75" customHeight="1">
      <c r="A9" s="355" t="s">
        <v>571</v>
      </c>
      <c r="B9" s="351">
        <v>107.90733096123395</v>
      </c>
      <c r="C9" s="351">
        <v>106.92454524610039</v>
      </c>
      <c r="D9" s="351">
        <v>103.69648956991612</v>
      </c>
      <c r="E9" s="351">
        <v>103.94322048393403</v>
      </c>
      <c r="F9" s="351">
        <v>104.04264819490041</v>
      </c>
      <c r="G9" s="351">
        <v>104.4926266196065</v>
      </c>
      <c r="H9" s="351">
        <v>104.73844783442436</v>
      </c>
      <c r="I9" s="351">
        <v>104.80658575944599</v>
      </c>
      <c r="J9" s="351">
        <v>104.55231124681399</v>
      </c>
      <c r="K9" s="351">
        <v>104.50953668999215</v>
      </c>
      <c r="L9" s="351">
        <v>104.45025405233433</v>
      </c>
      <c r="M9" s="351">
        <v>104.59254984802422</v>
      </c>
      <c r="N9" s="351">
        <v>104.39796905009359</v>
      </c>
      <c r="O9" s="351">
        <v>104.38150028396647</v>
      </c>
      <c r="P9" s="351">
        <v>104.29359178682829</v>
      </c>
      <c r="Q9" s="351">
        <v>104.12706846310891</v>
      </c>
      <c r="R9" s="351">
        <v>104.06128468307337</v>
      </c>
      <c r="S9" s="351">
        <v>104.00142944134923</v>
      </c>
      <c r="T9" s="351">
        <v>103.92320002216026</v>
      </c>
      <c r="U9" s="351">
        <v>103.86473894324619</v>
      </c>
      <c r="V9" s="352"/>
      <c r="W9" s="352"/>
      <c r="X9" s="352"/>
      <c r="Y9" s="352"/>
      <c r="Z9" s="352"/>
    </row>
    <row r="10" spans="1:26" ht="15.75" customHeight="1">
      <c r="A10" s="355" t="s">
        <v>572</v>
      </c>
      <c r="B10" s="351">
        <v>78.452732397735048</v>
      </c>
      <c r="C10" s="351">
        <v>99.633299402753096</v>
      </c>
      <c r="D10" s="351">
        <v>103.41547083673038</v>
      </c>
      <c r="E10" s="351">
        <v>103.54182897533788</v>
      </c>
      <c r="F10" s="351">
        <v>103.46027008831682</v>
      </c>
      <c r="G10" s="351">
        <v>103.74646603600706</v>
      </c>
      <c r="H10" s="351">
        <v>103.84153117429737</v>
      </c>
      <c r="I10" s="351">
        <v>104.0542317278575</v>
      </c>
      <c r="J10" s="351">
        <v>103.81492789458979</v>
      </c>
      <c r="K10" s="351">
        <v>103.77414517934017</v>
      </c>
      <c r="L10" s="351">
        <v>103.81143137431334</v>
      </c>
      <c r="M10" s="351">
        <v>103.78757349855405</v>
      </c>
      <c r="N10" s="351">
        <v>103.75052981620257</v>
      </c>
      <c r="O10" s="351">
        <v>103.72373917372229</v>
      </c>
      <c r="P10" s="351">
        <v>103.66436050170556</v>
      </c>
      <c r="Q10" s="351">
        <v>103.57626879219025</v>
      </c>
      <c r="R10" s="351">
        <v>103.55065261833309</v>
      </c>
      <c r="S10" s="351">
        <v>103.4723591609843</v>
      </c>
      <c r="T10" s="351">
        <v>103.34330207593473</v>
      </c>
      <c r="U10" s="351">
        <v>103.34509925118525</v>
      </c>
      <c r="V10" s="352"/>
      <c r="W10" s="352"/>
      <c r="X10" s="352"/>
      <c r="Y10" s="352"/>
      <c r="Z10" s="352"/>
    </row>
    <row r="11" spans="1:26" ht="15.75" customHeight="1">
      <c r="A11" s="346" t="s">
        <v>573</v>
      </c>
      <c r="B11" s="347">
        <v>106.2311859304355</v>
      </c>
      <c r="C11" s="347">
        <v>109.77119240677875</v>
      </c>
      <c r="D11" s="347">
        <v>104.71387596677329</v>
      </c>
      <c r="E11" s="347">
        <v>103.94088540382738</v>
      </c>
      <c r="F11" s="347">
        <v>103.81728385599129</v>
      </c>
      <c r="G11" s="347">
        <v>104.53480492359274</v>
      </c>
      <c r="H11" s="347">
        <v>104.62065173415876</v>
      </c>
      <c r="I11" s="347">
        <v>104.73724073986396</v>
      </c>
      <c r="J11" s="347">
        <v>104.48294523811674</v>
      </c>
      <c r="K11" s="347">
        <v>104.43911259697015</v>
      </c>
      <c r="L11" s="347">
        <v>104.4593580638014</v>
      </c>
      <c r="M11" s="347">
        <v>104.59158733636227</v>
      </c>
      <c r="N11" s="347">
        <v>104.59622564082932</v>
      </c>
      <c r="O11" s="347">
        <v>104.60816021014325</v>
      </c>
      <c r="P11" s="347">
        <v>104.52060937550259</v>
      </c>
      <c r="Q11" s="347">
        <v>104.46617599479045</v>
      </c>
      <c r="R11" s="347">
        <v>104.41502521412609</v>
      </c>
      <c r="S11" s="347">
        <v>104.3726203961415</v>
      </c>
      <c r="T11" s="347">
        <v>104.32914554053905</v>
      </c>
      <c r="U11" s="347">
        <v>104.22976065023096</v>
      </c>
      <c r="V11" s="356"/>
      <c r="W11" s="356"/>
      <c r="X11" s="356"/>
      <c r="Y11" s="356"/>
      <c r="Z11" s="356"/>
    </row>
    <row r="12" spans="1:26" ht="15.75" customHeight="1">
      <c r="A12" s="357" t="s">
        <v>574</v>
      </c>
      <c r="B12" s="351">
        <v>95.633310176064938</v>
      </c>
      <c r="C12" s="351">
        <v>101.38618621074681</v>
      </c>
      <c r="D12" s="351">
        <v>103.74020601951442</v>
      </c>
      <c r="E12" s="351">
        <v>103.53256986701551</v>
      </c>
      <c r="F12" s="351">
        <v>103.60307233003158</v>
      </c>
      <c r="G12" s="351">
        <v>103.94241850149864</v>
      </c>
      <c r="H12" s="351">
        <v>103.8949355363202</v>
      </c>
      <c r="I12" s="351">
        <v>104.11128810398458</v>
      </c>
      <c r="J12" s="351">
        <v>103.93480249348683</v>
      </c>
      <c r="K12" s="351">
        <v>103.99240099494345</v>
      </c>
      <c r="L12" s="351">
        <v>104.25342727389209</v>
      </c>
      <c r="M12" s="351">
        <v>104.26717197263449</v>
      </c>
      <c r="N12" s="351">
        <v>104.28977250715232</v>
      </c>
      <c r="O12" s="351">
        <v>104.31938190389424</v>
      </c>
      <c r="P12" s="351">
        <v>104.26611910798351</v>
      </c>
      <c r="Q12" s="351">
        <v>104.20253331416733</v>
      </c>
      <c r="R12" s="351">
        <v>104.1602132709682</v>
      </c>
      <c r="S12" s="351">
        <v>104.10141366131279</v>
      </c>
      <c r="T12" s="351">
        <v>104.01791656781511</v>
      </c>
      <c r="U12" s="351">
        <v>104.03850840573796</v>
      </c>
      <c r="V12" s="352"/>
      <c r="W12" s="352"/>
      <c r="X12" s="352"/>
      <c r="Y12" s="352"/>
      <c r="Z12" s="352"/>
    </row>
    <row r="13" spans="1:26" ht="15.75" customHeight="1">
      <c r="A13" s="357" t="s">
        <v>575</v>
      </c>
      <c r="B13" s="351">
        <v>97.856545823333803</v>
      </c>
      <c r="C13" s="351">
        <v>104.09408126214976</v>
      </c>
      <c r="D13" s="351">
        <v>104.42503734182989</v>
      </c>
      <c r="E13" s="351">
        <v>104.12664667045961</v>
      </c>
      <c r="F13" s="351">
        <v>103.84836596581354</v>
      </c>
      <c r="G13" s="351">
        <v>104.14830142531919</v>
      </c>
      <c r="H13" s="351">
        <v>104.12109441901951</v>
      </c>
      <c r="I13" s="351">
        <v>104.23440580156131</v>
      </c>
      <c r="J13" s="351">
        <v>104.02035216644242</v>
      </c>
      <c r="K13" s="351">
        <v>104.02217187497182</v>
      </c>
      <c r="L13" s="351">
        <v>104.00019520515421</v>
      </c>
      <c r="M13" s="351">
        <v>103.95042010548059</v>
      </c>
      <c r="N13" s="351">
        <v>103.96142589536154</v>
      </c>
      <c r="O13" s="351">
        <v>104.00609555887708</v>
      </c>
      <c r="P13" s="351">
        <v>103.77745066844034</v>
      </c>
      <c r="Q13" s="351">
        <v>103.67976997536078</v>
      </c>
      <c r="R13" s="351">
        <v>103.67221623362764</v>
      </c>
      <c r="S13" s="351">
        <v>103.71659266169961</v>
      </c>
      <c r="T13" s="351">
        <v>103.65435158366698</v>
      </c>
      <c r="U13" s="351">
        <v>103.59775541328929</v>
      </c>
      <c r="V13" s="352"/>
      <c r="W13" s="352"/>
      <c r="X13" s="352"/>
      <c r="Y13" s="352"/>
      <c r="Z13" s="352"/>
    </row>
    <row r="14" spans="1:26" ht="15.75" customHeight="1">
      <c r="A14" s="357" t="s">
        <v>576</v>
      </c>
      <c r="B14" s="351">
        <v>100.53441673667265</v>
      </c>
      <c r="C14" s="351">
        <v>110.90962954559048</v>
      </c>
      <c r="D14" s="351">
        <v>105.90782928321387</v>
      </c>
      <c r="E14" s="351">
        <v>105.34784841808438</v>
      </c>
      <c r="F14" s="351">
        <v>104.94905917323152</v>
      </c>
      <c r="G14" s="351">
        <v>105.32003197610089</v>
      </c>
      <c r="H14" s="351">
        <v>105.39719336731299</v>
      </c>
      <c r="I14" s="351">
        <v>105.51660156383996</v>
      </c>
      <c r="J14" s="351">
        <v>105.27717843947755</v>
      </c>
      <c r="K14" s="351">
        <v>105.1587939604937</v>
      </c>
      <c r="L14" s="351">
        <v>105.17069147713624</v>
      </c>
      <c r="M14" s="351">
        <v>105.04343279001401</v>
      </c>
      <c r="N14" s="351">
        <v>105.0277505785171</v>
      </c>
      <c r="O14" s="351">
        <v>105.10395354357887</v>
      </c>
      <c r="P14" s="351">
        <v>104.89027769214536</v>
      </c>
      <c r="Q14" s="351">
        <v>104.87098918941477</v>
      </c>
      <c r="R14" s="351">
        <v>104.81943054079088</v>
      </c>
      <c r="S14" s="351">
        <v>104.78705273600917</v>
      </c>
      <c r="T14" s="351">
        <v>104.76920558954451</v>
      </c>
      <c r="U14" s="351">
        <v>104.66557630607315</v>
      </c>
      <c r="V14" s="352"/>
      <c r="W14" s="352"/>
      <c r="X14" s="352"/>
      <c r="Y14" s="352"/>
      <c r="Z14" s="352"/>
    </row>
    <row r="15" spans="1:26" ht="15.75" customHeight="1">
      <c r="A15" s="358" t="s">
        <v>577</v>
      </c>
      <c r="B15" s="351">
        <v>92.711172337376837</v>
      </c>
      <c r="C15" s="351">
        <v>109.34490629611216</v>
      </c>
      <c r="D15" s="351">
        <v>106.0512134290948</v>
      </c>
      <c r="E15" s="351">
        <v>105.73750209809394</v>
      </c>
      <c r="F15" s="351">
        <v>105.37781675256213</v>
      </c>
      <c r="G15" s="351">
        <v>105.63917865650525</v>
      </c>
      <c r="H15" s="351">
        <v>105.6385535247019</v>
      </c>
      <c r="I15" s="351">
        <v>105.62354785235686</v>
      </c>
      <c r="J15" s="351">
        <v>105.37745356515269</v>
      </c>
      <c r="K15" s="351">
        <v>105.29623614583878</v>
      </c>
      <c r="L15" s="351">
        <v>105.37664171035399</v>
      </c>
      <c r="M15" s="351">
        <v>105.16319810414637</v>
      </c>
      <c r="N15" s="351">
        <v>105.16955268647432</v>
      </c>
      <c r="O15" s="351">
        <v>105.32370764612885</v>
      </c>
      <c r="P15" s="351">
        <v>105.30741397900003</v>
      </c>
      <c r="Q15" s="351">
        <v>105.20605219759358</v>
      </c>
      <c r="R15" s="351">
        <v>105.02570230880218</v>
      </c>
      <c r="S15" s="351">
        <v>104.88025791485762</v>
      </c>
      <c r="T15" s="351">
        <v>104.7324472207318</v>
      </c>
      <c r="U15" s="351">
        <v>104.6803674359378</v>
      </c>
      <c r="V15" s="352"/>
      <c r="W15" s="352"/>
      <c r="X15" s="352"/>
      <c r="Y15" s="352"/>
      <c r="Z15" s="352"/>
    </row>
    <row r="16" spans="1:26" ht="15.75" customHeight="1">
      <c r="A16" s="357" t="s">
        <v>578</v>
      </c>
      <c r="B16" s="351">
        <v>117.63963155631896</v>
      </c>
      <c r="C16" s="351">
        <v>126.15306150793477</v>
      </c>
      <c r="D16" s="351">
        <v>103.34105041746309</v>
      </c>
      <c r="E16" s="351">
        <v>101.47476909211903</v>
      </c>
      <c r="F16" s="351">
        <v>101.33950193194714</v>
      </c>
      <c r="G16" s="351">
        <v>103.24390232383342</v>
      </c>
      <c r="H16" s="351">
        <v>103.34753869430475</v>
      </c>
      <c r="I16" s="351">
        <v>103.49334947458448</v>
      </c>
      <c r="J16" s="351">
        <v>103.15438737214608</v>
      </c>
      <c r="K16" s="351">
        <v>103.07678077053066</v>
      </c>
      <c r="L16" s="351">
        <v>103.11723997057037</v>
      </c>
      <c r="M16" s="351">
        <v>103.51775184707097</v>
      </c>
      <c r="N16" s="351">
        <v>103.61747277605249</v>
      </c>
      <c r="O16" s="351">
        <v>103.61479175978113</v>
      </c>
      <c r="P16" s="351">
        <v>103.53132323049896</v>
      </c>
      <c r="Q16" s="351">
        <v>103.54071377820422</v>
      </c>
      <c r="R16" s="351">
        <v>103.51273092445355</v>
      </c>
      <c r="S16" s="351">
        <v>103.55068947447329</v>
      </c>
      <c r="T16" s="351">
        <v>103.59850999974866</v>
      </c>
      <c r="U16" s="351">
        <v>103.49552937350637</v>
      </c>
      <c r="V16" s="352"/>
      <c r="W16" s="352"/>
      <c r="X16" s="352"/>
      <c r="Y16" s="352"/>
      <c r="Z16" s="352"/>
    </row>
    <row r="17" spans="1:26" ht="58.75" customHeight="1">
      <c r="A17" s="357" t="s">
        <v>579</v>
      </c>
      <c r="B17" s="351">
        <v>99.466044922241593</v>
      </c>
      <c r="C17" s="351">
        <v>107.24720236253791</v>
      </c>
      <c r="D17" s="351">
        <v>106.31208013222913</v>
      </c>
      <c r="E17" s="351">
        <v>105.73827673577586</v>
      </c>
      <c r="F17" s="351">
        <v>105.5370157686913</v>
      </c>
      <c r="G17" s="351">
        <v>105.74415295863255</v>
      </c>
      <c r="H17" s="351">
        <v>105.84437356233319</v>
      </c>
      <c r="I17" s="351">
        <v>105.90635181748141</v>
      </c>
      <c r="J17" s="351">
        <v>105.66901218708477</v>
      </c>
      <c r="K17" s="351">
        <v>105.5811616207334</v>
      </c>
      <c r="L17" s="351">
        <v>105.66427660724136</v>
      </c>
      <c r="M17" s="351">
        <v>105.67183001213621</v>
      </c>
      <c r="N17" s="351">
        <v>105.67933240001892</v>
      </c>
      <c r="O17" s="351">
        <v>105.70854871004285</v>
      </c>
      <c r="P17" s="351">
        <v>105.64973692914963</v>
      </c>
      <c r="Q17" s="351">
        <v>105.44734804567342</v>
      </c>
      <c r="R17" s="351">
        <v>105.38903461663745</v>
      </c>
      <c r="S17" s="351">
        <v>105.25379824069157</v>
      </c>
      <c r="T17" s="351">
        <v>105.21824369074176</v>
      </c>
      <c r="U17" s="351">
        <v>105.01511966817277</v>
      </c>
      <c r="V17" s="352"/>
      <c r="W17" s="352"/>
      <c r="X17" s="352"/>
      <c r="Y17" s="352"/>
      <c r="Z17" s="352"/>
    </row>
    <row r="18" spans="1:26" ht="26.5" customHeight="1">
      <c r="A18" s="357" t="s">
        <v>580</v>
      </c>
      <c r="B18" s="351">
        <v>94.797306961676654</v>
      </c>
      <c r="C18" s="351">
        <v>104.76654757001684</v>
      </c>
      <c r="D18" s="351">
        <v>104.61423766655746</v>
      </c>
      <c r="E18" s="351">
        <v>104.05309994936944</v>
      </c>
      <c r="F18" s="351">
        <v>104.14157286021283</v>
      </c>
      <c r="G18" s="351">
        <v>104.34634080953506</v>
      </c>
      <c r="H18" s="351">
        <v>104.53914279301857</v>
      </c>
      <c r="I18" s="351">
        <v>104.47949169357331</v>
      </c>
      <c r="J18" s="351">
        <v>104.35016607791164</v>
      </c>
      <c r="K18" s="351">
        <v>104.33721776401734</v>
      </c>
      <c r="L18" s="351">
        <v>104.3811186836858</v>
      </c>
      <c r="M18" s="351">
        <v>104.3420850572052</v>
      </c>
      <c r="N18" s="351">
        <v>104.27553997188961</v>
      </c>
      <c r="O18" s="351">
        <v>104.20506507160444</v>
      </c>
      <c r="P18" s="351">
        <v>104.13426115417977</v>
      </c>
      <c r="Q18" s="351">
        <v>104.09064253398932</v>
      </c>
      <c r="R18" s="351">
        <v>104.08198137058935</v>
      </c>
      <c r="S18" s="351">
        <v>104.01179884831923</v>
      </c>
      <c r="T18" s="351">
        <v>103.97971165888882</v>
      </c>
      <c r="U18" s="351">
        <v>103.8949637672426</v>
      </c>
      <c r="V18" s="352"/>
      <c r="W18" s="352"/>
      <c r="X18" s="352"/>
      <c r="Y18" s="352"/>
      <c r="Z18" s="352"/>
    </row>
    <row r="19" spans="1:26" ht="15.75" customHeight="1">
      <c r="A19" s="357" t="s">
        <v>581</v>
      </c>
      <c r="B19" s="351">
        <v>103.41621317632359</v>
      </c>
      <c r="C19" s="351">
        <v>101.21921254742124</v>
      </c>
      <c r="D19" s="351">
        <v>105.25406861743039</v>
      </c>
      <c r="E19" s="351">
        <v>104.63261262733761</v>
      </c>
      <c r="F19" s="351">
        <v>104.03714743871603</v>
      </c>
      <c r="G19" s="351">
        <v>104.44303194535132</v>
      </c>
      <c r="H19" s="351">
        <v>104.54335536923513</v>
      </c>
      <c r="I19" s="351">
        <v>104.64191272716035</v>
      </c>
      <c r="J19" s="351">
        <v>104.1801637836613</v>
      </c>
      <c r="K19" s="351">
        <v>104.08820627502037</v>
      </c>
      <c r="L19" s="351">
        <v>103.9964591433986</v>
      </c>
      <c r="M19" s="351">
        <v>104.22320683037447</v>
      </c>
      <c r="N19" s="351">
        <v>104.18440479832647</v>
      </c>
      <c r="O19" s="351">
        <v>104.13288332149912</v>
      </c>
      <c r="P19" s="351">
        <v>104.06872981682179</v>
      </c>
      <c r="Q19" s="351">
        <v>104.01672998018599</v>
      </c>
      <c r="R19" s="351">
        <v>103.96145317486116</v>
      </c>
      <c r="S19" s="351">
        <v>103.99157930763165</v>
      </c>
      <c r="T19" s="351">
        <v>103.89689328742655</v>
      </c>
      <c r="U19" s="351">
        <v>103.81125624839153</v>
      </c>
      <c r="V19" s="359"/>
      <c r="W19" s="359"/>
      <c r="X19" s="359"/>
      <c r="Y19" s="359"/>
      <c r="Z19" s="359"/>
    </row>
    <row r="20" spans="1:26" ht="15.75" customHeight="1">
      <c r="A20" s="357" t="s">
        <v>582</v>
      </c>
      <c r="B20" s="351">
        <v>111.57573248051493</v>
      </c>
      <c r="C20" s="351">
        <v>118.61548445316015</v>
      </c>
      <c r="D20" s="351">
        <v>106.14148363320319</v>
      </c>
      <c r="E20" s="351">
        <v>104.86731084123053</v>
      </c>
      <c r="F20" s="351">
        <v>105.14277800449736</v>
      </c>
      <c r="G20" s="351">
        <v>105.44574954773258</v>
      </c>
      <c r="H20" s="351">
        <v>105.54769777958499</v>
      </c>
      <c r="I20" s="351">
        <v>105.63853602551529</v>
      </c>
      <c r="J20" s="351">
        <v>105.47369494422537</v>
      </c>
      <c r="K20" s="351">
        <v>105.28343906011212</v>
      </c>
      <c r="L20" s="351">
        <v>105.12912889566461</v>
      </c>
      <c r="M20" s="351">
        <v>105.49538565299403</v>
      </c>
      <c r="N20" s="351">
        <v>105.42196396605711</v>
      </c>
      <c r="O20" s="351">
        <v>105.39450319098458</v>
      </c>
      <c r="P20" s="351">
        <v>105.2516844311055</v>
      </c>
      <c r="Q20" s="351">
        <v>105.12987339848343</v>
      </c>
      <c r="R20" s="351">
        <v>105.01278677185968</v>
      </c>
      <c r="S20" s="351">
        <v>104.85580516813152</v>
      </c>
      <c r="T20" s="351">
        <v>104.63733035961224</v>
      </c>
      <c r="U20" s="351">
        <v>104.48352732625662</v>
      </c>
      <c r="V20" s="352"/>
      <c r="W20" s="352"/>
      <c r="X20" s="352"/>
      <c r="Y20" s="352"/>
      <c r="Z20" s="352"/>
    </row>
    <row r="21" spans="1:26" ht="15.75" customHeight="1">
      <c r="A21" s="357" t="s">
        <v>583</v>
      </c>
      <c r="B21" s="351">
        <v>106.04808595670289</v>
      </c>
      <c r="C21" s="351">
        <v>114.12706658218544</v>
      </c>
      <c r="D21" s="351">
        <v>104.13213337564152</v>
      </c>
      <c r="E21" s="351">
        <v>104.73170472889626</v>
      </c>
      <c r="F21" s="351">
        <v>104.74016871185157</v>
      </c>
      <c r="G21" s="351">
        <v>105.24705158368526</v>
      </c>
      <c r="H21" s="351">
        <v>105.44159236038521</v>
      </c>
      <c r="I21" s="351">
        <v>105.57344946129383</v>
      </c>
      <c r="J21" s="351">
        <v>105.3796159736001</v>
      </c>
      <c r="K21" s="351">
        <v>105.19570117851374</v>
      </c>
      <c r="L21" s="351">
        <v>105.21688094157092</v>
      </c>
      <c r="M21" s="351">
        <v>105.26259294054545</v>
      </c>
      <c r="N21" s="351">
        <v>105.15991686436786</v>
      </c>
      <c r="O21" s="351">
        <v>105.16782818829196</v>
      </c>
      <c r="P21" s="351">
        <v>105.09766841735981</v>
      </c>
      <c r="Q21" s="351">
        <v>105.04236253411958</v>
      </c>
      <c r="R21" s="351">
        <v>104.93552316553179</v>
      </c>
      <c r="S21" s="351">
        <v>104.92803463425355</v>
      </c>
      <c r="T21" s="351">
        <v>104.92032680922885</v>
      </c>
      <c r="U21" s="351">
        <v>104.87262997570717</v>
      </c>
      <c r="V21" s="352"/>
      <c r="W21" s="352"/>
      <c r="X21" s="352"/>
      <c r="Y21" s="352"/>
      <c r="Z21" s="352"/>
    </row>
    <row r="22" spans="1:26" ht="15.75" customHeight="1">
      <c r="A22" s="357" t="s">
        <v>584</v>
      </c>
      <c r="B22" s="351">
        <v>107.71909740481243</v>
      </c>
      <c r="C22" s="351">
        <v>105.5466817123021</v>
      </c>
      <c r="D22" s="351">
        <v>105.42983205665944</v>
      </c>
      <c r="E22" s="351">
        <v>105.13644759170558</v>
      </c>
      <c r="F22" s="351">
        <v>104.74495786209168</v>
      </c>
      <c r="G22" s="351">
        <v>105.04582786758219</v>
      </c>
      <c r="H22" s="351">
        <v>105.14182978830944</v>
      </c>
      <c r="I22" s="351">
        <v>105.2523365187142</v>
      </c>
      <c r="J22" s="351">
        <v>104.9740603323833</v>
      </c>
      <c r="K22" s="351">
        <v>104.99574477918206</v>
      </c>
      <c r="L22" s="351">
        <v>104.85547363600999</v>
      </c>
      <c r="M22" s="351">
        <v>104.82340444363848</v>
      </c>
      <c r="N22" s="351">
        <v>104.7907747729933</v>
      </c>
      <c r="O22" s="351">
        <v>104.81262891282924</v>
      </c>
      <c r="P22" s="351">
        <v>104.68226029695674</v>
      </c>
      <c r="Q22" s="351">
        <v>104.66665924088856</v>
      </c>
      <c r="R22" s="351">
        <v>104.62057899836077</v>
      </c>
      <c r="S22" s="351">
        <v>104.58390918989704</v>
      </c>
      <c r="T22" s="351">
        <v>104.54833128731289</v>
      </c>
      <c r="U22" s="351">
        <v>104.41422714852045</v>
      </c>
      <c r="V22" s="352"/>
      <c r="W22" s="352"/>
      <c r="X22" s="352"/>
      <c r="Y22" s="352"/>
      <c r="Z22" s="352"/>
    </row>
    <row r="23" spans="1:26" ht="15.75" customHeight="1">
      <c r="A23" s="360" t="s">
        <v>585</v>
      </c>
      <c r="B23" s="351">
        <v>107.04189995968693</v>
      </c>
      <c r="C23" s="351">
        <v>104.7283011751514</v>
      </c>
      <c r="D23" s="351">
        <v>106.14639141792451</v>
      </c>
      <c r="E23" s="351">
        <v>104.21085884406911</v>
      </c>
      <c r="F23" s="351">
        <v>104.03368576059584</v>
      </c>
      <c r="G23" s="351">
        <v>104.0332213518043</v>
      </c>
      <c r="H23" s="351">
        <v>103.93143203785024</v>
      </c>
      <c r="I23" s="351">
        <v>103.94599881514883</v>
      </c>
      <c r="J23" s="361">
        <v>103.95001512020147</v>
      </c>
      <c r="K23" s="361">
        <v>103.95227156447987</v>
      </c>
      <c r="L23" s="361">
        <v>103.94883365246994</v>
      </c>
      <c r="M23" s="361">
        <v>103.94093164594106</v>
      </c>
      <c r="N23" s="361">
        <v>103.93302339662172</v>
      </c>
      <c r="O23" s="361">
        <v>103.92721974118773</v>
      </c>
      <c r="P23" s="361">
        <v>103.92487234687547</v>
      </c>
      <c r="Q23" s="361">
        <v>103.92789574585781</v>
      </c>
      <c r="R23" s="361">
        <v>103.93327422549312</v>
      </c>
      <c r="S23" s="361">
        <v>103.93767710180769</v>
      </c>
      <c r="T23" s="361">
        <v>103.94531213762718</v>
      </c>
      <c r="U23" s="361">
        <v>103.94531213762718</v>
      </c>
      <c r="V23" s="339"/>
      <c r="W23" s="339"/>
      <c r="X23" s="339"/>
      <c r="Y23" s="339"/>
      <c r="Z23" s="339"/>
    </row>
    <row r="24" spans="1:26" ht="15.75" customHeight="1">
      <c r="A24" s="346" t="s">
        <v>586</v>
      </c>
      <c r="B24" s="347">
        <v>114.15788308086756</v>
      </c>
      <c r="C24" s="347">
        <v>112.06858876538048</v>
      </c>
      <c r="D24" s="347">
        <v>104.9482521213489</v>
      </c>
      <c r="E24" s="347">
        <v>104.00647154043152</v>
      </c>
      <c r="F24" s="347">
        <v>104.04408026602701</v>
      </c>
      <c r="G24" s="347">
        <v>104.04417910930088</v>
      </c>
      <c r="H24" s="347">
        <v>103.97920103999998</v>
      </c>
      <c r="I24" s="347">
        <v>104.04675415648362</v>
      </c>
      <c r="J24" s="347">
        <v>103.99238906632527</v>
      </c>
      <c r="K24" s="347">
        <v>103.98717385791207</v>
      </c>
      <c r="L24" s="347">
        <v>103.97518675329411</v>
      </c>
      <c r="M24" s="347">
        <v>103.96319017855207</v>
      </c>
      <c r="N24" s="347">
        <v>103.95438620900335</v>
      </c>
      <c r="O24" s="347">
        <v>103.95082528291481</v>
      </c>
      <c r="P24" s="347">
        <v>103.9554116876173</v>
      </c>
      <c r="Q24" s="347">
        <v>103.96357067835444</v>
      </c>
      <c r="R24" s="347">
        <v>103.97024970839699</v>
      </c>
      <c r="S24" s="347">
        <v>103.98183182653317</v>
      </c>
      <c r="T24" s="347">
        <v>103.99339791253144</v>
      </c>
      <c r="U24" s="347">
        <v>103.99339791253144</v>
      </c>
      <c r="V24" s="348"/>
      <c r="W24" s="348"/>
      <c r="X24" s="348"/>
      <c r="Y24" s="348"/>
      <c r="Z24" s="348"/>
    </row>
    <row r="25" spans="1:26" ht="15.75" customHeight="1">
      <c r="A25" s="362" t="s">
        <v>587</v>
      </c>
      <c r="B25" s="363">
        <v>100.286691519698</v>
      </c>
      <c r="C25" s="363">
        <v>100.20196609918692</v>
      </c>
      <c r="D25" s="363">
        <v>103.90490155806225</v>
      </c>
      <c r="E25" s="363">
        <v>103.28796875197533</v>
      </c>
      <c r="F25" s="363">
        <v>103.4089253221828</v>
      </c>
      <c r="G25" s="363">
        <v>103.61386549104559</v>
      </c>
      <c r="H25" s="363">
        <v>103.92785937192698</v>
      </c>
      <c r="I25" s="363">
        <v>104.07616407841959</v>
      </c>
      <c r="J25" s="363">
        <v>104.21457033639172</v>
      </c>
      <c r="K25" s="363">
        <v>104.29743274246182</v>
      </c>
      <c r="L25" s="363">
        <v>104.43287632418776</v>
      </c>
      <c r="M25" s="363">
        <v>104.47879117816663</v>
      </c>
      <c r="N25" s="363">
        <v>104.56762685052999</v>
      </c>
      <c r="O25" s="363">
        <v>104.66394885090719</v>
      </c>
      <c r="P25" s="363">
        <v>104.59683647745548</v>
      </c>
      <c r="Q25" s="363">
        <v>104.56454016690775</v>
      </c>
      <c r="R25" s="363">
        <v>104.4969194106082</v>
      </c>
      <c r="S25" s="363">
        <v>104.39396716372663</v>
      </c>
      <c r="T25" s="363">
        <v>104.29306019473827</v>
      </c>
      <c r="U25" s="363">
        <v>104.28247081497942</v>
      </c>
      <c r="V25" s="348"/>
      <c r="W25" s="348"/>
      <c r="X25" s="348"/>
      <c r="Y25" s="348"/>
      <c r="Z25" s="348"/>
    </row>
    <row r="26" spans="1:26" ht="15.75" customHeight="1">
      <c r="A26" s="362" t="s">
        <v>588</v>
      </c>
      <c r="B26" s="363">
        <v>104.41587229748035</v>
      </c>
      <c r="C26" s="363">
        <v>104.49153341106152</v>
      </c>
      <c r="D26" s="363">
        <v>104.50100830592109</v>
      </c>
      <c r="E26" s="363">
        <v>104.40205484081922</v>
      </c>
      <c r="F26" s="363">
        <v>104.28937094602033</v>
      </c>
      <c r="G26" s="363">
        <v>104.09612999857984</v>
      </c>
      <c r="H26" s="363">
        <v>103.99256560545949</v>
      </c>
      <c r="I26" s="363">
        <v>103.95555110870404</v>
      </c>
      <c r="J26" s="363">
        <v>103.94165103004615</v>
      </c>
      <c r="K26" s="363">
        <v>103.89901779035739</v>
      </c>
      <c r="L26" s="363">
        <v>103.86642683439861</v>
      </c>
      <c r="M26" s="363">
        <v>103.83810308363587</v>
      </c>
      <c r="N26" s="363">
        <v>103.80603079266204</v>
      </c>
      <c r="O26" s="363">
        <v>103.79881790749351</v>
      </c>
      <c r="P26" s="363">
        <v>103.77018843509569</v>
      </c>
      <c r="Q26" s="363">
        <v>103.7380338510894</v>
      </c>
      <c r="R26" s="363">
        <v>103.70562133918352</v>
      </c>
      <c r="S26" s="363">
        <v>103.6737843960895</v>
      </c>
      <c r="T26" s="363">
        <v>103.64187644511708</v>
      </c>
      <c r="U26" s="363">
        <v>103.61098774758723</v>
      </c>
      <c r="V26" s="348"/>
      <c r="W26" s="348"/>
      <c r="X26" s="348"/>
      <c r="Y26" s="348"/>
      <c r="Z26" s="348"/>
    </row>
    <row r="27" spans="1:26" ht="15.75" customHeight="1">
      <c r="A27" s="362" t="s">
        <v>598</v>
      </c>
      <c r="B27" s="363">
        <v>103.69498560435535</v>
      </c>
      <c r="C27" s="363">
        <v>104.93430351985597</v>
      </c>
      <c r="D27" s="363">
        <v>105.04290538713221</v>
      </c>
      <c r="E27" s="363">
        <v>104.35592158531719</v>
      </c>
      <c r="F27" s="363">
        <v>104.23771168266786</v>
      </c>
      <c r="G27" s="363">
        <v>104.32005515472041</v>
      </c>
      <c r="H27" s="363">
        <v>104.3900921854208</v>
      </c>
      <c r="I27" s="363">
        <v>104.43006462723064</v>
      </c>
      <c r="J27" s="363">
        <v>104.33006462723064</v>
      </c>
      <c r="K27" s="363">
        <v>104.23006462723065</v>
      </c>
      <c r="L27" s="363">
        <v>104.13006462723065</v>
      </c>
      <c r="M27" s="363">
        <v>104.03006462723066</v>
      </c>
      <c r="N27" s="363">
        <v>104.03006462723066</v>
      </c>
      <c r="O27" s="363">
        <v>104.03006462723066</v>
      </c>
      <c r="P27" s="363">
        <v>104.03006462723066</v>
      </c>
      <c r="Q27" s="363">
        <v>104.03006462723066</v>
      </c>
      <c r="R27" s="363">
        <v>104.03006462723066</v>
      </c>
      <c r="S27" s="363">
        <v>104.03006462723066</v>
      </c>
      <c r="T27" s="363">
        <v>104.03006462723066</v>
      </c>
      <c r="U27" s="363">
        <v>104.03006462723066</v>
      </c>
      <c r="V27" s="348"/>
      <c r="W27" s="348"/>
      <c r="X27" s="348"/>
      <c r="Y27" s="348"/>
      <c r="Z27" s="348"/>
    </row>
    <row r="28" spans="1:26" ht="15.75" customHeight="1">
      <c r="A28" s="362" t="s">
        <v>589</v>
      </c>
      <c r="B28" s="363">
        <v>106</v>
      </c>
      <c r="C28" s="363">
        <v>105.20490024156956</v>
      </c>
      <c r="D28" s="363">
        <v>105.02184187855033</v>
      </c>
      <c r="E28" s="363">
        <v>105.05236902216575</v>
      </c>
      <c r="F28" s="363">
        <v>105.12714234840305</v>
      </c>
      <c r="G28" s="363">
        <v>105.03633877804704</v>
      </c>
      <c r="H28" s="363">
        <v>104.92673300748723</v>
      </c>
      <c r="I28" s="363">
        <v>104.72731065474261</v>
      </c>
      <c r="J28" s="363">
        <v>104.59423080876481</v>
      </c>
      <c r="K28" s="363">
        <v>104.60841788467178</v>
      </c>
      <c r="L28" s="363">
        <v>104.60498238005394</v>
      </c>
      <c r="M28" s="363">
        <v>104.61543786962289</v>
      </c>
      <c r="N28" s="363">
        <v>104.60146939774303</v>
      </c>
      <c r="O28" s="363">
        <v>104.65545624062253</v>
      </c>
      <c r="P28" s="363">
        <v>104.51334550401226</v>
      </c>
      <c r="Q28" s="363">
        <v>104.48145091589475</v>
      </c>
      <c r="R28" s="363">
        <v>104.36301700416995</v>
      </c>
      <c r="S28" s="363">
        <v>104.2258269089634</v>
      </c>
      <c r="T28" s="363">
        <v>104.10743463259816</v>
      </c>
      <c r="U28" s="363">
        <v>104.05223722631891</v>
      </c>
      <c r="V28" s="348"/>
      <c r="W28" s="348"/>
      <c r="X28" s="348"/>
      <c r="Y28" s="348"/>
      <c r="Z28" s="348"/>
    </row>
    <row r="29" spans="1:26" ht="15.75" customHeight="1">
      <c r="A29" s="362" t="s">
        <v>590</v>
      </c>
      <c r="B29" s="363">
        <v>103.97483497417524</v>
      </c>
      <c r="C29" s="363">
        <v>102.46329811206176</v>
      </c>
      <c r="D29" s="363">
        <v>104.60380517543548</v>
      </c>
      <c r="E29" s="363">
        <v>103.43907131151944</v>
      </c>
      <c r="F29" s="363">
        <v>104.00904477270694</v>
      </c>
      <c r="G29" s="363">
        <v>103.89503985550925</v>
      </c>
      <c r="H29" s="363">
        <v>103.96141743967992</v>
      </c>
      <c r="I29" s="363">
        <v>103.96408876666068</v>
      </c>
      <c r="J29" s="363">
        <v>103.9479914414069</v>
      </c>
      <c r="K29" s="363">
        <v>103.92133224453568</v>
      </c>
      <c r="L29" s="363">
        <v>103.89771033866248</v>
      </c>
      <c r="M29" s="363">
        <v>103.87394369188182</v>
      </c>
      <c r="N29" s="363">
        <v>103.85267397797152</v>
      </c>
      <c r="O29" s="363">
        <v>103.83341066741002</v>
      </c>
      <c r="P29" s="363">
        <v>103.80876279926932</v>
      </c>
      <c r="Q29" s="363">
        <v>103.79829567005392</v>
      </c>
      <c r="R29" s="363">
        <v>103.78708697121716</v>
      </c>
      <c r="S29" s="363">
        <v>103.78760984723617</v>
      </c>
      <c r="T29" s="363">
        <v>103.79661011766807</v>
      </c>
      <c r="U29" s="363">
        <v>103.7935421521436</v>
      </c>
      <c r="V29" s="348"/>
      <c r="W29" s="348"/>
      <c r="X29" s="348"/>
      <c r="Y29" s="348"/>
      <c r="Z29" s="348"/>
    </row>
    <row r="30" spans="1:26" ht="15.75" customHeight="1">
      <c r="A30" s="364" t="s">
        <v>591</v>
      </c>
      <c r="B30" s="365">
        <v>105.187243566326</v>
      </c>
      <c r="C30" s="365">
        <v>104.04172361127351</v>
      </c>
      <c r="D30" s="365">
        <v>105.19254365720738</v>
      </c>
      <c r="E30" s="365">
        <v>104.07319164148232</v>
      </c>
      <c r="F30" s="365">
        <v>104.40196101913423</v>
      </c>
      <c r="G30" s="365">
        <v>104.25415638152251</v>
      </c>
      <c r="H30" s="365">
        <v>104.15154583417581</v>
      </c>
      <c r="I30" s="365">
        <v>104.08402303747842</v>
      </c>
      <c r="J30" s="365">
        <v>104.08442699809865</v>
      </c>
      <c r="K30" s="365">
        <v>104.13342789708386</v>
      </c>
      <c r="L30" s="365">
        <v>104.15022475836919</v>
      </c>
      <c r="M30" s="365">
        <v>104.16702565142953</v>
      </c>
      <c r="N30" s="365">
        <v>104.1884184578315</v>
      </c>
      <c r="O30" s="365">
        <v>104.22281502747298</v>
      </c>
      <c r="P30" s="365">
        <v>104.26946109261854</v>
      </c>
      <c r="Q30" s="365">
        <v>104.31996077757303</v>
      </c>
      <c r="R30" s="365">
        <v>104.36589688645894</v>
      </c>
      <c r="S30" s="365">
        <v>104.39883109543908</v>
      </c>
      <c r="T30" s="365">
        <v>104.41031426889654</v>
      </c>
      <c r="U30" s="365">
        <v>104.39985755239492</v>
      </c>
      <c r="V30" s="366"/>
      <c r="W30" s="366"/>
      <c r="X30" s="366"/>
      <c r="Y30" s="366"/>
      <c r="Z30" s="366"/>
    </row>
    <row r="31" spans="1:26" ht="15.75" customHeight="1">
      <c r="A31" s="367" t="s">
        <v>592</v>
      </c>
      <c r="B31" s="347">
        <v>103.68333439177863</v>
      </c>
      <c r="C31" s="347">
        <v>102.72703489693991</v>
      </c>
      <c r="D31" s="347">
        <v>104.64508694363997</v>
      </c>
      <c r="E31" s="347">
        <v>103.42057222413483</v>
      </c>
      <c r="F31" s="347">
        <v>104.01121287538824</v>
      </c>
      <c r="G31" s="347">
        <v>103.99513515174199</v>
      </c>
      <c r="H31" s="347">
        <v>103.97992743489628</v>
      </c>
      <c r="I31" s="347">
        <v>103.98896610868395</v>
      </c>
      <c r="J31" s="347">
        <v>103.992</v>
      </c>
      <c r="K31" s="347">
        <v>103.98699999999999</v>
      </c>
      <c r="L31" s="347">
        <v>103.97499999999999</v>
      </c>
      <c r="M31" s="347">
        <v>103.96299999999999</v>
      </c>
      <c r="N31" s="347">
        <v>103.955</v>
      </c>
      <c r="O31" s="347">
        <v>103.95099999999999</v>
      </c>
      <c r="P31" s="347">
        <v>103.955</v>
      </c>
      <c r="Q31" s="347">
        <v>103.964</v>
      </c>
      <c r="R31" s="347">
        <v>103.97</v>
      </c>
      <c r="S31" s="347">
        <v>103.982</v>
      </c>
      <c r="T31" s="347">
        <v>103.99299999999999</v>
      </c>
      <c r="U31" s="347">
        <v>104.001</v>
      </c>
      <c r="V31" s="348"/>
      <c r="W31" s="348"/>
      <c r="X31" s="348"/>
      <c r="Y31" s="348"/>
      <c r="Z31" s="348"/>
    </row>
    <row r="32" spans="1:26" ht="15.75" customHeight="1">
      <c r="A32" s="368" t="s">
        <v>593</v>
      </c>
      <c r="B32" s="363"/>
      <c r="C32" s="363"/>
      <c r="D32" s="363"/>
      <c r="E32" s="363"/>
      <c r="F32" s="351"/>
      <c r="G32" s="351"/>
      <c r="H32" s="351"/>
      <c r="I32" s="369"/>
      <c r="J32" s="369"/>
      <c r="K32" s="369"/>
      <c r="L32" s="369"/>
      <c r="M32" s="369"/>
      <c r="N32" s="369"/>
      <c r="O32" s="369"/>
      <c r="P32" s="369"/>
      <c r="Q32" s="369"/>
      <c r="R32" s="369"/>
      <c r="S32" s="369"/>
      <c r="T32" s="369"/>
      <c r="U32" s="369"/>
      <c r="V32" s="370"/>
      <c r="W32" s="370"/>
      <c r="X32" s="370"/>
      <c r="Y32" s="370"/>
      <c r="Z32" s="370"/>
    </row>
    <row r="33" spans="1:145" ht="15.75" customHeight="1">
      <c r="A33" s="371"/>
      <c r="B33" s="372"/>
      <c r="C33" s="372"/>
      <c r="D33" s="372"/>
      <c r="E33" s="372"/>
      <c r="F33" s="372"/>
      <c r="G33" s="372"/>
      <c r="H33" s="372"/>
      <c r="I33" s="372"/>
      <c r="J33" s="372"/>
      <c r="K33" s="372"/>
      <c r="L33" s="372"/>
      <c r="M33" s="372"/>
      <c r="N33" s="372"/>
      <c r="O33" s="372"/>
      <c r="P33" s="372"/>
      <c r="Q33" s="372"/>
      <c r="R33" s="372"/>
      <c r="S33" s="372"/>
      <c r="T33" s="372"/>
      <c r="U33" s="372"/>
      <c r="V33" s="373"/>
      <c r="W33" s="373"/>
      <c r="X33" s="373"/>
      <c r="Y33" s="373"/>
      <c r="Z33" s="373"/>
    </row>
    <row r="34" spans="1:145" ht="15.75" customHeight="1" thickBot="1">
      <c r="A34" s="364" t="s">
        <v>591</v>
      </c>
      <c r="B34" s="351"/>
      <c r="C34" s="351"/>
      <c r="D34" s="351"/>
      <c r="E34" s="351"/>
      <c r="F34" s="374"/>
      <c r="G34" s="374"/>
      <c r="H34" s="374"/>
      <c r="I34" s="374"/>
      <c r="J34" s="374"/>
      <c r="K34" s="374"/>
      <c r="L34" s="374"/>
      <c r="M34" s="374"/>
      <c r="N34" s="374"/>
      <c r="O34" s="374"/>
      <c r="P34" s="375"/>
      <c r="Q34" s="375"/>
      <c r="R34" s="375"/>
      <c r="S34" s="375"/>
      <c r="T34" s="375"/>
      <c r="U34" s="375"/>
      <c r="V34" s="375"/>
      <c r="W34" s="375"/>
      <c r="X34" s="375"/>
      <c r="Y34" s="375"/>
      <c r="Z34" s="375"/>
    </row>
    <row r="35" spans="1:145" ht="14.25" customHeight="1">
      <c r="A35" s="398" t="s">
        <v>112</v>
      </c>
      <c r="B35" s="399">
        <v>2022</v>
      </c>
      <c r="C35" s="399">
        <f>B35</f>
        <v>2022</v>
      </c>
      <c r="D35" s="399">
        <f>C35</f>
        <v>2022</v>
      </c>
      <c r="E35" s="399">
        <f t="shared" ref="E35:L35" si="0">D35</f>
        <v>2022</v>
      </c>
      <c r="F35" s="399">
        <f t="shared" si="0"/>
        <v>2022</v>
      </c>
      <c r="G35" s="399">
        <f t="shared" si="0"/>
        <v>2022</v>
      </c>
      <c r="H35" s="399">
        <f t="shared" si="0"/>
        <v>2022</v>
      </c>
      <c r="I35" s="399">
        <f t="shared" si="0"/>
        <v>2022</v>
      </c>
      <c r="J35" s="399">
        <f t="shared" si="0"/>
        <v>2022</v>
      </c>
      <c r="K35" s="399">
        <f t="shared" si="0"/>
        <v>2022</v>
      </c>
      <c r="L35" s="399">
        <f t="shared" si="0"/>
        <v>2022</v>
      </c>
      <c r="M35" s="399">
        <f>L35</f>
        <v>2022</v>
      </c>
      <c r="N35" s="399">
        <f>M35+1</f>
        <v>2023</v>
      </c>
      <c r="O35" s="399">
        <f>N35</f>
        <v>2023</v>
      </c>
      <c r="P35" s="399">
        <f t="shared" ref="P35:X35" si="1">O35</f>
        <v>2023</v>
      </c>
      <c r="Q35" s="399">
        <f t="shared" si="1"/>
        <v>2023</v>
      </c>
      <c r="R35" s="399">
        <f t="shared" si="1"/>
        <v>2023</v>
      </c>
      <c r="S35" s="399">
        <f t="shared" si="1"/>
        <v>2023</v>
      </c>
      <c r="T35" s="399">
        <f t="shared" si="1"/>
        <v>2023</v>
      </c>
      <c r="U35" s="399">
        <f t="shared" si="1"/>
        <v>2023</v>
      </c>
      <c r="V35" s="399">
        <f t="shared" si="1"/>
        <v>2023</v>
      </c>
      <c r="W35" s="399">
        <f t="shared" si="1"/>
        <v>2023</v>
      </c>
      <c r="X35" s="399">
        <f t="shared" si="1"/>
        <v>2023</v>
      </c>
      <c r="Y35" s="399">
        <f>X35</f>
        <v>2023</v>
      </c>
      <c r="Z35" s="399">
        <f>Y35+1</f>
        <v>2024</v>
      </c>
      <c r="AA35" s="399">
        <f>Z35</f>
        <v>2024</v>
      </c>
      <c r="AB35" s="399">
        <f t="shared" ref="AB35:AJ35" si="2">AA35</f>
        <v>2024</v>
      </c>
      <c r="AC35" s="399">
        <f t="shared" si="2"/>
        <v>2024</v>
      </c>
      <c r="AD35" s="399">
        <f t="shared" si="2"/>
        <v>2024</v>
      </c>
      <c r="AE35" s="399">
        <f t="shared" si="2"/>
        <v>2024</v>
      </c>
      <c r="AF35" s="399">
        <f t="shared" si="2"/>
        <v>2024</v>
      </c>
      <c r="AG35" s="399">
        <f t="shared" si="2"/>
        <v>2024</v>
      </c>
      <c r="AH35" s="399">
        <f t="shared" si="2"/>
        <v>2024</v>
      </c>
      <c r="AI35" s="399">
        <f t="shared" si="2"/>
        <v>2024</v>
      </c>
      <c r="AJ35" s="399">
        <f t="shared" si="2"/>
        <v>2024</v>
      </c>
      <c r="AK35" s="399">
        <f>AJ35</f>
        <v>2024</v>
      </c>
      <c r="AL35" s="399">
        <f>AK35+1</f>
        <v>2025</v>
      </c>
      <c r="AM35" s="399">
        <f>AL35</f>
        <v>2025</v>
      </c>
      <c r="AN35" s="399">
        <f t="shared" ref="AN35:AV35" si="3">AM35</f>
        <v>2025</v>
      </c>
      <c r="AO35" s="399">
        <f t="shared" si="3"/>
        <v>2025</v>
      </c>
      <c r="AP35" s="399">
        <f t="shared" si="3"/>
        <v>2025</v>
      </c>
      <c r="AQ35" s="399">
        <f t="shared" si="3"/>
        <v>2025</v>
      </c>
      <c r="AR35" s="399">
        <f t="shared" si="3"/>
        <v>2025</v>
      </c>
      <c r="AS35" s="399">
        <f t="shared" si="3"/>
        <v>2025</v>
      </c>
      <c r="AT35" s="399">
        <f t="shared" si="3"/>
        <v>2025</v>
      </c>
      <c r="AU35" s="399">
        <f t="shared" si="3"/>
        <v>2025</v>
      </c>
      <c r="AV35" s="399">
        <f t="shared" si="3"/>
        <v>2025</v>
      </c>
      <c r="AW35" s="399">
        <f>AV35</f>
        <v>2025</v>
      </c>
      <c r="AX35" s="399">
        <f>AW35+1</f>
        <v>2026</v>
      </c>
      <c r="AY35" s="399">
        <f>AX35</f>
        <v>2026</v>
      </c>
      <c r="AZ35" s="399">
        <f t="shared" ref="AZ35:BH35" si="4">AY35</f>
        <v>2026</v>
      </c>
      <c r="BA35" s="399">
        <f t="shared" si="4"/>
        <v>2026</v>
      </c>
      <c r="BB35" s="399">
        <f t="shared" si="4"/>
        <v>2026</v>
      </c>
      <c r="BC35" s="399">
        <f t="shared" si="4"/>
        <v>2026</v>
      </c>
      <c r="BD35" s="399">
        <f t="shared" si="4"/>
        <v>2026</v>
      </c>
      <c r="BE35" s="399">
        <f t="shared" si="4"/>
        <v>2026</v>
      </c>
      <c r="BF35" s="399">
        <f t="shared" si="4"/>
        <v>2026</v>
      </c>
      <c r="BG35" s="399">
        <f t="shared" si="4"/>
        <v>2026</v>
      </c>
      <c r="BH35" s="399">
        <f t="shared" si="4"/>
        <v>2026</v>
      </c>
      <c r="BI35" s="399">
        <f>BH35</f>
        <v>2026</v>
      </c>
      <c r="BJ35" s="399">
        <f>BI35+1</f>
        <v>2027</v>
      </c>
      <c r="BK35" s="399">
        <f>BJ35</f>
        <v>2027</v>
      </c>
      <c r="BL35" s="399">
        <f t="shared" ref="BL35:BT35" si="5">BK35</f>
        <v>2027</v>
      </c>
      <c r="BM35" s="399">
        <f t="shared" si="5"/>
        <v>2027</v>
      </c>
      <c r="BN35" s="399">
        <f t="shared" si="5"/>
        <v>2027</v>
      </c>
      <c r="BO35" s="399">
        <f t="shared" si="5"/>
        <v>2027</v>
      </c>
      <c r="BP35" s="399">
        <f t="shared" si="5"/>
        <v>2027</v>
      </c>
      <c r="BQ35" s="399">
        <f t="shared" si="5"/>
        <v>2027</v>
      </c>
      <c r="BR35" s="399">
        <f t="shared" si="5"/>
        <v>2027</v>
      </c>
      <c r="BS35" s="399">
        <f t="shared" si="5"/>
        <v>2027</v>
      </c>
      <c r="BT35" s="399">
        <f t="shared" si="5"/>
        <v>2027</v>
      </c>
      <c r="BU35" s="399">
        <f>BT35</f>
        <v>2027</v>
      </c>
      <c r="BV35" s="399">
        <f>BU35+1</f>
        <v>2028</v>
      </c>
      <c r="BW35" s="399">
        <f>BV35</f>
        <v>2028</v>
      </c>
      <c r="BX35" s="399">
        <f t="shared" ref="BX35:CF35" si="6">BW35</f>
        <v>2028</v>
      </c>
      <c r="BY35" s="399">
        <f t="shared" si="6"/>
        <v>2028</v>
      </c>
      <c r="BZ35" s="399">
        <f t="shared" si="6"/>
        <v>2028</v>
      </c>
      <c r="CA35" s="399">
        <f t="shared" si="6"/>
        <v>2028</v>
      </c>
      <c r="CB35" s="399">
        <f t="shared" si="6"/>
        <v>2028</v>
      </c>
      <c r="CC35" s="399">
        <f t="shared" si="6"/>
        <v>2028</v>
      </c>
      <c r="CD35" s="399">
        <f t="shared" si="6"/>
        <v>2028</v>
      </c>
      <c r="CE35" s="399">
        <f t="shared" si="6"/>
        <v>2028</v>
      </c>
      <c r="CF35" s="399">
        <f t="shared" si="6"/>
        <v>2028</v>
      </c>
      <c r="CG35" s="399">
        <f>CF35</f>
        <v>2028</v>
      </c>
      <c r="CH35" s="399">
        <f>CG35+1</f>
        <v>2029</v>
      </c>
      <c r="CI35" s="399">
        <f>CH35</f>
        <v>2029</v>
      </c>
      <c r="CJ35" s="399">
        <f t="shared" ref="CJ35:CR35" si="7">CI35</f>
        <v>2029</v>
      </c>
      <c r="CK35" s="399">
        <f t="shared" si="7"/>
        <v>2029</v>
      </c>
      <c r="CL35" s="399">
        <f t="shared" si="7"/>
        <v>2029</v>
      </c>
      <c r="CM35" s="399">
        <f t="shared" si="7"/>
        <v>2029</v>
      </c>
      <c r="CN35" s="399">
        <f t="shared" si="7"/>
        <v>2029</v>
      </c>
      <c r="CO35" s="399">
        <f t="shared" si="7"/>
        <v>2029</v>
      </c>
      <c r="CP35" s="399">
        <f t="shared" si="7"/>
        <v>2029</v>
      </c>
      <c r="CQ35" s="399">
        <f t="shared" si="7"/>
        <v>2029</v>
      </c>
      <c r="CR35" s="399">
        <f t="shared" si="7"/>
        <v>2029</v>
      </c>
      <c r="CS35" s="399">
        <f>CR35</f>
        <v>2029</v>
      </c>
      <c r="CT35" s="399">
        <f>CS35+1</f>
        <v>2030</v>
      </c>
      <c r="CU35" s="399">
        <f>CT35</f>
        <v>2030</v>
      </c>
      <c r="CV35" s="399">
        <f t="shared" ref="CV35:DD35" si="8">CU35</f>
        <v>2030</v>
      </c>
      <c r="CW35" s="399">
        <f t="shared" si="8"/>
        <v>2030</v>
      </c>
      <c r="CX35" s="399">
        <f t="shared" si="8"/>
        <v>2030</v>
      </c>
      <c r="CY35" s="399">
        <f t="shared" si="8"/>
        <v>2030</v>
      </c>
      <c r="CZ35" s="399">
        <f t="shared" si="8"/>
        <v>2030</v>
      </c>
      <c r="DA35" s="399">
        <f t="shared" si="8"/>
        <v>2030</v>
      </c>
      <c r="DB35" s="399">
        <f t="shared" si="8"/>
        <v>2030</v>
      </c>
      <c r="DC35" s="399">
        <f t="shared" si="8"/>
        <v>2030</v>
      </c>
      <c r="DD35" s="399">
        <f t="shared" si="8"/>
        <v>2030</v>
      </c>
      <c r="DE35" s="399">
        <f>DD35</f>
        <v>2030</v>
      </c>
      <c r="DF35" s="399">
        <f>DE35+1</f>
        <v>2031</v>
      </c>
      <c r="DG35" s="399">
        <f>DF35</f>
        <v>2031</v>
      </c>
      <c r="DH35" s="399">
        <f t="shared" ref="DH35:DP35" si="9">DG35</f>
        <v>2031</v>
      </c>
      <c r="DI35" s="399">
        <f t="shared" si="9"/>
        <v>2031</v>
      </c>
      <c r="DJ35" s="399">
        <f t="shared" si="9"/>
        <v>2031</v>
      </c>
      <c r="DK35" s="399">
        <f t="shared" si="9"/>
        <v>2031</v>
      </c>
      <c r="DL35" s="399">
        <f t="shared" si="9"/>
        <v>2031</v>
      </c>
      <c r="DM35" s="399">
        <f t="shared" si="9"/>
        <v>2031</v>
      </c>
      <c r="DN35" s="399">
        <f t="shared" si="9"/>
        <v>2031</v>
      </c>
      <c r="DO35" s="399">
        <f t="shared" si="9"/>
        <v>2031</v>
      </c>
      <c r="DP35" s="399">
        <f t="shared" si="9"/>
        <v>2031</v>
      </c>
      <c r="DQ35" s="399">
        <f>DP35</f>
        <v>2031</v>
      </c>
      <c r="DR35" s="399">
        <f>DQ35+1</f>
        <v>2032</v>
      </c>
      <c r="DS35" s="399">
        <f>DR35</f>
        <v>2032</v>
      </c>
      <c r="DT35" s="399">
        <f t="shared" ref="DT35:EB35" si="10">DS35</f>
        <v>2032</v>
      </c>
      <c r="DU35" s="399">
        <f t="shared" si="10"/>
        <v>2032</v>
      </c>
      <c r="DV35" s="399">
        <f t="shared" si="10"/>
        <v>2032</v>
      </c>
      <c r="DW35" s="399">
        <f t="shared" si="10"/>
        <v>2032</v>
      </c>
      <c r="DX35" s="399">
        <f t="shared" si="10"/>
        <v>2032</v>
      </c>
      <c r="DY35" s="399">
        <f t="shared" si="10"/>
        <v>2032</v>
      </c>
      <c r="DZ35" s="399">
        <f t="shared" si="10"/>
        <v>2032</v>
      </c>
      <c r="EA35" s="399">
        <f t="shared" si="10"/>
        <v>2032</v>
      </c>
      <c r="EB35" s="399">
        <f t="shared" si="10"/>
        <v>2032</v>
      </c>
      <c r="EC35" s="399">
        <f>EB35</f>
        <v>2032</v>
      </c>
      <c r="ED35" s="399">
        <f>EC35+1</f>
        <v>2033</v>
      </c>
      <c r="EE35" s="399">
        <f>ED35</f>
        <v>2033</v>
      </c>
      <c r="EF35" s="399">
        <f t="shared" ref="EF35:EN35" si="11">EE35</f>
        <v>2033</v>
      </c>
      <c r="EG35" s="399">
        <f t="shared" si="11"/>
        <v>2033</v>
      </c>
      <c r="EH35" s="399">
        <f t="shared" si="11"/>
        <v>2033</v>
      </c>
      <c r="EI35" s="399">
        <f t="shared" si="11"/>
        <v>2033</v>
      </c>
      <c r="EJ35" s="399">
        <f t="shared" si="11"/>
        <v>2033</v>
      </c>
      <c r="EK35" s="399">
        <f t="shared" si="11"/>
        <v>2033</v>
      </c>
      <c r="EL35" s="399">
        <f t="shared" si="11"/>
        <v>2033</v>
      </c>
      <c r="EM35" s="399">
        <f t="shared" si="11"/>
        <v>2033</v>
      </c>
      <c r="EN35" s="399">
        <f t="shared" si="11"/>
        <v>2033</v>
      </c>
      <c r="EO35" s="400">
        <f>EN35</f>
        <v>2033</v>
      </c>
    </row>
    <row r="36" spans="1:145" ht="14.25" customHeight="1">
      <c r="A36" s="401" t="s">
        <v>594</v>
      </c>
      <c r="B36" s="395">
        <v>1</v>
      </c>
      <c r="C36" s="395">
        <f>B36+1</f>
        <v>2</v>
      </c>
      <c r="D36" s="395">
        <f t="shared" ref="D36:J36" si="12">C36+1</f>
        <v>3</v>
      </c>
      <c r="E36" s="395">
        <f t="shared" si="12"/>
        <v>4</v>
      </c>
      <c r="F36" s="395">
        <f t="shared" si="12"/>
        <v>5</v>
      </c>
      <c r="G36" s="395">
        <f t="shared" si="12"/>
        <v>6</v>
      </c>
      <c r="H36" s="395">
        <f t="shared" si="12"/>
        <v>7</v>
      </c>
      <c r="I36" s="395">
        <f t="shared" si="12"/>
        <v>8</v>
      </c>
      <c r="J36" s="395">
        <f t="shared" si="12"/>
        <v>9</v>
      </c>
      <c r="K36" s="395">
        <f t="shared" ref="K36:M36" si="13">J36+1</f>
        <v>10</v>
      </c>
      <c r="L36" s="395">
        <f t="shared" si="13"/>
        <v>11</v>
      </c>
      <c r="M36" s="395">
        <f t="shared" si="13"/>
        <v>12</v>
      </c>
      <c r="N36" s="395">
        <v>1</v>
      </c>
      <c r="O36" s="395">
        <f>N36+1</f>
        <v>2</v>
      </c>
      <c r="P36" s="395">
        <f t="shared" ref="P36:Y36" si="14">O36+1</f>
        <v>3</v>
      </c>
      <c r="Q36" s="395">
        <f t="shared" si="14"/>
        <v>4</v>
      </c>
      <c r="R36" s="395">
        <f t="shared" si="14"/>
        <v>5</v>
      </c>
      <c r="S36" s="395">
        <f t="shared" si="14"/>
        <v>6</v>
      </c>
      <c r="T36" s="395">
        <f t="shared" si="14"/>
        <v>7</v>
      </c>
      <c r="U36" s="395">
        <f t="shared" si="14"/>
        <v>8</v>
      </c>
      <c r="V36" s="395">
        <f t="shared" si="14"/>
        <v>9</v>
      </c>
      <c r="W36" s="395">
        <f t="shared" si="14"/>
        <v>10</v>
      </c>
      <c r="X36" s="395">
        <f t="shared" si="14"/>
        <v>11</v>
      </c>
      <c r="Y36" s="395">
        <f t="shared" si="14"/>
        <v>12</v>
      </c>
      <c r="Z36" s="395">
        <v>1</v>
      </c>
      <c r="AA36" s="395">
        <f>Z36+1</f>
        <v>2</v>
      </c>
      <c r="AB36" s="395">
        <f t="shared" ref="AB36:AK36" si="15">AA36+1</f>
        <v>3</v>
      </c>
      <c r="AC36" s="395">
        <f t="shared" si="15"/>
        <v>4</v>
      </c>
      <c r="AD36" s="395">
        <f t="shared" si="15"/>
        <v>5</v>
      </c>
      <c r="AE36" s="395">
        <f t="shared" si="15"/>
        <v>6</v>
      </c>
      <c r="AF36" s="395">
        <f t="shared" si="15"/>
        <v>7</v>
      </c>
      <c r="AG36" s="395">
        <f t="shared" si="15"/>
        <v>8</v>
      </c>
      <c r="AH36" s="395">
        <f t="shared" si="15"/>
        <v>9</v>
      </c>
      <c r="AI36" s="395">
        <f t="shared" si="15"/>
        <v>10</v>
      </c>
      <c r="AJ36" s="395">
        <f t="shared" si="15"/>
        <v>11</v>
      </c>
      <c r="AK36" s="395">
        <f t="shared" si="15"/>
        <v>12</v>
      </c>
      <c r="AL36" s="395">
        <v>1</v>
      </c>
      <c r="AM36" s="395">
        <f>AL36+1</f>
        <v>2</v>
      </c>
      <c r="AN36" s="395">
        <f t="shared" ref="AN36:AW36" si="16">AM36+1</f>
        <v>3</v>
      </c>
      <c r="AO36" s="395">
        <f t="shared" si="16"/>
        <v>4</v>
      </c>
      <c r="AP36" s="395">
        <f t="shared" si="16"/>
        <v>5</v>
      </c>
      <c r="AQ36" s="395">
        <f t="shared" si="16"/>
        <v>6</v>
      </c>
      <c r="AR36" s="395">
        <f t="shared" si="16"/>
        <v>7</v>
      </c>
      <c r="AS36" s="395">
        <f t="shared" si="16"/>
        <v>8</v>
      </c>
      <c r="AT36" s="395">
        <f t="shared" si="16"/>
        <v>9</v>
      </c>
      <c r="AU36" s="395">
        <f t="shared" si="16"/>
        <v>10</v>
      </c>
      <c r="AV36" s="395">
        <f t="shared" si="16"/>
        <v>11</v>
      </c>
      <c r="AW36" s="395">
        <f t="shared" si="16"/>
        <v>12</v>
      </c>
      <c r="AX36" s="395">
        <v>1</v>
      </c>
      <c r="AY36" s="395">
        <f>AX36+1</f>
        <v>2</v>
      </c>
      <c r="AZ36" s="395">
        <f t="shared" ref="AZ36:BI36" si="17">AY36+1</f>
        <v>3</v>
      </c>
      <c r="BA36" s="395">
        <f t="shared" si="17"/>
        <v>4</v>
      </c>
      <c r="BB36" s="395">
        <f t="shared" si="17"/>
        <v>5</v>
      </c>
      <c r="BC36" s="395">
        <f t="shared" si="17"/>
        <v>6</v>
      </c>
      <c r="BD36" s="395">
        <f t="shared" si="17"/>
        <v>7</v>
      </c>
      <c r="BE36" s="395">
        <f t="shared" si="17"/>
        <v>8</v>
      </c>
      <c r="BF36" s="395">
        <f t="shared" si="17"/>
        <v>9</v>
      </c>
      <c r="BG36" s="395">
        <f t="shared" si="17"/>
        <v>10</v>
      </c>
      <c r="BH36" s="395">
        <f t="shared" si="17"/>
        <v>11</v>
      </c>
      <c r="BI36" s="395">
        <f t="shared" si="17"/>
        <v>12</v>
      </c>
      <c r="BJ36" s="395">
        <v>1</v>
      </c>
      <c r="BK36" s="395">
        <f>BJ36+1</f>
        <v>2</v>
      </c>
      <c r="BL36" s="395">
        <f t="shared" ref="BL36:BU36" si="18">BK36+1</f>
        <v>3</v>
      </c>
      <c r="BM36" s="395">
        <f t="shared" si="18"/>
        <v>4</v>
      </c>
      <c r="BN36" s="395">
        <f t="shared" si="18"/>
        <v>5</v>
      </c>
      <c r="BO36" s="395">
        <f t="shared" si="18"/>
        <v>6</v>
      </c>
      <c r="BP36" s="395">
        <f t="shared" si="18"/>
        <v>7</v>
      </c>
      <c r="BQ36" s="395">
        <f t="shared" si="18"/>
        <v>8</v>
      </c>
      <c r="BR36" s="395">
        <f t="shared" si="18"/>
        <v>9</v>
      </c>
      <c r="BS36" s="395">
        <f t="shared" si="18"/>
        <v>10</v>
      </c>
      <c r="BT36" s="395">
        <f t="shared" si="18"/>
        <v>11</v>
      </c>
      <c r="BU36" s="395">
        <f t="shared" si="18"/>
        <v>12</v>
      </c>
      <c r="BV36" s="395">
        <v>1</v>
      </c>
      <c r="BW36" s="395">
        <f>BV36+1</f>
        <v>2</v>
      </c>
      <c r="BX36" s="395">
        <f t="shared" ref="BX36:CG36" si="19">BW36+1</f>
        <v>3</v>
      </c>
      <c r="BY36" s="395">
        <f t="shared" si="19"/>
        <v>4</v>
      </c>
      <c r="BZ36" s="395">
        <f t="shared" si="19"/>
        <v>5</v>
      </c>
      <c r="CA36" s="395">
        <f t="shared" si="19"/>
        <v>6</v>
      </c>
      <c r="CB36" s="395">
        <f t="shared" si="19"/>
        <v>7</v>
      </c>
      <c r="CC36" s="395">
        <f t="shared" si="19"/>
        <v>8</v>
      </c>
      <c r="CD36" s="395">
        <f t="shared" si="19"/>
        <v>9</v>
      </c>
      <c r="CE36" s="395">
        <f t="shared" si="19"/>
        <v>10</v>
      </c>
      <c r="CF36" s="395">
        <f t="shared" si="19"/>
        <v>11</v>
      </c>
      <c r="CG36" s="395">
        <f t="shared" si="19"/>
        <v>12</v>
      </c>
      <c r="CH36" s="395">
        <v>1</v>
      </c>
      <c r="CI36" s="395">
        <f>CH36+1</f>
        <v>2</v>
      </c>
      <c r="CJ36" s="395">
        <f t="shared" ref="CJ36:CS36" si="20">CI36+1</f>
        <v>3</v>
      </c>
      <c r="CK36" s="395">
        <f t="shared" si="20"/>
        <v>4</v>
      </c>
      <c r="CL36" s="395">
        <f t="shared" si="20"/>
        <v>5</v>
      </c>
      <c r="CM36" s="395">
        <f t="shared" si="20"/>
        <v>6</v>
      </c>
      <c r="CN36" s="395">
        <f t="shared" si="20"/>
        <v>7</v>
      </c>
      <c r="CO36" s="395">
        <f t="shared" si="20"/>
        <v>8</v>
      </c>
      <c r="CP36" s="395">
        <f t="shared" si="20"/>
        <v>9</v>
      </c>
      <c r="CQ36" s="395">
        <f t="shared" si="20"/>
        <v>10</v>
      </c>
      <c r="CR36" s="395">
        <f t="shared" si="20"/>
        <v>11</v>
      </c>
      <c r="CS36" s="395">
        <f t="shared" si="20"/>
        <v>12</v>
      </c>
      <c r="CT36" s="395">
        <v>1</v>
      </c>
      <c r="CU36" s="395">
        <f>CT36+1</f>
        <v>2</v>
      </c>
      <c r="CV36" s="395">
        <f t="shared" ref="CV36:DE36" si="21">CU36+1</f>
        <v>3</v>
      </c>
      <c r="CW36" s="395">
        <f t="shared" si="21"/>
        <v>4</v>
      </c>
      <c r="CX36" s="395">
        <f t="shared" si="21"/>
        <v>5</v>
      </c>
      <c r="CY36" s="395">
        <f t="shared" si="21"/>
        <v>6</v>
      </c>
      <c r="CZ36" s="395">
        <f t="shared" si="21"/>
        <v>7</v>
      </c>
      <c r="DA36" s="395">
        <f t="shared" si="21"/>
        <v>8</v>
      </c>
      <c r="DB36" s="395">
        <f t="shared" si="21"/>
        <v>9</v>
      </c>
      <c r="DC36" s="395">
        <f t="shared" si="21"/>
        <v>10</v>
      </c>
      <c r="DD36" s="395">
        <f t="shared" si="21"/>
        <v>11</v>
      </c>
      <c r="DE36" s="395">
        <f t="shared" si="21"/>
        <v>12</v>
      </c>
      <c r="DF36" s="395">
        <v>1</v>
      </c>
      <c r="DG36" s="395">
        <f>DF36+1</f>
        <v>2</v>
      </c>
      <c r="DH36" s="395">
        <f t="shared" ref="DH36:DQ36" si="22">DG36+1</f>
        <v>3</v>
      </c>
      <c r="DI36" s="395">
        <f t="shared" si="22"/>
        <v>4</v>
      </c>
      <c r="DJ36" s="395">
        <f t="shared" si="22"/>
        <v>5</v>
      </c>
      <c r="DK36" s="395">
        <f t="shared" si="22"/>
        <v>6</v>
      </c>
      <c r="DL36" s="395">
        <f t="shared" si="22"/>
        <v>7</v>
      </c>
      <c r="DM36" s="395">
        <f t="shared" si="22"/>
        <v>8</v>
      </c>
      <c r="DN36" s="395">
        <f t="shared" si="22"/>
        <v>9</v>
      </c>
      <c r="DO36" s="395">
        <f t="shared" si="22"/>
        <v>10</v>
      </c>
      <c r="DP36" s="395">
        <f t="shared" si="22"/>
        <v>11</v>
      </c>
      <c r="DQ36" s="395">
        <f t="shared" si="22"/>
        <v>12</v>
      </c>
      <c r="DR36" s="395">
        <v>1</v>
      </c>
      <c r="DS36" s="395">
        <f>DR36+1</f>
        <v>2</v>
      </c>
      <c r="DT36" s="395">
        <f t="shared" ref="DT36:EC36" si="23">DS36+1</f>
        <v>3</v>
      </c>
      <c r="DU36" s="395">
        <f t="shared" si="23"/>
        <v>4</v>
      </c>
      <c r="DV36" s="395">
        <f t="shared" si="23"/>
        <v>5</v>
      </c>
      <c r="DW36" s="395">
        <f t="shared" si="23"/>
        <v>6</v>
      </c>
      <c r="DX36" s="395">
        <f t="shared" si="23"/>
        <v>7</v>
      </c>
      <c r="DY36" s="395">
        <f t="shared" si="23"/>
        <v>8</v>
      </c>
      <c r="DZ36" s="395">
        <f t="shared" si="23"/>
        <v>9</v>
      </c>
      <c r="EA36" s="395">
        <f t="shared" si="23"/>
        <v>10</v>
      </c>
      <c r="EB36" s="395">
        <f t="shared" si="23"/>
        <v>11</v>
      </c>
      <c r="EC36" s="395">
        <f t="shared" si="23"/>
        <v>12</v>
      </c>
      <c r="ED36" s="395">
        <v>1</v>
      </c>
      <c r="EE36" s="395">
        <f>ED36+1</f>
        <v>2</v>
      </c>
      <c r="EF36" s="395">
        <f t="shared" ref="EF36:EO36" si="24">EE36+1</f>
        <v>3</v>
      </c>
      <c r="EG36" s="395">
        <f t="shared" si="24"/>
        <v>4</v>
      </c>
      <c r="EH36" s="395">
        <f t="shared" si="24"/>
        <v>5</v>
      </c>
      <c r="EI36" s="395">
        <f t="shared" si="24"/>
        <v>6</v>
      </c>
      <c r="EJ36" s="395">
        <f t="shared" si="24"/>
        <v>7</v>
      </c>
      <c r="EK36" s="395">
        <f t="shared" si="24"/>
        <v>8</v>
      </c>
      <c r="EL36" s="395">
        <f t="shared" si="24"/>
        <v>9</v>
      </c>
      <c r="EM36" s="395">
        <f t="shared" si="24"/>
        <v>10</v>
      </c>
      <c r="EN36" s="395">
        <f t="shared" si="24"/>
        <v>11</v>
      </c>
      <c r="EO36" s="402">
        <f t="shared" si="24"/>
        <v>12</v>
      </c>
    </row>
    <row r="37" spans="1:145" ht="14.25" customHeight="1">
      <c r="A37" s="401" t="s">
        <v>595</v>
      </c>
      <c r="B37" s="396">
        <f>(SUMIF($B$2:$U$2,B35,$B$30:$U$30))/100</f>
        <v>1.0425415638152251</v>
      </c>
      <c r="C37" s="396">
        <f t="shared" ref="C37:BI37" si="25">(SUMIF($B$2:$U$2,C35,$B$30:$U$30))/100</f>
        <v>1.0425415638152251</v>
      </c>
      <c r="D37" s="396">
        <f t="shared" si="25"/>
        <v>1.0425415638152251</v>
      </c>
      <c r="E37" s="396">
        <f t="shared" si="25"/>
        <v>1.0425415638152251</v>
      </c>
      <c r="F37" s="396">
        <f t="shared" si="25"/>
        <v>1.0425415638152251</v>
      </c>
      <c r="G37" s="396">
        <f t="shared" si="25"/>
        <v>1.0425415638152251</v>
      </c>
      <c r="H37" s="396">
        <f t="shared" si="25"/>
        <v>1.0425415638152251</v>
      </c>
      <c r="I37" s="396">
        <f t="shared" si="25"/>
        <v>1.0425415638152251</v>
      </c>
      <c r="J37" s="396">
        <f t="shared" si="25"/>
        <v>1.0425415638152251</v>
      </c>
      <c r="K37" s="396">
        <f t="shared" si="25"/>
        <v>1.0425415638152251</v>
      </c>
      <c r="L37" s="396">
        <f t="shared" si="25"/>
        <v>1.0425415638152251</v>
      </c>
      <c r="M37" s="396">
        <f t="shared" si="25"/>
        <v>1.0425415638152251</v>
      </c>
      <c r="N37" s="396">
        <f t="shared" si="25"/>
        <v>1.0415154583417581</v>
      </c>
      <c r="O37" s="396">
        <f t="shared" si="25"/>
        <v>1.0415154583417581</v>
      </c>
      <c r="P37" s="396">
        <f t="shared" si="25"/>
        <v>1.0415154583417581</v>
      </c>
      <c r="Q37" s="396">
        <f t="shared" si="25"/>
        <v>1.0415154583417581</v>
      </c>
      <c r="R37" s="396">
        <f t="shared" si="25"/>
        <v>1.0415154583417581</v>
      </c>
      <c r="S37" s="396">
        <f t="shared" si="25"/>
        <v>1.0415154583417581</v>
      </c>
      <c r="T37" s="396">
        <f t="shared" si="25"/>
        <v>1.0415154583417581</v>
      </c>
      <c r="U37" s="396">
        <f t="shared" si="25"/>
        <v>1.0415154583417581</v>
      </c>
      <c r="V37" s="396">
        <f t="shared" si="25"/>
        <v>1.0415154583417581</v>
      </c>
      <c r="W37" s="396">
        <f t="shared" si="25"/>
        <v>1.0415154583417581</v>
      </c>
      <c r="X37" s="396">
        <f t="shared" si="25"/>
        <v>1.0415154583417581</v>
      </c>
      <c r="Y37" s="396">
        <f t="shared" si="25"/>
        <v>1.0415154583417581</v>
      </c>
      <c r="Z37" s="396">
        <f t="shared" si="25"/>
        <v>1.0408402303747841</v>
      </c>
      <c r="AA37" s="396">
        <f t="shared" si="25"/>
        <v>1.0408402303747841</v>
      </c>
      <c r="AB37" s="396">
        <f t="shared" si="25"/>
        <v>1.0408402303747841</v>
      </c>
      <c r="AC37" s="396">
        <f t="shared" si="25"/>
        <v>1.0408402303747841</v>
      </c>
      <c r="AD37" s="396">
        <f t="shared" si="25"/>
        <v>1.0408402303747841</v>
      </c>
      <c r="AE37" s="396">
        <f t="shared" si="25"/>
        <v>1.0408402303747841</v>
      </c>
      <c r="AF37" s="396">
        <f t="shared" si="25"/>
        <v>1.0408402303747841</v>
      </c>
      <c r="AG37" s="396">
        <f t="shared" si="25"/>
        <v>1.0408402303747841</v>
      </c>
      <c r="AH37" s="396">
        <f t="shared" si="25"/>
        <v>1.0408402303747841</v>
      </c>
      <c r="AI37" s="396">
        <f t="shared" si="25"/>
        <v>1.0408402303747841</v>
      </c>
      <c r="AJ37" s="396">
        <f t="shared" si="25"/>
        <v>1.0408402303747841</v>
      </c>
      <c r="AK37" s="396">
        <f t="shared" si="25"/>
        <v>1.0408402303747841</v>
      </c>
      <c r="AL37" s="396">
        <f t="shared" si="25"/>
        <v>1.0408442699809866</v>
      </c>
      <c r="AM37" s="396">
        <f t="shared" si="25"/>
        <v>1.0408442699809866</v>
      </c>
      <c r="AN37" s="396">
        <f t="shared" si="25"/>
        <v>1.0408442699809866</v>
      </c>
      <c r="AO37" s="396">
        <f t="shared" si="25"/>
        <v>1.0408442699809866</v>
      </c>
      <c r="AP37" s="396">
        <f t="shared" si="25"/>
        <v>1.0408442699809866</v>
      </c>
      <c r="AQ37" s="396">
        <f t="shared" si="25"/>
        <v>1.0408442699809866</v>
      </c>
      <c r="AR37" s="396">
        <f t="shared" si="25"/>
        <v>1.0408442699809866</v>
      </c>
      <c r="AS37" s="396">
        <f t="shared" si="25"/>
        <v>1.0408442699809866</v>
      </c>
      <c r="AT37" s="396">
        <f t="shared" si="25"/>
        <v>1.0408442699809866</v>
      </c>
      <c r="AU37" s="396">
        <f t="shared" si="25"/>
        <v>1.0408442699809866</v>
      </c>
      <c r="AV37" s="396">
        <f t="shared" si="25"/>
        <v>1.0408442699809866</v>
      </c>
      <c r="AW37" s="396">
        <f t="shared" si="25"/>
        <v>1.0408442699809866</v>
      </c>
      <c r="AX37" s="396">
        <f t="shared" si="25"/>
        <v>1.0413342789708386</v>
      </c>
      <c r="AY37" s="396">
        <f t="shared" si="25"/>
        <v>1.0413342789708386</v>
      </c>
      <c r="AZ37" s="396">
        <f t="shared" si="25"/>
        <v>1.0413342789708386</v>
      </c>
      <c r="BA37" s="396">
        <f t="shared" si="25"/>
        <v>1.0413342789708386</v>
      </c>
      <c r="BB37" s="396">
        <f t="shared" si="25"/>
        <v>1.0413342789708386</v>
      </c>
      <c r="BC37" s="396">
        <f t="shared" si="25"/>
        <v>1.0413342789708386</v>
      </c>
      <c r="BD37" s="396">
        <f t="shared" si="25"/>
        <v>1.0413342789708386</v>
      </c>
      <c r="BE37" s="396">
        <f t="shared" si="25"/>
        <v>1.0413342789708386</v>
      </c>
      <c r="BF37" s="396">
        <f t="shared" si="25"/>
        <v>1.0413342789708386</v>
      </c>
      <c r="BG37" s="396">
        <f t="shared" si="25"/>
        <v>1.0413342789708386</v>
      </c>
      <c r="BH37" s="396">
        <f t="shared" si="25"/>
        <v>1.0413342789708386</v>
      </c>
      <c r="BI37" s="396">
        <f t="shared" si="25"/>
        <v>1.0413342789708386</v>
      </c>
      <c r="BJ37" s="396">
        <f t="shared" ref="BJ37:DU37" si="26">(SUMIF($B$2:$U$2,BJ35,$B$30:$U$30))/100</f>
        <v>1.0415022475836919</v>
      </c>
      <c r="BK37" s="396">
        <f t="shared" si="26"/>
        <v>1.0415022475836919</v>
      </c>
      <c r="BL37" s="396">
        <f t="shared" si="26"/>
        <v>1.0415022475836919</v>
      </c>
      <c r="BM37" s="396">
        <f t="shared" si="26"/>
        <v>1.0415022475836919</v>
      </c>
      <c r="BN37" s="396">
        <f t="shared" si="26"/>
        <v>1.0415022475836919</v>
      </c>
      <c r="BO37" s="396">
        <f t="shared" si="26"/>
        <v>1.0415022475836919</v>
      </c>
      <c r="BP37" s="396">
        <f t="shared" si="26"/>
        <v>1.0415022475836919</v>
      </c>
      <c r="BQ37" s="396">
        <f t="shared" si="26"/>
        <v>1.0415022475836919</v>
      </c>
      <c r="BR37" s="396">
        <f t="shared" si="26"/>
        <v>1.0415022475836919</v>
      </c>
      <c r="BS37" s="396">
        <f t="shared" si="26"/>
        <v>1.0415022475836919</v>
      </c>
      <c r="BT37" s="396">
        <f t="shared" si="26"/>
        <v>1.0415022475836919</v>
      </c>
      <c r="BU37" s="396">
        <f t="shared" si="26"/>
        <v>1.0415022475836919</v>
      </c>
      <c r="BV37" s="396">
        <f t="shared" si="26"/>
        <v>1.0416702565142952</v>
      </c>
      <c r="BW37" s="396">
        <f t="shared" si="26"/>
        <v>1.0416702565142952</v>
      </c>
      <c r="BX37" s="396">
        <f t="shared" si="26"/>
        <v>1.0416702565142952</v>
      </c>
      <c r="BY37" s="396">
        <f t="shared" si="26"/>
        <v>1.0416702565142952</v>
      </c>
      <c r="BZ37" s="396">
        <f t="shared" si="26"/>
        <v>1.0416702565142952</v>
      </c>
      <c r="CA37" s="396">
        <f t="shared" si="26"/>
        <v>1.0416702565142952</v>
      </c>
      <c r="CB37" s="396">
        <f t="shared" si="26"/>
        <v>1.0416702565142952</v>
      </c>
      <c r="CC37" s="396">
        <f t="shared" si="26"/>
        <v>1.0416702565142952</v>
      </c>
      <c r="CD37" s="396">
        <f t="shared" si="26"/>
        <v>1.0416702565142952</v>
      </c>
      <c r="CE37" s="396">
        <f t="shared" si="26"/>
        <v>1.0416702565142952</v>
      </c>
      <c r="CF37" s="396">
        <f t="shared" si="26"/>
        <v>1.0416702565142952</v>
      </c>
      <c r="CG37" s="396">
        <f t="shared" si="26"/>
        <v>1.0416702565142952</v>
      </c>
      <c r="CH37" s="396">
        <f t="shared" si="26"/>
        <v>1.0418841845783151</v>
      </c>
      <c r="CI37" s="396">
        <f t="shared" si="26"/>
        <v>1.0418841845783151</v>
      </c>
      <c r="CJ37" s="396">
        <f t="shared" si="26"/>
        <v>1.0418841845783151</v>
      </c>
      <c r="CK37" s="396">
        <f t="shared" si="26"/>
        <v>1.0418841845783151</v>
      </c>
      <c r="CL37" s="396">
        <f t="shared" si="26"/>
        <v>1.0418841845783151</v>
      </c>
      <c r="CM37" s="396">
        <f t="shared" si="26"/>
        <v>1.0418841845783151</v>
      </c>
      <c r="CN37" s="396">
        <f t="shared" si="26"/>
        <v>1.0418841845783151</v>
      </c>
      <c r="CO37" s="396">
        <f t="shared" si="26"/>
        <v>1.0418841845783151</v>
      </c>
      <c r="CP37" s="396">
        <f t="shared" si="26"/>
        <v>1.0418841845783151</v>
      </c>
      <c r="CQ37" s="396">
        <f t="shared" si="26"/>
        <v>1.0418841845783151</v>
      </c>
      <c r="CR37" s="396">
        <f t="shared" si="26"/>
        <v>1.0418841845783151</v>
      </c>
      <c r="CS37" s="396">
        <f t="shared" si="26"/>
        <v>1.0418841845783151</v>
      </c>
      <c r="CT37" s="396">
        <f t="shared" si="26"/>
        <v>1.0422281502747297</v>
      </c>
      <c r="CU37" s="396">
        <f t="shared" si="26"/>
        <v>1.0422281502747297</v>
      </c>
      <c r="CV37" s="396">
        <f t="shared" si="26"/>
        <v>1.0422281502747297</v>
      </c>
      <c r="CW37" s="396">
        <f t="shared" si="26"/>
        <v>1.0422281502747297</v>
      </c>
      <c r="CX37" s="396">
        <f t="shared" si="26"/>
        <v>1.0422281502747297</v>
      </c>
      <c r="CY37" s="396">
        <f t="shared" si="26"/>
        <v>1.0422281502747297</v>
      </c>
      <c r="CZ37" s="396">
        <f t="shared" si="26"/>
        <v>1.0422281502747297</v>
      </c>
      <c r="DA37" s="396">
        <f t="shared" si="26"/>
        <v>1.0422281502747297</v>
      </c>
      <c r="DB37" s="396">
        <f t="shared" si="26"/>
        <v>1.0422281502747297</v>
      </c>
      <c r="DC37" s="396">
        <f t="shared" si="26"/>
        <v>1.0422281502747297</v>
      </c>
      <c r="DD37" s="396">
        <f t="shared" si="26"/>
        <v>1.0422281502747297</v>
      </c>
      <c r="DE37" s="396">
        <f t="shared" si="26"/>
        <v>1.0422281502747297</v>
      </c>
      <c r="DF37" s="396">
        <f t="shared" si="26"/>
        <v>1.0426946109261854</v>
      </c>
      <c r="DG37" s="396">
        <f t="shared" si="26"/>
        <v>1.0426946109261854</v>
      </c>
      <c r="DH37" s="396">
        <f t="shared" si="26"/>
        <v>1.0426946109261854</v>
      </c>
      <c r="DI37" s="396">
        <f t="shared" si="26"/>
        <v>1.0426946109261854</v>
      </c>
      <c r="DJ37" s="396">
        <f t="shared" si="26"/>
        <v>1.0426946109261854</v>
      </c>
      <c r="DK37" s="396">
        <f t="shared" si="26"/>
        <v>1.0426946109261854</v>
      </c>
      <c r="DL37" s="396">
        <f t="shared" si="26"/>
        <v>1.0426946109261854</v>
      </c>
      <c r="DM37" s="396">
        <f t="shared" si="26"/>
        <v>1.0426946109261854</v>
      </c>
      <c r="DN37" s="396">
        <f t="shared" si="26"/>
        <v>1.0426946109261854</v>
      </c>
      <c r="DO37" s="396">
        <f t="shared" si="26"/>
        <v>1.0426946109261854</v>
      </c>
      <c r="DP37" s="396">
        <f t="shared" si="26"/>
        <v>1.0426946109261854</v>
      </c>
      <c r="DQ37" s="396">
        <f t="shared" si="26"/>
        <v>1.0426946109261854</v>
      </c>
      <c r="DR37" s="396">
        <f t="shared" si="26"/>
        <v>1.0431996077757304</v>
      </c>
      <c r="DS37" s="396">
        <f t="shared" si="26"/>
        <v>1.0431996077757304</v>
      </c>
      <c r="DT37" s="396">
        <f t="shared" si="26"/>
        <v>1.0431996077757304</v>
      </c>
      <c r="DU37" s="396">
        <f t="shared" si="26"/>
        <v>1.0431996077757304</v>
      </c>
      <c r="DV37" s="396">
        <f t="shared" ref="DV37:EO37" si="27">(SUMIF($B$2:$U$2,DV35,$B$30:$U$30))/100</f>
        <v>1.0431996077757304</v>
      </c>
      <c r="DW37" s="396">
        <f t="shared" si="27"/>
        <v>1.0431996077757304</v>
      </c>
      <c r="DX37" s="396">
        <f t="shared" si="27"/>
        <v>1.0431996077757304</v>
      </c>
      <c r="DY37" s="396">
        <f t="shared" si="27"/>
        <v>1.0431996077757304</v>
      </c>
      <c r="DZ37" s="396">
        <f t="shared" si="27"/>
        <v>1.0431996077757304</v>
      </c>
      <c r="EA37" s="396">
        <f t="shared" si="27"/>
        <v>1.0431996077757304</v>
      </c>
      <c r="EB37" s="396">
        <f t="shared" si="27"/>
        <v>1.0431996077757304</v>
      </c>
      <c r="EC37" s="396">
        <f t="shared" si="27"/>
        <v>1.0431996077757304</v>
      </c>
      <c r="ED37" s="396">
        <f t="shared" si="27"/>
        <v>1.0436589688645894</v>
      </c>
      <c r="EE37" s="396">
        <f t="shared" si="27"/>
        <v>1.0436589688645894</v>
      </c>
      <c r="EF37" s="396">
        <f t="shared" si="27"/>
        <v>1.0436589688645894</v>
      </c>
      <c r="EG37" s="396">
        <f t="shared" si="27"/>
        <v>1.0436589688645894</v>
      </c>
      <c r="EH37" s="396">
        <f t="shared" si="27"/>
        <v>1.0436589688645894</v>
      </c>
      <c r="EI37" s="396">
        <f t="shared" si="27"/>
        <v>1.0436589688645894</v>
      </c>
      <c r="EJ37" s="396">
        <f t="shared" si="27"/>
        <v>1.0436589688645894</v>
      </c>
      <c r="EK37" s="396">
        <f t="shared" si="27"/>
        <v>1.0436589688645894</v>
      </c>
      <c r="EL37" s="396">
        <f t="shared" si="27"/>
        <v>1.0436589688645894</v>
      </c>
      <c r="EM37" s="396">
        <f t="shared" si="27"/>
        <v>1.0436589688645894</v>
      </c>
      <c r="EN37" s="396">
        <f t="shared" si="27"/>
        <v>1.0436589688645894</v>
      </c>
      <c r="EO37" s="403">
        <f t="shared" si="27"/>
        <v>1.0436589688645894</v>
      </c>
    </row>
    <row r="38" spans="1:145" ht="12.75" customHeight="1">
      <c r="A38" s="401" t="s">
        <v>596</v>
      </c>
      <c r="B38" s="397">
        <f>B37^(1/12)</f>
        <v>1.0034778289336621</v>
      </c>
      <c r="C38" s="397">
        <f t="shared" ref="C38:V38" si="28">C37^(1/12)</f>
        <v>1.0034778289336621</v>
      </c>
      <c r="D38" s="397">
        <f t="shared" si="28"/>
        <v>1.0034778289336621</v>
      </c>
      <c r="E38" s="397">
        <f t="shared" si="28"/>
        <v>1.0034778289336621</v>
      </c>
      <c r="F38" s="397">
        <f t="shared" si="28"/>
        <v>1.0034778289336621</v>
      </c>
      <c r="G38" s="397">
        <f t="shared" si="28"/>
        <v>1.0034778289336621</v>
      </c>
      <c r="H38" s="397">
        <f t="shared" si="28"/>
        <v>1.0034778289336621</v>
      </c>
      <c r="I38" s="397">
        <f t="shared" si="28"/>
        <v>1.0034778289336621</v>
      </c>
      <c r="J38" s="397">
        <f t="shared" si="28"/>
        <v>1.0034778289336621</v>
      </c>
      <c r="K38" s="397">
        <f t="shared" si="28"/>
        <v>1.0034778289336621</v>
      </c>
      <c r="L38" s="397">
        <f t="shared" si="28"/>
        <v>1.0034778289336621</v>
      </c>
      <c r="M38" s="397">
        <f t="shared" si="28"/>
        <v>1.0034778289336621</v>
      </c>
      <c r="N38" s="397">
        <f t="shared" si="28"/>
        <v>1.0033954869824677</v>
      </c>
      <c r="O38" s="397">
        <f t="shared" si="28"/>
        <v>1.0033954869824677</v>
      </c>
      <c r="P38" s="397">
        <f t="shared" si="28"/>
        <v>1.0033954869824677</v>
      </c>
      <c r="Q38" s="397">
        <f t="shared" si="28"/>
        <v>1.0033954869824677</v>
      </c>
      <c r="R38" s="397">
        <f t="shared" si="28"/>
        <v>1.0033954869824677</v>
      </c>
      <c r="S38" s="397">
        <f t="shared" si="28"/>
        <v>1.0033954869824677</v>
      </c>
      <c r="T38" s="397">
        <f t="shared" si="28"/>
        <v>1.0033954869824677</v>
      </c>
      <c r="U38" s="397">
        <f t="shared" si="28"/>
        <v>1.0033954869824677</v>
      </c>
      <c r="V38" s="397">
        <f t="shared" si="28"/>
        <v>1.0033954869824677</v>
      </c>
      <c r="W38" s="397">
        <f t="shared" ref="W38" si="29">W37^(1/12)</f>
        <v>1.0033954869824677</v>
      </c>
      <c r="X38" s="397">
        <f t="shared" ref="X38" si="30">X37^(1/12)</f>
        <v>1.0033954869824677</v>
      </c>
      <c r="Y38" s="397">
        <f t="shared" ref="Y38" si="31">Y37^(1/12)</f>
        <v>1.0033954869824677</v>
      </c>
      <c r="Z38" s="397">
        <f t="shared" ref="Z38" si="32">Z37^(1/12)</f>
        <v>1.003341261343154</v>
      </c>
      <c r="AA38" s="397">
        <f t="shared" ref="AA38" si="33">AA37^(1/12)</f>
        <v>1.003341261343154</v>
      </c>
      <c r="AB38" s="397">
        <f t="shared" ref="AB38" si="34">AB37^(1/12)</f>
        <v>1.003341261343154</v>
      </c>
      <c r="AC38" s="397">
        <f t="shared" ref="AC38" si="35">AC37^(1/12)</f>
        <v>1.003341261343154</v>
      </c>
      <c r="AD38" s="397">
        <f t="shared" ref="AD38" si="36">AD37^(1/12)</f>
        <v>1.003341261343154</v>
      </c>
      <c r="AE38" s="397">
        <f t="shared" ref="AE38" si="37">AE37^(1/12)</f>
        <v>1.003341261343154</v>
      </c>
      <c r="AF38" s="397">
        <f t="shared" ref="AF38" si="38">AF37^(1/12)</f>
        <v>1.003341261343154</v>
      </c>
      <c r="AG38" s="397">
        <f t="shared" ref="AG38" si="39">AG37^(1/12)</f>
        <v>1.003341261343154</v>
      </c>
      <c r="AH38" s="397">
        <f t="shared" ref="AH38" si="40">AH37^(1/12)</f>
        <v>1.003341261343154</v>
      </c>
      <c r="AI38" s="397">
        <f t="shared" ref="AI38" si="41">AI37^(1/12)</f>
        <v>1.003341261343154</v>
      </c>
      <c r="AJ38" s="397">
        <f t="shared" ref="AJ38" si="42">AJ37^(1/12)</f>
        <v>1.003341261343154</v>
      </c>
      <c r="AK38" s="397">
        <f t="shared" ref="AK38" si="43">AK37^(1/12)</f>
        <v>1.003341261343154</v>
      </c>
      <c r="AL38" s="397">
        <f t="shared" ref="AL38" si="44">AL37^(1/12)</f>
        <v>1.0033415858483195</v>
      </c>
      <c r="AM38" s="397">
        <f t="shared" ref="AM38" si="45">AM37^(1/12)</f>
        <v>1.0033415858483195</v>
      </c>
      <c r="AN38" s="397">
        <f t="shared" ref="AN38" si="46">AN37^(1/12)</f>
        <v>1.0033415858483195</v>
      </c>
      <c r="AO38" s="397">
        <f t="shared" ref="AO38" si="47">AO37^(1/12)</f>
        <v>1.0033415858483195</v>
      </c>
      <c r="AP38" s="397">
        <f t="shared" ref="AP38" si="48">AP37^(1/12)</f>
        <v>1.0033415858483195</v>
      </c>
      <c r="AQ38" s="397">
        <f t="shared" ref="AQ38" si="49">AQ37^(1/12)</f>
        <v>1.0033415858483195</v>
      </c>
      <c r="AR38" s="397">
        <f t="shared" ref="AR38" si="50">AR37^(1/12)</f>
        <v>1.0033415858483195</v>
      </c>
      <c r="AS38" s="397">
        <f t="shared" ref="AS38" si="51">AS37^(1/12)</f>
        <v>1.0033415858483195</v>
      </c>
      <c r="AT38" s="397">
        <f t="shared" ref="AT38" si="52">AT37^(1/12)</f>
        <v>1.0033415858483195</v>
      </c>
      <c r="AU38" s="397">
        <f t="shared" ref="AU38" si="53">AU37^(1/12)</f>
        <v>1.0033415858483195</v>
      </c>
      <c r="AV38" s="397">
        <f t="shared" ref="AV38" si="54">AV37^(1/12)</f>
        <v>1.0033415858483195</v>
      </c>
      <c r="AW38" s="397">
        <f t="shared" ref="AW38" si="55">AW37^(1/12)</f>
        <v>1.0033415858483195</v>
      </c>
      <c r="AX38" s="397">
        <f t="shared" ref="AX38" si="56">AX37^(1/12)</f>
        <v>1.0033809401461053</v>
      </c>
      <c r="AY38" s="397">
        <f t="shared" ref="AY38" si="57">AY37^(1/12)</f>
        <v>1.0033809401461053</v>
      </c>
      <c r="AZ38" s="397">
        <f t="shared" ref="AZ38" si="58">AZ37^(1/12)</f>
        <v>1.0033809401461053</v>
      </c>
      <c r="BA38" s="397">
        <f t="shared" ref="BA38" si="59">BA37^(1/12)</f>
        <v>1.0033809401461053</v>
      </c>
      <c r="BB38" s="397">
        <f t="shared" ref="BB38" si="60">BB37^(1/12)</f>
        <v>1.0033809401461053</v>
      </c>
      <c r="BC38" s="397">
        <f t="shared" ref="BC38" si="61">BC37^(1/12)</f>
        <v>1.0033809401461053</v>
      </c>
      <c r="BD38" s="397">
        <f t="shared" ref="BD38" si="62">BD37^(1/12)</f>
        <v>1.0033809401461053</v>
      </c>
      <c r="BE38" s="397">
        <f t="shared" ref="BE38" si="63">BE37^(1/12)</f>
        <v>1.0033809401461053</v>
      </c>
      <c r="BF38" s="397">
        <f t="shared" ref="BF38" si="64">BF37^(1/12)</f>
        <v>1.0033809401461053</v>
      </c>
      <c r="BG38" s="397">
        <f t="shared" ref="BG38" si="65">BG37^(1/12)</f>
        <v>1.0033809401461053</v>
      </c>
      <c r="BH38" s="397">
        <f t="shared" ref="BH38" si="66">BH37^(1/12)</f>
        <v>1.0033809401461053</v>
      </c>
      <c r="BI38" s="397">
        <f t="shared" ref="BI38" si="67">BI37^(1/12)</f>
        <v>1.0033809401461053</v>
      </c>
      <c r="BJ38" s="397">
        <f t="shared" ref="BJ38" si="68">BJ37^(1/12)</f>
        <v>1.0033944263731427</v>
      </c>
      <c r="BK38" s="397">
        <f t="shared" ref="BK38" si="69">BK37^(1/12)</f>
        <v>1.0033944263731427</v>
      </c>
      <c r="BL38" s="397">
        <f t="shared" ref="BL38" si="70">BL37^(1/12)</f>
        <v>1.0033944263731427</v>
      </c>
      <c r="BM38" s="397">
        <f t="shared" ref="BM38" si="71">BM37^(1/12)</f>
        <v>1.0033944263731427</v>
      </c>
      <c r="BN38" s="397">
        <f t="shared" ref="BN38" si="72">BN37^(1/12)</f>
        <v>1.0033944263731427</v>
      </c>
      <c r="BO38" s="397">
        <f t="shared" ref="BO38" si="73">BO37^(1/12)</f>
        <v>1.0033944263731427</v>
      </c>
      <c r="BP38" s="397">
        <f t="shared" ref="BP38" si="74">BP37^(1/12)</f>
        <v>1.0033944263731427</v>
      </c>
      <c r="BQ38" s="397">
        <f t="shared" ref="BQ38" si="75">BQ37^(1/12)</f>
        <v>1.0033944263731427</v>
      </c>
      <c r="BR38" s="397">
        <f t="shared" ref="BR38" si="76">BR37^(1/12)</f>
        <v>1.0033944263731427</v>
      </c>
      <c r="BS38" s="397">
        <f t="shared" ref="BS38" si="77">BS37^(1/12)</f>
        <v>1.0033944263731427</v>
      </c>
      <c r="BT38" s="397">
        <f t="shared" ref="BT38" si="78">BT37^(1/12)</f>
        <v>1.0033944263731427</v>
      </c>
      <c r="BU38" s="397">
        <f t="shared" ref="BU38" si="79">BU37^(1/12)</f>
        <v>1.0033944263731427</v>
      </c>
      <c r="BV38" s="397">
        <f t="shared" ref="BV38" si="80">BV37^(1/12)</f>
        <v>1.0034079138429823</v>
      </c>
      <c r="BW38" s="397">
        <f t="shared" ref="BW38" si="81">BW37^(1/12)</f>
        <v>1.0034079138429823</v>
      </c>
      <c r="BX38" s="397">
        <f t="shared" ref="BX38" si="82">BX37^(1/12)</f>
        <v>1.0034079138429823</v>
      </c>
      <c r="BY38" s="397">
        <f t="shared" ref="BY38" si="83">BY37^(1/12)</f>
        <v>1.0034079138429823</v>
      </c>
      <c r="BZ38" s="397">
        <f t="shared" ref="BZ38" si="84">BZ37^(1/12)</f>
        <v>1.0034079138429823</v>
      </c>
      <c r="CA38" s="397">
        <f t="shared" ref="CA38" si="85">CA37^(1/12)</f>
        <v>1.0034079138429823</v>
      </c>
      <c r="CB38" s="397">
        <f t="shared" ref="CB38" si="86">CB37^(1/12)</f>
        <v>1.0034079138429823</v>
      </c>
      <c r="CC38" s="397">
        <f t="shared" ref="CC38" si="87">CC37^(1/12)</f>
        <v>1.0034079138429823</v>
      </c>
      <c r="CD38" s="397">
        <f t="shared" ref="CD38" si="88">CD37^(1/12)</f>
        <v>1.0034079138429823</v>
      </c>
      <c r="CE38" s="397">
        <f t="shared" ref="CE38" si="89">CE37^(1/12)</f>
        <v>1.0034079138429823</v>
      </c>
      <c r="CF38" s="397">
        <f t="shared" ref="CF38" si="90">CF37^(1/12)</f>
        <v>1.0034079138429823</v>
      </c>
      <c r="CG38" s="397">
        <f t="shared" ref="CG38" si="91">CG37^(1/12)</f>
        <v>1.0034079138429823</v>
      </c>
      <c r="CH38" s="397">
        <f t="shared" ref="CH38" si="92">CH37^(1/12)</f>
        <v>1.0034250847365935</v>
      </c>
      <c r="CI38" s="397">
        <f t="shared" ref="CI38" si="93">CI37^(1/12)</f>
        <v>1.0034250847365935</v>
      </c>
      <c r="CJ38" s="397">
        <f t="shared" ref="CJ38" si="94">CJ37^(1/12)</f>
        <v>1.0034250847365935</v>
      </c>
      <c r="CK38" s="397">
        <f t="shared" ref="CK38" si="95">CK37^(1/12)</f>
        <v>1.0034250847365935</v>
      </c>
      <c r="CL38" s="397">
        <f t="shared" ref="CL38" si="96">CL37^(1/12)</f>
        <v>1.0034250847365935</v>
      </c>
      <c r="CM38" s="397">
        <f t="shared" ref="CM38" si="97">CM37^(1/12)</f>
        <v>1.0034250847365935</v>
      </c>
      <c r="CN38" s="397">
        <f t="shared" ref="CN38" si="98">CN37^(1/12)</f>
        <v>1.0034250847365935</v>
      </c>
      <c r="CO38" s="397">
        <f t="shared" ref="CO38" si="99">CO37^(1/12)</f>
        <v>1.0034250847365935</v>
      </c>
      <c r="CP38" s="397">
        <f t="shared" ref="CP38" si="100">CP37^(1/12)</f>
        <v>1.0034250847365935</v>
      </c>
      <c r="CQ38" s="397">
        <f t="shared" ref="CQ38" si="101">CQ37^(1/12)</f>
        <v>1.0034250847365935</v>
      </c>
      <c r="CR38" s="397">
        <f t="shared" ref="CR38" si="102">CR37^(1/12)</f>
        <v>1.0034250847365935</v>
      </c>
      <c r="CS38" s="397">
        <f t="shared" ref="CS38" si="103">CS37^(1/12)</f>
        <v>1.0034250847365935</v>
      </c>
      <c r="CT38" s="397">
        <f t="shared" ref="CT38" si="104">CT37^(1/12)</f>
        <v>1.0034526863004511</v>
      </c>
      <c r="CU38" s="397">
        <f t="shared" ref="CU38" si="105">CU37^(1/12)</f>
        <v>1.0034526863004511</v>
      </c>
      <c r="CV38" s="397">
        <f t="shared" ref="CV38" si="106">CV37^(1/12)</f>
        <v>1.0034526863004511</v>
      </c>
      <c r="CW38" s="397">
        <f t="shared" ref="CW38" si="107">CW37^(1/12)</f>
        <v>1.0034526863004511</v>
      </c>
      <c r="CX38" s="397">
        <f t="shared" ref="CX38" si="108">CX37^(1/12)</f>
        <v>1.0034526863004511</v>
      </c>
      <c r="CY38" s="397">
        <f t="shared" ref="CY38" si="109">CY37^(1/12)</f>
        <v>1.0034526863004511</v>
      </c>
      <c r="CZ38" s="397">
        <f t="shared" ref="CZ38" si="110">CZ37^(1/12)</f>
        <v>1.0034526863004511</v>
      </c>
      <c r="DA38" s="397">
        <f t="shared" ref="DA38" si="111">DA37^(1/12)</f>
        <v>1.0034526863004511</v>
      </c>
      <c r="DB38" s="397">
        <f t="shared" ref="DB38" si="112">DB37^(1/12)</f>
        <v>1.0034526863004511</v>
      </c>
      <c r="DC38" s="397">
        <f t="shared" ref="DC38" si="113">DC37^(1/12)</f>
        <v>1.0034526863004511</v>
      </c>
      <c r="DD38" s="397">
        <f t="shared" ref="DD38" si="114">DD37^(1/12)</f>
        <v>1.0034526863004511</v>
      </c>
      <c r="DE38" s="397">
        <f t="shared" ref="DE38" si="115">DE37^(1/12)</f>
        <v>1.0034526863004511</v>
      </c>
      <c r="DF38" s="397">
        <f t="shared" ref="DF38" si="116">DF37^(1/12)</f>
        <v>1.0034901041477049</v>
      </c>
      <c r="DG38" s="397">
        <f t="shared" ref="DG38" si="117">DG37^(1/12)</f>
        <v>1.0034901041477049</v>
      </c>
      <c r="DH38" s="397">
        <f t="shared" ref="DH38" si="118">DH37^(1/12)</f>
        <v>1.0034901041477049</v>
      </c>
      <c r="DI38" s="397">
        <f t="shared" ref="DI38" si="119">DI37^(1/12)</f>
        <v>1.0034901041477049</v>
      </c>
      <c r="DJ38" s="397">
        <f t="shared" ref="DJ38" si="120">DJ37^(1/12)</f>
        <v>1.0034901041477049</v>
      </c>
      <c r="DK38" s="397">
        <f t="shared" ref="DK38" si="121">DK37^(1/12)</f>
        <v>1.0034901041477049</v>
      </c>
      <c r="DL38" s="397">
        <f t="shared" ref="DL38" si="122">DL37^(1/12)</f>
        <v>1.0034901041477049</v>
      </c>
      <c r="DM38" s="397">
        <f t="shared" ref="DM38" si="123">DM37^(1/12)</f>
        <v>1.0034901041477049</v>
      </c>
      <c r="DN38" s="397">
        <f t="shared" ref="DN38" si="124">DN37^(1/12)</f>
        <v>1.0034901041477049</v>
      </c>
      <c r="DO38" s="397">
        <f t="shared" ref="DO38" si="125">DO37^(1/12)</f>
        <v>1.0034901041477049</v>
      </c>
      <c r="DP38" s="397">
        <f t="shared" ref="DP38" si="126">DP37^(1/12)</f>
        <v>1.0034901041477049</v>
      </c>
      <c r="DQ38" s="397">
        <f t="shared" ref="DQ38" si="127">DQ37^(1/12)</f>
        <v>1.0034901041477049</v>
      </c>
      <c r="DR38" s="397">
        <f t="shared" ref="DR38" si="128">DR37^(1/12)</f>
        <v>1.0035305959401895</v>
      </c>
      <c r="DS38" s="397">
        <f t="shared" ref="DS38" si="129">DS37^(1/12)</f>
        <v>1.0035305959401895</v>
      </c>
      <c r="DT38" s="397">
        <f t="shared" ref="DT38" si="130">DT37^(1/12)</f>
        <v>1.0035305959401895</v>
      </c>
      <c r="DU38" s="397">
        <f t="shared" ref="DU38" si="131">DU37^(1/12)</f>
        <v>1.0035305959401895</v>
      </c>
      <c r="DV38" s="397">
        <f t="shared" ref="DV38" si="132">DV37^(1/12)</f>
        <v>1.0035305959401895</v>
      </c>
      <c r="DW38" s="397">
        <f t="shared" ref="DW38" si="133">DW37^(1/12)</f>
        <v>1.0035305959401895</v>
      </c>
      <c r="DX38" s="397">
        <f t="shared" ref="DX38" si="134">DX37^(1/12)</f>
        <v>1.0035305959401895</v>
      </c>
      <c r="DY38" s="397">
        <f t="shared" ref="DY38" si="135">DY37^(1/12)</f>
        <v>1.0035305959401895</v>
      </c>
      <c r="DZ38" s="397">
        <f t="shared" ref="DZ38" si="136">DZ37^(1/12)</f>
        <v>1.0035305959401895</v>
      </c>
      <c r="EA38" s="397">
        <f t="shared" ref="EA38" si="137">EA37^(1/12)</f>
        <v>1.0035305959401895</v>
      </c>
      <c r="EB38" s="397">
        <f t="shared" ref="EB38" si="138">EB37^(1/12)</f>
        <v>1.0035305959401895</v>
      </c>
      <c r="EC38" s="397">
        <f t="shared" ref="EC38" si="139">EC37^(1/12)</f>
        <v>1.0035305959401895</v>
      </c>
      <c r="ED38" s="397">
        <f t="shared" ref="ED38" si="140">ED37^(1/12)</f>
        <v>1.0035674129511711</v>
      </c>
      <c r="EE38" s="397">
        <f t="shared" ref="EE38" si="141">EE37^(1/12)</f>
        <v>1.0035674129511711</v>
      </c>
      <c r="EF38" s="397">
        <f t="shared" ref="EF38" si="142">EF37^(1/12)</f>
        <v>1.0035674129511711</v>
      </c>
      <c r="EG38" s="397">
        <f t="shared" ref="EG38" si="143">EG37^(1/12)</f>
        <v>1.0035674129511711</v>
      </c>
      <c r="EH38" s="397">
        <f t="shared" ref="EH38" si="144">EH37^(1/12)</f>
        <v>1.0035674129511711</v>
      </c>
      <c r="EI38" s="397">
        <f t="shared" ref="EI38" si="145">EI37^(1/12)</f>
        <v>1.0035674129511711</v>
      </c>
      <c r="EJ38" s="397">
        <f t="shared" ref="EJ38" si="146">EJ37^(1/12)</f>
        <v>1.0035674129511711</v>
      </c>
      <c r="EK38" s="397">
        <f t="shared" ref="EK38" si="147">EK37^(1/12)</f>
        <v>1.0035674129511711</v>
      </c>
      <c r="EL38" s="397">
        <f t="shared" ref="EL38" si="148">EL37^(1/12)</f>
        <v>1.0035674129511711</v>
      </c>
      <c r="EM38" s="397">
        <f t="shared" ref="EM38" si="149">EM37^(1/12)</f>
        <v>1.0035674129511711</v>
      </c>
      <c r="EN38" s="397">
        <f t="shared" ref="EN38" si="150">EN37^(1/12)</f>
        <v>1.0035674129511711</v>
      </c>
      <c r="EO38" s="404">
        <f t="shared" ref="EO38" si="151">EO37^(1/12)</f>
        <v>1.0035674129511711</v>
      </c>
    </row>
    <row r="39" spans="1:145" ht="12.75" customHeight="1" thickBot="1">
      <c r="A39" s="405" t="s">
        <v>597</v>
      </c>
      <c r="B39" s="406">
        <v>1</v>
      </c>
      <c r="C39" s="406">
        <f>B39*C38</f>
        <v>1.0034778289336621</v>
      </c>
      <c r="D39" s="406">
        <f t="shared" ref="D39:L39" si="152">C39*D38</f>
        <v>1.0069677531614161</v>
      </c>
      <c r="E39" s="406">
        <f t="shared" si="152"/>
        <v>1.0104698147486255</v>
      </c>
      <c r="F39" s="406">
        <f t="shared" si="152"/>
        <v>1.0139840559069504</v>
      </c>
      <c r="G39" s="406">
        <f t="shared" si="152"/>
        <v>1.0175105189948557</v>
      </c>
      <c r="H39" s="406">
        <f t="shared" si="152"/>
        <v>1.0210492465181216</v>
      </c>
      <c r="I39" s="406">
        <f t="shared" si="152"/>
        <v>1.0246002811303563</v>
      </c>
      <c r="J39" s="406">
        <f t="shared" si="152"/>
        <v>1.0281636656335098</v>
      </c>
      <c r="K39" s="406">
        <f t="shared" si="152"/>
        <v>1.0317394429783902</v>
      </c>
      <c r="L39" s="406">
        <f t="shared" si="152"/>
        <v>1.0353276562651808</v>
      </c>
      <c r="M39" s="406">
        <f t="shared" ref="M39" si="153">L39*M38</f>
        <v>1.0389283487439605</v>
      </c>
      <c r="N39" s="406">
        <f t="shared" ref="N39" si="154">M39*N38</f>
        <v>1.0424560164278374</v>
      </c>
      <c r="O39" s="406">
        <f t="shared" ref="O39" si="155">N39*O38</f>
        <v>1.0459956622614133</v>
      </c>
      <c r="P39" s="406">
        <f t="shared" ref="P39" si="156">O39*P38</f>
        <v>1.0495473269163396</v>
      </c>
      <c r="Q39" s="406">
        <f t="shared" ref="Q39" si="157">P39*Q38</f>
        <v>1.0531110512023678</v>
      </c>
      <c r="R39" s="406">
        <f t="shared" ref="R39" si="158">Q39*R38</f>
        <v>1.0566868760678183</v>
      </c>
      <c r="S39" s="406">
        <f t="shared" ref="S39" si="159">R39*S38</f>
        <v>1.060274842600051</v>
      </c>
      <c r="T39" s="406">
        <f t="shared" ref="T39:U39" si="160">S39*T38</f>
        <v>1.0638749920259374</v>
      </c>
      <c r="U39" s="406">
        <f t="shared" si="160"/>
        <v>1.0674873657123345</v>
      </c>
      <c r="V39" s="406">
        <f t="shared" ref="V39" si="161">U39*V38</f>
        <v>1.0711120051665595</v>
      </c>
      <c r="W39" s="406">
        <f t="shared" ref="W39" si="162">V39*W38</f>
        <v>1.0747489520368674</v>
      </c>
      <c r="X39" s="406">
        <f t="shared" ref="X39" si="163">W39*X38</f>
        <v>1.0783982481129293</v>
      </c>
      <c r="Y39" s="406">
        <f t="shared" ref="Y39" si="164">X39*Y38</f>
        <v>1.0820599353263127</v>
      </c>
      <c r="Z39" s="406">
        <f t="shared" ref="Z39" si="165">Y39*Z38</f>
        <v>1.0856753803591943</v>
      </c>
      <c r="AA39" s="406">
        <f t="shared" ref="AA39" si="166">Z39*AA38</f>
        <v>1.0893029055388026</v>
      </c>
      <c r="AB39" s="406">
        <f t="shared" ref="AB39" si="167">AA39*AB38</f>
        <v>1.0929425512280648</v>
      </c>
      <c r="AC39" s="406">
        <f t="shared" ref="AC39:AD39" si="168">AB39*AC38</f>
        <v>1.0965943579247712</v>
      </c>
      <c r="AD39" s="406">
        <f t="shared" si="168"/>
        <v>1.100258366262026</v>
      </c>
      <c r="AE39" s="406">
        <f t="shared" ref="AE39" si="169">AD39*AE38</f>
        <v>1.1039346170086992</v>
      </c>
      <c r="AF39" s="406">
        <f t="shared" ref="AF39" si="170">AE39*AF38</f>
        <v>1.10762315106988</v>
      </c>
      <c r="AG39" s="406">
        <f t="shared" ref="AG39" si="171">AF39*AG38</f>
        <v>1.1113240094873322</v>
      </c>
      <c r="AH39" s="406">
        <f t="shared" ref="AH39" si="172">AG39*AH38</f>
        <v>1.1150372334399512</v>
      </c>
      <c r="AI39" s="406">
        <f t="shared" ref="AI39" si="173">AH39*AI38</f>
        <v>1.1187628642442216</v>
      </c>
      <c r="AJ39" s="406">
        <f t="shared" ref="AJ39" si="174">AI39*AJ38</f>
        <v>1.1225009433546771</v>
      </c>
      <c r="AK39" s="406">
        <f t="shared" ref="AK39" si="175">AJ39*AK38</f>
        <v>1.1262515123643619</v>
      </c>
      <c r="AL39" s="406">
        <f t="shared" ref="AL39:AM39" si="176">AK39*AL38</f>
        <v>1.1300149784797271</v>
      </c>
      <c r="AM39" s="406">
        <f t="shared" si="176"/>
        <v>1.133791020540204</v>
      </c>
      <c r="AN39" s="406">
        <f t="shared" ref="AN39" si="177">AM39*AN38</f>
        <v>1.1375796805693927</v>
      </c>
      <c r="AO39" s="406">
        <f t="shared" ref="AO39" si="178">AN39*AO38</f>
        <v>1.1413810007313192</v>
      </c>
      <c r="AP39" s="406">
        <f t="shared" ref="AP39" si="179">AO39*AP38</f>
        <v>1.1451950233309036</v>
      </c>
      <c r="AQ39" s="406">
        <f t="shared" ref="AQ39" si="180">AP39*AQ38</f>
        <v>1.149021790814432</v>
      </c>
      <c r="AR39" s="406">
        <f t="shared" ref="AR39" si="181">AQ39*AR38</f>
        <v>1.1528613457700281</v>
      </c>
      <c r="AS39" s="406">
        <f t="shared" ref="AS39" si="182">AR39*AS38</f>
        <v>1.1567137309281277</v>
      </c>
      <c r="AT39" s="406">
        <f t="shared" ref="AT39" si="183">AS39*AT38</f>
        <v>1.160578989161954</v>
      </c>
      <c r="AU39" s="406">
        <f t="shared" ref="AU39:AV39" si="184">AT39*AU38</f>
        <v>1.1644571634879946</v>
      </c>
      <c r="AV39" s="406">
        <f t="shared" si="184"/>
        <v>1.1683482970664802</v>
      </c>
      <c r="AW39" s="406">
        <f t="shared" ref="AW39" si="185">AV39*AW38</f>
        <v>1.1722524332018658</v>
      </c>
      <c r="AX39" s="406">
        <f t="shared" ref="AX39" si="186">AW39*AX38</f>
        <v>1.1762157485146476</v>
      </c>
      <c r="AY39" s="406">
        <f t="shared" ref="AY39" si="187">AX39*AY38</f>
        <v>1.1801924635592822</v>
      </c>
      <c r="AZ39" s="406">
        <f t="shared" ref="AZ39" si="188">AY39*AZ38</f>
        <v>1.1841826236394608</v>
      </c>
      <c r="BA39" s="406">
        <f t="shared" ref="BA39" si="189">AZ39*BA38</f>
        <v>1.1881862742120439</v>
      </c>
      <c r="BB39" s="406">
        <f t="shared" ref="BB39" si="190">BA39*BB38</f>
        <v>1.1922034608875787</v>
      </c>
      <c r="BC39" s="406">
        <f t="shared" ref="BC39" si="191">BB39*BC38</f>
        <v>1.1962342294308193</v>
      </c>
      <c r="BD39" s="406">
        <f t="shared" ref="BD39:BE39" si="192">BC39*BD38</f>
        <v>1.2002786257612472</v>
      </c>
      <c r="BE39" s="406">
        <f t="shared" si="192"/>
        <v>1.2043366959535955</v>
      </c>
      <c r="BF39" s="406">
        <f t="shared" ref="BF39" si="193">BE39*BF38</f>
        <v>1.2084084862383728</v>
      </c>
      <c r="BG39" s="406">
        <f t="shared" ref="BG39" si="194">BF39*BG38</f>
        <v>1.2124940430023905</v>
      </c>
      <c r="BH39" s="406">
        <f t="shared" ref="BH39:BI39" si="195">BG39*BH38</f>
        <v>1.2165934127892908</v>
      </c>
      <c r="BI39" s="406">
        <f t="shared" si="195"/>
        <v>1.2207066423000774</v>
      </c>
      <c r="BJ39" s="406">
        <f t="shared" ref="BJ39" si="196">BI39*BJ38</f>
        <v>1.2248502411205713</v>
      </c>
      <c r="BK39" s="406">
        <f t="shared" ref="BK39" si="197">BJ39*BK38</f>
        <v>1.2290079050821812</v>
      </c>
      <c r="BL39" s="406">
        <f t="shared" ref="BL39" si="198">BK39*BL38</f>
        <v>1.233179681927993</v>
      </c>
      <c r="BM39" s="406">
        <f t="shared" ref="BM39" si="199">BL39*BM38</f>
        <v>1.2373656195631531</v>
      </c>
      <c r="BN39" s="406">
        <f t="shared" ref="BN39" si="200">BM39*BN38</f>
        <v>1.2415657660554182</v>
      </c>
      <c r="BO39" s="406">
        <f t="shared" ref="BO39" si="201">BN39*BO38</f>
        <v>1.2457801696357078</v>
      </c>
      <c r="BP39" s="406">
        <f t="shared" ref="BP39" si="202">BO39*BP38</f>
        <v>1.2500088786986574</v>
      </c>
      <c r="BQ39" s="406">
        <f t="shared" ref="BQ39" si="203">BP39*BQ38</f>
        <v>1.2542519418031746</v>
      </c>
      <c r="BR39" s="406">
        <f t="shared" ref="BR39" si="204">BQ39*BR38</f>
        <v>1.2585094076729968</v>
      </c>
      <c r="BS39" s="406">
        <f t="shared" ref="BS39" si="205">BR39*BS38</f>
        <v>1.2627813251972502</v>
      </c>
      <c r="BT39" s="406">
        <f t="shared" ref="BT39" si="206">BS39*BT38</f>
        <v>1.2670677434310118</v>
      </c>
      <c r="BU39" s="406">
        <f t="shared" ref="BU39" si="207">BT39*BU38</f>
        <v>1.2713687115958725</v>
      </c>
      <c r="BV39" s="406">
        <f t="shared" ref="BV39" si="208">BU39*BV38</f>
        <v>1.2757014266276547</v>
      </c>
      <c r="BW39" s="406">
        <f t="shared" ref="BW39" si="209">BV39*BW38</f>
        <v>1.2800489071789714</v>
      </c>
      <c r="BX39" s="406">
        <f t="shared" ref="BX39" si="210">BW39*BX38</f>
        <v>1.2844112035694411</v>
      </c>
      <c r="BY39" s="406">
        <f t="shared" ref="BY39" si="211">BX39*BY38</f>
        <v>1.2887883662901669</v>
      </c>
      <c r="BZ39" s="406">
        <f t="shared" ref="BZ39" si="212">BY39*BZ38</f>
        <v>1.2931804460043217</v>
      </c>
      <c r="CA39" s="406">
        <f t="shared" ref="CA39" si="213">BZ39*CA38</f>
        <v>1.2975874935477338</v>
      </c>
      <c r="CB39" s="406">
        <f t="shared" ref="CB39" si="214">CA39*CB38</f>
        <v>1.3020095599294759</v>
      </c>
      <c r="CC39" s="406">
        <f t="shared" ref="CC39" si="215">CB39*CC38</f>
        <v>1.3064466963324548</v>
      </c>
      <c r="CD39" s="406">
        <f t="shared" ref="CD39" si="216">CC39*CD38</f>
        <v>1.3108989541140048</v>
      </c>
      <c r="CE39" s="406">
        <f t="shared" ref="CE39" si="217">CD39*CE38</f>
        <v>1.3153663848064809</v>
      </c>
      <c r="CF39" s="406">
        <f t="shared" ref="CF39" si="218">CE39*CF38</f>
        <v>1.3198490401178566</v>
      </c>
      <c r="CG39" s="406">
        <f t="shared" ref="CG39" si="219">CF39*CG38</f>
        <v>1.3243469719323213</v>
      </c>
      <c r="CH39" s="406">
        <f t="shared" ref="CH39" si="220">CG39*CH38</f>
        <v>1.3288829725318405</v>
      </c>
      <c r="CI39" s="406">
        <f t="shared" ref="CI39" si="221">CH39*CI38</f>
        <v>1.3334345093177784</v>
      </c>
      <c r="CJ39" s="406">
        <f t="shared" ref="CJ39" si="222">CI39*CJ38</f>
        <v>1.3380016355028899</v>
      </c>
      <c r="CK39" s="406">
        <f t="shared" ref="CK39" si="223">CJ39*CK38</f>
        <v>1.342584404482188</v>
      </c>
      <c r="CL39" s="406">
        <f t="shared" ref="CL39" si="224">CK39*CL38</f>
        <v>1.3471828698335684</v>
      </c>
      <c r="CM39" s="406">
        <f t="shared" ref="CM39" si="225">CL39*CM38</f>
        <v>1.3517970853184356</v>
      </c>
      <c r="CN39" s="406">
        <f t="shared" ref="CN39" si="226">CM39*CN38</f>
        <v>1.3564271048823313</v>
      </c>
      <c r="CO39" s="406">
        <f t="shared" ref="CO39" si="227">CN39*CO38</f>
        <v>1.3610729826555656</v>
      </c>
      <c r="CP39" s="406">
        <f t="shared" ref="CP39" si="228">CO39*CP38</f>
        <v>1.3657347729538492</v>
      </c>
      <c r="CQ39" s="406">
        <f t="shared" ref="CQ39" si="229">CP39*CQ38</f>
        <v>1.3704125302789285</v>
      </c>
      <c r="CR39" s="406">
        <f t="shared" ref="CR39" si="230">CQ39*CR38</f>
        <v>1.3751063093192233</v>
      </c>
      <c r="CS39" s="406">
        <f t="shared" ref="CS39" si="231">CR39*CS38</f>
        <v>1.3798161649504661</v>
      </c>
      <c r="CT39" s="406">
        <f t="shared" ref="CT39" si="232">CS39*CT38</f>
        <v>1.3845802373203315</v>
      </c>
      <c r="CU39" s="406">
        <f t="shared" ref="CU39" si="233">CT39*CU38</f>
        <v>1.3893607585376029</v>
      </c>
      <c r="CV39" s="406">
        <f t="shared" ref="CV39" si="234">CU39*CV38</f>
        <v>1.39415778539499</v>
      </c>
      <c r="CW39" s="406">
        <f t="shared" ref="CW39" si="235">CV39*CW38</f>
        <v>1.3989713748812906</v>
      </c>
      <c r="CX39" s="406">
        <f t="shared" ref="CX39" si="236">CW39*CX38</f>
        <v>1.4038015841820666</v>
      </c>
      <c r="CY39" s="406">
        <f t="shared" ref="CY39" si="237">CX39*CY38</f>
        <v>1.4086484706803235</v>
      </c>
      <c r="CZ39" s="406">
        <f t="shared" ref="CZ39" si="238">CY39*CZ38</f>
        <v>1.4135120919571929</v>
      </c>
      <c r="DA39" s="406">
        <f t="shared" ref="DA39" si="239">CZ39*DA38</f>
        <v>1.4183925057926154</v>
      </c>
      <c r="DB39" s="406">
        <f t="shared" ref="DB39" si="240">DA39*DB38</f>
        <v>1.4232897701660281</v>
      </c>
      <c r="DC39" s="406">
        <f t="shared" ref="DC39" si="241">DB39*DC38</f>
        <v>1.4282039432570526</v>
      </c>
      <c r="DD39" s="406">
        <f t="shared" ref="DD39" si="242">DC39*DD38</f>
        <v>1.4331350834461865</v>
      </c>
      <c r="DE39" s="406">
        <f t="shared" ref="DE39" si="243">DD39*DE38</f>
        <v>1.4380832493154969</v>
      </c>
      <c r="DF39" s="406">
        <f t="shared" ref="DF39" si="244">DE39*DF38</f>
        <v>1.4431023096286779</v>
      </c>
      <c r="DG39" s="406">
        <f t="shared" ref="DG39" si="245">DF39*DG38</f>
        <v>1.4481388869850755</v>
      </c>
      <c r="DH39" s="406">
        <f t="shared" ref="DH39" si="246">DG39*DH38</f>
        <v>1.4531930425209949</v>
      </c>
      <c r="DI39" s="406">
        <f t="shared" ref="DI39" si="247">DH39*DI38</f>
        <v>1.4582648375861134</v>
      </c>
      <c r="DJ39" s="406">
        <f t="shared" ref="DJ39" si="248">DI39*DJ38</f>
        <v>1.463354333744225</v>
      </c>
      <c r="DK39" s="406">
        <f t="shared" ref="DK39" si="249">DJ39*DK38</f>
        <v>1.4684615927739877</v>
      </c>
      <c r="DL39" s="406">
        <f t="shared" ref="DL39" si="250">DK39*DL38</f>
        <v>1.4735866766696735</v>
      </c>
      <c r="DM39" s="406">
        <f t="shared" ref="DM39" si="251">DL39*DM38</f>
        <v>1.4787296476419209</v>
      </c>
      <c r="DN39" s="406">
        <f t="shared" ref="DN39" si="252">DM39*DN38</f>
        <v>1.4838905681184902</v>
      </c>
      <c r="DO39" s="406">
        <f t="shared" ref="DO39" si="253">DN39*DO38</f>
        <v>1.4890695007450208</v>
      </c>
      <c r="DP39" s="406">
        <f t="shared" ref="DP39" si="254">DO39*DP38</f>
        <v>1.4942665083857918</v>
      </c>
      <c r="DQ39" s="406">
        <f t="shared" ref="DQ39" si="255">DP39*DQ38</f>
        <v>1.4994816541244855</v>
      </c>
      <c r="DR39" s="406">
        <f t="shared" ref="DR39" si="256">DQ39*DR38</f>
        <v>1.5047757179649259</v>
      </c>
      <c r="DS39" s="406">
        <f t="shared" ref="DS39" si="257">DR39*DS38</f>
        <v>1.5100884730056685</v>
      </c>
      <c r="DT39" s="406">
        <f t="shared" ref="DT39" si="258">DS39*DT38</f>
        <v>1.5154199852377892</v>
      </c>
      <c r="DU39" s="406">
        <f t="shared" ref="DU39" si="259">DT39*DU38</f>
        <v>1.5207703208853518</v>
      </c>
      <c r="DV39" s="406">
        <f t="shared" ref="DV39" si="260">DU39*DV38</f>
        <v>1.5261395464062302</v>
      </c>
      <c r="DW39" s="406">
        <f t="shared" ref="DW39" si="261">DV39*DW38</f>
        <v>1.5315277284929345</v>
      </c>
      <c r="DX39" s="406">
        <f t="shared" ref="DX39" si="262">DW39*DX38</f>
        <v>1.5369349340734393</v>
      </c>
      <c r="DY39" s="406">
        <f t="shared" ref="DY39" si="263">DX39*DY38</f>
        <v>1.5423612303120142</v>
      </c>
      <c r="DZ39" s="406">
        <f t="shared" ref="DZ39" si="264">DY39*DZ38</f>
        <v>1.5478066846100593</v>
      </c>
      <c r="EA39" s="406">
        <f t="shared" ref="EA39" si="265">DZ39*EA38</f>
        <v>1.5532713646069416</v>
      </c>
      <c r="EB39" s="406">
        <f t="shared" ref="EB39" si="266">EA39*EB38</f>
        <v>1.5587553381808354</v>
      </c>
      <c r="EC39" s="406">
        <f t="shared" ref="EC39" si="267">EB39*EC38</f>
        <v>1.5642586734495654</v>
      </c>
      <c r="ED39" s="406">
        <f t="shared" ref="ED39" si="268">EC39*ED38</f>
        <v>1.5698390301002112</v>
      </c>
      <c r="EE39" s="406">
        <f t="shared" ref="EE39" si="269">ED39*EE38</f>
        <v>1.5754392941874447</v>
      </c>
      <c r="EF39" s="406">
        <f t="shared" ref="EF39" si="270">EE39*EF38</f>
        <v>1.5810595367293128</v>
      </c>
      <c r="EG39" s="406">
        <f t="shared" ref="EG39" si="271">EF39*EG38</f>
        <v>1.5866998289972136</v>
      </c>
      <c r="EH39" s="406">
        <f t="shared" ref="EH39" si="272">EG39*EH38</f>
        <v>1.5923602425167993</v>
      </c>
      <c r="EI39" s="406">
        <f t="shared" ref="EI39" si="273">EH39*EI38</f>
        <v>1.5980408490688838</v>
      </c>
      <c r="EJ39" s="406">
        <f t="shared" ref="EJ39" si="274">EI39*EJ38</f>
        <v>1.6037417206903526</v>
      </c>
      <c r="EK39" s="406">
        <f t="shared" ref="EK39" si="275">EJ39*EK38</f>
        <v>1.6094629296750769</v>
      </c>
      <c r="EL39" s="406">
        <f t="shared" ref="EL39" si="276">EK39*EL38</f>
        <v>1.6152045485748296</v>
      </c>
      <c r="EM39" s="406">
        <f t="shared" ref="EM39" si="277">EL39*EM38</f>
        <v>1.620966650200206</v>
      </c>
      <c r="EN39" s="406">
        <f t="shared" ref="EN39" si="278">EM39*EN38</f>
        <v>1.6267493076215467</v>
      </c>
      <c r="EO39" s="407">
        <f t="shared" ref="EO39" si="279">EN39*EO38</f>
        <v>1.6325525941698644</v>
      </c>
    </row>
    <row r="40" spans="1:145" ht="12.75" customHeight="1">
      <c r="A40" s="377"/>
      <c r="B40" s="376"/>
      <c r="C40" s="376"/>
      <c r="D40" s="376"/>
      <c r="E40" s="339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39"/>
      <c r="Q40" s="339"/>
      <c r="R40" s="339"/>
      <c r="S40" s="339"/>
      <c r="T40" s="339"/>
      <c r="U40" s="339"/>
      <c r="V40" s="339"/>
      <c r="W40" s="339"/>
      <c r="X40" s="339"/>
      <c r="Y40" s="339"/>
      <c r="Z40" s="339"/>
    </row>
    <row r="41" spans="1:145" ht="12.75" customHeight="1">
      <c r="A41" s="371"/>
      <c r="B41" s="376"/>
      <c r="C41" s="376"/>
      <c r="D41" s="376"/>
      <c r="E41" s="339"/>
      <c r="F41" s="351"/>
      <c r="G41" s="351"/>
      <c r="H41" s="351"/>
      <c r="I41" s="351"/>
      <c r="J41" s="351"/>
      <c r="K41" s="351"/>
      <c r="L41" s="351"/>
      <c r="M41" s="351"/>
      <c r="N41" s="351"/>
      <c r="O41" s="351"/>
      <c r="P41" s="339"/>
      <c r="Q41" s="339"/>
      <c r="R41" s="339"/>
      <c r="S41" s="339"/>
      <c r="T41" s="339"/>
      <c r="U41" s="339"/>
      <c r="V41" s="339"/>
      <c r="W41" s="339"/>
      <c r="X41" s="339"/>
      <c r="Y41" s="339"/>
      <c r="Z41" s="339"/>
    </row>
    <row r="42" spans="1:145" ht="12.75" customHeight="1">
      <c r="A42" s="371"/>
      <c r="B42" s="376"/>
      <c r="C42" s="376"/>
      <c r="D42" s="376"/>
      <c r="E42" s="339"/>
      <c r="F42" s="339"/>
      <c r="G42" s="339"/>
      <c r="H42" s="339"/>
      <c r="I42" s="339"/>
      <c r="J42" s="339"/>
      <c r="K42" s="339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  <c r="W42" s="339"/>
      <c r="X42" s="339"/>
      <c r="Y42" s="339"/>
      <c r="Z42" s="339"/>
    </row>
    <row r="43" spans="1:145" ht="12.75" customHeight="1">
      <c r="A43" s="371"/>
      <c r="B43" s="376"/>
      <c r="C43" s="376"/>
      <c r="D43" s="376"/>
      <c r="E43" s="339"/>
      <c r="F43" s="339"/>
      <c r="G43" s="339"/>
      <c r="H43" s="339"/>
      <c r="I43" s="339"/>
      <c r="J43" s="339"/>
      <c r="K43" s="339"/>
      <c r="L43" s="339"/>
      <c r="M43" s="339"/>
      <c r="N43" s="339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39"/>
      <c r="Z43" s="339"/>
    </row>
    <row r="44" spans="1:145" ht="20.25" customHeight="1">
      <c r="A44" s="339"/>
      <c r="B44" s="378"/>
      <c r="C44" s="378"/>
      <c r="D44" s="378"/>
      <c r="E44" s="379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39"/>
      <c r="Q44" s="339"/>
      <c r="R44" s="339"/>
      <c r="S44" s="339"/>
      <c r="T44" s="339"/>
      <c r="U44" s="339"/>
      <c r="V44" s="339"/>
      <c r="W44" s="339"/>
      <c r="X44" s="339"/>
      <c r="Y44" s="339"/>
      <c r="Z44" s="339"/>
    </row>
    <row r="45" spans="1:145" ht="15.75" customHeight="1">
      <c r="A45" s="379"/>
      <c r="B45" s="378"/>
      <c r="C45" s="378"/>
      <c r="D45" s="378"/>
      <c r="E45" s="381"/>
      <c r="F45" s="380"/>
      <c r="G45" s="380"/>
      <c r="H45" s="380"/>
      <c r="I45" s="380"/>
      <c r="J45" s="380"/>
      <c r="K45" s="380"/>
      <c r="L45" s="380"/>
      <c r="M45" s="380"/>
      <c r="N45" s="380"/>
      <c r="O45" s="380"/>
      <c r="P45" s="339"/>
      <c r="Q45" s="339"/>
      <c r="R45" s="339"/>
      <c r="S45" s="339"/>
      <c r="T45" s="339"/>
      <c r="U45" s="339"/>
      <c r="V45" s="339"/>
      <c r="W45" s="339"/>
      <c r="X45" s="339"/>
      <c r="Y45" s="339"/>
      <c r="Z45" s="339"/>
    </row>
    <row r="46" spans="1:145" ht="15.75" customHeight="1">
      <c r="A46" s="378"/>
      <c r="B46" s="382"/>
      <c r="C46" s="382"/>
      <c r="D46" s="382"/>
      <c r="E46" s="381"/>
      <c r="F46" s="380"/>
      <c r="G46" s="380"/>
      <c r="H46" s="380"/>
      <c r="I46" s="380"/>
      <c r="J46" s="380"/>
      <c r="K46" s="380"/>
      <c r="L46" s="380"/>
      <c r="M46" s="380"/>
      <c r="N46" s="380"/>
      <c r="O46" s="380"/>
      <c r="P46" s="339"/>
      <c r="Q46" s="339"/>
      <c r="R46" s="339"/>
      <c r="S46" s="339"/>
      <c r="T46" s="339"/>
      <c r="U46" s="339"/>
      <c r="V46" s="339"/>
      <c r="W46" s="339"/>
      <c r="X46" s="339"/>
      <c r="Y46" s="339"/>
      <c r="Z46" s="339"/>
    </row>
    <row r="47" spans="1:145" ht="15.75" customHeight="1">
      <c r="A47" s="378"/>
      <c r="B47" s="382"/>
      <c r="C47" s="382"/>
      <c r="D47" s="382"/>
      <c r="E47" s="381"/>
      <c r="F47" s="381"/>
      <c r="G47" s="383"/>
      <c r="H47" s="382"/>
      <c r="I47" s="382"/>
      <c r="J47" s="382"/>
      <c r="K47" s="382"/>
      <c r="L47" s="382"/>
      <c r="M47" s="382"/>
      <c r="N47" s="382"/>
      <c r="O47" s="382"/>
      <c r="P47" s="339"/>
      <c r="Q47" s="339"/>
      <c r="R47" s="339"/>
      <c r="S47" s="339"/>
      <c r="T47" s="339"/>
      <c r="U47" s="339"/>
      <c r="V47" s="339"/>
      <c r="W47" s="339"/>
      <c r="X47" s="339"/>
      <c r="Y47" s="339"/>
      <c r="Z47" s="339"/>
    </row>
    <row r="48" spans="1:145" ht="15.75" customHeight="1">
      <c r="A48" s="378"/>
      <c r="B48" s="382"/>
      <c r="C48" s="382"/>
      <c r="D48" s="382"/>
      <c r="E48" s="381"/>
      <c r="F48" s="381"/>
      <c r="G48" s="383"/>
      <c r="H48" s="382"/>
      <c r="I48" s="382"/>
      <c r="J48" s="382"/>
      <c r="K48" s="382"/>
      <c r="L48" s="382"/>
      <c r="M48" s="382"/>
      <c r="N48" s="382"/>
      <c r="O48" s="382"/>
      <c r="P48" s="339"/>
      <c r="Q48" s="339"/>
      <c r="R48" s="339"/>
      <c r="S48" s="339"/>
      <c r="T48" s="339"/>
      <c r="U48" s="339"/>
      <c r="V48" s="339"/>
      <c r="W48" s="339"/>
      <c r="X48" s="339"/>
      <c r="Y48" s="339"/>
      <c r="Z48" s="339"/>
    </row>
    <row r="49" spans="1:26" ht="21" customHeight="1">
      <c r="A49" s="378"/>
      <c r="B49" s="382"/>
      <c r="C49" s="382"/>
      <c r="D49" s="382"/>
      <c r="E49" s="381"/>
      <c r="F49" s="381"/>
      <c r="G49" s="383"/>
      <c r="H49" s="382"/>
      <c r="I49" s="382"/>
      <c r="J49" s="382"/>
      <c r="K49" s="382"/>
      <c r="L49" s="382"/>
      <c r="M49" s="382"/>
      <c r="N49" s="382"/>
      <c r="O49" s="382"/>
      <c r="P49" s="339"/>
      <c r="Q49" s="339"/>
      <c r="R49" s="339"/>
      <c r="S49" s="339"/>
      <c r="T49" s="339"/>
      <c r="U49" s="339"/>
      <c r="V49" s="339"/>
      <c r="W49" s="339"/>
      <c r="X49" s="339"/>
      <c r="Y49" s="339"/>
      <c r="Z49" s="339"/>
    </row>
    <row r="50" spans="1:26" ht="15.75" customHeight="1">
      <c r="A50" s="384"/>
      <c r="B50" s="385"/>
      <c r="C50" s="385"/>
      <c r="D50" s="385"/>
      <c r="E50" s="381"/>
      <c r="F50" s="381"/>
      <c r="G50" s="383"/>
      <c r="H50" s="385"/>
      <c r="I50" s="385"/>
      <c r="J50" s="385"/>
      <c r="K50" s="385"/>
      <c r="L50" s="385"/>
      <c r="M50" s="385"/>
      <c r="N50" s="385"/>
      <c r="O50" s="385"/>
      <c r="P50" s="339"/>
      <c r="Q50" s="339"/>
      <c r="R50" s="339"/>
      <c r="S50" s="339"/>
      <c r="T50" s="339"/>
      <c r="U50" s="339"/>
      <c r="V50" s="339"/>
      <c r="W50" s="339"/>
      <c r="X50" s="339"/>
      <c r="Y50" s="339"/>
      <c r="Z50" s="339"/>
    </row>
    <row r="51" spans="1:26" ht="15.75" customHeight="1">
      <c r="A51" s="384"/>
      <c r="B51" s="386"/>
      <c r="C51" s="386"/>
      <c r="D51" s="386"/>
      <c r="E51" s="381"/>
      <c r="F51" s="381"/>
      <c r="G51" s="383"/>
      <c r="H51" s="386"/>
      <c r="I51" s="386"/>
      <c r="J51" s="386"/>
      <c r="K51" s="386"/>
      <c r="L51" s="386"/>
      <c r="M51" s="386"/>
      <c r="N51" s="386"/>
      <c r="O51" s="386"/>
      <c r="P51" s="339"/>
      <c r="Q51" s="339"/>
      <c r="R51" s="339"/>
      <c r="S51" s="339"/>
      <c r="T51" s="339"/>
      <c r="U51" s="339"/>
      <c r="V51" s="339"/>
      <c r="W51" s="339"/>
      <c r="X51" s="339"/>
      <c r="Y51" s="339"/>
      <c r="Z51" s="339"/>
    </row>
    <row r="52" spans="1:26" ht="18" customHeight="1">
      <c r="A52" s="384"/>
      <c r="B52" s="387"/>
      <c r="C52" s="387"/>
      <c r="D52" s="387"/>
      <c r="E52" s="381"/>
      <c r="F52" s="381"/>
      <c r="G52" s="383"/>
      <c r="H52" s="387"/>
      <c r="I52" s="387"/>
      <c r="J52" s="387"/>
      <c r="K52" s="387"/>
      <c r="L52" s="387"/>
      <c r="M52" s="387"/>
      <c r="N52" s="387"/>
      <c r="O52" s="387"/>
      <c r="P52" s="339"/>
      <c r="Q52" s="339"/>
      <c r="R52" s="339"/>
      <c r="S52" s="339"/>
      <c r="T52" s="339"/>
      <c r="U52" s="339"/>
      <c r="V52" s="339"/>
      <c r="W52" s="339"/>
      <c r="X52" s="339"/>
      <c r="Y52" s="339"/>
      <c r="Z52" s="339"/>
    </row>
    <row r="53" spans="1:26" ht="15.75" customHeight="1">
      <c r="A53" s="384"/>
      <c r="B53" s="387"/>
      <c r="C53" s="387"/>
      <c r="D53" s="387"/>
      <c r="E53" s="381"/>
      <c r="F53" s="381"/>
      <c r="G53" s="383"/>
      <c r="H53" s="339"/>
      <c r="I53" s="339"/>
      <c r="J53" s="339"/>
      <c r="K53" s="339"/>
      <c r="L53" s="387"/>
      <c r="M53" s="387"/>
      <c r="N53" s="387"/>
      <c r="O53" s="387"/>
      <c r="P53" s="339"/>
      <c r="Q53" s="339"/>
      <c r="R53" s="339"/>
      <c r="S53" s="339"/>
      <c r="T53" s="339"/>
      <c r="U53" s="339"/>
      <c r="V53" s="339"/>
      <c r="W53" s="339"/>
      <c r="X53" s="339"/>
      <c r="Y53" s="339"/>
      <c r="Z53" s="339"/>
    </row>
    <row r="54" spans="1:26" ht="15.75" customHeight="1">
      <c r="A54" s="384"/>
      <c r="B54" s="387"/>
      <c r="C54" s="387"/>
      <c r="D54" s="387"/>
      <c r="E54" s="381"/>
      <c r="F54" s="381"/>
      <c r="G54" s="383"/>
      <c r="H54" s="387"/>
      <c r="I54" s="387"/>
      <c r="J54" s="387"/>
      <c r="K54" s="387"/>
      <c r="L54" s="387"/>
      <c r="M54" s="387"/>
      <c r="N54" s="387"/>
      <c r="O54" s="387"/>
      <c r="P54" s="339"/>
      <c r="Q54" s="339"/>
      <c r="R54" s="339"/>
      <c r="S54" s="339"/>
      <c r="T54" s="339"/>
      <c r="U54" s="339"/>
      <c r="V54" s="339"/>
      <c r="W54" s="339"/>
      <c r="X54" s="339"/>
      <c r="Y54" s="339"/>
      <c r="Z54" s="339"/>
    </row>
    <row r="55" spans="1:26" ht="15.75" customHeight="1">
      <c r="A55" s="384"/>
      <c r="B55" s="388"/>
      <c r="C55" s="388"/>
      <c r="D55" s="388"/>
      <c r="E55" s="381"/>
      <c r="F55" s="381"/>
      <c r="G55" s="383"/>
      <c r="H55" s="388"/>
      <c r="I55" s="388"/>
      <c r="J55" s="388"/>
      <c r="K55" s="388"/>
      <c r="L55" s="388"/>
      <c r="M55" s="388"/>
      <c r="N55" s="388"/>
      <c r="O55" s="388"/>
      <c r="P55" s="339"/>
      <c r="Q55" s="339"/>
      <c r="R55" s="339"/>
      <c r="S55" s="339"/>
      <c r="T55" s="339"/>
      <c r="U55" s="339"/>
      <c r="V55" s="339"/>
      <c r="W55" s="339"/>
      <c r="X55" s="339"/>
      <c r="Y55" s="339"/>
      <c r="Z55" s="339"/>
    </row>
    <row r="56" spans="1:26" ht="15.75" customHeight="1">
      <c r="A56" s="384"/>
      <c r="B56" s="387"/>
      <c r="C56" s="387"/>
      <c r="D56" s="387"/>
      <c r="E56" s="381"/>
      <c r="F56" s="381"/>
      <c r="G56" s="383"/>
      <c r="H56" s="387"/>
      <c r="I56" s="387"/>
      <c r="J56" s="387"/>
      <c r="K56" s="387"/>
      <c r="L56" s="387"/>
      <c r="M56" s="387"/>
      <c r="N56" s="387"/>
      <c r="O56" s="387"/>
      <c r="P56" s="339"/>
      <c r="Q56" s="339"/>
      <c r="R56" s="339"/>
      <c r="S56" s="339"/>
      <c r="T56" s="339"/>
      <c r="U56" s="339"/>
      <c r="V56" s="339"/>
      <c r="W56" s="339"/>
      <c r="X56" s="339"/>
      <c r="Y56" s="339"/>
      <c r="Z56" s="339"/>
    </row>
    <row r="57" spans="1:26" ht="15.75" customHeight="1">
      <c r="A57" s="384"/>
      <c r="B57" s="388"/>
      <c r="C57" s="388"/>
      <c r="D57" s="388"/>
      <c r="E57" s="381"/>
      <c r="F57" s="381"/>
      <c r="G57" s="383"/>
      <c r="H57" s="388"/>
      <c r="I57" s="388"/>
      <c r="J57" s="388"/>
      <c r="K57" s="388"/>
      <c r="L57" s="388"/>
      <c r="M57" s="388"/>
      <c r="N57" s="388"/>
      <c r="O57" s="388"/>
      <c r="P57" s="339"/>
      <c r="Q57" s="339"/>
      <c r="R57" s="339"/>
      <c r="S57" s="339"/>
      <c r="T57" s="339"/>
      <c r="U57" s="339"/>
      <c r="V57" s="339"/>
      <c r="W57" s="339"/>
      <c r="X57" s="339"/>
      <c r="Y57" s="339"/>
      <c r="Z57" s="339"/>
    </row>
    <row r="58" spans="1:26" ht="15.75" customHeight="1">
      <c r="A58" s="389"/>
      <c r="B58" s="381"/>
      <c r="C58" s="381"/>
      <c r="D58" s="381"/>
      <c r="E58" s="381"/>
      <c r="F58" s="381"/>
      <c r="G58" s="383"/>
      <c r="H58" s="381"/>
      <c r="I58" s="381"/>
      <c r="J58" s="381"/>
      <c r="K58" s="381"/>
      <c r="L58" s="381"/>
      <c r="M58" s="381"/>
      <c r="N58" s="381"/>
      <c r="O58" s="381"/>
      <c r="P58" s="339"/>
      <c r="Q58" s="339"/>
      <c r="R58" s="339"/>
      <c r="S58" s="339"/>
      <c r="T58" s="339"/>
      <c r="U58" s="339"/>
      <c r="V58" s="339"/>
      <c r="W58" s="339"/>
      <c r="X58" s="339"/>
      <c r="Y58" s="339"/>
      <c r="Z58" s="339"/>
    </row>
    <row r="59" spans="1:26" ht="15.75" customHeight="1">
      <c r="A59" s="384"/>
      <c r="B59" s="339"/>
      <c r="C59" s="339"/>
      <c r="D59" s="339"/>
      <c r="E59" s="381"/>
      <c r="F59" s="381"/>
      <c r="G59" s="383"/>
      <c r="H59" s="339"/>
      <c r="I59" s="339"/>
      <c r="J59" s="339"/>
      <c r="K59" s="339"/>
      <c r="L59" s="339"/>
      <c r="M59" s="339"/>
      <c r="N59" s="339"/>
      <c r="O59" s="339"/>
      <c r="P59" s="339"/>
      <c r="Q59" s="339"/>
      <c r="R59" s="339"/>
      <c r="S59" s="339"/>
      <c r="T59" s="339"/>
      <c r="U59" s="339"/>
      <c r="V59" s="339"/>
      <c r="W59" s="339"/>
      <c r="X59" s="339"/>
      <c r="Y59" s="339"/>
      <c r="Z59" s="339"/>
    </row>
    <row r="60" spans="1:26" ht="15.75" customHeight="1">
      <c r="A60" s="384"/>
      <c r="B60" s="339"/>
      <c r="C60" s="339"/>
      <c r="D60" s="339"/>
      <c r="E60" s="339"/>
      <c r="F60" s="339"/>
      <c r="G60" s="339"/>
      <c r="H60" s="339"/>
      <c r="I60" s="339"/>
      <c r="J60" s="339"/>
      <c r="K60" s="339"/>
      <c r="L60" s="339"/>
      <c r="M60" s="339"/>
      <c r="N60" s="339"/>
      <c r="O60" s="339"/>
      <c r="P60" s="339"/>
      <c r="Q60" s="339"/>
      <c r="R60" s="339"/>
      <c r="S60" s="339"/>
      <c r="T60" s="339"/>
      <c r="U60" s="339"/>
      <c r="V60" s="339"/>
      <c r="W60" s="339"/>
      <c r="X60" s="339"/>
      <c r="Y60" s="339"/>
      <c r="Z60" s="339"/>
    </row>
    <row r="61" spans="1:26" ht="15.75" customHeight="1">
      <c r="A61" s="384"/>
      <c r="B61" s="390"/>
      <c r="C61" s="390"/>
      <c r="D61" s="390"/>
      <c r="E61" s="390"/>
      <c r="F61" s="390"/>
      <c r="G61" s="390"/>
      <c r="H61" s="390"/>
      <c r="I61" s="390"/>
      <c r="J61" s="390"/>
      <c r="K61" s="390"/>
      <c r="L61" s="390"/>
      <c r="M61" s="390"/>
      <c r="N61" s="390"/>
      <c r="O61" s="390"/>
      <c r="P61" s="339"/>
      <c r="Q61" s="339"/>
      <c r="R61" s="339"/>
      <c r="S61" s="339"/>
      <c r="T61" s="339"/>
      <c r="U61" s="339"/>
      <c r="V61" s="339"/>
      <c r="W61" s="339"/>
      <c r="X61" s="339"/>
      <c r="Y61" s="339"/>
      <c r="Z61" s="339"/>
    </row>
    <row r="62" spans="1:26" ht="15.75" customHeight="1">
      <c r="A62" s="384"/>
      <c r="B62" s="390"/>
      <c r="C62" s="390"/>
      <c r="D62" s="390"/>
      <c r="E62" s="390"/>
      <c r="F62" s="390"/>
      <c r="G62" s="390"/>
      <c r="H62" s="390"/>
      <c r="I62" s="390"/>
      <c r="J62" s="390"/>
      <c r="K62" s="390"/>
      <c r="L62" s="390"/>
      <c r="M62" s="390"/>
      <c r="N62" s="390"/>
      <c r="O62" s="390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</row>
    <row r="63" spans="1:26" ht="41.25" customHeight="1">
      <c r="A63" s="389"/>
      <c r="B63" s="391"/>
      <c r="C63" s="391"/>
      <c r="D63" s="391"/>
      <c r="E63" s="391"/>
      <c r="F63" s="391"/>
      <c r="G63" s="391"/>
      <c r="H63" s="391"/>
      <c r="I63" s="391"/>
      <c r="J63" s="391"/>
      <c r="K63" s="391"/>
      <c r="L63" s="391"/>
      <c r="M63" s="391"/>
      <c r="N63" s="391"/>
      <c r="O63" s="391"/>
      <c r="P63" s="339"/>
      <c r="Q63" s="339"/>
      <c r="R63" s="339"/>
      <c r="S63" s="339"/>
      <c r="T63" s="339"/>
      <c r="U63" s="339"/>
      <c r="V63" s="339"/>
      <c r="W63" s="339"/>
      <c r="X63" s="339"/>
      <c r="Y63" s="339"/>
      <c r="Z63" s="339"/>
    </row>
    <row r="64" spans="1:26" ht="15.75" customHeight="1">
      <c r="A64" s="384"/>
      <c r="B64" s="391"/>
      <c r="C64" s="391"/>
      <c r="D64" s="391"/>
      <c r="E64" s="391"/>
      <c r="F64" s="391"/>
      <c r="G64" s="391"/>
      <c r="H64" s="391"/>
      <c r="I64" s="391"/>
      <c r="J64" s="391"/>
      <c r="K64" s="391"/>
      <c r="L64" s="391"/>
      <c r="M64" s="391"/>
      <c r="N64" s="391"/>
      <c r="O64" s="391"/>
      <c r="P64" s="339"/>
      <c r="Q64" s="339"/>
      <c r="R64" s="339"/>
      <c r="S64" s="339"/>
      <c r="T64" s="339"/>
      <c r="U64" s="339"/>
      <c r="V64" s="339"/>
      <c r="W64" s="339"/>
      <c r="X64" s="339"/>
      <c r="Y64" s="339"/>
      <c r="Z64" s="339"/>
    </row>
    <row r="65" spans="1:26" ht="15.75" customHeight="1">
      <c r="A65" s="384"/>
      <c r="B65" s="391"/>
      <c r="C65" s="391"/>
      <c r="D65" s="391"/>
      <c r="E65" s="391"/>
      <c r="F65" s="391"/>
      <c r="G65" s="391"/>
      <c r="H65" s="391"/>
      <c r="I65" s="391"/>
      <c r="J65" s="391"/>
      <c r="K65" s="391"/>
      <c r="L65" s="391"/>
      <c r="M65" s="391"/>
      <c r="N65" s="391"/>
      <c r="O65" s="391"/>
      <c r="P65" s="339"/>
      <c r="Q65" s="339"/>
      <c r="R65" s="339"/>
      <c r="S65" s="339"/>
      <c r="T65" s="339"/>
      <c r="U65" s="339"/>
      <c r="V65" s="339"/>
      <c r="W65" s="339"/>
      <c r="X65" s="339"/>
      <c r="Y65" s="339"/>
      <c r="Z65" s="339"/>
    </row>
    <row r="66" spans="1:26" ht="15.75" customHeight="1">
      <c r="A66" s="389"/>
      <c r="B66" s="390"/>
      <c r="C66" s="390"/>
      <c r="D66" s="390"/>
      <c r="E66" s="390"/>
      <c r="F66" s="390"/>
      <c r="G66" s="390"/>
      <c r="H66" s="390"/>
      <c r="I66" s="390"/>
      <c r="J66" s="390"/>
      <c r="K66" s="390"/>
      <c r="L66" s="390"/>
      <c r="M66" s="390"/>
      <c r="N66" s="390"/>
      <c r="O66" s="390"/>
      <c r="P66" s="339"/>
      <c r="Q66" s="339"/>
      <c r="R66" s="339"/>
      <c r="S66" s="339"/>
      <c r="T66" s="339"/>
      <c r="U66" s="339"/>
      <c r="V66" s="339"/>
      <c r="W66" s="339"/>
      <c r="X66" s="339"/>
      <c r="Y66" s="339"/>
      <c r="Z66" s="339"/>
    </row>
    <row r="67" spans="1:26" ht="15.75" customHeight="1">
      <c r="A67" s="389"/>
      <c r="B67" s="390"/>
      <c r="C67" s="390"/>
      <c r="D67" s="390"/>
      <c r="E67" s="390"/>
      <c r="F67" s="390"/>
      <c r="G67" s="390"/>
      <c r="H67" s="390"/>
      <c r="I67" s="390"/>
      <c r="J67" s="390"/>
      <c r="K67" s="390"/>
      <c r="L67" s="390"/>
      <c r="M67" s="390"/>
      <c r="N67" s="390"/>
      <c r="O67" s="390"/>
      <c r="P67" s="339"/>
      <c r="Q67" s="339"/>
      <c r="R67" s="339"/>
      <c r="S67" s="339"/>
      <c r="T67" s="339"/>
      <c r="U67" s="339"/>
      <c r="V67" s="339"/>
      <c r="W67" s="339"/>
      <c r="X67" s="339"/>
      <c r="Y67" s="339"/>
      <c r="Z67" s="339"/>
    </row>
    <row r="68" spans="1:26" ht="15.75" customHeight="1">
      <c r="A68" s="389"/>
      <c r="B68" s="390"/>
      <c r="C68" s="390"/>
      <c r="D68" s="390"/>
      <c r="E68" s="390"/>
      <c r="F68" s="390"/>
      <c r="G68" s="390"/>
      <c r="H68" s="390"/>
      <c r="I68" s="390"/>
      <c r="J68" s="390"/>
      <c r="K68" s="390"/>
      <c r="L68" s="390"/>
      <c r="M68" s="390"/>
      <c r="N68" s="390"/>
      <c r="O68" s="390"/>
      <c r="P68" s="339"/>
      <c r="Q68" s="339"/>
      <c r="R68" s="339"/>
      <c r="S68" s="339"/>
      <c r="T68" s="339"/>
      <c r="U68" s="339"/>
      <c r="V68" s="339"/>
      <c r="W68" s="339"/>
      <c r="X68" s="339"/>
      <c r="Y68" s="339"/>
      <c r="Z68" s="339"/>
    </row>
    <row r="69" spans="1:26" ht="15.75" customHeight="1">
      <c r="A69" s="389"/>
      <c r="B69" s="390"/>
      <c r="C69" s="390"/>
      <c r="D69" s="390"/>
      <c r="E69" s="390"/>
      <c r="F69" s="390"/>
      <c r="G69" s="390"/>
      <c r="H69" s="390"/>
      <c r="I69" s="390"/>
      <c r="J69" s="390"/>
      <c r="K69" s="390"/>
      <c r="L69" s="390"/>
      <c r="M69" s="390"/>
      <c r="N69" s="390"/>
      <c r="O69" s="390"/>
      <c r="P69" s="339"/>
      <c r="Q69" s="339"/>
      <c r="R69" s="339"/>
      <c r="S69" s="339"/>
      <c r="T69" s="339"/>
      <c r="U69" s="339"/>
      <c r="V69" s="339"/>
      <c r="W69" s="339"/>
      <c r="X69" s="339"/>
      <c r="Y69" s="339"/>
      <c r="Z69" s="339"/>
    </row>
    <row r="70" spans="1:26" ht="15.75" customHeight="1">
      <c r="A70" s="384"/>
      <c r="B70" s="339"/>
      <c r="C70" s="339"/>
      <c r="D70" s="339"/>
      <c r="E70" s="339"/>
      <c r="F70" s="339"/>
      <c r="G70" s="339"/>
      <c r="H70" s="339"/>
      <c r="I70" s="339"/>
      <c r="J70" s="339"/>
      <c r="K70" s="339"/>
      <c r="L70" s="339"/>
      <c r="M70" s="339"/>
      <c r="N70" s="339"/>
      <c r="O70" s="339"/>
      <c r="P70" s="339"/>
      <c r="Q70" s="339"/>
      <c r="R70" s="339"/>
      <c r="S70" s="339"/>
      <c r="T70" s="339"/>
      <c r="U70" s="339"/>
      <c r="V70" s="339"/>
      <c r="W70" s="339"/>
      <c r="X70" s="339"/>
      <c r="Y70" s="339"/>
      <c r="Z70" s="339"/>
    </row>
    <row r="71" spans="1:26" ht="15.75" customHeight="1">
      <c r="A71" s="384"/>
      <c r="B71" s="339"/>
      <c r="C71" s="339"/>
      <c r="D71" s="339"/>
      <c r="E71" s="339"/>
      <c r="F71" s="339"/>
      <c r="G71" s="339"/>
      <c r="H71" s="339"/>
      <c r="I71" s="339"/>
      <c r="J71" s="339"/>
      <c r="K71" s="339"/>
      <c r="L71" s="339"/>
      <c r="M71" s="339"/>
      <c r="N71" s="339"/>
      <c r="O71" s="339"/>
      <c r="P71" s="339"/>
      <c r="Q71" s="339"/>
      <c r="R71" s="339"/>
      <c r="S71" s="339"/>
      <c r="T71" s="339"/>
      <c r="U71" s="339"/>
      <c r="V71" s="339"/>
      <c r="W71" s="339"/>
      <c r="X71" s="339"/>
      <c r="Y71" s="339"/>
      <c r="Z71" s="339"/>
    </row>
    <row r="72" spans="1:26" ht="15.75" customHeight="1">
      <c r="A72" s="384"/>
      <c r="B72" s="381"/>
      <c r="C72" s="392"/>
      <c r="D72" s="392"/>
      <c r="E72" s="392"/>
      <c r="F72" s="392"/>
      <c r="G72" s="392"/>
      <c r="H72" s="392"/>
      <c r="I72" s="392"/>
      <c r="J72" s="392"/>
      <c r="K72" s="392"/>
      <c r="L72" s="392"/>
      <c r="M72" s="392"/>
      <c r="N72" s="392"/>
      <c r="O72" s="392"/>
      <c r="P72" s="339"/>
      <c r="Q72" s="339"/>
      <c r="R72" s="339"/>
      <c r="S72" s="339"/>
      <c r="T72" s="339"/>
      <c r="U72" s="339"/>
      <c r="V72" s="339"/>
      <c r="W72" s="339"/>
      <c r="X72" s="339"/>
      <c r="Y72" s="339"/>
      <c r="Z72" s="339"/>
    </row>
    <row r="73" spans="1:26" ht="15.75" customHeight="1">
      <c r="A73" s="393"/>
      <c r="B73" s="381"/>
      <c r="C73" s="381"/>
      <c r="D73" s="381"/>
      <c r="E73" s="381"/>
      <c r="F73" s="381"/>
      <c r="G73" s="381"/>
      <c r="H73" s="381"/>
      <c r="I73" s="381"/>
      <c r="J73" s="381"/>
      <c r="K73" s="381"/>
      <c r="L73" s="381"/>
      <c r="M73" s="381"/>
      <c r="N73" s="381"/>
      <c r="O73" s="381"/>
      <c r="P73" s="339"/>
      <c r="Q73" s="339"/>
      <c r="R73" s="339"/>
      <c r="S73" s="339"/>
      <c r="T73" s="339"/>
      <c r="U73" s="339"/>
      <c r="V73" s="339"/>
      <c r="W73" s="339"/>
      <c r="X73" s="339"/>
      <c r="Y73" s="339"/>
      <c r="Z73" s="339"/>
    </row>
    <row r="74" spans="1:26" ht="15.75" customHeight="1">
      <c r="A74" s="393"/>
      <c r="B74" s="381"/>
      <c r="C74" s="381"/>
      <c r="D74" s="381"/>
      <c r="E74" s="381"/>
      <c r="F74" s="381"/>
      <c r="G74" s="381"/>
      <c r="H74" s="381"/>
      <c r="I74" s="381"/>
      <c r="J74" s="381"/>
      <c r="K74" s="381"/>
      <c r="L74" s="381"/>
      <c r="M74" s="381"/>
      <c r="N74" s="381"/>
      <c r="O74" s="381"/>
      <c r="P74" s="339"/>
      <c r="Q74" s="339"/>
      <c r="R74" s="339"/>
      <c r="S74" s="339"/>
      <c r="T74" s="339"/>
      <c r="U74" s="339"/>
      <c r="V74" s="339"/>
      <c r="W74" s="339"/>
      <c r="X74" s="339"/>
      <c r="Y74" s="339"/>
      <c r="Z74" s="339"/>
    </row>
    <row r="75" spans="1:26" ht="15.75" customHeight="1">
      <c r="A75" s="339"/>
      <c r="B75" s="339"/>
      <c r="C75" s="339"/>
      <c r="D75" s="339"/>
      <c r="E75" s="339"/>
      <c r="F75" s="339"/>
      <c r="G75" s="339"/>
      <c r="H75" s="339"/>
      <c r="I75" s="339"/>
      <c r="J75" s="339"/>
      <c r="K75" s="339"/>
      <c r="L75" s="339"/>
      <c r="M75" s="339"/>
      <c r="N75" s="339"/>
      <c r="O75" s="339"/>
      <c r="P75" s="339"/>
      <c r="Q75" s="339"/>
      <c r="R75" s="339"/>
      <c r="S75" s="339"/>
      <c r="T75" s="339"/>
      <c r="U75" s="339"/>
      <c r="V75" s="339"/>
      <c r="W75" s="339"/>
      <c r="X75" s="339"/>
      <c r="Y75" s="339"/>
      <c r="Z75" s="339"/>
    </row>
    <row r="76" spans="1:26" ht="15.75" customHeight="1">
      <c r="A76" s="389"/>
      <c r="B76" s="339"/>
      <c r="C76" s="339"/>
      <c r="D76" s="339"/>
      <c r="E76" s="339"/>
      <c r="F76" s="339"/>
      <c r="G76" s="339"/>
      <c r="H76" s="339"/>
      <c r="I76" s="339"/>
      <c r="J76" s="339"/>
      <c r="K76" s="339"/>
      <c r="L76" s="339"/>
      <c r="M76" s="339"/>
      <c r="N76" s="339"/>
      <c r="O76" s="339"/>
      <c r="P76" s="339"/>
      <c r="Q76" s="339"/>
      <c r="R76" s="339"/>
      <c r="S76" s="339"/>
      <c r="T76" s="339"/>
      <c r="U76" s="339"/>
      <c r="V76" s="339"/>
      <c r="W76" s="339"/>
      <c r="X76" s="339"/>
      <c r="Y76" s="339"/>
      <c r="Z76" s="339"/>
    </row>
    <row r="77" spans="1:26" ht="15.75" customHeight="1">
      <c r="A77" s="394"/>
      <c r="B77" s="339"/>
      <c r="C77" s="339"/>
      <c r="D77" s="339"/>
      <c r="E77" s="339"/>
      <c r="F77" s="339"/>
      <c r="G77" s="339"/>
      <c r="H77" s="339"/>
      <c r="I77" s="339"/>
      <c r="J77" s="339"/>
      <c r="K77" s="339"/>
      <c r="L77" s="339"/>
      <c r="M77" s="339"/>
      <c r="N77" s="339"/>
      <c r="O77" s="339"/>
      <c r="P77" s="339"/>
      <c r="Q77" s="339"/>
      <c r="R77" s="339"/>
      <c r="S77" s="339"/>
      <c r="T77" s="339"/>
      <c r="U77" s="339"/>
      <c r="V77" s="339"/>
      <c r="W77" s="339"/>
      <c r="X77" s="339"/>
      <c r="Y77" s="339"/>
      <c r="Z77" s="339"/>
    </row>
    <row r="78" spans="1:26" ht="15.75" customHeight="1">
      <c r="A78" s="339"/>
      <c r="B78" s="339"/>
      <c r="C78" s="339"/>
      <c r="D78" s="339"/>
      <c r="E78" s="339"/>
      <c r="F78" s="339"/>
      <c r="G78" s="339"/>
      <c r="H78" s="339"/>
      <c r="I78" s="339"/>
      <c r="J78" s="339"/>
      <c r="K78" s="339"/>
      <c r="L78" s="339"/>
      <c r="M78" s="339"/>
      <c r="N78" s="339"/>
      <c r="O78" s="339"/>
      <c r="P78" s="339"/>
      <c r="Q78" s="339"/>
      <c r="R78" s="339"/>
      <c r="S78" s="339"/>
      <c r="T78" s="339"/>
      <c r="U78" s="339"/>
      <c r="V78" s="339"/>
      <c r="W78" s="339"/>
      <c r="X78" s="339"/>
      <c r="Y78" s="339"/>
      <c r="Z78" s="339"/>
    </row>
    <row r="79" spans="1:26" ht="15.75" customHeight="1">
      <c r="A79" s="384"/>
      <c r="B79" s="339"/>
      <c r="C79" s="339"/>
      <c r="D79" s="339"/>
      <c r="E79" s="339"/>
      <c r="F79" s="339"/>
      <c r="G79" s="339"/>
      <c r="H79" s="339"/>
      <c r="I79" s="339"/>
      <c r="J79" s="339"/>
      <c r="K79" s="339"/>
      <c r="L79" s="339"/>
      <c r="M79" s="339"/>
      <c r="N79" s="339"/>
      <c r="O79" s="339"/>
      <c r="P79" s="339"/>
      <c r="Q79" s="339"/>
      <c r="R79" s="339"/>
      <c r="S79" s="339"/>
      <c r="T79" s="339"/>
      <c r="U79" s="339"/>
      <c r="V79" s="339"/>
      <c r="W79" s="339"/>
      <c r="X79" s="339"/>
      <c r="Y79" s="339"/>
      <c r="Z79" s="339"/>
    </row>
    <row r="80" spans="1:26" ht="15.75" customHeight="1">
      <c r="A80" s="384"/>
      <c r="B80" s="339"/>
      <c r="C80" s="339"/>
      <c r="D80" s="339"/>
      <c r="E80" s="339"/>
      <c r="F80" s="339"/>
      <c r="G80" s="339"/>
      <c r="H80" s="339"/>
      <c r="I80" s="339"/>
      <c r="J80" s="339"/>
      <c r="K80" s="339"/>
      <c r="L80" s="339"/>
      <c r="M80" s="339"/>
      <c r="N80" s="339"/>
      <c r="O80" s="339"/>
      <c r="P80" s="339"/>
      <c r="Q80" s="339"/>
      <c r="R80" s="339"/>
      <c r="S80" s="339"/>
      <c r="T80" s="339"/>
      <c r="U80" s="339"/>
      <c r="V80" s="339"/>
      <c r="W80" s="339"/>
      <c r="X80" s="339"/>
      <c r="Y80" s="339"/>
      <c r="Z80" s="339"/>
    </row>
    <row r="81" spans="1:26" ht="15.75" customHeight="1">
      <c r="A81" s="384"/>
      <c r="B81" s="339"/>
      <c r="C81" s="339"/>
      <c r="D81" s="339"/>
      <c r="E81" s="339"/>
      <c r="F81" s="339"/>
      <c r="G81" s="339"/>
      <c r="H81" s="339"/>
      <c r="I81" s="339"/>
      <c r="J81" s="339"/>
      <c r="K81" s="339"/>
      <c r="L81" s="339"/>
      <c r="M81" s="339"/>
      <c r="N81" s="339"/>
      <c r="O81" s="339"/>
      <c r="P81" s="339"/>
      <c r="Q81" s="339"/>
      <c r="R81" s="339"/>
      <c r="S81" s="339"/>
      <c r="T81" s="339"/>
      <c r="U81" s="339"/>
      <c r="V81" s="339"/>
      <c r="W81" s="339"/>
      <c r="X81" s="339"/>
      <c r="Y81" s="339"/>
      <c r="Z81" s="339"/>
    </row>
    <row r="82" spans="1:26" ht="15.75" customHeight="1">
      <c r="A82" s="384"/>
      <c r="B82" s="339"/>
      <c r="C82" s="339"/>
      <c r="D82" s="339"/>
      <c r="E82" s="339"/>
      <c r="F82" s="339"/>
      <c r="G82" s="339"/>
      <c r="H82" s="339"/>
      <c r="I82" s="339"/>
      <c r="J82" s="339"/>
      <c r="K82" s="339"/>
      <c r="L82" s="339"/>
      <c r="M82" s="339"/>
      <c r="N82" s="339"/>
      <c r="O82" s="339"/>
      <c r="P82" s="339"/>
      <c r="Q82" s="339"/>
      <c r="R82" s="339"/>
      <c r="S82" s="339"/>
      <c r="T82" s="339"/>
      <c r="U82" s="339"/>
      <c r="V82" s="339"/>
      <c r="W82" s="339"/>
      <c r="X82" s="339"/>
      <c r="Y82" s="339"/>
      <c r="Z82" s="339"/>
    </row>
    <row r="83" spans="1:26" ht="15.75" customHeight="1">
      <c r="A83" s="384"/>
      <c r="B83" s="339"/>
      <c r="C83" s="339"/>
      <c r="D83" s="339"/>
      <c r="E83" s="339"/>
      <c r="F83" s="339"/>
      <c r="G83" s="339"/>
      <c r="H83" s="339"/>
      <c r="I83" s="339"/>
      <c r="J83" s="339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39"/>
      <c r="W83" s="339"/>
      <c r="X83" s="339"/>
      <c r="Y83" s="339"/>
      <c r="Z83" s="339"/>
    </row>
    <row r="84" spans="1:26" ht="15.75" customHeight="1">
      <c r="A84" s="384"/>
      <c r="B84" s="339"/>
      <c r="C84" s="339"/>
      <c r="D84" s="339"/>
      <c r="E84" s="339"/>
      <c r="F84" s="339"/>
      <c r="G84" s="339"/>
      <c r="H84" s="339"/>
      <c r="I84" s="339"/>
      <c r="J84" s="339"/>
      <c r="K84" s="339"/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39"/>
      <c r="W84" s="339"/>
      <c r="X84" s="339"/>
      <c r="Y84" s="339"/>
      <c r="Z84" s="339"/>
    </row>
    <row r="85" spans="1:26" ht="15.75" customHeight="1">
      <c r="A85" s="384"/>
      <c r="B85" s="339"/>
      <c r="C85" s="339"/>
      <c r="D85" s="339"/>
      <c r="E85" s="339"/>
      <c r="F85" s="339"/>
      <c r="G85" s="339"/>
      <c r="H85" s="339"/>
      <c r="I85" s="339"/>
      <c r="J85" s="339"/>
      <c r="K85" s="33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39"/>
      <c r="W85" s="339"/>
      <c r="X85" s="339"/>
      <c r="Y85" s="339"/>
      <c r="Z85" s="339"/>
    </row>
    <row r="86" spans="1:26" ht="15.75" customHeight="1">
      <c r="A86" s="384"/>
      <c r="B86" s="339"/>
      <c r="C86" s="339"/>
      <c r="D86" s="339"/>
      <c r="E86" s="339"/>
      <c r="F86" s="339"/>
      <c r="G86" s="339"/>
      <c r="H86" s="339"/>
      <c r="I86" s="339"/>
      <c r="J86" s="339"/>
      <c r="K86" s="339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39"/>
      <c r="W86" s="339"/>
      <c r="X86" s="339"/>
      <c r="Y86" s="339"/>
      <c r="Z86" s="339"/>
    </row>
    <row r="87" spans="1:26" ht="15.75" customHeight="1">
      <c r="A87" s="384"/>
      <c r="B87" s="339"/>
      <c r="C87" s="339"/>
      <c r="D87" s="339"/>
      <c r="E87" s="339"/>
      <c r="F87" s="339"/>
      <c r="G87" s="339"/>
      <c r="H87" s="339"/>
      <c r="I87" s="339"/>
      <c r="J87" s="339"/>
      <c r="K87" s="33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339"/>
      <c r="W87" s="339"/>
      <c r="X87" s="339"/>
      <c r="Y87" s="339"/>
      <c r="Z87" s="339"/>
    </row>
    <row r="88" spans="1:26" ht="15.75" customHeight="1">
      <c r="A88" s="384"/>
      <c r="B88" s="339"/>
      <c r="C88" s="339"/>
      <c r="D88" s="339"/>
      <c r="E88" s="339"/>
      <c r="F88" s="339"/>
      <c r="G88" s="339"/>
      <c r="H88" s="339"/>
      <c r="I88" s="339"/>
      <c r="J88" s="339"/>
      <c r="K88" s="339"/>
      <c r="L88" s="339"/>
      <c r="M88" s="339"/>
      <c r="N88" s="339"/>
      <c r="O88" s="339"/>
      <c r="P88" s="339"/>
      <c r="Q88" s="339"/>
      <c r="R88" s="339"/>
      <c r="S88" s="339"/>
      <c r="T88" s="339"/>
      <c r="U88" s="339"/>
      <c r="V88" s="339"/>
      <c r="W88" s="339"/>
      <c r="X88" s="339"/>
      <c r="Y88" s="339"/>
      <c r="Z88" s="339"/>
    </row>
    <row r="89" spans="1:26" ht="15.75" customHeight="1">
      <c r="A89" s="384"/>
      <c r="B89" s="339"/>
      <c r="C89" s="339"/>
      <c r="D89" s="339"/>
      <c r="E89" s="339"/>
      <c r="F89" s="339"/>
      <c r="G89" s="339"/>
      <c r="H89" s="339"/>
      <c r="I89" s="339"/>
      <c r="J89" s="339"/>
      <c r="K89" s="339"/>
      <c r="L89" s="339"/>
      <c r="M89" s="339"/>
      <c r="N89" s="339"/>
      <c r="O89" s="339"/>
      <c r="P89" s="339"/>
      <c r="Q89" s="339"/>
      <c r="R89" s="339"/>
      <c r="S89" s="339"/>
      <c r="T89" s="339"/>
      <c r="U89" s="339"/>
      <c r="V89" s="339"/>
      <c r="W89" s="339"/>
      <c r="X89" s="339"/>
      <c r="Y89" s="339"/>
      <c r="Z89" s="339"/>
    </row>
    <row r="90" spans="1:26" ht="15.75" customHeight="1">
      <c r="A90" s="384"/>
      <c r="B90" s="339"/>
      <c r="C90" s="339"/>
      <c r="D90" s="339"/>
      <c r="E90" s="339"/>
      <c r="F90" s="339"/>
      <c r="G90" s="339"/>
      <c r="H90" s="339"/>
      <c r="I90" s="339"/>
      <c r="J90" s="339"/>
      <c r="K90" s="339"/>
      <c r="L90" s="339"/>
      <c r="M90" s="339"/>
      <c r="N90" s="339"/>
      <c r="O90" s="339"/>
      <c r="P90" s="339"/>
      <c r="Q90" s="339"/>
      <c r="R90" s="339"/>
      <c r="S90" s="339"/>
      <c r="T90" s="339"/>
      <c r="U90" s="339"/>
      <c r="V90" s="339"/>
      <c r="W90" s="339"/>
      <c r="X90" s="339"/>
      <c r="Y90" s="339"/>
      <c r="Z90" s="339"/>
    </row>
    <row r="91" spans="1:26" ht="15.75" customHeight="1">
      <c r="A91" s="384"/>
      <c r="B91" s="339"/>
      <c r="C91" s="339"/>
      <c r="D91" s="339"/>
      <c r="E91" s="339"/>
      <c r="F91" s="339"/>
      <c r="G91" s="339"/>
      <c r="H91" s="339"/>
      <c r="I91" s="339"/>
      <c r="J91" s="339"/>
      <c r="K91" s="339"/>
      <c r="L91" s="339"/>
      <c r="M91" s="339"/>
      <c r="N91" s="339"/>
      <c r="O91" s="339"/>
      <c r="P91" s="339"/>
      <c r="Q91" s="339"/>
      <c r="R91" s="339"/>
      <c r="S91" s="339"/>
      <c r="T91" s="339"/>
      <c r="U91" s="339"/>
      <c r="V91" s="339"/>
      <c r="W91" s="339"/>
      <c r="X91" s="339"/>
      <c r="Y91" s="339"/>
      <c r="Z91" s="339"/>
    </row>
    <row r="92" spans="1:26" ht="15.75" customHeight="1">
      <c r="A92" s="384"/>
      <c r="B92" s="339"/>
      <c r="C92" s="339"/>
      <c r="D92" s="339"/>
      <c r="E92" s="339"/>
      <c r="F92" s="339"/>
      <c r="G92" s="339"/>
      <c r="H92" s="339"/>
      <c r="I92" s="339"/>
      <c r="J92" s="339"/>
      <c r="K92" s="339"/>
      <c r="L92" s="339"/>
      <c r="M92" s="339"/>
      <c r="N92" s="339"/>
      <c r="O92" s="339"/>
      <c r="P92" s="339"/>
      <c r="Q92" s="339"/>
      <c r="R92" s="339"/>
      <c r="S92" s="339"/>
      <c r="T92" s="339"/>
      <c r="U92" s="339"/>
      <c r="V92" s="339"/>
      <c r="W92" s="339"/>
      <c r="X92" s="339"/>
      <c r="Y92" s="339"/>
      <c r="Z92" s="339"/>
    </row>
    <row r="93" spans="1:26" ht="15.75" customHeight="1">
      <c r="A93" s="384"/>
      <c r="B93" s="339"/>
      <c r="C93" s="339"/>
      <c r="D93" s="339"/>
      <c r="E93" s="339"/>
      <c r="F93" s="339"/>
      <c r="G93" s="339"/>
      <c r="H93" s="339"/>
      <c r="I93" s="339"/>
      <c r="J93" s="339"/>
      <c r="K93" s="339"/>
      <c r="L93" s="339"/>
      <c r="M93" s="339"/>
      <c r="N93" s="339"/>
      <c r="O93" s="339"/>
      <c r="P93" s="339"/>
      <c r="Q93" s="339"/>
      <c r="R93" s="339"/>
      <c r="S93" s="339"/>
      <c r="T93" s="339"/>
      <c r="U93" s="339"/>
      <c r="V93" s="339"/>
      <c r="W93" s="339"/>
      <c r="X93" s="339"/>
      <c r="Y93" s="339"/>
      <c r="Z93" s="339"/>
    </row>
    <row r="94" spans="1:26" ht="15.75" customHeight="1">
      <c r="A94" s="384"/>
      <c r="B94" s="339"/>
      <c r="C94" s="339"/>
      <c r="D94" s="339"/>
      <c r="E94" s="339"/>
      <c r="F94" s="339"/>
      <c r="G94" s="339"/>
      <c r="H94" s="339"/>
      <c r="I94" s="339"/>
      <c r="J94" s="339"/>
      <c r="K94" s="339"/>
      <c r="L94" s="339"/>
      <c r="M94" s="339"/>
      <c r="N94" s="339"/>
      <c r="O94" s="339"/>
      <c r="P94" s="339"/>
      <c r="Q94" s="339"/>
      <c r="R94" s="339"/>
      <c r="S94" s="339"/>
      <c r="T94" s="339"/>
      <c r="U94" s="339"/>
      <c r="V94" s="339"/>
      <c r="W94" s="339"/>
      <c r="X94" s="339"/>
      <c r="Y94" s="339"/>
      <c r="Z94" s="339"/>
    </row>
    <row r="95" spans="1:26" ht="15.75" customHeight="1">
      <c r="A95" s="339"/>
      <c r="B95" s="339"/>
      <c r="C95" s="339"/>
      <c r="D95" s="339"/>
      <c r="E95" s="339"/>
      <c r="F95" s="339"/>
      <c r="G95" s="339"/>
      <c r="H95" s="339"/>
      <c r="I95" s="339"/>
      <c r="J95" s="339"/>
      <c r="K95" s="339"/>
      <c r="L95" s="339"/>
      <c r="M95" s="339"/>
      <c r="N95" s="339"/>
      <c r="O95" s="339"/>
      <c r="P95" s="339"/>
      <c r="Q95" s="339"/>
      <c r="R95" s="339"/>
      <c r="S95" s="339"/>
      <c r="T95" s="339"/>
      <c r="U95" s="339"/>
      <c r="V95" s="339"/>
      <c r="W95" s="339"/>
      <c r="X95" s="339"/>
      <c r="Y95" s="339"/>
      <c r="Z95" s="339"/>
    </row>
    <row r="96" spans="1:26" ht="15.75" customHeight="1">
      <c r="A96" s="339"/>
      <c r="B96" s="339"/>
      <c r="C96" s="339"/>
      <c r="D96" s="339"/>
      <c r="E96" s="339"/>
      <c r="F96" s="339"/>
      <c r="G96" s="339"/>
      <c r="H96" s="339"/>
      <c r="I96" s="339"/>
      <c r="J96" s="339"/>
      <c r="K96" s="339"/>
      <c r="L96" s="339"/>
      <c r="M96" s="339"/>
      <c r="N96" s="339"/>
      <c r="O96" s="339"/>
      <c r="P96" s="339"/>
      <c r="Q96" s="339"/>
      <c r="R96" s="339"/>
      <c r="S96" s="339"/>
      <c r="T96" s="339"/>
      <c r="U96" s="339"/>
      <c r="V96" s="339"/>
      <c r="W96" s="339"/>
      <c r="X96" s="339"/>
      <c r="Y96" s="339"/>
      <c r="Z96" s="339"/>
    </row>
    <row r="97" spans="1:26" ht="15.75" customHeight="1">
      <c r="A97" s="339"/>
      <c r="B97" s="339"/>
      <c r="C97" s="339"/>
      <c r="D97" s="339"/>
      <c r="E97" s="339"/>
      <c r="F97" s="339"/>
      <c r="G97" s="339"/>
      <c r="H97" s="339"/>
      <c r="I97" s="339"/>
      <c r="J97" s="339"/>
      <c r="K97" s="339"/>
      <c r="L97" s="339"/>
      <c r="M97" s="339"/>
      <c r="N97" s="339"/>
      <c r="O97" s="339"/>
      <c r="P97" s="339"/>
      <c r="Q97" s="339"/>
      <c r="R97" s="339"/>
      <c r="S97" s="339"/>
      <c r="T97" s="339"/>
      <c r="U97" s="339"/>
      <c r="V97" s="339"/>
      <c r="W97" s="339"/>
      <c r="X97" s="339"/>
      <c r="Y97" s="339"/>
      <c r="Z97" s="339"/>
    </row>
    <row r="98" spans="1:26" ht="15.75" customHeight="1">
      <c r="A98" s="339"/>
      <c r="B98" s="339"/>
      <c r="C98" s="339"/>
      <c r="D98" s="339"/>
      <c r="E98" s="339"/>
      <c r="F98" s="339"/>
      <c r="G98" s="339"/>
      <c r="H98" s="339"/>
      <c r="I98" s="339"/>
      <c r="J98" s="339"/>
      <c r="K98" s="339"/>
      <c r="L98" s="339"/>
      <c r="M98" s="339"/>
      <c r="N98" s="339"/>
      <c r="O98" s="339"/>
      <c r="P98" s="339"/>
      <c r="Q98" s="339"/>
      <c r="R98" s="339"/>
      <c r="S98" s="339"/>
      <c r="T98" s="339"/>
      <c r="U98" s="339"/>
      <c r="V98" s="339"/>
      <c r="W98" s="339"/>
      <c r="X98" s="339"/>
      <c r="Y98" s="339"/>
      <c r="Z98" s="339"/>
    </row>
    <row r="99" spans="1:26" ht="15.75" customHeight="1">
      <c r="A99" s="339"/>
      <c r="B99" s="339"/>
      <c r="C99" s="339"/>
      <c r="D99" s="339"/>
      <c r="E99" s="339"/>
      <c r="F99" s="339"/>
      <c r="G99" s="339"/>
      <c r="H99" s="339"/>
      <c r="I99" s="339"/>
      <c r="J99" s="339"/>
      <c r="K99" s="339"/>
      <c r="L99" s="339"/>
      <c r="M99" s="339"/>
      <c r="N99" s="339"/>
      <c r="O99" s="339"/>
      <c r="P99" s="339"/>
      <c r="Q99" s="339"/>
      <c r="R99" s="339"/>
      <c r="S99" s="339"/>
      <c r="T99" s="339"/>
      <c r="U99" s="339"/>
      <c r="V99" s="339"/>
      <c r="W99" s="339"/>
      <c r="X99" s="339"/>
      <c r="Y99" s="339"/>
      <c r="Z99" s="339"/>
    </row>
    <row r="100" spans="1:26" ht="15.75" customHeight="1">
      <c r="A100" s="339"/>
      <c r="B100" s="339"/>
      <c r="C100" s="339"/>
      <c r="D100" s="339"/>
      <c r="E100" s="339"/>
      <c r="F100" s="339"/>
      <c r="G100" s="339"/>
      <c r="H100" s="339"/>
      <c r="I100" s="339"/>
      <c r="J100" s="339"/>
      <c r="K100" s="339"/>
      <c r="L100" s="339"/>
      <c r="M100" s="339"/>
      <c r="N100" s="339"/>
      <c r="O100" s="339"/>
      <c r="P100" s="339"/>
      <c r="Q100" s="339"/>
      <c r="R100" s="339"/>
      <c r="S100" s="339"/>
      <c r="T100" s="339"/>
      <c r="U100" s="339"/>
      <c r="V100" s="339"/>
      <c r="W100" s="339"/>
      <c r="X100" s="339"/>
      <c r="Y100" s="339"/>
      <c r="Z100" s="339"/>
    </row>
  </sheetData>
  <mergeCells count="1">
    <mergeCell ref="A1:T1"/>
  </mergeCells>
  <printOptions horizontalCentered="1" gridLines="1"/>
  <pageMargins left="0" right="0" top="0.39370078740157483" bottom="0.39370078740157483" header="0" footer="0"/>
  <pageSetup paperSize="9" orientation="landscape" r:id="rId1"/>
  <rowBreaks count="1" manualBreakCount="1">
    <brk id="1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0000FF"/>
  </sheetPr>
  <dimension ref="A1:CO190"/>
  <sheetViews>
    <sheetView showGridLines="0" topLeftCell="A10" zoomScaleNormal="100" workbookViewId="0">
      <pane xSplit="3" ySplit="3" topLeftCell="D89" activePane="bottomRight" state="frozen"/>
      <selection activeCell="A10" sqref="A10"/>
      <selection pane="topRight" activeCell="D10" sqref="D10"/>
      <selection pane="bottomLeft" activeCell="A13" sqref="A13"/>
      <selection pane="bottomRight" activeCell="B97" sqref="B97:C106"/>
    </sheetView>
  </sheetViews>
  <sheetFormatPr defaultColWidth="14.453125" defaultRowHeight="15" customHeight="1" outlineLevelRow="4" outlineLevelCol="1"/>
  <cols>
    <col min="1" max="1" width="1.1796875" customWidth="1"/>
    <col min="2" max="2" width="39.453125" customWidth="1"/>
    <col min="3" max="3" width="16.453125" customWidth="1"/>
    <col min="4" max="92" width="11.26953125" customWidth="1" outlineLevel="1"/>
    <col min="93" max="93" width="12.26953125" customWidth="1" outlineLevel="1"/>
  </cols>
  <sheetData>
    <row r="1" spans="1:93" ht="2.25" customHeight="1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</row>
    <row r="2" spans="1:93" ht="2.25" customHeight="1">
      <c r="A2" s="35"/>
      <c r="B2" s="36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</row>
    <row r="3" spans="1:93" ht="12.75" customHeight="1">
      <c r="A3" s="35"/>
      <c r="B3" s="37"/>
      <c r="C3" s="38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40"/>
      <c r="AM3" s="39"/>
      <c r="AN3" s="39"/>
      <c r="AO3" s="39"/>
      <c r="AP3" s="39"/>
      <c r="AQ3" s="39"/>
      <c r="AR3" s="39"/>
      <c r="AS3" s="39"/>
      <c r="AT3" s="39"/>
      <c r="AU3" s="39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</row>
    <row r="4" spans="1:93" ht="6.75" customHeight="1">
      <c r="A4" s="35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41"/>
      <c r="Y4" s="41"/>
      <c r="Z4" s="41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</row>
    <row r="5" spans="1:93" ht="6" customHeight="1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</row>
    <row r="6" spans="1:93" ht="12.75" customHeight="1">
      <c r="A6" s="35"/>
      <c r="B6" s="414" t="s">
        <v>603</v>
      </c>
      <c r="C6" s="43" t="s">
        <v>109</v>
      </c>
      <c r="D6" s="44" t="s">
        <v>110</v>
      </c>
      <c r="E6" s="45">
        <v>45200</v>
      </c>
      <c r="F6" s="45">
        <f>EOMONTH(E6,2)+1</f>
        <v>45292</v>
      </c>
      <c r="G6" s="45">
        <f t="shared" ref="G6:BR6" si="0">EOMONTH(F6,2)+1</f>
        <v>45383</v>
      </c>
      <c r="H6" s="45">
        <f t="shared" si="0"/>
        <v>45474</v>
      </c>
      <c r="I6" s="45">
        <f t="shared" si="0"/>
        <v>45566</v>
      </c>
      <c r="J6" s="45">
        <f t="shared" si="0"/>
        <v>45658</v>
      </c>
      <c r="K6" s="45">
        <f t="shared" si="0"/>
        <v>45748</v>
      </c>
      <c r="L6" s="45">
        <f t="shared" si="0"/>
        <v>45839</v>
      </c>
      <c r="M6" s="45">
        <f t="shared" si="0"/>
        <v>45931</v>
      </c>
      <c r="N6" s="45">
        <f t="shared" si="0"/>
        <v>46023</v>
      </c>
      <c r="O6" s="45">
        <f t="shared" si="0"/>
        <v>46113</v>
      </c>
      <c r="P6" s="45">
        <f t="shared" si="0"/>
        <v>46204</v>
      </c>
      <c r="Q6" s="45">
        <f t="shared" si="0"/>
        <v>46296</v>
      </c>
      <c r="R6" s="45">
        <f t="shared" si="0"/>
        <v>46388</v>
      </c>
      <c r="S6" s="45">
        <f t="shared" si="0"/>
        <v>46478</v>
      </c>
      <c r="T6" s="45">
        <f t="shared" si="0"/>
        <v>46569</v>
      </c>
      <c r="U6" s="45">
        <f t="shared" si="0"/>
        <v>46661</v>
      </c>
      <c r="V6" s="45">
        <f t="shared" si="0"/>
        <v>46753</v>
      </c>
      <c r="W6" s="45">
        <f t="shared" si="0"/>
        <v>46844</v>
      </c>
      <c r="X6" s="45">
        <f t="shared" si="0"/>
        <v>46935</v>
      </c>
      <c r="Y6" s="45">
        <f t="shared" si="0"/>
        <v>47027</v>
      </c>
      <c r="Z6" s="45">
        <f t="shared" si="0"/>
        <v>47119</v>
      </c>
      <c r="AA6" s="45">
        <f t="shared" si="0"/>
        <v>47209</v>
      </c>
      <c r="AB6" s="45">
        <f t="shared" si="0"/>
        <v>47300</v>
      </c>
      <c r="AC6" s="45">
        <f t="shared" si="0"/>
        <v>47392</v>
      </c>
      <c r="AD6" s="45">
        <f t="shared" si="0"/>
        <v>47484</v>
      </c>
      <c r="AE6" s="45">
        <f t="shared" si="0"/>
        <v>47574</v>
      </c>
      <c r="AF6" s="45">
        <f t="shared" si="0"/>
        <v>47665</v>
      </c>
      <c r="AG6" s="45">
        <f t="shared" si="0"/>
        <v>47757</v>
      </c>
      <c r="AH6" s="45">
        <f t="shared" si="0"/>
        <v>47849</v>
      </c>
      <c r="AI6" s="45">
        <f t="shared" si="0"/>
        <v>47939</v>
      </c>
      <c r="AJ6" s="45">
        <f t="shared" si="0"/>
        <v>48030</v>
      </c>
      <c r="AK6" s="45">
        <f t="shared" si="0"/>
        <v>48122</v>
      </c>
      <c r="AL6" s="45">
        <f t="shared" si="0"/>
        <v>48214</v>
      </c>
      <c r="AM6" s="45">
        <f t="shared" si="0"/>
        <v>48305</v>
      </c>
      <c r="AN6" s="45">
        <f t="shared" si="0"/>
        <v>48396</v>
      </c>
      <c r="AO6" s="45">
        <f t="shared" si="0"/>
        <v>48488</v>
      </c>
      <c r="AP6" s="45">
        <f t="shared" si="0"/>
        <v>48580</v>
      </c>
      <c r="AQ6" s="45">
        <f t="shared" si="0"/>
        <v>48670</v>
      </c>
      <c r="AR6" s="45">
        <f t="shared" si="0"/>
        <v>48761</v>
      </c>
      <c r="AS6" s="45">
        <f t="shared" si="0"/>
        <v>48853</v>
      </c>
      <c r="AT6" s="45">
        <f t="shared" si="0"/>
        <v>48945</v>
      </c>
      <c r="AU6" s="45">
        <f t="shared" si="0"/>
        <v>49035</v>
      </c>
      <c r="AV6" s="45">
        <f t="shared" si="0"/>
        <v>49126</v>
      </c>
      <c r="AW6" s="45">
        <f t="shared" si="0"/>
        <v>49218</v>
      </c>
      <c r="AX6" s="45">
        <f t="shared" si="0"/>
        <v>49310</v>
      </c>
      <c r="AY6" s="45">
        <f t="shared" si="0"/>
        <v>49400</v>
      </c>
      <c r="AZ6" s="45">
        <f t="shared" si="0"/>
        <v>49491</v>
      </c>
      <c r="BA6" s="45">
        <f t="shared" si="0"/>
        <v>49583</v>
      </c>
      <c r="BB6" s="45">
        <f t="shared" si="0"/>
        <v>49675</v>
      </c>
      <c r="BC6" s="45">
        <f t="shared" si="0"/>
        <v>49766</v>
      </c>
      <c r="BD6" s="45">
        <f t="shared" si="0"/>
        <v>49857</v>
      </c>
      <c r="BE6" s="45">
        <f t="shared" si="0"/>
        <v>49949</v>
      </c>
      <c r="BF6" s="45">
        <f t="shared" si="0"/>
        <v>50041</v>
      </c>
      <c r="BG6" s="45">
        <f t="shared" si="0"/>
        <v>50131</v>
      </c>
      <c r="BH6" s="45">
        <f t="shared" si="0"/>
        <v>50222</v>
      </c>
      <c r="BI6" s="45">
        <f t="shared" si="0"/>
        <v>50314</v>
      </c>
      <c r="BJ6" s="45">
        <f t="shared" si="0"/>
        <v>50406</v>
      </c>
      <c r="BK6" s="45">
        <f t="shared" si="0"/>
        <v>50496</v>
      </c>
      <c r="BL6" s="45">
        <f t="shared" si="0"/>
        <v>50587</v>
      </c>
      <c r="BM6" s="45">
        <f t="shared" si="0"/>
        <v>50679</v>
      </c>
      <c r="BN6" s="45">
        <f t="shared" si="0"/>
        <v>50771</v>
      </c>
      <c r="BO6" s="45">
        <f t="shared" si="0"/>
        <v>50861</v>
      </c>
      <c r="BP6" s="45">
        <f t="shared" si="0"/>
        <v>50952</v>
      </c>
      <c r="BQ6" s="45">
        <f t="shared" si="0"/>
        <v>51044</v>
      </c>
      <c r="BR6" s="45">
        <f t="shared" si="0"/>
        <v>51136</v>
      </c>
      <c r="BS6" s="45">
        <f t="shared" ref="BS6:CN6" si="1">EOMONTH(BR6,2)+1</f>
        <v>51227</v>
      </c>
      <c r="BT6" s="45">
        <f t="shared" si="1"/>
        <v>51318</v>
      </c>
      <c r="BU6" s="45">
        <f t="shared" si="1"/>
        <v>51410</v>
      </c>
      <c r="BV6" s="45">
        <f t="shared" si="1"/>
        <v>51502</v>
      </c>
      <c r="BW6" s="45">
        <f t="shared" si="1"/>
        <v>51592</v>
      </c>
      <c r="BX6" s="45">
        <f t="shared" si="1"/>
        <v>51683</v>
      </c>
      <c r="BY6" s="45">
        <f t="shared" si="1"/>
        <v>51775</v>
      </c>
      <c r="BZ6" s="45">
        <f t="shared" si="1"/>
        <v>51867</v>
      </c>
      <c r="CA6" s="45">
        <f t="shared" si="1"/>
        <v>51957</v>
      </c>
      <c r="CB6" s="45">
        <f t="shared" si="1"/>
        <v>52048</v>
      </c>
      <c r="CC6" s="45">
        <f t="shared" si="1"/>
        <v>52140</v>
      </c>
      <c r="CD6" s="45">
        <f t="shared" si="1"/>
        <v>52232</v>
      </c>
      <c r="CE6" s="45">
        <f t="shared" si="1"/>
        <v>52322</v>
      </c>
      <c r="CF6" s="45">
        <f t="shared" si="1"/>
        <v>52413</v>
      </c>
      <c r="CG6" s="45">
        <f t="shared" si="1"/>
        <v>52505</v>
      </c>
      <c r="CH6" s="45">
        <f t="shared" si="1"/>
        <v>52597</v>
      </c>
      <c r="CI6" s="45">
        <f t="shared" si="1"/>
        <v>52688</v>
      </c>
      <c r="CJ6" s="45">
        <f t="shared" si="1"/>
        <v>52779</v>
      </c>
      <c r="CK6" s="45">
        <f t="shared" si="1"/>
        <v>52871</v>
      </c>
      <c r="CL6" s="45">
        <f t="shared" si="1"/>
        <v>52963</v>
      </c>
      <c r="CM6" s="45">
        <f t="shared" si="1"/>
        <v>53053</v>
      </c>
      <c r="CN6" s="45">
        <f t="shared" si="1"/>
        <v>53144</v>
      </c>
      <c r="CO6" s="45">
        <f t="shared" ref="CO6" si="2">EOMONTH(CN6,2)+1</f>
        <v>53236</v>
      </c>
    </row>
    <row r="7" spans="1:93" ht="12.75" customHeight="1">
      <c r="A7" s="35"/>
      <c r="B7" s="415" t="s">
        <v>604</v>
      </c>
      <c r="C7" s="410"/>
      <c r="D7" s="411"/>
      <c r="E7" s="449">
        <v>45291</v>
      </c>
      <c r="F7" s="412">
        <f>EOMONTH(E7,3)</f>
        <v>45382</v>
      </c>
      <c r="G7" s="412">
        <f t="shared" ref="G7" si="3">EOMONTH(F7,3)</f>
        <v>45473</v>
      </c>
      <c r="H7" s="412">
        <f t="shared" ref="H7" si="4">EOMONTH(G7,3)</f>
        <v>45565</v>
      </c>
      <c r="I7" s="412">
        <f t="shared" ref="I7" si="5">EOMONTH(H7,3)</f>
        <v>45657</v>
      </c>
      <c r="J7" s="412">
        <f t="shared" ref="J7" si="6">EOMONTH(I7,3)</f>
        <v>45747</v>
      </c>
      <c r="K7" s="412">
        <f t="shared" ref="K7" si="7">EOMONTH(J7,3)</f>
        <v>45838</v>
      </c>
      <c r="L7" s="412">
        <f t="shared" ref="L7" si="8">EOMONTH(K7,3)</f>
        <v>45930</v>
      </c>
      <c r="M7" s="412">
        <f t="shared" ref="M7" si="9">EOMONTH(L7,3)</f>
        <v>46022</v>
      </c>
      <c r="N7" s="412">
        <f t="shared" ref="N7" si="10">EOMONTH(M7,3)</f>
        <v>46112</v>
      </c>
      <c r="O7" s="412">
        <f t="shared" ref="O7" si="11">EOMONTH(N7,3)</f>
        <v>46203</v>
      </c>
      <c r="P7" s="412">
        <f t="shared" ref="P7" si="12">EOMONTH(O7,3)</f>
        <v>46295</v>
      </c>
      <c r="Q7" s="412">
        <f t="shared" ref="Q7" si="13">EOMONTH(P7,3)</f>
        <v>46387</v>
      </c>
      <c r="R7" s="412">
        <f t="shared" ref="R7" si="14">EOMONTH(Q7,3)</f>
        <v>46477</v>
      </c>
      <c r="S7" s="412">
        <f t="shared" ref="S7" si="15">EOMONTH(R7,3)</f>
        <v>46568</v>
      </c>
      <c r="T7" s="412">
        <f t="shared" ref="T7" si="16">EOMONTH(S7,3)</f>
        <v>46660</v>
      </c>
      <c r="U7" s="412">
        <f t="shared" ref="U7" si="17">EOMONTH(T7,3)</f>
        <v>46752</v>
      </c>
      <c r="V7" s="412">
        <f t="shared" ref="V7" si="18">EOMONTH(U7,3)</f>
        <v>46843</v>
      </c>
      <c r="W7" s="412">
        <f t="shared" ref="W7" si="19">EOMONTH(V7,3)</f>
        <v>46934</v>
      </c>
      <c r="X7" s="412">
        <f t="shared" ref="X7" si="20">EOMONTH(W7,3)</f>
        <v>47026</v>
      </c>
      <c r="Y7" s="412">
        <f t="shared" ref="Y7" si="21">EOMONTH(X7,3)</f>
        <v>47118</v>
      </c>
      <c r="Z7" s="412">
        <f t="shared" ref="Z7" si="22">EOMONTH(Y7,3)</f>
        <v>47208</v>
      </c>
      <c r="AA7" s="412">
        <f t="shared" ref="AA7" si="23">EOMONTH(Z7,3)</f>
        <v>47299</v>
      </c>
      <c r="AB7" s="412">
        <f t="shared" ref="AB7" si="24">EOMONTH(AA7,3)</f>
        <v>47391</v>
      </c>
      <c r="AC7" s="412">
        <f t="shared" ref="AC7" si="25">EOMONTH(AB7,3)</f>
        <v>47483</v>
      </c>
      <c r="AD7" s="412">
        <f t="shared" ref="AD7" si="26">EOMONTH(AC7,3)</f>
        <v>47573</v>
      </c>
      <c r="AE7" s="412">
        <f t="shared" ref="AE7" si="27">EOMONTH(AD7,3)</f>
        <v>47664</v>
      </c>
      <c r="AF7" s="412">
        <f t="shared" ref="AF7" si="28">EOMONTH(AE7,3)</f>
        <v>47756</v>
      </c>
      <c r="AG7" s="412">
        <f t="shared" ref="AG7" si="29">EOMONTH(AF7,3)</f>
        <v>47848</v>
      </c>
      <c r="AH7" s="412">
        <f t="shared" ref="AH7" si="30">EOMONTH(AG7,3)</f>
        <v>47938</v>
      </c>
      <c r="AI7" s="412">
        <f t="shared" ref="AI7" si="31">EOMONTH(AH7,3)</f>
        <v>48029</v>
      </c>
      <c r="AJ7" s="412">
        <f t="shared" ref="AJ7" si="32">EOMONTH(AI7,3)</f>
        <v>48121</v>
      </c>
      <c r="AK7" s="412">
        <f t="shared" ref="AK7" si="33">EOMONTH(AJ7,3)</f>
        <v>48213</v>
      </c>
      <c r="AL7" s="412">
        <f t="shared" ref="AL7" si="34">EOMONTH(AK7,3)</f>
        <v>48304</v>
      </c>
      <c r="AM7" s="412">
        <f t="shared" ref="AM7" si="35">EOMONTH(AL7,3)</f>
        <v>48395</v>
      </c>
      <c r="AN7" s="412">
        <f t="shared" ref="AN7" si="36">EOMONTH(AM7,3)</f>
        <v>48487</v>
      </c>
      <c r="AO7" s="412">
        <f t="shared" ref="AO7" si="37">EOMONTH(AN7,3)</f>
        <v>48579</v>
      </c>
      <c r="AP7" s="412">
        <f t="shared" ref="AP7" si="38">EOMONTH(AO7,3)</f>
        <v>48669</v>
      </c>
      <c r="AQ7" s="412">
        <f t="shared" ref="AQ7" si="39">EOMONTH(AP7,3)</f>
        <v>48760</v>
      </c>
      <c r="AR7" s="412">
        <f t="shared" ref="AR7" si="40">EOMONTH(AQ7,3)</f>
        <v>48852</v>
      </c>
      <c r="AS7" s="412">
        <f t="shared" ref="AS7" si="41">EOMONTH(AR7,3)</f>
        <v>48944</v>
      </c>
      <c r="AT7" s="412">
        <f t="shared" ref="AT7" si="42">EOMONTH(AS7,3)</f>
        <v>49034</v>
      </c>
      <c r="AU7" s="412">
        <f t="shared" ref="AU7" si="43">EOMONTH(AT7,3)</f>
        <v>49125</v>
      </c>
      <c r="AV7" s="412">
        <f t="shared" ref="AV7" si="44">EOMONTH(AU7,3)</f>
        <v>49217</v>
      </c>
      <c r="AW7" s="412">
        <f t="shared" ref="AW7" si="45">EOMONTH(AV7,3)</f>
        <v>49309</v>
      </c>
      <c r="AX7" s="412">
        <f t="shared" ref="AX7" si="46">EOMONTH(AW7,3)</f>
        <v>49399</v>
      </c>
      <c r="AY7" s="412">
        <f t="shared" ref="AY7" si="47">EOMONTH(AX7,3)</f>
        <v>49490</v>
      </c>
      <c r="AZ7" s="412">
        <f t="shared" ref="AZ7" si="48">EOMONTH(AY7,3)</f>
        <v>49582</v>
      </c>
      <c r="BA7" s="412">
        <f t="shared" ref="BA7" si="49">EOMONTH(AZ7,3)</f>
        <v>49674</v>
      </c>
      <c r="BB7" s="412">
        <f t="shared" ref="BB7" si="50">EOMONTH(BA7,3)</f>
        <v>49765</v>
      </c>
      <c r="BC7" s="412">
        <f t="shared" ref="BC7" si="51">EOMONTH(BB7,3)</f>
        <v>49856</v>
      </c>
      <c r="BD7" s="412">
        <f t="shared" ref="BD7" si="52">EOMONTH(BC7,3)</f>
        <v>49948</v>
      </c>
      <c r="BE7" s="412">
        <f t="shared" ref="BE7" si="53">EOMONTH(BD7,3)</f>
        <v>50040</v>
      </c>
      <c r="BF7" s="412">
        <f t="shared" ref="BF7" si="54">EOMONTH(BE7,3)</f>
        <v>50130</v>
      </c>
      <c r="BG7" s="412">
        <f t="shared" ref="BG7" si="55">EOMONTH(BF7,3)</f>
        <v>50221</v>
      </c>
      <c r="BH7" s="412">
        <f t="shared" ref="BH7" si="56">EOMONTH(BG7,3)</f>
        <v>50313</v>
      </c>
      <c r="BI7" s="412">
        <f t="shared" ref="BI7" si="57">EOMONTH(BH7,3)</f>
        <v>50405</v>
      </c>
      <c r="BJ7" s="412">
        <f t="shared" ref="BJ7" si="58">EOMONTH(BI7,3)</f>
        <v>50495</v>
      </c>
      <c r="BK7" s="412">
        <f t="shared" ref="BK7" si="59">EOMONTH(BJ7,3)</f>
        <v>50586</v>
      </c>
      <c r="BL7" s="412">
        <f t="shared" ref="BL7" si="60">EOMONTH(BK7,3)</f>
        <v>50678</v>
      </c>
      <c r="BM7" s="412">
        <f t="shared" ref="BM7" si="61">EOMONTH(BL7,3)</f>
        <v>50770</v>
      </c>
      <c r="BN7" s="412">
        <f t="shared" ref="BN7" si="62">EOMONTH(BM7,3)</f>
        <v>50860</v>
      </c>
      <c r="BO7" s="412">
        <f t="shared" ref="BO7" si="63">EOMONTH(BN7,3)</f>
        <v>50951</v>
      </c>
      <c r="BP7" s="412">
        <f t="shared" ref="BP7" si="64">EOMONTH(BO7,3)</f>
        <v>51043</v>
      </c>
      <c r="BQ7" s="412">
        <f t="shared" ref="BQ7" si="65">EOMONTH(BP7,3)</f>
        <v>51135</v>
      </c>
      <c r="BR7" s="412">
        <f t="shared" ref="BR7" si="66">EOMONTH(BQ7,3)</f>
        <v>51226</v>
      </c>
      <c r="BS7" s="412">
        <f t="shared" ref="BS7" si="67">EOMONTH(BR7,3)</f>
        <v>51317</v>
      </c>
      <c r="BT7" s="412">
        <f t="shared" ref="BT7" si="68">EOMONTH(BS7,3)</f>
        <v>51409</v>
      </c>
      <c r="BU7" s="412">
        <f t="shared" ref="BU7" si="69">EOMONTH(BT7,3)</f>
        <v>51501</v>
      </c>
      <c r="BV7" s="412">
        <f t="shared" ref="BV7" si="70">EOMONTH(BU7,3)</f>
        <v>51591</v>
      </c>
      <c r="BW7" s="412">
        <f t="shared" ref="BW7" si="71">EOMONTH(BV7,3)</f>
        <v>51682</v>
      </c>
      <c r="BX7" s="412">
        <f t="shared" ref="BX7" si="72">EOMONTH(BW7,3)</f>
        <v>51774</v>
      </c>
      <c r="BY7" s="412">
        <f t="shared" ref="BY7" si="73">EOMONTH(BX7,3)</f>
        <v>51866</v>
      </c>
      <c r="BZ7" s="412">
        <f t="shared" ref="BZ7" si="74">EOMONTH(BY7,3)</f>
        <v>51956</v>
      </c>
      <c r="CA7" s="412">
        <f t="shared" ref="CA7" si="75">EOMONTH(BZ7,3)</f>
        <v>52047</v>
      </c>
      <c r="CB7" s="412">
        <f t="shared" ref="CB7" si="76">EOMONTH(CA7,3)</f>
        <v>52139</v>
      </c>
      <c r="CC7" s="412">
        <f t="shared" ref="CC7" si="77">EOMONTH(CB7,3)</f>
        <v>52231</v>
      </c>
      <c r="CD7" s="412">
        <f t="shared" ref="CD7" si="78">EOMONTH(CC7,3)</f>
        <v>52321</v>
      </c>
      <c r="CE7" s="412">
        <f t="shared" ref="CE7" si="79">EOMONTH(CD7,3)</f>
        <v>52412</v>
      </c>
      <c r="CF7" s="412">
        <f t="shared" ref="CF7" si="80">EOMONTH(CE7,3)</f>
        <v>52504</v>
      </c>
      <c r="CG7" s="412">
        <f t="shared" ref="CG7" si="81">EOMONTH(CF7,3)</f>
        <v>52596</v>
      </c>
      <c r="CH7" s="412">
        <f t="shared" ref="CH7" si="82">EOMONTH(CG7,3)</f>
        <v>52687</v>
      </c>
      <c r="CI7" s="412">
        <f t="shared" ref="CI7" si="83">EOMONTH(CH7,3)</f>
        <v>52778</v>
      </c>
      <c r="CJ7" s="412">
        <f t="shared" ref="CJ7" si="84">EOMONTH(CI7,3)</f>
        <v>52870</v>
      </c>
      <c r="CK7" s="412">
        <f t="shared" ref="CK7" si="85">EOMONTH(CJ7,3)</f>
        <v>52962</v>
      </c>
      <c r="CL7" s="412">
        <f t="shared" ref="CL7" si="86">EOMONTH(CK7,3)</f>
        <v>53052</v>
      </c>
      <c r="CM7" s="412">
        <f t="shared" ref="CM7" si="87">EOMONTH(CL7,3)</f>
        <v>53143</v>
      </c>
      <c r="CN7" s="412">
        <f t="shared" ref="CN7:CO7" si="88">EOMONTH(CM7,3)</f>
        <v>53235</v>
      </c>
      <c r="CO7" s="412">
        <f t="shared" si="88"/>
        <v>53327</v>
      </c>
    </row>
    <row r="8" spans="1:93" ht="12.75" customHeight="1" outlineLevel="1">
      <c r="A8" s="35"/>
      <c r="B8" s="49" t="s">
        <v>112</v>
      </c>
      <c r="C8" s="50"/>
      <c r="D8" s="51">
        <v>0</v>
      </c>
      <c r="E8" s="52">
        <f t="shared" ref="E8:F8" si="89">IF(MOD(E$9,4)=1,D8+1,D8)</f>
        <v>1</v>
      </c>
      <c r="F8" s="52">
        <f t="shared" si="89"/>
        <v>1</v>
      </c>
      <c r="G8" s="52">
        <f t="shared" ref="G8" si="90">IF(MOD(G$9,4)=1,F8+1,F8)</f>
        <v>1</v>
      </c>
      <c r="H8" s="52">
        <f t="shared" ref="H8:CN8" si="91">IF(MOD(H$9,4)=1,G8+1,G8)</f>
        <v>1</v>
      </c>
      <c r="I8" s="52">
        <f t="shared" si="91"/>
        <v>2</v>
      </c>
      <c r="J8" s="52">
        <f t="shared" si="91"/>
        <v>2</v>
      </c>
      <c r="K8" s="52">
        <f t="shared" si="91"/>
        <v>2</v>
      </c>
      <c r="L8" s="52">
        <f t="shared" si="91"/>
        <v>2</v>
      </c>
      <c r="M8" s="52">
        <f t="shared" si="91"/>
        <v>3</v>
      </c>
      <c r="N8" s="52">
        <f t="shared" si="91"/>
        <v>3</v>
      </c>
      <c r="O8" s="52">
        <f t="shared" si="91"/>
        <v>3</v>
      </c>
      <c r="P8" s="52">
        <f t="shared" si="91"/>
        <v>3</v>
      </c>
      <c r="Q8" s="52">
        <f t="shared" si="91"/>
        <v>4</v>
      </c>
      <c r="R8" s="52">
        <f t="shared" si="91"/>
        <v>4</v>
      </c>
      <c r="S8" s="52">
        <f t="shared" si="91"/>
        <v>4</v>
      </c>
      <c r="T8" s="52">
        <f t="shared" si="91"/>
        <v>4</v>
      </c>
      <c r="U8" s="52">
        <f t="shared" si="91"/>
        <v>5</v>
      </c>
      <c r="V8" s="52">
        <f t="shared" si="91"/>
        <v>5</v>
      </c>
      <c r="W8" s="52">
        <f t="shared" si="91"/>
        <v>5</v>
      </c>
      <c r="X8" s="52">
        <f t="shared" si="91"/>
        <v>5</v>
      </c>
      <c r="Y8" s="52">
        <f t="shared" si="91"/>
        <v>6</v>
      </c>
      <c r="Z8" s="52">
        <f t="shared" si="91"/>
        <v>6</v>
      </c>
      <c r="AA8" s="52">
        <f t="shared" si="91"/>
        <v>6</v>
      </c>
      <c r="AB8" s="52">
        <f t="shared" si="91"/>
        <v>6</v>
      </c>
      <c r="AC8" s="52">
        <f t="shared" si="91"/>
        <v>7</v>
      </c>
      <c r="AD8" s="52">
        <f t="shared" si="91"/>
        <v>7</v>
      </c>
      <c r="AE8" s="52">
        <f t="shared" si="91"/>
        <v>7</v>
      </c>
      <c r="AF8" s="52">
        <f t="shared" si="91"/>
        <v>7</v>
      </c>
      <c r="AG8" s="52">
        <f t="shared" si="91"/>
        <v>8</v>
      </c>
      <c r="AH8" s="52">
        <f t="shared" si="91"/>
        <v>8</v>
      </c>
      <c r="AI8" s="52">
        <f t="shared" si="91"/>
        <v>8</v>
      </c>
      <c r="AJ8" s="52">
        <f t="shared" si="91"/>
        <v>8</v>
      </c>
      <c r="AK8" s="52">
        <f t="shared" si="91"/>
        <v>9</v>
      </c>
      <c r="AL8" s="52">
        <f t="shared" si="91"/>
        <v>9</v>
      </c>
      <c r="AM8" s="52">
        <f t="shared" si="91"/>
        <v>9</v>
      </c>
      <c r="AN8" s="52">
        <f t="shared" si="91"/>
        <v>9</v>
      </c>
      <c r="AO8" s="52">
        <f t="shared" si="91"/>
        <v>10</v>
      </c>
      <c r="AP8" s="52">
        <f t="shared" si="91"/>
        <v>10</v>
      </c>
      <c r="AQ8" s="52">
        <f t="shared" si="91"/>
        <v>10</v>
      </c>
      <c r="AR8" s="52">
        <f t="shared" si="91"/>
        <v>10</v>
      </c>
      <c r="AS8" s="52">
        <f t="shared" si="91"/>
        <v>11</v>
      </c>
      <c r="AT8" s="52">
        <f t="shared" si="91"/>
        <v>11</v>
      </c>
      <c r="AU8" s="52">
        <f t="shared" si="91"/>
        <v>11</v>
      </c>
      <c r="AV8" s="52">
        <f t="shared" si="91"/>
        <v>11</v>
      </c>
      <c r="AW8" s="52">
        <f t="shared" si="91"/>
        <v>12</v>
      </c>
      <c r="AX8" s="52">
        <f t="shared" si="91"/>
        <v>12</v>
      </c>
      <c r="AY8" s="52">
        <f t="shared" si="91"/>
        <v>12</v>
      </c>
      <c r="AZ8" s="52">
        <f t="shared" si="91"/>
        <v>12</v>
      </c>
      <c r="BA8" s="52">
        <f t="shared" si="91"/>
        <v>13</v>
      </c>
      <c r="BB8" s="52">
        <f t="shared" si="91"/>
        <v>13</v>
      </c>
      <c r="BC8" s="52">
        <f t="shared" si="91"/>
        <v>13</v>
      </c>
      <c r="BD8" s="52">
        <f t="shared" si="91"/>
        <v>13</v>
      </c>
      <c r="BE8" s="52">
        <f t="shared" si="91"/>
        <v>14</v>
      </c>
      <c r="BF8" s="52">
        <f t="shared" si="91"/>
        <v>14</v>
      </c>
      <c r="BG8" s="52">
        <f t="shared" si="91"/>
        <v>14</v>
      </c>
      <c r="BH8" s="52">
        <f t="shared" si="91"/>
        <v>14</v>
      </c>
      <c r="BI8" s="52">
        <f t="shared" si="91"/>
        <v>15</v>
      </c>
      <c r="BJ8" s="52">
        <f t="shared" si="91"/>
        <v>15</v>
      </c>
      <c r="BK8" s="52">
        <f t="shared" si="91"/>
        <v>15</v>
      </c>
      <c r="BL8" s="52">
        <f t="shared" si="91"/>
        <v>15</v>
      </c>
      <c r="BM8" s="52">
        <f t="shared" si="91"/>
        <v>16</v>
      </c>
      <c r="BN8" s="52">
        <f t="shared" si="91"/>
        <v>16</v>
      </c>
      <c r="BO8" s="52">
        <f t="shared" si="91"/>
        <v>16</v>
      </c>
      <c r="BP8" s="52">
        <f t="shared" si="91"/>
        <v>16</v>
      </c>
      <c r="BQ8" s="52">
        <f t="shared" si="91"/>
        <v>17</v>
      </c>
      <c r="BR8" s="52">
        <f t="shared" si="91"/>
        <v>17</v>
      </c>
      <c r="BS8" s="52">
        <f t="shared" si="91"/>
        <v>17</v>
      </c>
      <c r="BT8" s="52">
        <f t="shared" si="91"/>
        <v>17</v>
      </c>
      <c r="BU8" s="52">
        <f t="shared" si="91"/>
        <v>18</v>
      </c>
      <c r="BV8" s="52">
        <f t="shared" si="91"/>
        <v>18</v>
      </c>
      <c r="BW8" s="52">
        <f t="shared" si="91"/>
        <v>18</v>
      </c>
      <c r="BX8" s="52">
        <f t="shared" si="91"/>
        <v>18</v>
      </c>
      <c r="BY8" s="52">
        <f t="shared" si="91"/>
        <v>19</v>
      </c>
      <c r="BZ8" s="52">
        <f t="shared" si="91"/>
        <v>19</v>
      </c>
      <c r="CA8" s="52">
        <f t="shared" si="91"/>
        <v>19</v>
      </c>
      <c r="CB8" s="52">
        <f t="shared" si="91"/>
        <v>19</v>
      </c>
      <c r="CC8" s="52">
        <f t="shared" si="91"/>
        <v>20</v>
      </c>
      <c r="CD8" s="52">
        <f t="shared" si="91"/>
        <v>20</v>
      </c>
      <c r="CE8" s="52">
        <f t="shared" si="91"/>
        <v>20</v>
      </c>
      <c r="CF8" s="52">
        <f t="shared" si="91"/>
        <v>20</v>
      </c>
      <c r="CG8" s="52">
        <f t="shared" si="91"/>
        <v>21</v>
      </c>
      <c r="CH8" s="52">
        <f t="shared" si="91"/>
        <v>21</v>
      </c>
      <c r="CI8" s="52">
        <f t="shared" si="91"/>
        <v>21</v>
      </c>
      <c r="CJ8" s="52">
        <f t="shared" si="91"/>
        <v>21</v>
      </c>
      <c r="CK8" s="52">
        <f t="shared" si="91"/>
        <v>22</v>
      </c>
      <c r="CL8" s="52">
        <f t="shared" si="91"/>
        <v>22</v>
      </c>
      <c r="CM8" s="52">
        <f t="shared" si="91"/>
        <v>22</v>
      </c>
      <c r="CN8" s="52">
        <f t="shared" si="91"/>
        <v>22</v>
      </c>
      <c r="CO8" s="52">
        <f>CN8+1</f>
        <v>23</v>
      </c>
    </row>
    <row r="9" spans="1:93" ht="12.75" customHeight="1" outlineLevel="1">
      <c r="A9" s="35"/>
      <c r="B9" s="54" t="s">
        <v>113</v>
      </c>
      <c r="C9" s="55"/>
      <c r="D9" s="56">
        <v>0</v>
      </c>
      <c r="E9" s="57">
        <f t="shared" ref="E9:CN9" si="92">D9+1</f>
        <v>1</v>
      </c>
      <c r="F9" s="57">
        <f t="shared" si="92"/>
        <v>2</v>
      </c>
      <c r="G9" s="57">
        <f t="shared" si="92"/>
        <v>3</v>
      </c>
      <c r="H9" s="57">
        <f t="shared" si="92"/>
        <v>4</v>
      </c>
      <c r="I9" s="57">
        <f t="shared" si="92"/>
        <v>5</v>
      </c>
      <c r="J9" s="57">
        <f t="shared" si="92"/>
        <v>6</v>
      </c>
      <c r="K9" s="57">
        <f t="shared" si="92"/>
        <v>7</v>
      </c>
      <c r="L9" s="57">
        <f t="shared" si="92"/>
        <v>8</v>
      </c>
      <c r="M9" s="57">
        <f t="shared" si="92"/>
        <v>9</v>
      </c>
      <c r="N9" s="57">
        <f t="shared" si="92"/>
        <v>10</v>
      </c>
      <c r="O9" s="57">
        <f t="shared" si="92"/>
        <v>11</v>
      </c>
      <c r="P9" s="57">
        <f t="shared" si="92"/>
        <v>12</v>
      </c>
      <c r="Q9" s="57">
        <f t="shared" si="92"/>
        <v>13</v>
      </c>
      <c r="R9" s="57">
        <f t="shared" si="92"/>
        <v>14</v>
      </c>
      <c r="S9" s="57">
        <f t="shared" si="92"/>
        <v>15</v>
      </c>
      <c r="T9" s="57">
        <f t="shared" si="92"/>
        <v>16</v>
      </c>
      <c r="U9" s="57">
        <f t="shared" si="92"/>
        <v>17</v>
      </c>
      <c r="V9" s="57">
        <f t="shared" si="92"/>
        <v>18</v>
      </c>
      <c r="W9" s="57">
        <f t="shared" si="92"/>
        <v>19</v>
      </c>
      <c r="X9" s="57">
        <f t="shared" si="92"/>
        <v>20</v>
      </c>
      <c r="Y9" s="57">
        <f t="shared" si="92"/>
        <v>21</v>
      </c>
      <c r="Z9" s="57">
        <f t="shared" si="92"/>
        <v>22</v>
      </c>
      <c r="AA9" s="57">
        <f t="shared" si="92"/>
        <v>23</v>
      </c>
      <c r="AB9" s="57">
        <f t="shared" si="92"/>
        <v>24</v>
      </c>
      <c r="AC9" s="57">
        <f t="shared" si="92"/>
        <v>25</v>
      </c>
      <c r="AD9" s="57">
        <f t="shared" si="92"/>
        <v>26</v>
      </c>
      <c r="AE9" s="57">
        <f t="shared" si="92"/>
        <v>27</v>
      </c>
      <c r="AF9" s="57">
        <f t="shared" si="92"/>
        <v>28</v>
      </c>
      <c r="AG9" s="57">
        <f t="shared" si="92"/>
        <v>29</v>
      </c>
      <c r="AH9" s="57">
        <f t="shared" si="92"/>
        <v>30</v>
      </c>
      <c r="AI9" s="57">
        <f t="shared" si="92"/>
        <v>31</v>
      </c>
      <c r="AJ9" s="57">
        <f t="shared" si="92"/>
        <v>32</v>
      </c>
      <c r="AK9" s="57">
        <f t="shared" si="92"/>
        <v>33</v>
      </c>
      <c r="AL9" s="57">
        <f t="shared" si="92"/>
        <v>34</v>
      </c>
      <c r="AM9" s="57">
        <f t="shared" si="92"/>
        <v>35</v>
      </c>
      <c r="AN9" s="57">
        <f t="shared" si="92"/>
        <v>36</v>
      </c>
      <c r="AO9" s="57">
        <f t="shared" si="92"/>
        <v>37</v>
      </c>
      <c r="AP9" s="57">
        <f t="shared" si="92"/>
        <v>38</v>
      </c>
      <c r="AQ9" s="57">
        <f t="shared" si="92"/>
        <v>39</v>
      </c>
      <c r="AR9" s="57">
        <f t="shared" si="92"/>
        <v>40</v>
      </c>
      <c r="AS9" s="57">
        <f t="shared" si="92"/>
        <v>41</v>
      </c>
      <c r="AT9" s="57">
        <f t="shared" si="92"/>
        <v>42</v>
      </c>
      <c r="AU9" s="57">
        <f t="shared" si="92"/>
        <v>43</v>
      </c>
      <c r="AV9" s="57">
        <f t="shared" si="92"/>
        <v>44</v>
      </c>
      <c r="AW9" s="57">
        <f t="shared" si="92"/>
        <v>45</v>
      </c>
      <c r="AX9" s="57">
        <f t="shared" si="92"/>
        <v>46</v>
      </c>
      <c r="AY9" s="57">
        <f t="shared" si="92"/>
        <v>47</v>
      </c>
      <c r="AZ9" s="57">
        <f t="shared" si="92"/>
        <v>48</v>
      </c>
      <c r="BA9" s="57">
        <f t="shared" si="92"/>
        <v>49</v>
      </c>
      <c r="BB9" s="57">
        <f t="shared" si="92"/>
        <v>50</v>
      </c>
      <c r="BC9" s="57">
        <f t="shared" si="92"/>
        <v>51</v>
      </c>
      <c r="BD9" s="57">
        <f t="shared" si="92"/>
        <v>52</v>
      </c>
      <c r="BE9" s="57">
        <f t="shared" si="92"/>
        <v>53</v>
      </c>
      <c r="BF9" s="57">
        <f t="shared" si="92"/>
        <v>54</v>
      </c>
      <c r="BG9" s="57">
        <f t="shared" si="92"/>
        <v>55</v>
      </c>
      <c r="BH9" s="57">
        <f t="shared" si="92"/>
        <v>56</v>
      </c>
      <c r="BI9" s="57">
        <f t="shared" si="92"/>
        <v>57</v>
      </c>
      <c r="BJ9" s="57">
        <f t="shared" si="92"/>
        <v>58</v>
      </c>
      <c r="BK9" s="57">
        <f t="shared" si="92"/>
        <v>59</v>
      </c>
      <c r="BL9" s="57">
        <f t="shared" si="92"/>
        <v>60</v>
      </c>
      <c r="BM9" s="57">
        <f t="shared" si="92"/>
        <v>61</v>
      </c>
      <c r="BN9" s="57">
        <f t="shared" si="92"/>
        <v>62</v>
      </c>
      <c r="BO9" s="57">
        <f t="shared" si="92"/>
        <v>63</v>
      </c>
      <c r="BP9" s="57">
        <f t="shared" si="92"/>
        <v>64</v>
      </c>
      <c r="BQ9" s="57">
        <f t="shared" si="92"/>
        <v>65</v>
      </c>
      <c r="BR9" s="57">
        <f t="shared" si="92"/>
        <v>66</v>
      </c>
      <c r="BS9" s="57">
        <f t="shared" si="92"/>
        <v>67</v>
      </c>
      <c r="BT9" s="57">
        <f t="shared" si="92"/>
        <v>68</v>
      </c>
      <c r="BU9" s="57">
        <f t="shared" si="92"/>
        <v>69</v>
      </c>
      <c r="BV9" s="57">
        <f t="shared" si="92"/>
        <v>70</v>
      </c>
      <c r="BW9" s="57">
        <f t="shared" si="92"/>
        <v>71</v>
      </c>
      <c r="BX9" s="57">
        <f t="shared" si="92"/>
        <v>72</v>
      </c>
      <c r="BY9" s="57">
        <f t="shared" si="92"/>
        <v>73</v>
      </c>
      <c r="BZ9" s="57">
        <f t="shared" si="92"/>
        <v>74</v>
      </c>
      <c r="CA9" s="57">
        <f t="shared" si="92"/>
        <v>75</v>
      </c>
      <c r="CB9" s="57">
        <f t="shared" si="92"/>
        <v>76</v>
      </c>
      <c r="CC9" s="57">
        <f t="shared" si="92"/>
        <v>77</v>
      </c>
      <c r="CD9" s="57">
        <f t="shared" si="92"/>
        <v>78</v>
      </c>
      <c r="CE9" s="57">
        <f t="shared" si="92"/>
        <v>79</v>
      </c>
      <c r="CF9" s="57">
        <f t="shared" si="92"/>
        <v>80</v>
      </c>
      <c r="CG9" s="57">
        <f t="shared" si="92"/>
        <v>81</v>
      </c>
      <c r="CH9" s="57">
        <f t="shared" si="92"/>
        <v>82</v>
      </c>
      <c r="CI9" s="57">
        <f t="shared" si="92"/>
        <v>83</v>
      </c>
      <c r="CJ9" s="57">
        <f t="shared" si="92"/>
        <v>84</v>
      </c>
      <c r="CK9" s="57">
        <f t="shared" si="92"/>
        <v>85</v>
      </c>
      <c r="CL9" s="57">
        <f t="shared" si="92"/>
        <v>86</v>
      </c>
      <c r="CM9" s="57">
        <f t="shared" si="92"/>
        <v>87</v>
      </c>
      <c r="CN9" s="57">
        <f t="shared" si="92"/>
        <v>88</v>
      </c>
      <c r="CO9" s="35"/>
    </row>
    <row r="10" spans="1:93" ht="12.75" customHeight="1">
      <c r="A10" s="35"/>
      <c r="B10" s="35"/>
      <c r="C10" s="35"/>
      <c r="D10" s="59"/>
      <c r="E10" s="35">
        <v>1</v>
      </c>
      <c r="F10" s="35">
        <v>2</v>
      </c>
      <c r="G10" s="35">
        <v>3</v>
      </c>
      <c r="H10" s="35">
        <v>4</v>
      </c>
      <c r="I10" s="35">
        <f t="shared" ref="I10:X10" si="93">E10</f>
        <v>1</v>
      </c>
      <c r="J10" s="35">
        <f t="shared" si="93"/>
        <v>2</v>
      </c>
      <c r="K10" s="35">
        <f t="shared" si="93"/>
        <v>3</v>
      </c>
      <c r="L10" s="35">
        <f t="shared" si="93"/>
        <v>4</v>
      </c>
      <c r="M10" s="35">
        <f t="shared" si="93"/>
        <v>1</v>
      </c>
      <c r="N10" s="35">
        <f t="shared" si="93"/>
        <v>2</v>
      </c>
      <c r="O10" s="35">
        <f t="shared" si="93"/>
        <v>3</v>
      </c>
      <c r="P10" s="35">
        <f t="shared" si="93"/>
        <v>4</v>
      </c>
      <c r="Q10" s="35">
        <f t="shared" si="93"/>
        <v>1</v>
      </c>
      <c r="R10" s="35">
        <f t="shared" si="93"/>
        <v>2</v>
      </c>
      <c r="S10" s="35">
        <f t="shared" si="93"/>
        <v>3</v>
      </c>
      <c r="T10" s="35">
        <f t="shared" si="93"/>
        <v>4</v>
      </c>
      <c r="U10" s="35">
        <f t="shared" si="93"/>
        <v>1</v>
      </c>
      <c r="V10" s="35">
        <f t="shared" si="93"/>
        <v>2</v>
      </c>
      <c r="W10" s="35">
        <f t="shared" si="93"/>
        <v>3</v>
      </c>
      <c r="X10" s="35">
        <f t="shared" si="93"/>
        <v>4</v>
      </c>
      <c r="Y10" s="35">
        <f>E10</f>
        <v>1</v>
      </c>
      <c r="Z10" s="35">
        <f t="shared" ref="Z10:CN10" si="94">V10</f>
        <v>2</v>
      </c>
      <c r="AA10" s="35">
        <f t="shared" si="94"/>
        <v>3</v>
      </c>
      <c r="AB10" s="35">
        <f t="shared" si="94"/>
        <v>4</v>
      </c>
      <c r="AC10" s="35">
        <f t="shared" si="94"/>
        <v>1</v>
      </c>
      <c r="AD10" s="35">
        <f t="shared" si="94"/>
        <v>2</v>
      </c>
      <c r="AE10" s="35">
        <f t="shared" si="94"/>
        <v>3</v>
      </c>
      <c r="AF10" s="35">
        <f t="shared" si="94"/>
        <v>4</v>
      </c>
      <c r="AG10" s="35">
        <f t="shared" si="94"/>
        <v>1</v>
      </c>
      <c r="AH10" s="35">
        <f t="shared" si="94"/>
        <v>2</v>
      </c>
      <c r="AI10" s="35">
        <f t="shared" si="94"/>
        <v>3</v>
      </c>
      <c r="AJ10" s="35">
        <f t="shared" si="94"/>
        <v>4</v>
      </c>
      <c r="AK10" s="35">
        <f t="shared" si="94"/>
        <v>1</v>
      </c>
      <c r="AL10" s="35">
        <f t="shared" si="94"/>
        <v>2</v>
      </c>
      <c r="AM10" s="35">
        <f t="shared" si="94"/>
        <v>3</v>
      </c>
      <c r="AN10" s="35">
        <f t="shared" si="94"/>
        <v>4</v>
      </c>
      <c r="AO10" s="35">
        <f t="shared" si="94"/>
        <v>1</v>
      </c>
      <c r="AP10" s="35">
        <f t="shared" si="94"/>
        <v>2</v>
      </c>
      <c r="AQ10" s="35">
        <f t="shared" si="94"/>
        <v>3</v>
      </c>
      <c r="AR10" s="35">
        <f t="shared" si="94"/>
        <v>4</v>
      </c>
      <c r="AS10" s="35">
        <f t="shared" si="94"/>
        <v>1</v>
      </c>
      <c r="AT10" s="35">
        <f t="shared" si="94"/>
        <v>2</v>
      </c>
      <c r="AU10" s="35">
        <f t="shared" si="94"/>
        <v>3</v>
      </c>
      <c r="AV10" s="35">
        <f t="shared" si="94"/>
        <v>4</v>
      </c>
      <c r="AW10" s="35">
        <f t="shared" si="94"/>
        <v>1</v>
      </c>
      <c r="AX10" s="35">
        <f t="shared" si="94"/>
        <v>2</v>
      </c>
      <c r="AY10" s="35">
        <f t="shared" si="94"/>
        <v>3</v>
      </c>
      <c r="AZ10" s="35">
        <f t="shared" si="94"/>
        <v>4</v>
      </c>
      <c r="BA10" s="35">
        <f t="shared" si="94"/>
        <v>1</v>
      </c>
      <c r="BB10" s="35">
        <f t="shared" si="94"/>
        <v>2</v>
      </c>
      <c r="BC10" s="35">
        <f t="shared" si="94"/>
        <v>3</v>
      </c>
      <c r="BD10" s="35">
        <f t="shared" si="94"/>
        <v>4</v>
      </c>
      <c r="BE10" s="35">
        <f t="shared" si="94"/>
        <v>1</v>
      </c>
      <c r="BF10" s="35">
        <f t="shared" si="94"/>
        <v>2</v>
      </c>
      <c r="BG10" s="35">
        <f t="shared" si="94"/>
        <v>3</v>
      </c>
      <c r="BH10" s="35">
        <f t="shared" si="94"/>
        <v>4</v>
      </c>
      <c r="BI10" s="35">
        <f t="shared" si="94"/>
        <v>1</v>
      </c>
      <c r="BJ10" s="35">
        <f t="shared" si="94"/>
        <v>2</v>
      </c>
      <c r="BK10" s="35">
        <f t="shared" si="94"/>
        <v>3</v>
      </c>
      <c r="BL10" s="35">
        <f t="shared" si="94"/>
        <v>4</v>
      </c>
      <c r="BM10" s="35">
        <f t="shared" si="94"/>
        <v>1</v>
      </c>
      <c r="BN10" s="35">
        <f t="shared" si="94"/>
        <v>2</v>
      </c>
      <c r="BO10" s="35">
        <f t="shared" si="94"/>
        <v>3</v>
      </c>
      <c r="BP10" s="35">
        <f t="shared" si="94"/>
        <v>4</v>
      </c>
      <c r="BQ10" s="35">
        <f t="shared" si="94"/>
        <v>1</v>
      </c>
      <c r="BR10" s="35">
        <f t="shared" si="94"/>
        <v>2</v>
      </c>
      <c r="BS10" s="35">
        <f t="shared" si="94"/>
        <v>3</v>
      </c>
      <c r="BT10" s="35">
        <f t="shared" si="94"/>
        <v>4</v>
      </c>
      <c r="BU10" s="35">
        <f t="shared" si="94"/>
        <v>1</v>
      </c>
      <c r="BV10" s="35">
        <f t="shared" si="94"/>
        <v>2</v>
      </c>
      <c r="BW10" s="35">
        <f t="shared" si="94"/>
        <v>3</v>
      </c>
      <c r="BX10" s="35">
        <f t="shared" si="94"/>
        <v>4</v>
      </c>
      <c r="BY10" s="35">
        <f t="shared" si="94"/>
        <v>1</v>
      </c>
      <c r="BZ10" s="35">
        <f t="shared" si="94"/>
        <v>2</v>
      </c>
      <c r="CA10" s="35">
        <f t="shared" si="94"/>
        <v>3</v>
      </c>
      <c r="CB10" s="35">
        <f t="shared" si="94"/>
        <v>4</v>
      </c>
      <c r="CC10" s="35">
        <f t="shared" si="94"/>
        <v>1</v>
      </c>
      <c r="CD10" s="35">
        <f t="shared" si="94"/>
        <v>2</v>
      </c>
      <c r="CE10" s="35">
        <f t="shared" si="94"/>
        <v>3</v>
      </c>
      <c r="CF10" s="35">
        <f t="shared" si="94"/>
        <v>4</v>
      </c>
      <c r="CG10" s="35">
        <f t="shared" si="94"/>
        <v>1</v>
      </c>
      <c r="CH10" s="35">
        <f t="shared" si="94"/>
        <v>2</v>
      </c>
      <c r="CI10" s="35">
        <f t="shared" si="94"/>
        <v>3</v>
      </c>
      <c r="CJ10" s="35">
        <f t="shared" si="94"/>
        <v>4</v>
      </c>
      <c r="CK10" s="35">
        <f t="shared" si="94"/>
        <v>1</v>
      </c>
      <c r="CL10" s="35">
        <f t="shared" si="94"/>
        <v>2</v>
      </c>
      <c r="CM10" s="35">
        <f t="shared" si="94"/>
        <v>3</v>
      </c>
      <c r="CN10" s="35">
        <f t="shared" si="94"/>
        <v>4</v>
      </c>
      <c r="CO10" s="35"/>
    </row>
    <row r="11" spans="1:93" ht="12.75" customHeight="1">
      <c r="A11" s="35"/>
      <c r="B11" s="35"/>
      <c r="C11" s="35"/>
      <c r="D11" s="60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</row>
    <row r="12" spans="1:93" ht="12.75" customHeight="1">
      <c r="A12" s="35"/>
      <c r="B12" s="42" t="s">
        <v>114</v>
      </c>
      <c r="C12" s="42"/>
      <c r="D12" s="44"/>
      <c r="E12" s="45">
        <f>E6</f>
        <v>45200</v>
      </c>
      <c r="F12" s="45">
        <f>EOMONTH(E12,2)+1</f>
        <v>45292</v>
      </c>
      <c r="G12" s="45">
        <f t="shared" ref="G12:BR12" si="95">EOMONTH(F12,2)+1</f>
        <v>45383</v>
      </c>
      <c r="H12" s="45">
        <f t="shared" si="95"/>
        <v>45474</v>
      </c>
      <c r="I12" s="45">
        <f t="shared" si="95"/>
        <v>45566</v>
      </c>
      <c r="J12" s="45">
        <f t="shared" si="95"/>
        <v>45658</v>
      </c>
      <c r="K12" s="45">
        <f t="shared" si="95"/>
        <v>45748</v>
      </c>
      <c r="L12" s="45">
        <f t="shared" si="95"/>
        <v>45839</v>
      </c>
      <c r="M12" s="45">
        <f t="shared" si="95"/>
        <v>45931</v>
      </c>
      <c r="N12" s="45">
        <f t="shared" si="95"/>
        <v>46023</v>
      </c>
      <c r="O12" s="45">
        <f t="shared" si="95"/>
        <v>46113</v>
      </c>
      <c r="P12" s="45">
        <f t="shared" si="95"/>
        <v>46204</v>
      </c>
      <c r="Q12" s="45">
        <f t="shared" si="95"/>
        <v>46296</v>
      </c>
      <c r="R12" s="45">
        <f t="shared" si="95"/>
        <v>46388</v>
      </c>
      <c r="S12" s="45">
        <f t="shared" si="95"/>
        <v>46478</v>
      </c>
      <c r="T12" s="45">
        <f t="shared" si="95"/>
        <v>46569</v>
      </c>
      <c r="U12" s="45">
        <f t="shared" si="95"/>
        <v>46661</v>
      </c>
      <c r="V12" s="45">
        <f t="shared" si="95"/>
        <v>46753</v>
      </c>
      <c r="W12" s="45">
        <f t="shared" si="95"/>
        <v>46844</v>
      </c>
      <c r="X12" s="45">
        <f t="shared" si="95"/>
        <v>46935</v>
      </c>
      <c r="Y12" s="45">
        <f t="shared" si="95"/>
        <v>47027</v>
      </c>
      <c r="Z12" s="45">
        <f t="shared" si="95"/>
        <v>47119</v>
      </c>
      <c r="AA12" s="45">
        <f t="shared" si="95"/>
        <v>47209</v>
      </c>
      <c r="AB12" s="45">
        <f t="shared" si="95"/>
        <v>47300</v>
      </c>
      <c r="AC12" s="45">
        <f t="shared" si="95"/>
        <v>47392</v>
      </c>
      <c r="AD12" s="45">
        <f t="shared" si="95"/>
        <v>47484</v>
      </c>
      <c r="AE12" s="45">
        <f t="shared" si="95"/>
        <v>47574</v>
      </c>
      <c r="AF12" s="45">
        <f t="shared" si="95"/>
        <v>47665</v>
      </c>
      <c r="AG12" s="45">
        <f t="shared" si="95"/>
        <v>47757</v>
      </c>
      <c r="AH12" s="45">
        <f t="shared" si="95"/>
        <v>47849</v>
      </c>
      <c r="AI12" s="45">
        <f t="shared" si="95"/>
        <v>47939</v>
      </c>
      <c r="AJ12" s="45">
        <f t="shared" si="95"/>
        <v>48030</v>
      </c>
      <c r="AK12" s="45">
        <f t="shared" si="95"/>
        <v>48122</v>
      </c>
      <c r="AL12" s="45">
        <f t="shared" si="95"/>
        <v>48214</v>
      </c>
      <c r="AM12" s="45">
        <f t="shared" si="95"/>
        <v>48305</v>
      </c>
      <c r="AN12" s="45">
        <f t="shared" si="95"/>
        <v>48396</v>
      </c>
      <c r="AO12" s="45">
        <f t="shared" si="95"/>
        <v>48488</v>
      </c>
      <c r="AP12" s="45">
        <f t="shared" si="95"/>
        <v>48580</v>
      </c>
      <c r="AQ12" s="45">
        <f t="shared" si="95"/>
        <v>48670</v>
      </c>
      <c r="AR12" s="45">
        <f t="shared" si="95"/>
        <v>48761</v>
      </c>
      <c r="AS12" s="45">
        <f t="shared" si="95"/>
        <v>48853</v>
      </c>
      <c r="AT12" s="45">
        <f t="shared" si="95"/>
        <v>48945</v>
      </c>
      <c r="AU12" s="45">
        <f t="shared" si="95"/>
        <v>49035</v>
      </c>
      <c r="AV12" s="45">
        <f t="shared" si="95"/>
        <v>49126</v>
      </c>
      <c r="AW12" s="45">
        <f t="shared" si="95"/>
        <v>49218</v>
      </c>
      <c r="AX12" s="45">
        <f t="shared" si="95"/>
        <v>49310</v>
      </c>
      <c r="AY12" s="45">
        <f t="shared" si="95"/>
        <v>49400</v>
      </c>
      <c r="AZ12" s="45">
        <f t="shared" si="95"/>
        <v>49491</v>
      </c>
      <c r="BA12" s="45">
        <f t="shared" si="95"/>
        <v>49583</v>
      </c>
      <c r="BB12" s="45">
        <f t="shared" si="95"/>
        <v>49675</v>
      </c>
      <c r="BC12" s="45">
        <f t="shared" si="95"/>
        <v>49766</v>
      </c>
      <c r="BD12" s="45">
        <f t="shared" si="95"/>
        <v>49857</v>
      </c>
      <c r="BE12" s="45">
        <f t="shared" si="95"/>
        <v>49949</v>
      </c>
      <c r="BF12" s="45">
        <f t="shared" si="95"/>
        <v>50041</v>
      </c>
      <c r="BG12" s="45">
        <f t="shared" si="95"/>
        <v>50131</v>
      </c>
      <c r="BH12" s="45">
        <f t="shared" si="95"/>
        <v>50222</v>
      </c>
      <c r="BI12" s="45">
        <f t="shared" si="95"/>
        <v>50314</v>
      </c>
      <c r="BJ12" s="45">
        <f t="shared" si="95"/>
        <v>50406</v>
      </c>
      <c r="BK12" s="45">
        <f t="shared" si="95"/>
        <v>50496</v>
      </c>
      <c r="BL12" s="45">
        <f t="shared" si="95"/>
        <v>50587</v>
      </c>
      <c r="BM12" s="45">
        <f t="shared" si="95"/>
        <v>50679</v>
      </c>
      <c r="BN12" s="45">
        <f t="shared" si="95"/>
        <v>50771</v>
      </c>
      <c r="BO12" s="45">
        <f t="shared" si="95"/>
        <v>50861</v>
      </c>
      <c r="BP12" s="45">
        <f t="shared" si="95"/>
        <v>50952</v>
      </c>
      <c r="BQ12" s="45">
        <f t="shared" si="95"/>
        <v>51044</v>
      </c>
      <c r="BR12" s="45">
        <f t="shared" si="95"/>
        <v>51136</v>
      </c>
      <c r="BS12" s="45">
        <f t="shared" ref="BS12:CN12" si="96">EOMONTH(BR12,2)+1</f>
        <v>51227</v>
      </c>
      <c r="BT12" s="45">
        <f t="shared" si="96"/>
        <v>51318</v>
      </c>
      <c r="BU12" s="45">
        <f t="shared" si="96"/>
        <v>51410</v>
      </c>
      <c r="BV12" s="45">
        <f t="shared" si="96"/>
        <v>51502</v>
      </c>
      <c r="BW12" s="45">
        <f t="shared" si="96"/>
        <v>51592</v>
      </c>
      <c r="BX12" s="45">
        <f t="shared" si="96"/>
        <v>51683</v>
      </c>
      <c r="BY12" s="45">
        <f t="shared" si="96"/>
        <v>51775</v>
      </c>
      <c r="BZ12" s="45">
        <f t="shared" si="96"/>
        <v>51867</v>
      </c>
      <c r="CA12" s="45">
        <f t="shared" si="96"/>
        <v>51957</v>
      </c>
      <c r="CB12" s="45">
        <f t="shared" si="96"/>
        <v>52048</v>
      </c>
      <c r="CC12" s="45">
        <f t="shared" si="96"/>
        <v>52140</v>
      </c>
      <c r="CD12" s="45">
        <f t="shared" si="96"/>
        <v>52232</v>
      </c>
      <c r="CE12" s="45">
        <f t="shared" si="96"/>
        <v>52322</v>
      </c>
      <c r="CF12" s="45">
        <f t="shared" si="96"/>
        <v>52413</v>
      </c>
      <c r="CG12" s="45">
        <f t="shared" si="96"/>
        <v>52505</v>
      </c>
      <c r="CH12" s="45">
        <f t="shared" si="96"/>
        <v>52597</v>
      </c>
      <c r="CI12" s="45">
        <f t="shared" si="96"/>
        <v>52688</v>
      </c>
      <c r="CJ12" s="45">
        <f t="shared" si="96"/>
        <v>52779</v>
      </c>
      <c r="CK12" s="45">
        <f t="shared" si="96"/>
        <v>52871</v>
      </c>
      <c r="CL12" s="45">
        <f t="shared" si="96"/>
        <v>52963</v>
      </c>
      <c r="CM12" s="45">
        <f t="shared" si="96"/>
        <v>53053</v>
      </c>
      <c r="CN12" s="45">
        <f t="shared" si="96"/>
        <v>53144</v>
      </c>
      <c r="CO12" s="37" t="s">
        <v>111</v>
      </c>
    </row>
    <row r="13" spans="1:93" ht="12.75" customHeight="1">
      <c r="A13" s="35"/>
      <c r="B13" s="63" t="s">
        <v>100</v>
      </c>
      <c r="C13" s="35">
        <f t="shared" ref="C13" si="97">SUM(D13:CN13)</f>
        <v>8036</v>
      </c>
      <c r="D13" s="60"/>
      <c r="E13" s="35">
        <f>E7-E6+1</f>
        <v>92</v>
      </c>
      <c r="F13" s="35">
        <f t="shared" ref="F13:BQ13" si="98">F7-F6+1</f>
        <v>91</v>
      </c>
      <c r="G13" s="35">
        <f t="shared" si="98"/>
        <v>91</v>
      </c>
      <c r="H13" s="35">
        <f t="shared" si="98"/>
        <v>92</v>
      </c>
      <c r="I13" s="35">
        <f t="shared" si="98"/>
        <v>92</v>
      </c>
      <c r="J13" s="35">
        <f t="shared" si="98"/>
        <v>90</v>
      </c>
      <c r="K13" s="35">
        <f t="shared" si="98"/>
        <v>91</v>
      </c>
      <c r="L13" s="35">
        <f t="shared" si="98"/>
        <v>92</v>
      </c>
      <c r="M13" s="35">
        <f t="shared" si="98"/>
        <v>92</v>
      </c>
      <c r="N13" s="35">
        <f t="shared" si="98"/>
        <v>90</v>
      </c>
      <c r="O13" s="35">
        <f t="shared" si="98"/>
        <v>91</v>
      </c>
      <c r="P13" s="35">
        <f t="shared" si="98"/>
        <v>92</v>
      </c>
      <c r="Q13" s="35">
        <f t="shared" si="98"/>
        <v>92</v>
      </c>
      <c r="R13" s="35">
        <f t="shared" si="98"/>
        <v>90</v>
      </c>
      <c r="S13" s="35">
        <f t="shared" si="98"/>
        <v>91</v>
      </c>
      <c r="T13" s="35">
        <f t="shared" si="98"/>
        <v>92</v>
      </c>
      <c r="U13" s="35">
        <f t="shared" si="98"/>
        <v>92</v>
      </c>
      <c r="V13" s="35">
        <f t="shared" si="98"/>
        <v>91</v>
      </c>
      <c r="W13" s="35">
        <f t="shared" si="98"/>
        <v>91</v>
      </c>
      <c r="X13" s="35">
        <f t="shared" si="98"/>
        <v>92</v>
      </c>
      <c r="Y13" s="35">
        <f t="shared" si="98"/>
        <v>92</v>
      </c>
      <c r="Z13" s="35">
        <f t="shared" si="98"/>
        <v>90</v>
      </c>
      <c r="AA13" s="35">
        <f t="shared" si="98"/>
        <v>91</v>
      </c>
      <c r="AB13" s="35">
        <f t="shared" si="98"/>
        <v>92</v>
      </c>
      <c r="AC13" s="35">
        <f t="shared" si="98"/>
        <v>92</v>
      </c>
      <c r="AD13" s="35">
        <f t="shared" si="98"/>
        <v>90</v>
      </c>
      <c r="AE13" s="35">
        <f t="shared" si="98"/>
        <v>91</v>
      </c>
      <c r="AF13" s="35">
        <f t="shared" si="98"/>
        <v>92</v>
      </c>
      <c r="AG13" s="35">
        <f t="shared" si="98"/>
        <v>92</v>
      </c>
      <c r="AH13" s="35">
        <f t="shared" si="98"/>
        <v>90</v>
      </c>
      <c r="AI13" s="35">
        <f t="shared" si="98"/>
        <v>91</v>
      </c>
      <c r="AJ13" s="35">
        <f t="shared" si="98"/>
        <v>92</v>
      </c>
      <c r="AK13" s="35">
        <f t="shared" si="98"/>
        <v>92</v>
      </c>
      <c r="AL13" s="35">
        <f t="shared" si="98"/>
        <v>91</v>
      </c>
      <c r="AM13" s="35">
        <f t="shared" si="98"/>
        <v>91</v>
      </c>
      <c r="AN13" s="35">
        <f t="shared" si="98"/>
        <v>92</v>
      </c>
      <c r="AO13" s="35">
        <f t="shared" si="98"/>
        <v>92</v>
      </c>
      <c r="AP13" s="35">
        <f t="shared" si="98"/>
        <v>90</v>
      </c>
      <c r="AQ13" s="35">
        <f t="shared" si="98"/>
        <v>91</v>
      </c>
      <c r="AR13" s="35">
        <f t="shared" si="98"/>
        <v>92</v>
      </c>
      <c r="AS13" s="35">
        <f t="shared" si="98"/>
        <v>92</v>
      </c>
      <c r="AT13" s="35">
        <f t="shared" si="98"/>
        <v>90</v>
      </c>
      <c r="AU13" s="35">
        <f t="shared" si="98"/>
        <v>91</v>
      </c>
      <c r="AV13" s="35">
        <f t="shared" si="98"/>
        <v>92</v>
      </c>
      <c r="AW13" s="35">
        <f t="shared" si="98"/>
        <v>92</v>
      </c>
      <c r="AX13" s="35">
        <f t="shared" si="98"/>
        <v>90</v>
      </c>
      <c r="AY13" s="35">
        <f t="shared" si="98"/>
        <v>91</v>
      </c>
      <c r="AZ13" s="35">
        <f t="shared" si="98"/>
        <v>92</v>
      </c>
      <c r="BA13" s="35">
        <f t="shared" si="98"/>
        <v>92</v>
      </c>
      <c r="BB13" s="35">
        <f t="shared" si="98"/>
        <v>91</v>
      </c>
      <c r="BC13" s="35">
        <f t="shared" si="98"/>
        <v>91</v>
      </c>
      <c r="BD13" s="35">
        <f t="shared" si="98"/>
        <v>92</v>
      </c>
      <c r="BE13" s="35">
        <f t="shared" si="98"/>
        <v>92</v>
      </c>
      <c r="BF13" s="35">
        <f t="shared" si="98"/>
        <v>90</v>
      </c>
      <c r="BG13" s="35">
        <f t="shared" si="98"/>
        <v>91</v>
      </c>
      <c r="BH13" s="35">
        <f t="shared" si="98"/>
        <v>92</v>
      </c>
      <c r="BI13" s="35">
        <f t="shared" si="98"/>
        <v>92</v>
      </c>
      <c r="BJ13" s="35">
        <f t="shared" si="98"/>
        <v>90</v>
      </c>
      <c r="BK13" s="35">
        <f t="shared" si="98"/>
        <v>91</v>
      </c>
      <c r="BL13" s="35">
        <f t="shared" si="98"/>
        <v>92</v>
      </c>
      <c r="BM13" s="35">
        <f t="shared" si="98"/>
        <v>92</v>
      </c>
      <c r="BN13" s="35">
        <f t="shared" si="98"/>
        <v>90</v>
      </c>
      <c r="BO13" s="35">
        <f t="shared" si="98"/>
        <v>91</v>
      </c>
      <c r="BP13" s="35">
        <f t="shared" si="98"/>
        <v>92</v>
      </c>
      <c r="BQ13" s="35">
        <f t="shared" si="98"/>
        <v>92</v>
      </c>
      <c r="BR13" s="35">
        <f t="shared" ref="BR13:CO13" si="99">BR7-BR6+1</f>
        <v>91</v>
      </c>
      <c r="BS13" s="35">
        <f t="shared" si="99"/>
        <v>91</v>
      </c>
      <c r="BT13" s="35">
        <f t="shared" si="99"/>
        <v>92</v>
      </c>
      <c r="BU13" s="35">
        <f t="shared" si="99"/>
        <v>92</v>
      </c>
      <c r="BV13" s="35">
        <f t="shared" si="99"/>
        <v>90</v>
      </c>
      <c r="BW13" s="35">
        <f t="shared" si="99"/>
        <v>91</v>
      </c>
      <c r="BX13" s="35">
        <f t="shared" si="99"/>
        <v>92</v>
      </c>
      <c r="BY13" s="35">
        <f t="shared" si="99"/>
        <v>92</v>
      </c>
      <c r="BZ13" s="35">
        <f t="shared" si="99"/>
        <v>90</v>
      </c>
      <c r="CA13" s="35">
        <f t="shared" si="99"/>
        <v>91</v>
      </c>
      <c r="CB13" s="35">
        <f t="shared" si="99"/>
        <v>92</v>
      </c>
      <c r="CC13" s="35">
        <f t="shared" si="99"/>
        <v>92</v>
      </c>
      <c r="CD13" s="35">
        <f t="shared" si="99"/>
        <v>90</v>
      </c>
      <c r="CE13" s="35">
        <f t="shared" si="99"/>
        <v>91</v>
      </c>
      <c r="CF13" s="35">
        <f t="shared" si="99"/>
        <v>92</v>
      </c>
      <c r="CG13" s="35">
        <f t="shared" si="99"/>
        <v>92</v>
      </c>
      <c r="CH13" s="35">
        <f t="shared" si="99"/>
        <v>91</v>
      </c>
      <c r="CI13" s="35">
        <f t="shared" si="99"/>
        <v>91</v>
      </c>
      <c r="CJ13" s="35">
        <f t="shared" si="99"/>
        <v>92</v>
      </c>
      <c r="CK13" s="35">
        <f t="shared" si="99"/>
        <v>92</v>
      </c>
      <c r="CL13" s="35">
        <f t="shared" si="99"/>
        <v>90</v>
      </c>
      <c r="CM13" s="35">
        <f t="shared" si="99"/>
        <v>91</v>
      </c>
      <c r="CN13" s="35">
        <f t="shared" si="99"/>
        <v>92</v>
      </c>
      <c r="CO13" s="35">
        <f t="shared" si="99"/>
        <v>92</v>
      </c>
    </row>
    <row r="14" spans="1:93" ht="12.75" customHeight="1">
      <c r="A14" s="35"/>
      <c r="B14" s="63" t="s">
        <v>115</v>
      </c>
      <c r="C14" s="35"/>
      <c r="D14" s="64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>
        <v>1</v>
      </c>
      <c r="X14" s="39">
        <v>1</v>
      </c>
      <c r="Y14" s="39">
        <v>1</v>
      </c>
      <c r="Z14" s="65">
        <f>100%+'выручка номеров'!$C$3</f>
        <v>1.05</v>
      </c>
      <c r="AA14" s="65">
        <f>100%+'выручка номеров'!$C$3</f>
        <v>1.05</v>
      </c>
      <c r="AB14" s="65">
        <f>100%+'выручка номеров'!$C$3</f>
        <v>1.05</v>
      </c>
      <c r="AC14" s="65">
        <f>100%+'выручка номеров'!$C$3</f>
        <v>1.05</v>
      </c>
      <c r="AD14" s="65">
        <f>100%+'выручка номеров'!$D$3</f>
        <v>1.05</v>
      </c>
      <c r="AE14" s="65">
        <f>100%+'выручка номеров'!$D$3</f>
        <v>1.05</v>
      </c>
      <c r="AF14" s="65">
        <f>100%+'выручка номеров'!$D$3</f>
        <v>1.05</v>
      </c>
      <c r="AG14" s="65">
        <f>100%+'выручка номеров'!$D$3</f>
        <v>1.05</v>
      </c>
      <c r="AH14" s="65">
        <f>100%+'выручка номеров'!$E$3</f>
        <v>1.05</v>
      </c>
      <c r="AI14" s="65">
        <f>100%+'выручка номеров'!$E$3</f>
        <v>1.05</v>
      </c>
      <c r="AJ14" s="65">
        <f>100%+'выручка номеров'!$E$3</f>
        <v>1.05</v>
      </c>
      <c r="AK14" s="65">
        <f>100%+'выручка номеров'!$E$3</f>
        <v>1.05</v>
      </c>
      <c r="AL14" s="65">
        <f>100%+'выручка номеров'!$F$3</f>
        <v>1.05</v>
      </c>
      <c r="AM14" s="65">
        <f>100%+'выручка номеров'!$F$3</f>
        <v>1.05</v>
      </c>
      <c r="AN14" s="65">
        <f>100%+'выручка номеров'!$F$3</f>
        <v>1.05</v>
      </c>
      <c r="AO14" s="65">
        <f>100%+'выручка номеров'!$F$3</f>
        <v>1.05</v>
      </c>
      <c r="AP14" s="65">
        <f>100%+'выручка номеров'!$G$3</f>
        <v>1.05</v>
      </c>
      <c r="AQ14" s="65">
        <f>100%+'выручка номеров'!$G$3</f>
        <v>1.05</v>
      </c>
      <c r="AR14" s="65">
        <f>100%+'выручка номеров'!$G$3</f>
        <v>1.05</v>
      </c>
      <c r="AS14" s="65">
        <f>100%+'выручка номеров'!$G$3</f>
        <v>1.05</v>
      </c>
      <c r="AT14" s="65">
        <f>100%+'выручка номеров'!$H$3</f>
        <v>1.05</v>
      </c>
      <c r="AU14" s="65">
        <f>100%+'выручка номеров'!$H$3</f>
        <v>1.05</v>
      </c>
      <c r="AV14" s="65">
        <f>100%+'выручка номеров'!$H$3</f>
        <v>1.05</v>
      </c>
      <c r="AW14" s="65">
        <f>100%+'выручка номеров'!$H$3</f>
        <v>1.05</v>
      </c>
      <c r="AX14" s="65">
        <f>100%+'выручка номеров'!$I$3</f>
        <v>1.05</v>
      </c>
      <c r="AY14" s="65">
        <f>100%+'выручка номеров'!$I$3</f>
        <v>1.05</v>
      </c>
      <c r="AZ14" s="65">
        <f>100%+'выручка номеров'!$I$3</f>
        <v>1.05</v>
      </c>
      <c r="BA14" s="65">
        <f>100%+'выручка номеров'!$I$3</f>
        <v>1.05</v>
      </c>
      <c r="BB14" s="65">
        <f>100%+'выручка номеров'!$J$3</f>
        <v>1.05</v>
      </c>
      <c r="BC14" s="65">
        <f>100%+'выручка номеров'!$J$3</f>
        <v>1.05</v>
      </c>
      <c r="BD14" s="65">
        <f>100%+'выручка номеров'!$J$3</f>
        <v>1.05</v>
      </c>
      <c r="BE14" s="65">
        <f>100%+'выручка номеров'!$J$3</f>
        <v>1.05</v>
      </c>
      <c r="BF14" s="65">
        <f>100%+'выручка номеров'!$K$3</f>
        <v>1.05</v>
      </c>
      <c r="BG14" s="65">
        <f>100%+'выручка номеров'!$K$3</f>
        <v>1.05</v>
      </c>
      <c r="BH14" s="65">
        <f>100%+'выручка номеров'!$K$3</f>
        <v>1.05</v>
      </c>
      <c r="BI14" s="65">
        <f>100%+'выручка номеров'!$K$3</f>
        <v>1.05</v>
      </c>
      <c r="BJ14" s="65">
        <f>100%+'выручка номеров'!$L$3</f>
        <v>1.05</v>
      </c>
      <c r="BK14" s="65">
        <f>100%+'выручка номеров'!$L$3</f>
        <v>1.05</v>
      </c>
      <c r="BL14" s="65">
        <f>100%+'выручка номеров'!$L$3</f>
        <v>1.05</v>
      </c>
      <c r="BM14" s="65">
        <f>100%+'выручка номеров'!$L$3</f>
        <v>1.05</v>
      </c>
      <c r="BN14" s="65">
        <f>100%+'выручка номеров'!$M$3</f>
        <v>1.05</v>
      </c>
      <c r="BO14" s="65">
        <f>100%+'выручка номеров'!$M$3</f>
        <v>1.05</v>
      </c>
      <c r="BP14" s="65">
        <f>100%+'выручка номеров'!$M$3</f>
        <v>1.05</v>
      </c>
      <c r="BQ14" s="65">
        <f>100%+'выручка номеров'!$M$3</f>
        <v>1.05</v>
      </c>
      <c r="BR14" s="65">
        <f>100%+'выручка номеров'!$N$3</f>
        <v>1.05</v>
      </c>
      <c r="BS14" s="65">
        <f>100%+'выручка номеров'!$N$3</f>
        <v>1.05</v>
      </c>
      <c r="BT14" s="65">
        <f>100%+'выручка номеров'!$N$3</f>
        <v>1.05</v>
      </c>
      <c r="BU14" s="65">
        <f>100%+'выручка номеров'!$N$3</f>
        <v>1.05</v>
      </c>
      <c r="BV14" s="65">
        <f>100%+'выручка номеров'!$O$3</f>
        <v>1.05</v>
      </c>
      <c r="BW14" s="65">
        <f>100%+'выручка номеров'!$O$3</f>
        <v>1.05</v>
      </c>
      <c r="BX14" s="65">
        <f>100%+'выручка номеров'!$O$3</f>
        <v>1.05</v>
      </c>
      <c r="BY14" s="65">
        <f>100%+'выручка номеров'!$O$3</f>
        <v>1.05</v>
      </c>
      <c r="BZ14" s="65">
        <f>100%+'выручка номеров'!$O$3</f>
        <v>1.05</v>
      </c>
      <c r="CA14" s="65">
        <f>100%+'выручка номеров'!$O$3</f>
        <v>1.05</v>
      </c>
      <c r="CB14" s="65">
        <f>100%+'выручка номеров'!$O$3</f>
        <v>1.05</v>
      </c>
      <c r="CC14" s="65">
        <f>100%+'выручка номеров'!$O$3</f>
        <v>1.05</v>
      </c>
      <c r="CD14" s="65">
        <f>100%+'выручка номеров'!$O$3</f>
        <v>1.05</v>
      </c>
      <c r="CE14" s="65">
        <f>100%+'выручка номеров'!$O$3</f>
        <v>1.05</v>
      </c>
      <c r="CF14" s="65">
        <f>100%+'выручка номеров'!$O$3</f>
        <v>1.05</v>
      </c>
      <c r="CG14" s="65">
        <f>100%+'выручка номеров'!$O$3</f>
        <v>1.05</v>
      </c>
      <c r="CH14" s="65">
        <f>100%+'выручка номеров'!$O$3</f>
        <v>1.05</v>
      </c>
      <c r="CI14" s="65">
        <f>100%+'выручка номеров'!$O$3</f>
        <v>1.05</v>
      </c>
      <c r="CJ14" s="65">
        <f>100%+'выручка номеров'!$O$3</f>
        <v>1.05</v>
      </c>
      <c r="CK14" s="65">
        <f>100%+'выручка номеров'!$O$3</f>
        <v>1.05</v>
      </c>
      <c r="CL14" s="65">
        <f>100%+'выручка номеров'!$O$3</f>
        <v>1.05</v>
      </c>
      <c r="CM14" s="65">
        <f>100%+'выручка номеров'!$O$3</f>
        <v>1.05</v>
      </c>
      <c r="CN14" s="65">
        <f>100%+'выручка номеров'!$O$3</f>
        <v>1.05</v>
      </c>
      <c r="CO14" s="66">
        <f>100%+'выручка номеров'!$O$3</f>
        <v>1.05</v>
      </c>
    </row>
    <row r="15" spans="1:93" ht="12.75" customHeight="1">
      <c r="A15" s="35"/>
      <c r="B15" s="63" t="s">
        <v>116</v>
      </c>
      <c r="C15" s="35"/>
      <c r="D15" s="64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>
        <f>SUM('выручка номеров'!F11:H11)/SUM('выручка номеров'!F10:H10)</f>
        <v>0.71703296703296704</v>
      </c>
      <c r="X15" s="39">
        <f>SUM('выручка номеров'!C11:E11)/SUM('выручка номеров'!C10:E10)</f>
        <v>0.61888888888888893</v>
      </c>
      <c r="Y15" s="39">
        <f>SUM('выручка номеров'!I11:K11)/SUM('выручка номеров'!I10:K10)</f>
        <v>0.76793478260869563</v>
      </c>
      <c r="Z15" s="39">
        <f>SUM('выручка номеров'!C11:E11)/SUM('выручка номеров'!C10:E10)</f>
        <v>0.61888888888888893</v>
      </c>
      <c r="AA15" s="39">
        <f>W15</f>
        <v>0.71703296703296704</v>
      </c>
      <c r="AB15" s="39">
        <f t="shared" ref="AB15:CM15" si="100">X15</f>
        <v>0.61888888888888893</v>
      </c>
      <c r="AC15" s="39">
        <f t="shared" si="100"/>
        <v>0.76793478260869563</v>
      </c>
      <c r="AD15" s="39">
        <f t="shared" si="100"/>
        <v>0.61888888888888893</v>
      </c>
      <c r="AE15" s="39">
        <f t="shared" si="100"/>
        <v>0.71703296703296704</v>
      </c>
      <c r="AF15" s="39">
        <f t="shared" si="100"/>
        <v>0.61888888888888893</v>
      </c>
      <c r="AG15" s="39">
        <f t="shared" si="100"/>
        <v>0.76793478260869563</v>
      </c>
      <c r="AH15" s="39">
        <f t="shared" si="100"/>
        <v>0.61888888888888893</v>
      </c>
      <c r="AI15" s="39">
        <f t="shared" si="100"/>
        <v>0.71703296703296704</v>
      </c>
      <c r="AJ15" s="39">
        <f t="shared" si="100"/>
        <v>0.61888888888888893</v>
      </c>
      <c r="AK15" s="39">
        <f t="shared" si="100"/>
        <v>0.76793478260869563</v>
      </c>
      <c r="AL15" s="39">
        <f t="shared" si="100"/>
        <v>0.61888888888888893</v>
      </c>
      <c r="AM15" s="39">
        <f t="shared" si="100"/>
        <v>0.71703296703296704</v>
      </c>
      <c r="AN15" s="39">
        <f t="shared" si="100"/>
        <v>0.61888888888888893</v>
      </c>
      <c r="AO15" s="39">
        <f t="shared" si="100"/>
        <v>0.76793478260869563</v>
      </c>
      <c r="AP15" s="39">
        <f t="shared" si="100"/>
        <v>0.61888888888888893</v>
      </c>
      <c r="AQ15" s="39">
        <f t="shared" si="100"/>
        <v>0.71703296703296704</v>
      </c>
      <c r="AR15" s="39">
        <f t="shared" si="100"/>
        <v>0.61888888888888893</v>
      </c>
      <c r="AS15" s="39">
        <f t="shared" si="100"/>
        <v>0.76793478260869563</v>
      </c>
      <c r="AT15" s="39">
        <f t="shared" si="100"/>
        <v>0.61888888888888893</v>
      </c>
      <c r="AU15" s="39">
        <f t="shared" si="100"/>
        <v>0.71703296703296704</v>
      </c>
      <c r="AV15" s="39">
        <f t="shared" si="100"/>
        <v>0.61888888888888893</v>
      </c>
      <c r="AW15" s="39">
        <f t="shared" si="100"/>
        <v>0.76793478260869563</v>
      </c>
      <c r="AX15" s="39">
        <f t="shared" si="100"/>
        <v>0.61888888888888893</v>
      </c>
      <c r="AY15" s="39">
        <f t="shared" si="100"/>
        <v>0.71703296703296704</v>
      </c>
      <c r="AZ15" s="39">
        <f t="shared" si="100"/>
        <v>0.61888888888888893</v>
      </c>
      <c r="BA15" s="39">
        <f t="shared" si="100"/>
        <v>0.76793478260869563</v>
      </c>
      <c r="BB15" s="39">
        <f t="shared" si="100"/>
        <v>0.61888888888888893</v>
      </c>
      <c r="BC15" s="39">
        <f t="shared" si="100"/>
        <v>0.71703296703296704</v>
      </c>
      <c r="BD15" s="39">
        <f t="shared" si="100"/>
        <v>0.61888888888888893</v>
      </c>
      <c r="BE15" s="39">
        <f t="shared" si="100"/>
        <v>0.76793478260869563</v>
      </c>
      <c r="BF15" s="39">
        <f t="shared" si="100"/>
        <v>0.61888888888888893</v>
      </c>
      <c r="BG15" s="39">
        <f t="shared" si="100"/>
        <v>0.71703296703296704</v>
      </c>
      <c r="BH15" s="39">
        <f t="shared" si="100"/>
        <v>0.61888888888888893</v>
      </c>
      <c r="BI15" s="39">
        <f t="shared" si="100"/>
        <v>0.76793478260869563</v>
      </c>
      <c r="BJ15" s="39">
        <f t="shared" si="100"/>
        <v>0.61888888888888893</v>
      </c>
      <c r="BK15" s="39">
        <f t="shared" si="100"/>
        <v>0.71703296703296704</v>
      </c>
      <c r="BL15" s="39">
        <f t="shared" si="100"/>
        <v>0.61888888888888893</v>
      </c>
      <c r="BM15" s="39">
        <f t="shared" si="100"/>
        <v>0.76793478260869563</v>
      </c>
      <c r="BN15" s="39">
        <f t="shared" si="100"/>
        <v>0.61888888888888893</v>
      </c>
      <c r="BO15" s="39">
        <f t="shared" si="100"/>
        <v>0.71703296703296704</v>
      </c>
      <c r="BP15" s="39">
        <f t="shared" si="100"/>
        <v>0.61888888888888893</v>
      </c>
      <c r="BQ15" s="39">
        <f t="shared" si="100"/>
        <v>0.76793478260869563</v>
      </c>
      <c r="BR15" s="39">
        <f t="shared" si="100"/>
        <v>0.61888888888888893</v>
      </c>
      <c r="BS15" s="39">
        <f t="shared" si="100"/>
        <v>0.71703296703296704</v>
      </c>
      <c r="BT15" s="39">
        <f t="shared" si="100"/>
        <v>0.61888888888888893</v>
      </c>
      <c r="BU15" s="39">
        <f t="shared" si="100"/>
        <v>0.76793478260869563</v>
      </c>
      <c r="BV15" s="39">
        <f t="shared" si="100"/>
        <v>0.61888888888888893</v>
      </c>
      <c r="BW15" s="39">
        <f t="shared" si="100"/>
        <v>0.71703296703296704</v>
      </c>
      <c r="BX15" s="39">
        <f t="shared" si="100"/>
        <v>0.61888888888888893</v>
      </c>
      <c r="BY15" s="39">
        <f t="shared" si="100"/>
        <v>0.76793478260869563</v>
      </c>
      <c r="BZ15" s="39">
        <f t="shared" si="100"/>
        <v>0.61888888888888893</v>
      </c>
      <c r="CA15" s="39">
        <f t="shared" si="100"/>
        <v>0.71703296703296704</v>
      </c>
      <c r="CB15" s="39">
        <f t="shared" si="100"/>
        <v>0.61888888888888893</v>
      </c>
      <c r="CC15" s="39">
        <f t="shared" si="100"/>
        <v>0.76793478260869563</v>
      </c>
      <c r="CD15" s="39">
        <f t="shared" si="100"/>
        <v>0.61888888888888893</v>
      </c>
      <c r="CE15" s="39">
        <f t="shared" si="100"/>
        <v>0.71703296703296704</v>
      </c>
      <c r="CF15" s="39">
        <f t="shared" si="100"/>
        <v>0.61888888888888893</v>
      </c>
      <c r="CG15" s="39">
        <f t="shared" si="100"/>
        <v>0.76793478260869563</v>
      </c>
      <c r="CH15" s="39">
        <f t="shared" si="100"/>
        <v>0.61888888888888893</v>
      </c>
      <c r="CI15" s="39">
        <f t="shared" si="100"/>
        <v>0.71703296703296704</v>
      </c>
      <c r="CJ15" s="39">
        <f t="shared" si="100"/>
        <v>0.61888888888888893</v>
      </c>
      <c r="CK15" s="39">
        <f t="shared" si="100"/>
        <v>0.76793478260869563</v>
      </c>
      <c r="CL15" s="39">
        <f t="shared" si="100"/>
        <v>0.61888888888888893</v>
      </c>
      <c r="CM15" s="39">
        <f t="shared" si="100"/>
        <v>0.71703296703296704</v>
      </c>
      <c r="CN15" s="39">
        <f t="shared" ref="CN15:CO15" si="101">CJ15</f>
        <v>0.61888888888888893</v>
      </c>
      <c r="CO15" s="39">
        <f t="shared" si="101"/>
        <v>0.76793478260869563</v>
      </c>
    </row>
    <row r="16" spans="1:93" ht="12.75" customHeight="1">
      <c r="A16" s="35"/>
      <c r="B16" s="63" t="s">
        <v>117</v>
      </c>
      <c r="C16" s="35"/>
      <c r="D16" s="6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40">
        <f>W19/(W13*W15*(Assump!$D$16))</f>
        <v>5.4928714656354947</v>
      </c>
      <c r="X16" s="40">
        <f>X19/(X13*X15*(Assump!$D$16))</f>
        <v>8.0802555902208599</v>
      </c>
      <c r="Y16" s="40">
        <f>Y19/(Y13*Y15*(Assump!$D$16))</f>
        <v>2.680787982075612</v>
      </c>
      <c r="Z16" s="40">
        <f>Z19/(Z13*Z15*(Assump!$D$16))</f>
        <v>4.8613105361518389</v>
      </c>
      <c r="AA16" s="40">
        <f>AA19/(AA13*AA15*(Assump!$D$16))</f>
        <v>5.7464600029681652</v>
      </c>
      <c r="AB16" s="40">
        <f>AB19/(AB13*AB15*(Assump!$D$16))</f>
        <v>8.4519105580802414</v>
      </c>
      <c r="AC16" s="40">
        <f>AC19/(AC13*AC15*(Assump!$D$16))</f>
        <v>2.8061016793061353</v>
      </c>
      <c r="AD16" s="40">
        <f>AD19/(AD13*AD15*(Assump!$D$16))</f>
        <v>5.332028261947463</v>
      </c>
      <c r="AE16" s="40">
        <f>AE19/(AE13*AE15*(Assump!$D$16))</f>
        <v>6.2919787465400905</v>
      </c>
      <c r="AF16" s="40">
        <f>AF19/(AF13*AF15*(Assump!$D$16))</f>
        <v>9.2414314408882294</v>
      </c>
      <c r="AG16" s="40">
        <f>AG19/(AG13*AG15*(Assump!$D$16))</f>
        <v>3.0868490422266279</v>
      </c>
      <c r="AH16" s="40">
        <f>AH19/(AH13*AH15*(Assump!$D$16))</f>
        <v>7.068300555715556</v>
      </c>
      <c r="AI16" s="40">
        <f>AI19/(AI13*AI15*(Assump!$D$16))</f>
        <v>7.7439793932767484</v>
      </c>
      <c r="AJ16" s="40">
        <f>AJ19/(AJ13*AJ15*(Assump!$D$16))</f>
        <v>3.6559845843926042</v>
      </c>
      <c r="AK16" s="40">
        <f>AK19/(AK13*AK15*(Assump!$D$16))</f>
        <v>4.4139231832979107</v>
      </c>
      <c r="AL16" s="40">
        <f>AL19/(AL13*AL15*(Assump!$D$16))</f>
        <v>7.6542560120957077</v>
      </c>
      <c r="AM16" s="40">
        <f>AM19/(AM13*AM15*(Assump!$D$16))</f>
        <v>8.4673700876069873</v>
      </c>
      <c r="AN16" s="40">
        <f>AN19/(AN13*AN15*(Assump!$D$16))</f>
        <v>4.0217617900140334</v>
      </c>
      <c r="AO16" s="40">
        <f>AO19/(AO13*AO15*(Assump!$D$16))</f>
        <v>5.851232243468143</v>
      </c>
      <c r="AP16" s="40">
        <f>AP19/(AP13*AP15*(Assump!$D$16))</f>
        <v>9.5253031989564327</v>
      </c>
      <c r="AQ16" s="40">
        <f>AQ19/(AQ13*AQ15*(Assump!$D$16))</f>
        <v>3.3497596891399808</v>
      </c>
      <c r="AR16" s="40">
        <f>AR19/(AR13*AR15*(Assump!$D$16))</f>
        <v>5.7507663509971421</v>
      </c>
      <c r="AS16" s="40">
        <f>AS19/(AS13*AS15*(Assump!$D$16))</f>
        <v>6.4066971488456392</v>
      </c>
      <c r="AT16" s="40">
        <f>AT19/(AT13*AT15*(Assump!$D$16))</f>
        <v>10.415093233881038</v>
      </c>
      <c r="AU16" s="40">
        <f>AU19/(AU13*AU15*(Assump!$D$16))</f>
        <v>3.6848994333904317</v>
      </c>
      <c r="AV16" s="40">
        <f>AV19/(AV13*AV15*(Assump!$D$16))</f>
        <v>7.6233926374008272</v>
      </c>
      <c r="AW16" s="40">
        <f>AW19/(AW13*AW15*(Assump!$D$16))</f>
        <v>7.8851713742528942</v>
      </c>
      <c r="AX16" s="40">
        <f>AX19/(AX13*AX15*(Assump!$D$16))</f>
        <v>4.1202946266104661</v>
      </c>
      <c r="AY16" s="40">
        <f>AY19/(AY13*AY15*(Assump!$D$16))</f>
        <v>5.2690827489999563</v>
      </c>
      <c r="AZ16" s="40">
        <f>AZ19/(AZ13*AZ15*(Assump!$D$16))</f>
        <v>8.3470909788427416</v>
      </c>
      <c r="BA16" s="40">
        <f>BA19/(BA13*BA15*(Assump!$D$16))</f>
        <v>8.6217512778985501</v>
      </c>
      <c r="BB16" s="40">
        <f>BB19/(BB13*BB15*(Assump!$D$16))</f>
        <v>4.4827175644079498</v>
      </c>
      <c r="BC16" s="40">
        <f>BC19/(BC13*BC15*(Assump!$D$16))</f>
        <v>6.9848580489828249</v>
      </c>
      <c r="BD16" s="40">
        <f>BD19/(BD13*BD15*(Assump!$D$16))</f>
        <v>10.273350107787522</v>
      </c>
      <c r="BE16" s="40">
        <f>BE19/(BE13*BE15*(Assump!$D$16))</f>
        <v>3.4108341293321036</v>
      </c>
      <c r="BF16" s="40">
        <f>BF19/(BF13*BF15*(Assump!$D$16))</f>
        <v>6.481113677573779</v>
      </c>
      <c r="BG16" s="40">
        <f>BG19/(BG13*BG15*(Assump!$D$16))</f>
        <v>7.647939491286647</v>
      </c>
      <c r="BH16" s="40">
        <f>BH19/(BH13*BH15*(Assump!$D$16))</f>
        <v>11.233017675346153</v>
      </c>
      <c r="BI16" s="40">
        <f>BI19/(BI13*BI15*(Assump!$D$16))</f>
        <v>3.7520843036329805</v>
      </c>
      <c r="BJ16" s="40">
        <f>BJ19/(BJ13*BJ15*(Assump!$D$16))</f>
        <v>8.5915635023507324</v>
      </c>
      <c r="BK16" s="40">
        <f>BK19/(BK13*BK15*(Assump!$D$16))</f>
        <v>9.412855352399097</v>
      </c>
      <c r="BL16" s="40">
        <f>BL19/(BL13*BL15*(Assump!$D$16))</f>
        <v>4.4438721122328637</v>
      </c>
      <c r="BM16" s="40">
        <f>BM19/(BM13*BM15*(Assump!$D$16))</f>
        <v>5.3651512163185071</v>
      </c>
      <c r="BN16" s="40">
        <f>BN19/(BN13*BN15*(Assump!$D$16))</f>
        <v>9.4071715331557719</v>
      </c>
      <c r="BO16" s="40">
        <f>BO19/(BO13*BO15*(Assump!$D$16))</f>
        <v>10.292141262549343</v>
      </c>
      <c r="BP16" s="40">
        <f>BP19/(BP13*BP15*(Assump!$D$16))</f>
        <v>4.8884765917732453</v>
      </c>
      <c r="BQ16" s="40">
        <f>BQ19/(BQ13*BQ15*(Assump!$D$16))</f>
        <v>7.1122093621370501</v>
      </c>
      <c r="BR16" s="40">
        <f>BR19/(BR13*BR15*(Assump!$D$16))</f>
        <v>11.450834081680094</v>
      </c>
      <c r="BS16" s="40">
        <f>BS19/(BS13*BS15*(Assump!$D$16))</f>
        <v>4.0716538381477045</v>
      </c>
      <c r="BT16" s="40">
        <f>BT19/(BT13*BT15*(Assump!$D$16))</f>
        <v>6.9900924419267207</v>
      </c>
      <c r="BU16" s="40">
        <f>BU19/(BU13*BU15*(Assump!$D$16))</f>
        <v>7.7873804262790562</v>
      </c>
      <c r="BV16" s="40">
        <f>BV19/(BV13*BV15*(Assump!$D$16))</f>
        <v>12.659610920115115</v>
      </c>
      <c r="BW16" s="40">
        <f>BW19/(BW13*BW15*(Assump!$D$16))</f>
        <v>4.4790182919075283</v>
      </c>
      <c r="BX16" s="40">
        <f>BX19/(BX13*BX15*(Assump!$D$16))</f>
        <v>9.2662813969646898</v>
      </c>
      <c r="BY16" s="40">
        <f>BY19/(BY13*BY15*(Assump!$D$16))</f>
        <v>9.5844750877254832</v>
      </c>
      <c r="BZ16" s="40">
        <f>BZ19/(BZ13*BZ15*(Assump!$D$16))</f>
        <v>5.0082438704864387</v>
      </c>
      <c r="CA16" s="40">
        <f>CA19/(CA13*CA15*(Assump!$D$16))</f>
        <v>6.4046030131766285</v>
      </c>
      <c r="CB16" s="40">
        <f>CB19/(CB13*CB15*(Assump!$D$16))</f>
        <v>10.145941254101972</v>
      </c>
      <c r="CC16" s="40">
        <f>CC19/(CC13*CC15*(Assump!$D$16))</f>
        <v>10.479792564231177</v>
      </c>
      <c r="CD16" s="40">
        <f>CD19/(CD13*CD15*(Assump!$D$16))</f>
        <v>5.509313118928449</v>
      </c>
      <c r="CE16" s="40">
        <f>CE19/(CE13*CE15*(Assump!$D$16))</f>
        <v>8.490138613901431</v>
      </c>
      <c r="CF16" s="40">
        <f>CF19/(CF13*CF15*(Assump!$D$16))</f>
        <v>12.487321264453909</v>
      </c>
      <c r="CG16" s="40">
        <f>CG19/(CG13*CG15*(Assump!$D$16))</f>
        <v>4.1458902019164814</v>
      </c>
      <c r="CH16" s="40">
        <f>CH19/(CH13*CH15*(Assump!$D$16))</f>
        <v>7.7912645756552452</v>
      </c>
      <c r="CI16" s="40">
        <f>CI19/(CI13*CI15*(Assump!$D$16))</f>
        <v>9.2961182512807419</v>
      </c>
      <c r="CJ16" s="40">
        <f>CJ19/(CJ13*CJ15*(Assump!$D$16))</f>
        <v>13.653803190743723</v>
      </c>
      <c r="CK16" s="40">
        <f>CK19/(CK13*CK15*(Assump!$D$16))</f>
        <v>4.5606819215927858</v>
      </c>
      <c r="CL16" s="40">
        <f>CL19/(CL13*CL15*(Assump!$D$16))</f>
        <v>10.443099134379208</v>
      </c>
      <c r="CM16" s="40">
        <f>CM19/(CM13*CM15*(Assump!$D$16))</f>
        <v>11.441384511187058</v>
      </c>
      <c r="CN16" s="40">
        <f>CN19/(CN13*CN15*(Assump!$D$16))</f>
        <v>5.401554326619749</v>
      </c>
      <c r="CO16" s="40">
        <f>CO19/(CO13*CO15*(Assump!$D$16))</f>
        <v>6.5213748356302483</v>
      </c>
    </row>
    <row r="17" spans="1:93" ht="12.75" customHeight="1">
      <c r="A17" s="35"/>
      <c r="B17" s="35"/>
      <c r="C17" s="35"/>
      <c r="D17" s="60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5"/>
    </row>
    <row r="18" spans="1:93" ht="12.75" customHeight="1">
      <c r="A18" s="35"/>
      <c r="B18" s="67" t="s">
        <v>118</v>
      </c>
      <c r="C18" s="68"/>
      <c r="D18" s="44" t="str">
        <f>D6</f>
        <v>0 период</v>
      </c>
      <c r="E18" s="45">
        <f>E12</f>
        <v>45200</v>
      </c>
      <c r="F18" s="45">
        <f>EOMONTH(E18,2)+1</f>
        <v>45292</v>
      </c>
      <c r="G18" s="45">
        <f t="shared" ref="G18:BR18" si="102">EOMONTH(F18,2)+1</f>
        <v>45383</v>
      </c>
      <c r="H18" s="45">
        <f t="shared" si="102"/>
        <v>45474</v>
      </c>
      <c r="I18" s="45">
        <f t="shared" si="102"/>
        <v>45566</v>
      </c>
      <c r="J18" s="45">
        <f t="shared" si="102"/>
        <v>45658</v>
      </c>
      <c r="K18" s="45">
        <f t="shared" si="102"/>
        <v>45748</v>
      </c>
      <c r="L18" s="45">
        <f t="shared" si="102"/>
        <v>45839</v>
      </c>
      <c r="M18" s="45">
        <f t="shared" si="102"/>
        <v>45931</v>
      </c>
      <c r="N18" s="45">
        <f t="shared" si="102"/>
        <v>46023</v>
      </c>
      <c r="O18" s="45">
        <f t="shared" si="102"/>
        <v>46113</v>
      </c>
      <c r="P18" s="45">
        <f t="shared" si="102"/>
        <v>46204</v>
      </c>
      <c r="Q18" s="45">
        <f t="shared" si="102"/>
        <v>46296</v>
      </c>
      <c r="R18" s="45">
        <f t="shared" si="102"/>
        <v>46388</v>
      </c>
      <c r="S18" s="45">
        <f t="shared" si="102"/>
        <v>46478</v>
      </c>
      <c r="T18" s="45">
        <f t="shared" si="102"/>
        <v>46569</v>
      </c>
      <c r="U18" s="45">
        <f t="shared" si="102"/>
        <v>46661</v>
      </c>
      <c r="V18" s="45">
        <f t="shared" si="102"/>
        <v>46753</v>
      </c>
      <c r="W18" s="45">
        <f t="shared" si="102"/>
        <v>46844</v>
      </c>
      <c r="X18" s="45">
        <f t="shared" si="102"/>
        <v>46935</v>
      </c>
      <c r="Y18" s="45">
        <f t="shared" si="102"/>
        <v>47027</v>
      </c>
      <c r="Z18" s="45">
        <f t="shared" si="102"/>
        <v>47119</v>
      </c>
      <c r="AA18" s="45">
        <f t="shared" si="102"/>
        <v>47209</v>
      </c>
      <c r="AB18" s="45">
        <f t="shared" si="102"/>
        <v>47300</v>
      </c>
      <c r="AC18" s="45">
        <f t="shared" si="102"/>
        <v>47392</v>
      </c>
      <c r="AD18" s="45">
        <f t="shared" si="102"/>
        <v>47484</v>
      </c>
      <c r="AE18" s="45">
        <f t="shared" si="102"/>
        <v>47574</v>
      </c>
      <c r="AF18" s="45">
        <f t="shared" si="102"/>
        <v>47665</v>
      </c>
      <c r="AG18" s="45">
        <f t="shared" si="102"/>
        <v>47757</v>
      </c>
      <c r="AH18" s="45">
        <f t="shared" si="102"/>
        <v>47849</v>
      </c>
      <c r="AI18" s="45">
        <f t="shared" si="102"/>
        <v>47939</v>
      </c>
      <c r="AJ18" s="45">
        <f t="shared" si="102"/>
        <v>48030</v>
      </c>
      <c r="AK18" s="45">
        <f t="shared" si="102"/>
        <v>48122</v>
      </c>
      <c r="AL18" s="45">
        <f t="shared" si="102"/>
        <v>48214</v>
      </c>
      <c r="AM18" s="45">
        <f t="shared" si="102"/>
        <v>48305</v>
      </c>
      <c r="AN18" s="45">
        <f t="shared" si="102"/>
        <v>48396</v>
      </c>
      <c r="AO18" s="45">
        <f t="shared" si="102"/>
        <v>48488</v>
      </c>
      <c r="AP18" s="45">
        <f t="shared" si="102"/>
        <v>48580</v>
      </c>
      <c r="AQ18" s="45">
        <f t="shared" si="102"/>
        <v>48670</v>
      </c>
      <c r="AR18" s="45">
        <f t="shared" si="102"/>
        <v>48761</v>
      </c>
      <c r="AS18" s="45">
        <f t="shared" si="102"/>
        <v>48853</v>
      </c>
      <c r="AT18" s="45">
        <f t="shared" si="102"/>
        <v>48945</v>
      </c>
      <c r="AU18" s="45">
        <f t="shared" si="102"/>
        <v>49035</v>
      </c>
      <c r="AV18" s="45">
        <f t="shared" si="102"/>
        <v>49126</v>
      </c>
      <c r="AW18" s="45">
        <f t="shared" si="102"/>
        <v>49218</v>
      </c>
      <c r="AX18" s="45">
        <f t="shared" si="102"/>
        <v>49310</v>
      </c>
      <c r="AY18" s="45">
        <f t="shared" si="102"/>
        <v>49400</v>
      </c>
      <c r="AZ18" s="45">
        <f t="shared" si="102"/>
        <v>49491</v>
      </c>
      <c r="BA18" s="45">
        <f t="shared" si="102"/>
        <v>49583</v>
      </c>
      <c r="BB18" s="45">
        <f t="shared" si="102"/>
        <v>49675</v>
      </c>
      <c r="BC18" s="45">
        <f t="shared" si="102"/>
        <v>49766</v>
      </c>
      <c r="BD18" s="45">
        <f t="shared" si="102"/>
        <v>49857</v>
      </c>
      <c r="BE18" s="45">
        <f t="shared" si="102"/>
        <v>49949</v>
      </c>
      <c r="BF18" s="45">
        <f t="shared" si="102"/>
        <v>50041</v>
      </c>
      <c r="BG18" s="45">
        <f t="shared" si="102"/>
        <v>50131</v>
      </c>
      <c r="BH18" s="45">
        <f t="shared" si="102"/>
        <v>50222</v>
      </c>
      <c r="BI18" s="45">
        <f t="shared" si="102"/>
        <v>50314</v>
      </c>
      <c r="BJ18" s="45">
        <f t="shared" si="102"/>
        <v>50406</v>
      </c>
      <c r="BK18" s="45">
        <f t="shared" si="102"/>
        <v>50496</v>
      </c>
      <c r="BL18" s="45">
        <f t="shared" si="102"/>
        <v>50587</v>
      </c>
      <c r="BM18" s="45">
        <f t="shared" si="102"/>
        <v>50679</v>
      </c>
      <c r="BN18" s="45">
        <f t="shared" si="102"/>
        <v>50771</v>
      </c>
      <c r="BO18" s="45">
        <f t="shared" si="102"/>
        <v>50861</v>
      </c>
      <c r="BP18" s="45">
        <f t="shared" si="102"/>
        <v>50952</v>
      </c>
      <c r="BQ18" s="45">
        <f t="shared" si="102"/>
        <v>51044</v>
      </c>
      <c r="BR18" s="45">
        <f t="shared" si="102"/>
        <v>51136</v>
      </c>
      <c r="BS18" s="45">
        <f t="shared" ref="BS18:CO18" si="103">EOMONTH(BR18,2)+1</f>
        <v>51227</v>
      </c>
      <c r="BT18" s="45">
        <f t="shared" si="103"/>
        <v>51318</v>
      </c>
      <c r="BU18" s="45">
        <f t="shared" si="103"/>
        <v>51410</v>
      </c>
      <c r="BV18" s="45">
        <f t="shared" si="103"/>
        <v>51502</v>
      </c>
      <c r="BW18" s="45">
        <f t="shared" si="103"/>
        <v>51592</v>
      </c>
      <c r="BX18" s="45">
        <f t="shared" si="103"/>
        <v>51683</v>
      </c>
      <c r="BY18" s="45">
        <f t="shared" si="103"/>
        <v>51775</v>
      </c>
      <c r="BZ18" s="45">
        <f t="shared" si="103"/>
        <v>51867</v>
      </c>
      <c r="CA18" s="45">
        <f t="shared" si="103"/>
        <v>51957</v>
      </c>
      <c r="CB18" s="45">
        <f t="shared" si="103"/>
        <v>52048</v>
      </c>
      <c r="CC18" s="45">
        <f t="shared" si="103"/>
        <v>52140</v>
      </c>
      <c r="CD18" s="45">
        <f t="shared" si="103"/>
        <v>52232</v>
      </c>
      <c r="CE18" s="45">
        <f t="shared" si="103"/>
        <v>52322</v>
      </c>
      <c r="CF18" s="45">
        <f t="shared" si="103"/>
        <v>52413</v>
      </c>
      <c r="CG18" s="45">
        <f t="shared" si="103"/>
        <v>52505</v>
      </c>
      <c r="CH18" s="45">
        <f t="shared" si="103"/>
        <v>52597</v>
      </c>
      <c r="CI18" s="45">
        <f t="shared" si="103"/>
        <v>52688</v>
      </c>
      <c r="CJ18" s="45">
        <f t="shared" si="103"/>
        <v>52779</v>
      </c>
      <c r="CK18" s="45">
        <f t="shared" si="103"/>
        <v>52871</v>
      </c>
      <c r="CL18" s="45">
        <f t="shared" si="103"/>
        <v>52963</v>
      </c>
      <c r="CM18" s="45">
        <f t="shared" si="103"/>
        <v>53053</v>
      </c>
      <c r="CN18" s="45">
        <f t="shared" si="103"/>
        <v>53144</v>
      </c>
      <c r="CO18" s="45">
        <f t="shared" si="103"/>
        <v>53236</v>
      </c>
    </row>
    <row r="19" spans="1:93" ht="12.75" customHeight="1" outlineLevel="4">
      <c r="A19" s="35"/>
      <c r="B19" s="26" t="str">
        <f>'Итого выручка 1 этапа'!A4</f>
        <v>Проживание</v>
      </c>
      <c r="C19" s="35">
        <f t="shared" ref="C19:C27" si="104">SUM(D19:CN19)</f>
        <v>9898154.6238863654</v>
      </c>
      <c r="D19" s="60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>
        <f>SUM('Итого выручка 1 этапа'!E4:G4)/1000+SUM('Итого выручка 1 этапа'!E18:G18)/1000</f>
        <v>116124.79565499999</v>
      </c>
      <c r="X19" s="35">
        <f>SUM('Итого выручка 1 этапа'!H4:J4)/1000+SUM('Итого выручка 1 этапа'!H18:J18)/1000</f>
        <v>149063.26228749999</v>
      </c>
      <c r="Y19" s="35">
        <f>SUM('Итого выручка 1 этапа'!K4:M4)/1000+SUM('Итого выручка 1 этапа'!K18:M18)/1000</f>
        <v>61364.845382500003</v>
      </c>
      <c r="Z19" s="35">
        <f>SUM('Итого выручка 1 этапа'!B27:D27)/1000+SUM('Итого выручка 1 этапа'!B41:D41)/1000</f>
        <v>87731.09898382501</v>
      </c>
      <c r="AA19" s="35">
        <f>SUM('Итого выручка 1 этапа'!E27:G27)/1000+SUM('Итого выручка 1 этапа'!E41:G41)/1000</f>
        <v>121485.91092274999</v>
      </c>
      <c r="AB19" s="35">
        <f>SUM('Итого выручка 1 этапа'!H27:J27)/1000+SUM('Итого выручка 1 этапа'!H41:J41)/1000</f>
        <v>155919.49366977499</v>
      </c>
      <c r="AC19" s="35">
        <f>SUM('Итого выручка 1 этапа'!K27:M27)/1000+SUM('Итого выручка 1 этапа'!K41:M41)/1000</f>
        <v>64233.351100325017</v>
      </c>
      <c r="AD19" s="35">
        <f>SUM('Итого выручка 1 этапа'!B50:D50)/1000+SUM('Итого выручка 1 этапа'!B64:D64)/1000</f>
        <v>96226.047637713476</v>
      </c>
      <c r="AE19" s="35">
        <f>SUM('Итого выручка 1 этапа'!$E$50:$G$50)/1000+SUM('Итого выручка 1 этапа'!$E$64:$G$64)/1000</f>
        <v>133018.72268060406</v>
      </c>
      <c r="AF19" s="35">
        <f>SUM('Итого выручка 1 этапа'!$H$50:$J$50)/1000+SUM('Итого выручка 1 этапа'!$H$64:$J$64)/1000</f>
        <v>170484.44859247553</v>
      </c>
      <c r="AG19" s="35">
        <f>SUM('Итого выручка 1 этапа'!$K$50:$M$50)/1000+SUM('Итого выручка 1 этапа'!$K$64:$M$64)/1000</f>
        <v>70659.826685992841</v>
      </c>
      <c r="AH19" s="35">
        <f t="shared" ref="AH19:CO19" si="105">AA19*AH$14</f>
        <v>127560.2064688875</v>
      </c>
      <c r="AI19" s="35">
        <f t="shared" si="105"/>
        <v>163715.46835326374</v>
      </c>
      <c r="AJ19" s="35">
        <f t="shared" si="105"/>
        <v>67445.018655341264</v>
      </c>
      <c r="AK19" s="35">
        <f t="shared" si="105"/>
        <v>101037.35001959915</v>
      </c>
      <c r="AL19" s="35">
        <f t="shared" si="105"/>
        <v>139669.65881463425</v>
      </c>
      <c r="AM19" s="35">
        <f t="shared" si="105"/>
        <v>179008.67102209933</v>
      </c>
      <c r="AN19" s="35">
        <f t="shared" si="105"/>
        <v>74192.818020292485</v>
      </c>
      <c r="AO19" s="35">
        <f t="shared" si="105"/>
        <v>133938.21679233186</v>
      </c>
      <c r="AP19" s="35">
        <f t="shared" si="105"/>
        <v>171901.24177092695</v>
      </c>
      <c r="AQ19" s="35">
        <f t="shared" si="105"/>
        <v>70817.269588108335</v>
      </c>
      <c r="AR19" s="35">
        <f t="shared" si="105"/>
        <v>106089.21752057911</v>
      </c>
      <c r="AS19" s="35">
        <f t="shared" si="105"/>
        <v>146653.14175536597</v>
      </c>
      <c r="AT19" s="35">
        <f t="shared" si="105"/>
        <v>187959.1045732043</v>
      </c>
      <c r="AU19" s="35">
        <f t="shared" si="105"/>
        <v>77902.458921307116</v>
      </c>
      <c r="AV19" s="35">
        <f t="shared" si="105"/>
        <v>140635.12763194848</v>
      </c>
      <c r="AW19" s="35">
        <f t="shared" si="105"/>
        <v>180496.30385947329</v>
      </c>
      <c r="AX19" s="35">
        <f t="shared" si="105"/>
        <v>74358.133067513758</v>
      </c>
      <c r="AY19" s="35">
        <f t="shared" si="105"/>
        <v>111393.67839660807</v>
      </c>
      <c r="AZ19" s="35">
        <f t="shared" si="105"/>
        <v>153985.79884313428</v>
      </c>
      <c r="BA19" s="35">
        <f t="shared" si="105"/>
        <v>197357.05980186453</v>
      </c>
      <c r="BB19" s="35">
        <f t="shared" si="105"/>
        <v>81797.581867372472</v>
      </c>
      <c r="BC19" s="35">
        <f t="shared" si="105"/>
        <v>147666.8840135459</v>
      </c>
      <c r="BD19" s="35">
        <f t="shared" si="105"/>
        <v>189521.11905244697</v>
      </c>
      <c r="BE19" s="35">
        <f t="shared" si="105"/>
        <v>78076.039720889443</v>
      </c>
      <c r="BF19" s="35">
        <f t="shared" si="105"/>
        <v>116963.36231643848</v>
      </c>
      <c r="BG19" s="35">
        <f t="shared" si="105"/>
        <v>161685.08878529101</v>
      </c>
      <c r="BH19" s="35">
        <f t="shared" si="105"/>
        <v>207224.91279195776</v>
      </c>
      <c r="BI19" s="35">
        <f t="shared" si="105"/>
        <v>85887.460960741097</v>
      </c>
      <c r="BJ19" s="35">
        <f t="shared" si="105"/>
        <v>155050.2282142232</v>
      </c>
      <c r="BK19" s="35">
        <f t="shared" si="105"/>
        <v>198997.17500506932</v>
      </c>
      <c r="BL19" s="35">
        <f t="shared" si="105"/>
        <v>81979.841706933919</v>
      </c>
      <c r="BM19" s="35">
        <f t="shared" si="105"/>
        <v>122811.53043226041</v>
      </c>
      <c r="BN19" s="35">
        <f t="shared" si="105"/>
        <v>169769.34322455557</v>
      </c>
      <c r="BO19" s="35">
        <f t="shared" si="105"/>
        <v>217586.15843155567</v>
      </c>
      <c r="BP19" s="35">
        <f t="shared" si="105"/>
        <v>90181.834008778154</v>
      </c>
      <c r="BQ19" s="35">
        <f t="shared" si="105"/>
        <v>162802.73962493436</v>
      </c>
      <c r="BR19" s="35">
        <f t="shared" si="105"/>
        <v>208947.0337553228</v>
      </c>
      <c r="BS19" s="35">
        <f t="shared" si="105"/>
        <v>86078.833792280624</v>
      </c>
      <c r="BT19" s="35">
        <f t="shared" si="105"/>
        <v>128952.10695387343</v>
      </c>
      <c r="BU19" s="35">
        <f t="shared" si="105"/>
        <v>178257.81038578335</v>
      </c>
      <c r="BV19" s="35">
        <f t="shared" si="105"/>
        <v>228465.46635313347</v>
      </c>
      <c r="BW19" s="35">
        <f t="shared" si="105"/>
        <v>94690.925709217059</v>
      </c>
      <c r="BX19" s="35">
        <f t="shared" si="105"/>
        <v>170942.87660618109</v>
      </c>
      <c r="BY19" s="35">
        <f t="shared" si="105"/>
        <v>219394.38544308895</v>
      </c>
      <c r="BZ19" s="35">
        <f t="shared" si="105"/>
        <v>90382.775481894656</v>
      </c>
      <c r="CA19" s="35">
        <f t="shared" si="105"/>
        <v>135399.71230156711</v>
      </c>
      <c r="CB19" s="35">
        <f t="shared" si="105"/>
        <v>187170.70090507253</v>
      </c>
      <c r="CC19" s="35">
        <f t="shared" si="105"/>
        <v>239888.73967079015</v>
      </c>
      <c r="CD19" s="35">
        <f t="shared" si="105"/>
        <v>99425.471994677922</v>
      </c>
      <c r="CE19" s="35">
        <f t="shared" si="105"/>
        <v>179490.02043649016</v>
      </c>
      <c r="CF19" s="35">
        <f t="shared" si="105"/>
        <v>230364.10471524342</v>
      </c>
      <c r="CG19" s="35">
        <f t="shared" si="105"/>
        <v>94901.914255989395</v>
      </c>
      <c r="CH19" s="35">
        <f t="shared" si="105"/>
        <v>142169.69791664547</v>
      </c>
      <c r="CI19" s="35">
        <f t="shared" si="105"/>
        <v>196529.23595032617</v>
      </c>
      <c r="CJ19" s="35">
        <f t="shared" si="105"/>
        <v>251883.17665432967</v>
      </c>
      <c r="CK19" s="35">
        <f t="shared" si="105"/>
        <v>104396.74559441183</v>
      </c>
      <c r="CL19" s="35">
        <f t="shared" si="105"/>
        <v>188464.52145831467</v>
      </c>
      <c r="CM19" s="35">
        <f t="shared" si="105"/>
        <v>241882.30995100559</v>
      </c>
      <c r="CN19" s="35">
        <f t="shared" si="105"/>
        <v>99647.009968788872</v>
      </c>
      <c r="CO19" s="35">
        <f t="shared" si="105"/>
        <v>149278.18281247775</v>
      </c>
    </row>
    <row r="20" spans="1:93" ht="12.75" customHeight="1" outlineLevel="4">
      <c r="A20" s="35"/>
      <c r="B20" s="26" t="str">
        <f>'Итого выручка 1 этапа'!A5</f>
        <v>Питание, входящее в стоимость номера</v>
      </c>
      <c r="C20" s="35">
        <f t="shared" si="104"/>
        <v>2350900.0176159004</v>
      </c>
      <c r="D20" s="60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>
        <f>SUM('Итого выручка 1 этапа'!E5:G5)/1000</f>
        <v>25925.13</v>
      </c>
      <c r="X20" s="35">
        <f>SUM('Итого выручка 1 этапа'!H5:J5)/1000</f>
        <v>28070.657999999999</v>
      </c>
      <c r="Y20" s="35">
        <f>SUM('Итого выручка 1 этапа'!K5:M5)/1000</f>
        <v>20740.103999999999</v>
      </c>
      <c r="Z20" s="35">
        <f>SUM('Итого выручка 1 этапа'!B28:D28)/1000</f>
        <v>23237.260199999997</v>
      </c>
      <c r="AA20" s="35">
        <f>SUM('Итого выручка 1 этапа'!E28:G28)/1000</f>
        <v>27221.386499999993</v>
      </c>
      <c r="AB20" s="35">
        <f>SUM('Итого выручка 1 этапа'!H28:J28)/1000</f>
        <v>29474.190899999991</v>
      </c>
      <c r="AC20" s="35">
        <f>SUM('Итого выручка 1 этапа'!K28:M28)/1000</f>
        <v>21777.109199999995</v>
      </c>
      <c r="AD20" s="35">
        <f>SUM('Итого выручка 1 этапа'!B51:D51)/1000</f>
        <v>26229.057450750002</v>
      </c>
      <c r="AE20" s="35">
        <f>SUM('Итого выручка 1 этапа'!$E$51:$G$51)/1000</f>
        <v>30726.140011874995</v>
      </c>
      <c r="AF20" s="35">
        <f>SUM('Итого выручка 1 этапа'!$H$51:$J$51)/1000</f>
        <v>33268.992978374998</v>
      </c>
      <c r="AG20" s="35">
        <f>SUM('Итого выручка 1 этапа'!$K$51:$M$51)/1000</f>
        <v>24580.912009499996</v>
      </c>
      <c r="AH20" s="35">
        <f t="shared" ref="AH20:AH23" si="106">AA20*AH$14</f>
        <v>28582.455824999994</v>
      </c>
      <c r="AI20" s="35">
        <f t="shared" ref="AI20:AI23" si="107">AB20*AI$14</f>
        <v>30947.900444999992</v>
      </c>
      <c r="AJ20" s="35">
        <f t="shared" ref="AJ20:AJ23" si="108">AC20*AJ$14</f>
        <v>22865.964659999998</v>
      </c>
      <c r="AK20" s="35">
        <f t="shared" ref="AK20:AK23" si="109">AD20*AK$14</f>
        <v>27540.510323287504</v>
      </c>
      <c r="AL20" s="35">
        <f t="shared" ref="AL20:AL23" si="110">AE20*AL$14</f>
        <v>32262.447012468747</v>
      </c>
      <c r="AM20" s="35">
        <f t="shared" ref="AM20:AM23" si="111">AF20*AM$14</f>
        <v>34932.442627293749</v>
      </c>
      <c r="AN20" s="35">
        <f t="shared" ref="AN20:AN23" si="112">AG20*AN$14</f>
        <v>25809.957609974997</v>
      </c>
      <c r="AO20" s="35">
        <f t="shared" ref="AO20:AO23" si="113">AH20*AO$14</f>
        <v>30011.578616249994</v>
      </c>
      <c r="AP20" s="35">
        <f t="shared" ref="AP20:AP23" si="114">AI20*AP$14</f>
        <v>32495.295467249995</v>
      </c>
      <c r="AQ20" s="35">
        <f t="shared" ref="AQ20:AQ23" si="115">AJ20*AQ$14</f>
        <v>24009.262892999999</v>
      </c>
      <c r="AR20" s="35">
        <f t="shared" ref="AR20:AR23" si="116">AK20*AR$14</f>
        <v>28917.535839451881</v>
      </c>
      <c r="AS20" s="35">
        <f t="shared" ref="AS20:AS23" si="117">AL20*AS$14</f>
        <v>33875.569363092189</v>
      </c>
      <c r="AT20" s="35">
        <f t="shared" ref="AT20:AT23" si="118">AM20*AT$14</f>
        <v>36679.064758658438</v>
      </c>
      <c r="AU20" s="35">
        <f t="shared" ref="AU20:AU23" si="119">AN20*AU$14</f>
        <v>27100.455490473749</v>
      </c>
      <c r="AV20" s="35">
        <f t="shared" ref="AV20:AV23" si="120">AO20*AV$14</f>
        <v>31512.157547062496</v>
      </c>
      <c r="AW20" s="35">
        <f t="shared" ref="AW20:AW23" si="121">AP20*AW$14</f>
        <v>34120.060240612496</v>
      </c>
      <c r="AX20" s="35">
        <f t="shared" ref="AX20:AX23" si="122">AQ20*AX$14</f>
        <v>25209.726037650002</v>
      </c>
      <c r="AY20" s="35">
        <f t="shared" ref="AY20:AY23" si="123">AR20*AY$14</f>
        <v>30363.412631424475</v>
      </c>
      <c r="AZ20" s="35">
        <f t="shared" ref="AZ20:AZ23" si="124">AS20*AZ$14</f>
        <v>35569.3478312468</v>
      </c>
      <c r="BA20" s="35">
        <f t="shared" ref="BA20:BA23" si="125">AT20*BA$14</f>
        <v>38513.017996591363</v>
      </c>
      <c r="BB20" s="35">
        <f t="shared" ref="BB20:BB23" si="126">AU20*BB$14</f>
        <v>28455.478264997437</v>
      </c>
      <c r="BC20" s="35">
        <f t="shared" ref="BC20:BC23" si="127">AV20*BC$14</f>
        <v>33087.765424415622</v>
      </c>
      <c r="BD20" s="35">
        <f t="shared" ref="BD20:BD23" si="128">AW20*BD$14</f>
        <v>35826.063252643122</v>
      </c>
      <c r="BE20" s="35">
        <f t="shared" ref="BE20:BE23" si="129">AX20*BE$14</f>
        <v>26470.212339532503</v>
      </c>
      <c r="BF20" s="35">
        <f t="shared" ref="BF20:BF23" si="130">AY20*BF$14</f>
        <v>31881.5832629957</v>
      </c>
      <c r="BG20" s="35">
        <f t="shared" ref="BG20:BG23" si="131">AZ20*BG$14</f>
        <v>37347.815222809142</v>
      </c>
      <c r="BH20" s="35">
        <f t="shared" ref="BH20:BH23" si="132">BA20*BH$14</f>
        <v>40438.668896420932</v>
      </c>
      <c r="BI20" s="35">
        <f t="shared" ref="BI20:BI23" si="133">BB20*BI$14</f>
        <v>29878.252178247309</v>
      </c>
      <c r="BJ20" s="35">
        <f t="shared" ref="BJ20:BJ23" si="134">BC20*BJ$14</f>
        <v>34742.153695636407</v>
      </c>
      <c r="BK20" s="35">
        <f t="shared" ref="BK20:BK23" si="135">BD20*BK$14</f>
        <v>37617.366415275283</v>
      </c>
      <c r="BL20" s="35">
        <f t="shared" ref="BL20:BL23" si="136">BE20*BL$14</f>
        <v>27793.722956509129</v>
      </c>
      <c r="BM20" s="35">
        <f t="shared" ref="BM20:BM23" si="137">BF20*BM$14</f>
        <v>33475.662426145485</v>
      </c>
      <c r="BN20" s="35">
        <f t="shared" ref="BN20:BN23" si="138">BG20*BN$14</f>
        <v>39215.2059839496</v>
      </c>
      <c r="BO20" s="35">
        <f t="shared" ref="BO20:BO23" si="139">BH20*BO$14</f>
        <v>42460.602341241982</v>
      </c>
      <c r="BP20" s="35">
        <f t="shared" ref="BP20:BP23" si="140">BI20*BP$14</f>
        <v>31372.164787159676</v>
      </c>
      <c r="BQ20" s="35">
        <f t="shared" ref="BQ20:BQ23" si="141">BJ20*BQ$14</f>
        <v>36479.261380418226</v>
      </c>
      <c r="BR20" s="35">
        <f t="shared" ref="BR20:BR23" si="142">BK20*BR$14</f>
        <v>39498.234736039049</v>
      </c>
      <c r="BS20" s="35">
        <f t="shared" ref="BS20:BS23" si="143">BL20*BS$14</f>
        <v>29183.409104334587</v>
      </c>
      <c r="BT20" s="35">
        <f t="shared" ref="BT20:BT23" si="144">BM20*BT$14</f>
        <v>35149.445547452764</v>
      </c>
      <c r="BU20" s="35">
        <f t="shared" ref="BU20:BU23" si="145">BN20*BU$14</f>
        <v>41175.966283147078</v>
      </c>
      <c r="BV20" s="35">
        <f t="shared" ref="BV20:BV23" si="146">BO20*BV$14</f>
        <v>44583.632458304084</v>
      </c>
      <c r="BW20" s="35">
        <f t="shared" ref="BW20:BW23" si="147">BP20*BW$14</f>
        <v>32940.773026517658</v>
      </c>
      <c r="BX20" s="35">
        <f t="shared" ref="BX20:BX23" si="148">BQ20*BX$14</f>
        <v>38303.224449439142</v>
      </c>
      <c r="BY20" s="35">
        <f t="shared" ref="BY20:BY23" si="149">BR20*BY$14</f>
        <v>41473.146472840999</v>
      </c>
      <c r="BZ20" s="35">
        <f t="shared" ref="BZ20:BZ23" si="150">BS20*BZ$14</f>
        <v>30642.579559551319</v>
      </c>
      <c r="CA20" s="35">
        <f t="shared" ref="CA20:CA23" si="151">BT20*CA$14</f>
        <v>36906.917824825403</v>
      </c>
      <c r="CB20" s="35">
        <f t="shared" ref="CB20:CB23" si="152">BU20*CB$14</f>
        <v>43234.764597304435</v>
      </c>
      <c r="CC20" s="35">
        <f t="shared" ref="CC20:CC23" si="153">BV20*CC$14</f>
        <v>46812.814081219287</v>
      </c>
      <c r="CD20" s="35">
        <f t="shared" ref="CD20:CD23" si="154">BW20*CD$14</f>
        <v>34587.811677843543</v>
      </c>
      <c r="CE20" s="35">
        <f t="shared" ref="CE20:CE23" si="155">BX20*CE$14</f>
        <v>40218.385671911099</v>
      </c>
      <c r="CF20" s="35">
        <f t="shared" ref="CF20:CF23" si="156">BY20*CF$14</f>
        <v>43546.803796483051</v>
      </c>
      <c r="CG20" s="35">
        <f t="shared" ref="CG20:CG23" si="157">BZ20*CG$14</f>
        <v>32174.708537528888</v>
      </c>
      <c r="CH20" s="35">
        <f t="shared" ref="CH20:CH23" si="158">CA20*CH$14</f>
        <v>38752.263716066678</v>
      </c>
      <c r="CI20" s="35">
        <f t="shared" ref="CI20:CI23" si="159">CB20*CI$14</f>
        <v>45396.502827169657</v>
      </c>
      <c r="CJ20" s="35">
        <f t="shared" ref="CJ20:CJ23" si="160">CC20*CJ$14</f>
        <v>49153.45478528025</v>
      </c>
      <c r="CK20" s="35">
        <f t="shared" ref="CK20:CK23" si="161">CD20*CK$14</f>
        <v>36317.202261735722</v>
      </c>
      <c r="CL20" s="35">
        <f t="shared" ref="CL20:CL23" si="162">CE20*CL$14</f>
        <v>42229.304955506654</v>
      </c>
      <c r="CM20" s="35">
        <f t="shared" ref="CM20:CM23" si="163">CF20*CM$14</f>
        <v>45724.143986307208</v>
      </c>
      <c r="CN20" s="35">
        <f t="shared" ref="CN20:CN23" si="164">CG20*CN$14</f>
        <v>33783.443964405335</v>
      </c>
      <c r="CO20" s="35">
        <f t="shared" ref="CO20:CO23" si="165">CH20*CO$14</f>
        <v>40689.876901870011</v>
      </c>
    </row>
    <row r="21" spans="1:93" ht="12.75" customHeight="1" outlineLevel="4">
      <c r="A21" s="35"/>
      <c r="B21" s="26" t="str">
        <f>'Итого выручка 1 этапа'!A6</f>
        <v>Доп. Услуги, входящие в стоимость номера</v>
      </c>
      <c r="C21" s="35">
        <f t="shared" si="104"/>
        <v>426016.31246437324</v>
      </c>
      <c r="D21" s="60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>
        <f>SUM('Итого выручка 1 этапа'!E6:G6)/1000</f>
        <v>4698</v>
      </c>
      <c r="X21" s="35">
        <f>SUM('Итого выручка 1 этапа'!H6:J6)/1000</f>
        <v>5086.8</v>
      </c>
      <c r="Y21" s="35">
        <f>SUM('Итого выручка 1 этапа'!K6:M6)/1000</f>
        <v>3758.4</v>
      </c>
      <c r="Z21" s="35">
        <f>SUM('Итого выручка 1 этапа'!B29:D29)/1000</f>
        <v>4210.92</v>
      </c>
      <c r="AA21" s="35">
        <f>SUM('Итого выручка 1 этапа'!E29:G29)/1000</f>
        <v>4932.8999999999996</v>
      </c>
      <c r="AB21" s="35">
        <f>SUM('Итого выручка 1 этапа'!H29:J29)/1000</f>
        <v>5341.14</v>
      </c>
      <c r="AC21" s="35">
        <f>SUM('Итого выручка 1 этапа'!K29:M29)/1000</f>
        <v>3946.32</v>
      </c>
      <c r="AD21" s="35">
        <f>SUM('Итого выручка 1 этапа'!B52:D52)/1000</f>
        <v>4753.0759500000004</v>
      </c>
      <c r="AE21" s="35">
        <f>SUM('Итого выручка 1 этапа'!$E$52:$G$52)/1000</f>
        <v>5568.0108749999999</v>
      </c>
      <c r="AF21" s="35">
        <f>SUM('Итого выручка 1 этапа'!$H$52:$J$52)/1000</f>
        <v>6028.8117749999992</v>
      </c>
      <c r="AG21" s="35">
        <f>SUM('Итого выручка 1 этапа'!$K$52:$M$52)/1000</f>
        <v>4454.4087</v>
      </c>
      <c r="AH21" s="35">
        <f t="shared" si="106"/>
        <v>5179.5450000000001</v>
      </c>
      <c r="AI21" s="35">
        <f t="shared" si="107"/>
        <v>5608.197000000001</v>
      </c>
      <c r="AJ21" s="35">
        <f t="shared" si="108"/>
        <v>4143.6360000000004</v>
      </c>
      <c r="AK21" s="35">
        <f t="shared" si="109"/>
        <v>4990.7297475000005</v>
      </c>
      <c r="AL21" s="35">
        <f t="shared" si="110"/>
        <v>5846.4114187499999</v>
      </c>
      <c r="AM21" s="35">
        <f t="shared" si="111"/>
        <v>6330.2523637499999</v>
      </c>
      <c r="AN21" s="35">
        <f t="shared" si="112"/>
        <v>4677.1291350000001</v>
      </c>
      <c r="AO21" s="35">
        <f t="shared" si="113"/>
        <v>5438.52225</v>
      </c>
      <c r="AP21" s="35">
        <f t="shared" si="114"/>
        <v>5888.606850000001</v>
      </c>
      <c r="AQ21" s="35">
        <f t="shared" si="115"/>
        <v>4350.8178000000007</v>
      </c>
      <c r="AR21" s="35">
        <f t="shared" si="116"/>
        <v>5240.2662348750009</v>
      </c>
      <c r="AS21" s="35">
        <f t="shared" si="117"/>
        <v>6138.7319896875006</v>
      </c>
      <c r="AT21" s="35">
        <f t="shared" si="118"/>
        <v>6646.7649819375001</v>
      </c>
      <c r="AU21" s="35">
        <f t="shared" si="119"/>
        <v>4910.9855917499999</v>
      </c>
      <c r="AV21" s="35">
        <f t="shared" si="120"/>
        <v>5710.4483625000003</v>
      </c>
      <c r="AW21" s="35">
        <f t="shared" si="121"/>
        <v>6183.0371925000018</v>
      </c>
      <c r="AX21" s="35">
        <f t="shared" si="122"/>
        <v>4568.3586900000009</v>
      </c>
      <c r="AY21" s="35">
        <f t="shared" si="123"/>
        <v>5502.2795466187508</v>
      </c>
      <c r="AZ21" s="35">
        <f t="shared" si="124"/>
        <v>6445.6685891718762</v>
      </c>
      <c r="BA21" s="35">
        <f t="shared" si="125"/>
        <v>6979.1032310343753</v>
      </c>
      <c r="BB21" s="35">
        <f t="shared" si="126"/>
        <v>5156.5348713374997</v>
      </c>
      <c r="BC21" s="35">
        <f t="shared" si="127"/>
        <v>5995.9707806250008</v>
      </c>
      <c r="BD21" s="35">
        <f t="shared" si="128"/>
        <v>6492.1890521250025</v>
      </c>
      <c r="BE21" s="35">
        <f t="shared" si="129"/>
        <v>4796.7766245000012</v>
      </c>
      <c r="BF21" s="35">
        <f t="shared" si="130"/>
        <v>5777.3935239496886</v>
      </c>
      <c r="BG21" s="35">
        <f t="shared" si="131"/>
        <v>6767.9520186304699</v>
      </c>
      <c r="BH21" s="35">
        <f t="shared" si="132"/>
        <v>7328.0583925860947</v>
      </c>
      <c r="BI21" s="35">
        <f t="shared" si="133"/>
        <v>5414.3616149043746</v>
      </c>
      <c r="BJ21" s="35">
        <f t="shared" si="134"/>
        <v>6295.7693196562514</v>
      </c>
      <c r="BK21" s="35">
        <f t="shared" si="135"/>
        <v>6816.7985047312532</v>
      </c>
      <c r="BL21" s="35">
        <f t="shared" si="136"/>
        <v>5036.6154557250011</v>
      </c>
      <c r="BM21" s="35">
        <f t="shared" si="137"/>
        <v>6066.2632001471729</v>
      </c>
      <c r="BN21" s="35">
        <f t="shared" si="138"/>
        <v>7106.3496195619937</v>
      </c>
      <c r="BO21" s="35">
        <f t="shared" si="139"/>
        <v>7694.4613122153996</v>
      </c>
      <c r="BP21" s="35">
        <f t="shared" si="140"/>
        <v>5685.0796956495933</v>
      </c>
      <c r="BQ21" s="35">
        <f t="shared" si="141"/>
        <v>6610.5577856390646</v>
      </c>
      <c r="BR21" s="35">
        <f t="shared" si="142"/>
        <v>7157.6384299678157</v>
      </c>
      <c r="BS21" s="35">
        <f t="shared" si="143"/>
        <v>5288.4462285112513</v>
      </c>
      <c r="BT21" s="35">
        <f t="shared" si="144"/>
        <v>6369.5763601545323</v>
      </c>
      <c r="BU21" s="35">
        <f t="shared" si="145"/>
        <v>7461.667100540094</v>
      </c>
      <c r="BV21" s="35">
        <f t="shared" si="146"/>
        <v>8079.18437782617</v>
      </c>
      <c r="BW21" s="35">
        <f t="shared" si="147"/>
        <v>5969.3336804320734</v>
      </c>
      <c r="BX21" s="35">
        <f t="shared" si="148"/>
        <v>6941.0856749210179</v>
      </c>
      <c r="BY21" s="35">
        <f t="shared" si="149"/>
        <v>7515.5203514662071</v>
      </c>
      <c r="BZ21" s="35">
        <f t="shared" si="150"/>
        <v>5552.8685399368142</v>
      </c>
      <c r="CA21" s="35">
        <f t="shared" si="151"/>
        <v>6688.0551781622589</v>
      </c>
      <c r="CB21" s="35">
        <f t="shared" si="152"/>
        <v>7834.7504555670994</v>
      </c>
      <c r="CC21" s="35">
        <f t="shared" si="153"/>
        <v>8483.1435967174784</v>
      </c>
      <c r="CD21" s="35">
        <f t="shared" si="154"/>
        <v>6267.8003644536775</v>
      </c>
      <c r="CE21" s="35">
        <f t="shared" si="155"/>
        <v>7288.1399586670695</v>
      </c>
      <c r="CF21" s="35">
        <f t="shared" si="156"/>
        <v>7891.2963690395181</v>
      </c>
      <c r="CG21" s="35">
        <f t="shared" si="157"/>
        <v>5830.5119669336555</v>
      </c>
      <c r="CH21" s="35">
        <f t="shared" si="158"/>
        <v>7022.4579370703723</v>
      </c>
      <c r="CI21" s="35">
        <f t="shared" si="159"/>
        <v>8226.4879783454544</v>
      </c>
      <c r="CJ21" s="35">
        <f t="shared" si="160"/>
        <v>8907.300776553353</v>
      </c>
      <c r="CK21" s="35">
        <f t="shared" si="161"/>
        <v>6581.1903826763619</v>
      </c>
      <c r="CL21" s="35">
        <f t="shared" si="162"/>
        <v>7652.5469566004231</v>
      </c>
      <c r="CM21" s="35">
        <f t="shared" si="163"/>
        <v>8285.861187491495</v>
      </c>
      <c r="CN21" s="35">
        <f t="shared" si="164"/>
        <v>6122.0375652803386</v>
      </c>
      <c r="CO21" s="35">
        <f t="shared" si="165"/>
        <v>7373.5808339238911</v>
      </c>
    </row>
    <row r="22" spans="1:93" ht="12.75" customHeight="1" outlineLevel="4">
      <c r="A22" s="35"/>
      <c r="B22" s="26" t="str">
        <f>'Итого выручка 1 этапа'!A7</f>
        <v>Услуги доподнительгного общественного питания</v>
      </c>
      <c r="C22" s="35">
        <f t="shared" si="104"/>
        <v>4066860.9194038785</v>
      </c>
      <c r="D22" s="60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>
        <f>SUM('Итого выручка 1 этапа'!E7:G7)/1000+SUM('Итого выручка 1 этапа'!$E$13:$G$13)/1000+SUM('Итого выручка 1 этапа'!$E$19:$G$19)/1000</f>
        <v>46639.327626000006</v>
      </c>
      <c r="X22" s="35">
        <f>SUM('Итого выручка 1 этапа'!H7:J7)/1000+SUM('Итого выручка 1 этапа'!H13:J13)/1000+SUM('Итого выручка 1 этапа'!H19:J19)/1000</f>
        <v>54251.912693999999</v>
      </c>
      <c r="Y22" s="35">
        <f>SUM('Итого выручка 1 этапа'!K7:M7)/1000+SUM('Итого выручка 1 этапа'!K13:M13)/1000+SUM('Итого выручка 1 этапа'!K19:M19)/1000</f>
        <v>34810.216710000001</v>
      </c>
      <c r="Z22" s="35">
        <f>SUM('Итого выручка 1 этапа'!B30:D30)/1000+SUM('Итого выручка 1 этапа'!B36:D36)/1000+SUM('Итого выручка 1 этапа'!B42:D42)/1000</f>
        <v>38900.433411000005</v>
      </c>
      <c r="AA22" s="35">
        <f>SUM('Итого выручка 1 этапа'!E30:G30)/1000+SUM('Итого выручка 1 этапа'!E36:G36)/1000+SUM('Итого выручка 1 этапа'!E42:G42)/1000</f>
        <v>48971.294007300006</v>
      </c>
      <c r="AB22" s="35">
        <f>SUM('Итого выручка 1 этапа'!H30:J30)/1000+SUM('Итого выручка 1 этапа'!H36:J36)/1000+SUM('Итого выручка 1 этапа'!H42:J42)/1000</f>
        <v>56964.508328700002</v>
      </c>
      <c r="AC22" s="35">
        <f>SUM('Итого выручка 1 этапа'!K30:M30)/1000+SUM('Итого выручка 1 этапа'!K36:M36)/1000+SUM('Итого выручка 1 этапа'!K42:M42)/1000</f>
        <v>36550.727545499998</v>
      </c>
      <c r="AD22" s="35">
        <f>SUM('Итого выручка 1 этапа'!B53:D53)/1000+SUM('Итого выручка 1 этапа'!B59:D59)/1000+SUM('Итого выручка 1 этапа'!B65:D65)/1000</f>
        <v>40845.455081549997</v>
      </c>
      <c r="AE22" s="35">
        <f>SUM('Итого выручка 1 этапа'!$E$53:$G$53)/1000+SUM('Итого выручка 1 этапа'!$E$59:$G$59)/1000+SUM('Итого выручка 1 этапа'!$E$65:$G$65)/1000</f>
        <v>51419.858707665</v>
      </c>
      <c r="AF22" s="35">
        <f>SUM('Итого выручка 1 этапа'!$H$53:$J$53)/1000+SUM('Итого выручка 1 этапа'!$H$59:$J$59)/1000+SUM('Итого выручка 1 этапа'!$H$65:$J$65)/1000</f>
        <v>59812.733745134989</v>
      </c>
      <c r="AG22" s="35">
        <f>SUM('Итого выручка 1 этапа'!$K$53:$M$53)/1000+SUM('Итого выручка 1 этапа'!$K$59:$M$59)/1000+SUM('Итого выручка 1 этапа'!$K$65:$M$65)/1000</f>
        <v>38378.263922774997</v>
      </c>
      <c r="AH22" s="35">
        <f t="shared" si="106"/>
        <v>51419.858707665007</v>
      </c>
      <c r="AI22" s="35">
        <f t="shared" si="107"/>
        <v>59812.733745135003</v>
      </c>
      <c r="AJ22" s="35">
        <f t="shared" si="108"/>
        <v>38378.263922774997</v>
      </c>
      <c r="AK22" s="35">
        <f t="shared" si="109"/>
        <v>42887.727835627498</v>
      </c>
      <c r="AL22" s="35">
        <f t="shared" si="110"/>
        <v>53990.851643048256</v>
      </c>
      <c r="AM22" s="35">
        <f t="shared" si="111"/>
        <v>62803.370432391741</v>
      </c>
      <c r="AN22" s="35">
        <f t="shared" si="112"/>
        <v>40297.177118913751</v>
      </c>
      <c r="AO22" s="35">
        <f t="shared" si="113"/>
        <v>53990.851643048263</v>
      </c>
      <c r="AP22" s="35">
        <f t="shared" si="114"/>
        <v>62803.370432391755</v>
      </c>
      <c r="AQ22" s="35">
        <f t="shared" si="115"/>
        <v>40297.177118913751</v>
      </c>
      <c r="AR22" s="35">
        <f t="shared" si="116"/>
        <v>45032.114227408878</v>
      </c>
      <c r="AS22" s="35">
        <f t="shared" si="117"/>
        <v>56690.394225200675</v>
      </c>
      <c r="AT22" s="35">
        <f t="shared" si="118"/>
        <v>65943.538954011325</v>
      </c>
      <c r="AU22" s="35">
        <f t="shared" si="119"/>
        <v>42312.035974859442</v>
      </c>
      <c r="AV22" s="35">
        <f t="shared" si="120"/>
        <v>56690.394225200682</v>
      </c>
      <c r="AW22" s="35">
        <f t="shared" si="121"/>
        <v>65943.538954011339</v>
      </c>
      <c r="AX22" s="35">
        <f t="shared" si="122"/>
        <v>42312.035974859442</v>
      </c>
      <c r="AY22" s="35">
        <f t="shared" si="123"/>
        <v>47283.719938779323</v>
      </c>
      <c r="AZ22" s="35">
        <f t="shared" si="124"/>
        <v>59524.913936460711</v>
      </c>
      <c r="BA22" s="35">
        <f t="shared" si="125"/>
        <v>69240.715901711897</v>
      </c>
      <c r="BB22" s="35">
        <f t="shared" si="126"/>
        <v>44427.637773602415</v>
      </c>
      <c r="BC22" s="35">
        <f t="shared" si="127"/>
        <v>59524.913936460718</v>
      </c>
      <c r="BD22" s="35">
        <f t="shared" si="128"/>
        <v>69240.715901711912</v>
      </c>
      <c r="BE22" s="35">
        <f t="shared" si="129"/>
        <v>44427.637773602415</v>
      </c>
      <c r="BF22" s="35">
        <f t="shared" si="130"/>
        <v>49647.905935718292</v>
      </c>
      <c r="BG22" s="35">
        <f t="shared" si="131"/>
        <v>62501.159633283751</v>
      </c>
      <c r="BH22" s="35">
        <f t="shared" si="132"/>
        <v>72702.751696797495</v>
      </c>
      <c r="BI22" s="35">
        <f t="shared" si="133"/>
        <v>46649.019662282539</v>
      </c>
      <c r="BJ22" s="35">
        <f t="shared" si="134"/>
        <v>62501.159633283758</v>
      </c>
      <c r="BK22" s="35">
        <f t="shared" si="135"/>
        <v>72702.75169679751</v>
      </c>
      <c r="BL22" s="35">
        <f t="shared" si="136"/>
        <v>46649.019662282539</v>
      </c>
      <c r="BM22" s="35">
        <f t="shared" si="137"/>
        <v>52130.301232504207</v>
      </c>
      <c r="BN22" s="35">
        <f t="shared" si="138"/>
        <v>65626.217614947935</v>
      </c>
      <c r="BO22" s="35">
        <f t="shared" si="139"/>
        <v>76337.88928163737</v>
      </c>
      <c r="BP22" s="35">
        <f t="shared" si="140"/>
        <v>48981.470645396665</v>
      </c>
      <c r="BQ22" s="35">
        <f t="shared" si="141"/>
        <v>65626.217614947949</v>
      </c>
      <c r="BR22" s="35">
        <f t="shared" si="142"/>
        <v>76337.889281637385</v>
      </c>
      <c r="BS22" s="35">
        <f t="shared" si="143"/>
        <v>48981.470645396665</v>
      </c>
      <c r="BT22" s="35">
        <f t="shared" si="144"/>
        <v>54736.816294129421</v>
      </c>
      <c r="BU22" s="35">
        <f t="shared" si="145"/>
        <v>68907.52849569534</v>
      </c>
      <c r="BV22" s="35">
        <f t="shared" si="146"/>
        <v>80154.783745719236</v>
      </c>
      <c r="BW22" s="35">
        <f t="shared" si="147"/>
        <v>51430.544177666503</v>
      </c>
      <c r="BX22" s="35">
        <f t="shared" si="148"/>
        <v>68907.528495695355</v>
      </c>
      <c r="BY22" s="35">
        <f t="shared" si="149"/>
        <v>80154.783745719251</v>
      </c>
      <c r="BZ22" s="35">
        <f t="shared" si="150"/>
        <v>51430.544177666503</v>
      </c>
      <c r="CA22" s="35">
        <f t="shared" si="151"/>
        <v>57473.657108835898</v>
      </c>
      <c r="CB22" s="35">
        <f t="shared" si="152"/>
        <v>72352.904920480112</v>
      </c>
      <c r="CC22" s="35">
        <f t="shared" si="153"/>
        <v>84162.522933005195</v>
      </c>
      <c r="CD22" s="35">
        <f t="shared" si="154"/>
        <v>54002.071386549833</v>
      </c>
      <c r="CE22" s="35">
        <f t="shared" si="155"/>
        <v>72352.904920480127</v>
      </c>
      <c r="CF22" s="35">
        <f t="shared" si="156"/>
        <v>84162.52293300521</v>
      </c>
      <c r="CG22" s="35">
        <f t="shared" si="157"/>
        <v>54002.071386549833</v>
      </c>
      <c r="CH22" s="35">
        <f t="shared" si="158"/>
        <v>60347.339964277693</v>
      </c>
      <c r="CI22" s="35">
        <f t="shared" si="159"/>
        <v>75970.550166504123</v>
      </c>
      <c r="CJ22" s="35">
        <f t="shared" si="160"/>
        <v>88370.649079655457</v>
      </c>
      <c r="CK22" s="35">
        <f t="shared" si="161"/>
        <v>56702.17495587733</v>
      </c>
      <c r="CL22" s="35">
        <f t="shared" si="162"/>
        <v>75970.550166504137</v>
      </c>
      <c r="CM22" s="35">
        <f t="shared" si="163"/>
        <v>88370.649079655472</v>
      </c>
      <c r="CN22" s="35">
        <f t="shared" si="164"/>
        <v>56702.17495587733</v>
      </c>
      <c r="CO22" s="35">
        <f t="shared" si="165"/>
        <v>63364.706962491582</v>
      </c>
    </row>
    <row r="23" spans="1:93" ht="12.75" customHeight="1" outlineLevel="4">
      <c r="A23" s="35"/>
      <c r="B23" s="26" t="str">
        <f>'Итого выручка 1 этапа'!A8</f>
        <v>Прочие услуги</v>
      </c>
      <c r="C23" s="35">
        <f t="shared" si="104"/>
        <v>4195806.6464444669</v>
      </c>
      <c r="D23" s="60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>
        <f>SUM('Итого выручка 1 этапа'!E8:G8)/1000+SUM('Итого выручка 1 этапа'!E14:G14)/1000+SUM('Итого выручка 1 этапа'!E20:G20)/1000</f>
        <v>49410.296773947062</v>
      </c>
      <c r="X23" s="35">
        <f>SUM('Итого выручка 1 этапа'!H8:J8)/1000+SUM('Итого выручка 1 этапа'!H14:J14)/1000+SUM('Итого выручка 1 этапа'!H20:J20)/1000</f>
        <v>63277.366262891177</v>
      </c>
      <c r="Y23" s="35">
        <f>SUM('Итого выручка 1 этапа'!K8:M8)/1000+SUM('Итого выручка 1 этапа'!K14:M14)/1000+SUM('Итого выручка 1 этапа'!K20:M20)/1000</f>
        <v>26719.158815238236</v>
      </c>
      <c r="Z23" s="35">
        <f>SUM('Итого выручка 1 этапа'!B31:D31)/1000+SUM('Итого выручка 1 этапа'!B37:D37)/1000+SUM('Итого выручка 1 этапа'!B43:D43)/1000</f>
        <v>41385.672179376619</v>
      </c>
      <c r="AA23" s="35">
        <f>SUM('Итого выручка 1 этапа'!E31:G31)/1000+SUM('Итого выручка 1 этапа'!E37:G37)/1000+SUM('Итого выручка 1 этапа'!E43:G43)/1000</f>
        <v>51880.811612644415</v>
      </c>
      <c r="AB23" s="35">
        <f>SUM('Итого выручка 1 этапа'!H31:J31)/1000+SUM('Итого выручка 1 этапа'!H37:J37)/1000+SUM('Итого выручка 1 этапа'!H43:J43)/1000</f>
        <v>66441.234576035728</v>
      </c>
      <c r="AC23" s="35">
        <f>SUM('Итого выручка 1 этапа'!K31:M31)/1000+SUM('Итого выручка 1 этапа'!K37:M37)/1000+SUM('Итого выручка 1 этапа'!K43:M43)/1000</f>
        <v>28055.116756000152</v>
      </c>
      <c r="AD23" s="35">
        <f>SUM('Итого выручка 1 этапа'!B54:D54)/1000+SUM('Итого выручка 1 этапа'!B60:D60)/1000+SUM('Итого выручка 1 этапа'!B66:D66)/1000</f>
        <v>43454.955788345447</v>
      </c>
      <c r="AE23" s="35">
        <f>SUM('Итого выручка 1 этапа'!$E$54:$G$54)/1000+SUM('Итого выручка 1 этапа'!$E$60:$G$60)/1000+SUM('Итого выручка 1 этапа'!$E$66:$G$66)/1000</f>
        <v>54474.852193276631</v>
      </c>
      <c r="AF23" s="35">
        <f>SUM('Итого выручка 1 этапа'!$H$54:$J$54)/1000+SUM('Итого выручка 1 этапа'!$H$60:$J$60)/1000+SUM('Итого выручка 1 этапа'!$H$66:$J$66)/1000</f>
        <v>69763.29630483751</v>
      </c>
      <c r="AG23" s="35">
        <f>SUM('Итого выручка 1 этапа'!$K$54:$M$54)/1000+SUM('Итого выручка 1 этапа'!$K$60:$M$60)/1000+SUM('Итого выручка 1 этапа'!$K$66:$M$66)/1000</f>
        <v>29457.872593800155</v>
      </c>
      <c r="AH23" s="35">
        <f t="shared" si="106"/>
        <v>54474.852193276638</v>
      </c>
      <c r="AI23" s="35">
        <f t="shared" si="107"/>
        <v>69763.296304837524</v>
      </c>
      <c r="AJ23" s="35">
        <f t="shared" si="108"/>
        <v>29457.872593800163</v>
      </c>
      <c r="AK23" s="35">
        <f t="shared" si="109"/>
        <v>45627.703577762724</v>
      </c>
      <c r="AL23" s="35">
        <f t="shared" si="110"/>
        <v>57198.594802940468</v>
      </c>
      <c r="AM23" s="35">
        <f t="shared" si="111"/>
        <v>73251.461120079388</v>
      </c>
      <c r="AN23" s="35">
        <f t="shared" si="112"/>
        <v>30930.766223490165</v>
      </c>
      <c r="AO23" s="35">
        <f t="shared" si="113"/>
        <v>57198.594802940475</v>
      </c>
      <c r="AP23" s="35">
        <f t="shared" si="114"/>
        <v>73251.461120079402</v>
      </c>
      <c r="AQ23" s="35">
        <f t="shared" si="115"/>
        <v>30930.766223490173</v>
      </c>
      <c r="AR23" s="35">
        <f t="shared" si="116"/>
        <v>47909.088756650861</v>
      </c>
      <c r="AS23" s="35">
        <f t="shared" si="117"/>
        <v>60058.524543087493</v>
      </c>
      <c r="AT23" s="35">
        <f t="shared" si="118"/>
        <v>76914.034176083354</v>
      </c>
      <c r="AU23" s="35">
        <f t="shared" si="119"/>
        <v>32477.304534664676</v>
      </c>
      <c r="AV23" s="35">
        <f t="shared" si="120"/>
        <v>60058.5245430875</v>
      </c>
      <c r="AW23" s="35">
        <f t="shared" si="121"/>
        <v>76914.034176083369</v>
      </c>
      <c r="AX23" s="35">
        <f t="shared" si="122"/>
        <v>32477.304534664683</v>
      </c>
      <c r="AY23" s="35">
        <f t="shared" si="123"/>
        <v>50304.543194483405</v>
      </c>
      <c r="AZ23" s="35">
        <f t="shared" si="124"/>
        <v>63061.45077024187</v>
      </c>
      <c r="BA23" s="35">
        <f t="shared" si="125"/>
        <v>80759.73588488753</v>
      </c>
      <c r="BB23" s="35">
        <f t="shared" si="126"/>
        <v>34101.169761397912</v>
      </c>
      <c r="BC23" s="35">
        <f t="shared" si="127"/>
        <v>63061.450770241878</v>
      </c>
      <c r="BD23" s="35">
        <f t="shared" si="128"/>
        <v>80759.735884887545</v>
      </c>
      <c r="BE23" s="35">
        <f t="shared" si="129"/>
        <v>34101.16976139792</v>
      </c>
      <c r="BF23" s="35">
        <f t="shared" si="130"/>
        <v>52819.770354207576</v>
      </c>
      <c r="BG23" s="35">
        <f t="shared" si="131"/>
        <v>66214.523308753967</v>
      </c>
      <c r="BH23" s="35">
        <f t="shared" si="132"/>
        <v>84797.722679131912</v>
      </c>
      <c r="BI23" s="35">
        <f t="shared" si="133"/>
        <v>35806.228249467807</v>
      </c>
      <c r="BJ23" s="35">
        <f t="shared" si="134"/>
        <v>66214.523308753967</v>
      </c>
      <c r="BK23" s="35">
        <f t="shared" si="135"/>
        <v>84797.722679131926</v>
      </c>
      <c r="BL23" s="35">
        <f t="shared" si="136"/>
        <v>35806.228249467815</v>
      </c>
      <c r="BM23" s="35">
        <f t="shared" si="137"/>
        <v>55460.758871917955</v>
      </c>
      <c r="BN23" s="35">
        <f t="shared" si="138"/>
        <v>69525.249474191674</v>
      </c>
      <c r="BO23" s="35">
        <f t="shared" si="139"/>
        <v>89037.608813088518</v>
      </c>
      <c r="BP23" s="35">
        <f t="shared" si="140"/>
        <v>37596.539661941199</v>
      </c>
      <c r="BQ23" s="35">
        <f t="shared" si="141"/>
        <v>69525.249474191674</v>
      </c>
      <c r="BR23" s="35">
        <f t="shared" si="142"/>
        <v>89037.608813088533</v>
      </c>
      <c r="BS23" s="35">
        <f t="shared" si="143"/>
        <v>37596.539661941206</v>
      </c>
      <c r="BT23" s="35">
        <f t="shared" si="144"/>
        <v>58233.796815513851</v>
      </c>
      <c r="BU23" s="35">
        <f t="shared" si="145"/>
        <v>73001.511947901265</v>
      </c>
      <c r="BV23" s="35">
        <f t="shared" si="146"/>
        <v>93489.489253742955</v>
      </c>
      <c r="BW23" s="35">
        <f t="shared" si="147"/>
        <v>39476.366645038259</v>
      </c>
      <c r="BX23" s="35">
        <f t="shared" si="148"/>
        <v>73001.511947901265</v>
      </c>
      <c r="BY23" s="35">
        <f t="shared" si="149"/>
        <v>93489.48925374297</v>
      </c>
      <c r="BZ23" s="35">
        <f t="shared" si="150"/>
        <v>39476.366645038266</v>
      </c>
      <c r="CA23" s="35">
        <f t="shared" si="151"/>
        <v>61145.486656289548</v>
      </c>
      <c r="CB23" s="35">
        <f t="shared" si="152"/>
        <v>76651.587545296337</v>
      </c>
      <c r="CC23" s="35">
        <f t="shared" si="153"/>
        <v>98163.963716430109</v>
      </c>
      <c r="CD23" s="35">
        <f t="shared" si="154"/>
        <v>41450.184977290177</v>
      </c>
      <c r="CE23" s="35">
        <f t="shared" si="155"/>
        <v>76651.587545296337</v>
      </c>
      <c r="CF23" s="35">
        <f t="shared" si="156"/>
        <v>98163.963716430124</v>
      </c>
      <c r="CG23" s="35">
        <f t="shared" si="157"/>
        <v>41450.184977290184</v>
      </c>
      <c r="CH23" s="35">
        <f t="shared" si="158"/>
        <v>64202.760989104027</v>
      </c>
      <c r="CI23" s="35">
        <f t="shared" si="159"/>
        <v>80484.166922561155</v>
      </c>
      <c r="CJ23" s="35">
        <f t="shared" si="160"/>
        <v>103072.16190225162</v>
      </c>
      <c r="CK23" s="35">
        <f t="shared" si="161"/>
        <v>43522.694226154686</v>
      </c>
      <c r="CL23" s="35">
        <f t="shared" si="162"/>
        <v>80484.166922561155</v>
      </c>
      <c r="CM23" s="35">
        <f t="shared" si="163"/>
        <v>103072.16190225164</v>
      </c>
      <c r="CN23" s="35">
        <f t="shared" si="164"/>
        <v>43522.694226154694</v>
      </c>
      <c r="CO23" s="35">
        <f t="shared" si="165"/>
        <v>67412.899038559233</v>
      </c>
    </row>
    <row r="24" spans="1:93" ht="12.75" customHeight="1" outlineLevel="4">
      <c r="A24" s="35"/>
      <c r="B24" s="63" t="s">
        <v>824</v>
      </c>
      <c r="C24" s="35">
        <f t="shared" si="104"/>
        <v>3186086.9813057072</v>
      </c>
      <c r="D24" s="60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>
        <f>SUM('Итого выручка 1 этапа'!E12:G12)/1000</f>
        <v>34592.251552941176</v>
      </c>
      <c r="X24" s="35">
        <f>SUM('Итого выручка 1 этапа'!H12:J12)/1000</f>
        <v>35343.856058823534</v>
      </c>
      <c r="Y24" s="35">
        <f>SUM('Итого выручка 1 этапа'!K12:M12)/1000</f>
        <v>34661.417611764708</v>
      </c>
      <c r="Z24" s="35">
        <f>SUM('Итого выручка 1 этапа'!B12:D12)/1000</f>
        <v>34917.332029411766</v>
      </c>
      <c r="AA24" s="35">
        <f>SUM('Итого выручка 1 этапа'!E12:G12)/1000</f>
        <v>34592.251552941176</v>
      </c>
      <c r="AB24" s="35">
        <f>SUM('Итого выручка 1 этапа'!H12:J12)/1000</f>
        <v>35343.856058823534</v>
      </c>
      <c r="AC24" s="35">
        <f>SUM('Итого выручка 1 этапа'!K12:M12)/1000</f>
        <v>34661.417611764708</v>
      </c>
      <c r="AD24" s="35">
        <f>SUM('Итого выручка 1 этапа'!B58:D58)/1000</f>
        <v>39288.579751829129</v>
      </c>
      <c r="AE24" s="35">
        <f>SUM('Итого выручка 1 этапа'!$E$58:$G$58)/1000</f>
        <v>38922.802944631527</v>
      </c>
      <c r="AF24" s="35">
        <f>SUM('Итого выручка 1 этапа'!$H$58:$J$58)/1000</f>
        <v>39768.499676166437</v>
      </c>
      <c r="AG24" s="35">
        <f>SUM('Итого выручка 1 этапа'!$K$58:$M$58)/1000</f>
        <v>39000.627797226756</v>
      </c>
      <c r="AH24" s="35">
        <f t="shared" ref="AH24" si="166">AA24*AH$14</f>
        <v>36321.864130588234</v>
      </c>
      <c r="AI24" s="35">
        <f t="shared" ref="AI24" si="167">AB24*AI$14</f>
        <v>37111.048861764713</v>
      </c>
      <c r="AJ24" s="35">
        <f t="shared" ref="AJ24" si="168">AC24*AJ$14</f>
        <v>36394.488492352946</v>
      </c>
      <c r="AK24" s="35">
        <f t="shared" ref="AK24" si="169">AD24*AK$14</f>
        <v>41253.008739420584</v>
      </c>
      <c r="AL24" s="35">
        <f t="shared" ref="AL24" si="170">AE24*AL$14</f>
        <v>40868.943091863104</v>
      </c>
      <c r="AM24" s="35">
        <f t="shared" ref="AM24" si="171">AF24*AM$14</f>
        <v>41756.924659974764</v>
      </c>
      <c r="AN24" s="35">
        <f t="shared" ref="AN24" si="172">AG24*AN$14</f>
        <v>40950.659187088095</v>
      </c>
      <c r="AO24" s="35">
        <f t="shared" ref="AO24" si="173">AH24*AO$14</f>
        <v>38137.957337117645</v>
      </c>
      <c r="AP24" s="35">
        <f t="shared" ref="AP24" si="174">AI24*AP$14</f>
        <v>38966.601304852949</v>
      </c>
      <c r="AQ24" s="35">
        <f t="shared" ref="AQ24" si="175">AJ24*AQ$14</f>
        <v>38214.212916970595</v>
      </c>
      <c r="AR24" s="35">
        <f t="shared" ref="AR24" si="176">AK24*AR$14</f>
        <v>43315.659176391615</v>
      </c>
      <c r="AS24" s="35">
        <f t="shared" ref="AS24" si="177">AL24*AS$14</f>
        <v>42912.390246456263</v>
      </c>
      <c r="AT24" s="35">
        <f t="shared" ref="AT24" si="178">AM24*AT$14</f>
        <v>43844.770892973502</v>
      </c>
      <c r="AU24" s="35">
        <f t="shared" ref="AU24" si="179">AN24*AU$14</f>
        <v>42998.192146442503</v>
      </c>
      <c r="AV24" s="35">
        <f t="shared" ref="AV24" si="180">AO24*AV$14</f>
        <v>40044.85520397353</v>
      </c>
      <c r="AW24" s="35">
        <f t="shared" ref="AW24" si="181">AP24*AW$14</f>
        <v>40914.931370095597</v>
      </c>
      <c r="AX24" s="35">
        <f t="shared" ref="AX24" si="182">AQ24*AX$14</f>
        <v>40124.923562819124</v>
      </c>
      <c r="AY24" s="35">
        <f t="shared" ref="AY24" si="183">AR24*AY$14</f>
        <v>45481.442135211197</v>
      </c>
      <c r="AZ24" s="35">
        <f t="shared" ref="AZ24" si="184">AS24*AZ$14</f>
        <v>45058.009758779081</v>
      </c>
      <c r="BA24" s="35">
        <f t="shared" ref="BA24" si="185">AT24*BA$14</f>
        <v>46037.009437622182</v>
      </c>
      <c r="BB24" s="35">
        <f t="shared" ref="BB24" si="186">AU24*BB$14</f>
        <v>45148.101753764633</v>
      </c>
      <c r="BC24" s="35">
        <f t="shared" ref="BC24" si="187">AV24*BC$14</f>
        <v>42047.097964172208</v>
      </c>
      <c r="BD24" s="35">
        <f t="shared" ref="BD24" si="188">AW24*BD$14</f>
        <v>42960.677938600376</v>
      </c>
      <c r="BE24" s="35">
        <f t="shared" ref="BE24" si="189">AX24*BE$14</f>
        <v>42131.169740960082</v>
      </c>
      <c r="BF24" s="35">
        <f t="shared" ref="BF24" si="190">AY24*BF$14</f>
        <v>47755.514241971759</v>
      </c>
      <c r="BG24" s="35">
        <f t="shared" ref="BG24" si="191">AZ24*BG$14</f>
        <v>47310.910246718035</v>
      </c>
      <c r="BH24" s="35">
        <f t="shared" ref="BH24" si="192">BA24*BH$14</f>
        <v>48338.859909503291</v>
      </c>
      <c r="BI24" s="35">
        <f t="shared" ref="BI24" si="193">BB24*BI$14</f>
        <v>47405.506841452865</v>
      </c>
      <c r="BJ24" s="35">
        <f t="shared" ref="BJ24" si="194">BC24*BJ$14</f>
        <v>44149.452862380822</v>
      </c>
      <c r="BK24" s="35">
        <f t="shared" ref="BK24" si="195">BD24*BK$14</f>
        <v>45108.711835530397</v>
      </c>
      <c r="BL24" s="35">
        <f t="shared" ref="BL24" si="196">BE24*BL$14</f>
        <v>44237.728228008091</v>
      </c>
      <c r="BM24" s="35">
        <f t="shared" ref="BM24" si="197">BF24*BM$14</f>
        <v>50143.289954070351</v>
      </c>
      <c r="BN24" s="35">
        <f t="shared" ref="BN24" si="198">BG24*BN$14</f>
        <v>49676.455759053941</v>
      </c>
      <c r="BO24" s="35">
        <f t="shared" ref="BO24" si="199">BH24*BO$14</f>
        <v>50755.80290497846</v>
      </c>
      <c r="BP24" s="35">
        <f t="shared" ref="BP24" si="200">BI24*BP$14</f>
        <v>49775.782183525509</v>
      </c>
      <c r="BQ24" s="35">
        <f t="shared" ref="BQ24" si="201">BJ24*BQ$14</f>
        <v>46356.925505499865</v>
      </c>
      <c r="BR24" s="35">
        <f t="shared" ref="BR24" si="202">BK24*BR$14</f>
        <v>47364.147427306918</v>
      </c>
      <c r="BS24" s="35">
        <f t="shared" ref="BS24" si="203">BL24*BS$14</f>
        <v>46449.614639408501</v>
      </c>
      <c r="BT24" s="35">
        <f t="shared" ref="BT24" si="204">BM24*BT$14</f>
        <v>52650.454451773869</v>
      </c>
      <c r="BU24" s="35">
        <f t="shared" ref="BU24" si="205">BN24*BU$14</f>
        <v>52160.278547006637</v>
      </c>
      <c r="BV24" s="35">
        <f t="shared" ref="BV24" si="206">BO24*BV$14</f>
        <v>53293.593050227384</v>
      </c>
      <c r="BW24" s="35">
        <f t="shared" ref="BW24" si="207">BP24*BW$14</f>
        <v>52264.571292701788</v>
      </c>
      <c r="BX24" s="35">
        <f t="shared" ref="BX24" si="208">BQ24*BX$14</f>
        <v>48674.771780774863</v>
      </c>
      <c r="BY24" s="35">
        <f t="shared" ref="BY24" si="209">BR24*BY$14</f>
        <v>49732.354798672262</v>
      </c>
      <c r="BZ24" s="35">
        <f t="shared" ref="BZ24" si="210">BS24*BZ$14</f>
        <v>48772.095371378928</v>
      </c>
      <c r="CA24" s="35">
        <f t="shared" ref="CA24" si="211">BT24*CA$14</f>
        <v>55282.977174362568</v>
      </c>
      <c r="CB24" s="35">
        <f t="shared" ref="CB24" si="212">BU24*CB$14</f>
        <v>54768.292474356975</v>
      </c>
      <c r="CC24" s="35">
        <f t="shared" ref="CC24" si="213">BV24*CC$14</f>
        <v>55958.272702738759</v>
      </c>
      <c r="CD24" s="35">
        <f t="shared" ref="CD24" si="214">BW24*CD$14</f>
        <v>54877.799857336882</v>
      </c>
      <c r="CE24" s="35">
        <f t="shared" ref="CE24" si="215">BX24*CE$14</f>
        <v>51108.510369813608</v>
      </c>
      <c r="CF24" s="35">
        <f t="shared" ref="CF24" si="216">BY24*CF$14</f>
        <v>52218.972538605878</v>
      </c>
      <c r="CG24" s="35">
        <f t="shared" ref="CG24" si="217">BZ24*CG$14</f>
        <v>51210.700139947876</v>
      </c>
      <c r="CH24" s="35">
        <f t="shared" ref="CH24" si="218">CA24*CH$14</f>
        <v>58047.126033080698</v>
      </c>
      <c r="CI24" s="35">
        <f t="shared" ref="CI24" si="219">CB24*CI$14</f>
        <v>57506.707098074825</v>
      </c>
      <c r="CJ24" s="35">
        <f t="shared" ref="CJ24" si="220">CC24*CJ$14</f>
        <v>58756.186337875697</v>
      </c>
      <c r="CK24" s="35">
        <f t="shared" ref="CK24" si="221">CD24*CK$14</f>
        <v>57621.689850203729</v>
      </c>
      <c r="CL24" s="35">
        <f t="shared" ref="CL24" si="222">CE24*CL$14</f>
        <v>53663.935888304288</v>
      </c>
      <c r="CM24" s="35">
        <f t="shared" ref="CM24" si="223">CF24*CM$14</f>
        <v>54829.921165536172</v>
      </c>
      <c r="CN24" s="35">
        <f t="shared" ref="CN24" si="224">CG24*CN$14</f>
        <v>53771.23514694527</v>
      </c>
      <c r="CO24" s="35">
        <f t="shared" ref="CO24" si="225">CH24*CO$14</f>
        <v>60949.482334734734</v>
      </c>
    </row>
    <row r="25" spans="1:93" ht="12.75" customHeight="1" outlineLevel="4">
      <c r="A25" s="35"/>
      <c r="B25" s="63"/>
      <c r="C25" s="35">
        <f t="shared" si="104"/>
        <v>0</v>
      </c>
      <c r="D25" s="60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</row>
    <row r="26" spans="1:93" ht="12.75" customHeight="1" outlineLevel="4">
      <c r="A26" s="35"/>
      <c r="B26" s="63"/>
      <c r="C26" s="35">
        <f t="shared" si="104"/>
        <v>0</v>
      </c>
      <c r="D26" s="60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</row>
    <row r="27" spans="1:93" ht="12.75" customHeight="1">
      <c r="A27" s="37"/>
      <c r="B27" s="70" t="s">
        <v>128</v>
      </c>
      <c r="C27" s="70">
        <f t="shared" si="104"/>
        <v>24123825.501120694</v>
      </c>
      <c r="D27" s="71">
        <f t="shared" ref="D27:AI27" si="226">SUM(D19:D26)</f>
        <v>0</v>
      </c>
      <c r="E27" s="70">
        <f t="shared" si="226"/>
        <v>0</v>
      </c>
      <c r="F27" s="70">
        <f t="shared" si="226"/>
        <v>0</v>
      </c>
      <c r="G27" s="70">
        <f t="shared" si="226"/>
        <v>0</v>
      </c>
      <c r="H27" s="70">
        <f t="shared" si="226"/>
        <v>0</v>
      </c>
      <c r="I27" s="70">
        <f t="shared" si="226"/>
        <v>0</v>
      </c>
      <c r="J27" s="70">
        <f t="shared" si="226"/>
        <v>0</v>
      </c>
      <c r="K27" s="70">
        <f t="shared" si="226"/>
        <v>0</v>
      </c>
      <c r="L27" s="70">
        <f t="shared" si="226"/>
        <v>0</v>
      </c>
      <c r="M27" s="70">
        <f t="shared" si="226"/>
        <v>0</v>
      </c>
      <c r="N27" s="70">
        <f t="shared" si="226"/>
        <v>0</v>
      </c>
      <c r="O27" s="70">
        <f t="shared" si="226"/>
        <v>0</v>
      </c>
      <c r="P27" s="70">
        <f t="shared" si="226"/>
        <v>0</v>
      </c>
      <c r="Q27" s="70">
        <f t="shared" si="226"/>
        <v>0</v>
      </c>
      <c r="R27" s="70">
        <f t="shared" si="226"/>
        <v>0</v>
      </c>
      <c r="S27" s="70">
        <f t="shared" si="226"/>
        <v>0</v>
      </c>
      <c r="T27" s="70">
        <f t="shared" si="226"/>
        <v>0</v>
      </c>
      <c r="U27" s="70">
        <f t="shared" si="226"/>
        <v>0</v>
      </c>
      <c r="V27" s="70">
        <f t="shared" si="226"/>
        <v>0</v>
      </c>
      <c r="W27" s="70">
        <f t="shared" si="226"/>
        <v>277389.80160788825</v>
      </c>
      <c r="X27" s="70">
        <f t="shared" si="226"/>
        <v>335093.85530321469</v>
      </c>
      <c r="Y27" s="70">
        <f t="shared" si="226"/>
        <v>182054.14251950296</v>
      </c>
      <c r="Z27" s="70">
        <f t="shared" si="226"/>
        <v>230382.71680361341</v>
      </c>
      <c r="AA27" s="70">
        <f t="shared" si="226"/>
        <v>289084.55459563556</v>
      </c>
      <c r="AB27" s="70">
        <f t="shared" si="226"/>
        <v>349484.42353333428</v>
      </c>
      <c r="AC27" s="70">
        <f t="shared" si="226"/>
        <v>189224.04221358988</v>
      </c>
      <c r="AD27" s="70">
        <f t="shared" si="226"/>
        <v>250797.17166018806</v>
      </c>
      <c r="AE27" s="70">
        <f t="shared" si="226"/>
        <v>314130.38741305226</v>
      </c>
      <c r="AF27" s="70">
        <f t="shared" si="226"/>
        <v>379126.78307198948</v>
      </c>
      <c r="AG27" s="70">
        <f t="shared" si="226"/>
        <v>206531.91170929477</v>
      </c>
      <c r="AH27" s="70">
        <f t="shared" si="226"/>
        <v>303538.78232541739</v>
      </c>
      <c r="AI27" s="70">
        <f t="shared" si="226"/>
        <v>366958.64471000095</v>
      </c>
      <c r="AJ27" s="70">
        <f t="shared" ref="AJ27:BO27" si="227">SUM(AJ19:AJ26)</f>
        <v>198685.24432426936</v>
      </c>
      <c r="AK27" s="70">
        <f t="shared" si="227"/>
        <v>263337.03024319746</v>
      </c>
      <c r="AL27" s="70">
        <f t="shared" si="227"/>
        <v>329836.90678370482</v>
      </c>
      <c r="AM27" s="70">
        <f t="shared" si="227"/>
        <v>398083.122225589</v>
      </c>
      <c r="AN27" s="70">
        <f t="shared" si="227"/>
        <v>216858.5072947595</v>
      </c>
      <c r="AO27" s="70">
        <f t="shared" si="227"/>
        <v>318715.72144168825</v>
      </c>
      <c r="AP27" s="70">
        <f t="shared" si="227"/>
        <v>385306.57694550103</v>
      </c>
      <c r="AQ27" s="70">
        <f t="shared" si="227"/>
        <v>208619.50654048286</v>
      </c>
      <c r="AR27" s="70">
        <f t="shared" si="227"/>
        <v>276503.88175535732</v>
      </c>
      <c r="AS27" s="70">
        <f t="shared" si="227"/>
        <v>346328.75212289009</v>
      </c>
      <c r="AT27" s="70">
        <f t="shared" si="227"/>
        <v>417987.27833686845</v>
      </c>
      <c r="AU27" s="70">
        <f t="shared" si="227"/>
        <v>227701.43265949748</v>
      </c>
      <c r="AV27" s="70">
        <f t="shared" si="227"/>
        <v>334651.5075137727</v>
      </c>
      <c r="AW27" s="70">
        <f t="shared" si="227"/>
        <v>404571.90579277615</v>
      </c>
      <c r="AX27" s="70">
        <f t="shared" si="227"/>
        <v>219050.48186750704</v>
      </c>
      <c r="AY27" s="70">
        <f t="shared" si="227"/>
        <v>290329.07584312523</v>
      </c>
      <c r="AZ27" s="70">
        <f t="shared" si="227"/>
        <v>363645.18972903461</v>
      </c>
      <c r="BA27" s="70">
        <f t="shared" si="227"/>
        <v>438886.64225371182</v>
      </c>
      <c r="BB27" s="70">
        <f t="shared" si="227"/>
        <v>239086.50429247238</v>
      </c>
      <c r="BC27" s="70">
        <f t="shared" si="227"/>
        <v>351384.08288946131</v>
      </c>
      <c r="BD27" s="70">
        <f t="shared" si="227"/>
        <v>424800.50108241494</v>
      </c>
      <c r="BE27" s="70">
        <f t="shared" si="227"/>
        <v>230003.00596088238</v>
      </c>
      <c r="BF27" s="70">
        <f t="shared" si="227"/>
        <v>304845.52963528148</v>
      </c>
      <c r="BG27" s="70">
        <f t="shared" si="227"/>
        <v>381827.44921548635</v>
      </c>
      <c r="BH27" s="70">
        <f t="shared" si="227"/>
        <v>460830.97436639754</v>
      </c>
      <c r="BI27" s="70">
        <f t="shared" si="227"/>
        <v>251040.82950709597</v>
      </c>
      <c r="BJ27" s="70">
        <f t="shared" si="227"/>
        <v>368953.28703393444</v>
      </c>
      <c r="BK27" s="70">
        <f t="shared" si="227"/>
        <v>446040.52613653574</v>
      </c>
      <c r="BL27" s="70">
        <f t="shared" si="227"/>
        <v>241503.15625892649</v>
      </c>
      <c r="BM27" s="70">
        <f t="shared" si="227"/>
        <v>320087.80611704558</v>
      </c>
      <c r="BN27" s="70">
        <f t="shared" si="227"/>
        <v>400918.82167626068</v>
      </c>
      <c r="BO27" s="70">
        <f t="shared" si="227"/>
        <v>483872.5230847174</v>
      </c>
      <c r="BP27" s="70">
        <f t="shared" ref="BP27:CO27" si="228">SUM(BP19:BP26)</f>
        <v>263592.87098245084</v>
      </c>
      <c r="BQ27" s="70">
        <f t="shared" si="228"/>
        <v>387400.95138563117</v>
      </c>
      <c r="BR27" s="70">
        <f t="shared" si="228"/>
        <v>468342.55244336248</v>
      </c>
      <c r="BS27" s="70">
        <f t="shared" si="228"/>
        <v>253578.31407187285</v>
      </c>
      <c r="BT27" s="70">
        <f t="shared" si="228"/>
        <v>336092.19642289786</v>
      </c>
      <c r="BU27" s="70">
        <f t="shared" si="228"/>
        <v>420964.76276007382</v>
      </c>
      <c r="BV27" s="70">
        <f t="shared" si="228"/>
        <v>508066.14923895331</v>
      </c>
      <c r="BW27" s="70">
        <f t="shared" si="228"/>
        <v>276772.5145315734</v>
      </c>
      <c r="BX27" s="70">
        <f t="shared" si="228"/>
        <v>406770.99895491276</v>
      </c>
      <c r="BY27" s="70">
        <f t="shared" si="228"/>
        <v>491759.68006553064</v>
      </c>
      <c r="BZ27" s="70">
        <f t="shared" si="228"/>
        <v>266257.22977546649</v>
      </c>
      <c r="CA27" s="70">
        <f t="shared" si="228"/>
        <v>352896.80624404282</v>
      </c>
      <c r="CB27" s="70">
        <f t="shared" si="228"/>
        <v>442013.0008980775</v>
      </c>
      <c r="CC27" s="70">
        <f t="shared" si="228"/>
        <v>533469.45670090104</v>
      </c>
      <c r="CD27" s="70">
        <f t="shared" si="228"/>
        <v>290611.14025815204</v>
      </c>
      <c r="CE27" s="70">
        <f t="shared" si="228"/>
        <v>427109.5489026584</v>
      </c>
      <c r="CF27" s="70">
        <f t="shared" si="228"/>
        <v>516347.66406880721</v>
      </c>
      <c r="CG27" s="70">
        <f t="shared" si="228"/>
        <v>279570.09126423986</v>
      </c>
      <c r="CH27" s="70">
        <f t="shared" si="228"/>
        <v>370541.64655624493</v>
      </c>
      <c r="CI27" s="70">
        <f t="shared" si="228"/>
        <v>464113.65094298136</v>
      </c>
      <c r="CJ27" s="70">
        <f t="shared" si="228"/>
        <v>560142.92953594599</v>
      </c>
      <c r="CK27" s="70">
        <f t="shared" si="228"/>
        <v>305141.69727105967</v>
      </c>
      <c r="CL27" s="70">
        <f t="shared" si="228"/>
        <v>448465.02634779131</v>
      </c>
      <c r="CM27" s="70">
        <f t="shared" si="228"/>
        <v>542165.04727224761</v>
      </c>
      <c r="CN27" s="70">
        <f t="shared" si="228"/>
        <v>293548.59582745185</v>
      </c>
      <c r="CO27" s="72">
        <f t="shared" si="228"/>
        <v>389068.72888405726</v>
      </c>
    </row>
    <row r="28" spans="1:93" ht="12.75" customHeight="1">
      <c r="A28" s="35"/>
      <c r="B28" s="73" t="s">
        <v>129</v>
      </c>
      <c r="C28" s="70">
        <f>SUM(C29:C40)</f>
        <v>-5118060.9234410841</v>
      </c>
      <c r="D28" s="60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5"/>
    </row>
    <row r="29" spans="1:93" ht="12.75" customHeight="1" outlineLevel="2">
      <c r="A29" s="35"/>
      <c r="B29" s="63" t="s">
        <v>130</v>
      </c>
      <c r="C29" s="74">
        <f t="shared" ref="C29:C40" si="229">SUM(D29:CN29)</f>
        <v>-482476.51002241398</v>
      </c>
      <c r="D29" s="60"/>
      <c r="E29" s="35">
        <f>-E27*'операционные  расходы 1 этап'!$P$7</f>
        <v>0</v>
      </c>
      <c r="F29" s="35">
        <f>-F27*'операционные  расходы 1 этап'!$P$7</f>
        <v>0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>
        <f>-V27*'операционные  расходы 1 этап'!$P$7</f>
        <v>0</v>
      </c>
      <c r="W29" s="35">
        <f>-W27*'операционные  расходы 1 этап'!$P$7</f>
        <v>-5547.7960321577648</v>
      </c>
      <c r="X29" s="35">
        <f>-X27*'операционные  расходы 1 этап'!$P$7</f>
        <v>-6701.8771060642939</v>
      </c>
      <c r="Y29" s="35">
        <f>-Y27*'операционные  расходы 1 этап'!$P$7</f>
        <v>-3641.0828503900593</v>
      </c>
      <c r="Z29" s="35">
        <f>-Z27*'операционные  расходы 1 этап'!$P$7</f>
        <v>-4607.6543360722681</v>
      </c>
      <c r="AA29" s="35">
        <f>-AA27*'операционные  расходы 1 этап'!$P$7</f>
        <v>-5781.6910919127113</v>
      </c>
      <c r="AB29" s="35">
        <f>-AB27*'операционные  расходы 1 этап'!$P$7</f>
        <v>-6989.688470666686</v>
      </c>
      <c r="AC29" s="35">
        <f>-AC27*'операционные  расходы 1 этап'!$P$7</f>
        <v>-3784.4808442717977</v>
      </c>
      <c r="AD29" s="35">
        <f>-AD27*'операционные  расходы 1 этап'!$P$7</f>
        <v>-5015.9434332037617</v>
      </c>
      <c r="AE29" s="35">
        <f>-AE27*'операционные  расходы 1 этап'!$P$7</f>
        <v>-6282.6077482610453</v>
      </c>
      <c r="AF29" s="35">
        <f>-AF27*'операционные  расходы 1 этап'!$P$7</f>
        <v>-7582.5356614397897</v>
      </c>
      <c r="AG29" s="35">
        <f>-AG27*'операционные  расходы 1 этап'!$P$7</f>
        <v>-4130.6382341858953</v>
      </c>
      <c r="AH29" s="35">
        <f>-AH27*'операционные  расходы 1 этап'!$P$7</f>
        <v>-6070.7756465083476</v>
      </c>
      <c r="AI29" s="35">
        <f>-AI27*'операционные  расходы 1 этап'!$P$7</f>
        <v>-7339.1728942000191</v>
      </c>
      <c r="AJ29" s="35">
        <f>-AJ27*'операционные  расходы 1 этап'!$P$7</f>
        <v>-3973.7048864853873</v>
      </c>
      <c r="AK29" s="35">
        <f>-AK27*'операционные  расходы 1 этап'!$P$7</f>
        <v>-5266.7406048639496</v>
      </c>
      <c r="AL29" s="35">
        <f>-AL27*'операционные  расходы 1 этап'!$P$7</f>
        <v>-6596.7381356740962</v>
      </c>
      <c r="AM29" s="35">
        <f>-AM27*'операционные  расходы 1 этап'!$P$7</f>
        <v>-7961.6624445117804</v>
      </c>
      <c r="AN29" s="35">
        <f>-AN27*'операционные  расходы 1 этап'!$P$7</f>
        <v>-4337.1701458951902</v>
      </c>
      <c r="AO29" s="35">
        <f>-AO27*'операционные  расходы 1 этап'!$P$7</f>
        <v>-6374.3144288337653</v>
      </c>
      <c r="AP29" s="35">
        <f>-AP27*'операционные  расходы 1 этап'!$P$7</f>
        <v>-7706.1315389100209</v>
      </c>
      <c r="AQ29" s="35">
        <f>-AQ27*'операционные  расходы 1 этап'!$P$7</f>
        <v>-4172.3901308096574</v>
      </c>
      <c r="AR29" s="35">
        <f>-AR27*'операционные  расходы 1 этап'!$P$7</f>
        <v>-5530.0776351071463</v>
      </c>
      <c r="AS29" s="35">
        <f>-AS27*'операционные  расходы 1 этап'!$P$7</f>
        <v>-6926.5750424578018</v>
      </c>
      <c r="AT29" s="35">
        <f>-AT27*'операционные  расходы 1 этап'!$P$7</f>
        <v>-8359.7455667373688</v>
      </c>
      <c r="AU29" s="35">
        <f>-AU27*'операционные  расходы 1 этап'!$P$7</f>
        <v>-4554.0286531899501</v>
      </c>
      <c r="AV29" s="35">
        <f>-AV27*'операционные  расходы 1 этап'!$P$7</f>
        <v>-6693.0301502754537</v>
      </c>
      <c r="AW29" s="35">
        <f>-AW27*'операционные  расходы 1 этап'!$P$7</f>
        <v>-8091.4381158555234</v>
      </c>
      <c r="AX29" s="35">
        <f>-AX27*'операционные  расходы 1 этап'!$P$7</f>
        <v>-4381.009637350141</v>
      </c>
      <c r="AY29" s="35">
        <f>-AY27*'операционные  расходы 1 этап'!$P$7</f>
        <v>-5806.5815168625049</v>
      </c>
      <c r="AZ29" s="35">
        <f>-AZ27*'операционные  расходы 1 этап'!$P$7</f>
        <v>-7272.9037945806922</v>
      </c>
      <c r="BA29" s="35">
        <f>-BA27*'операционные  расходы 1 этап'!$P$7</f>
        <v>-8777.732845074237</v>
      </c>
      <c r="BB29" s="35">
        <f>-BB27*'операционные  расходы 1 этап'!$P$7</f>
        <v>-4781.7300858494482</v>
      </c>
      <c r="BC29" s="35">
        <f>-BC27*'операционные  расходы 1 этап'!$P$7</f>
        <v>-7027.6816577892259</v>
      </c>
      <c r="BD29" s="35">
        <f>-BD27*'операционные  расходы 1 этап'!$P$7</f>
        <v>-8496.0100216482988</v>
      </c>
      <c r="BE29" s="35">
        <f>-BE27*'операционные  расходы 1 этап'!$P$7</f>
        <v>-4600.0601192176473</v>
      </c>
      <c r="BF29" s="35">
        <f>-BF27*'операционные  расходы 1 этап'!$P$7</f>
        <v>-6096.9105927056298</v>
      </c>
      <c r="BG29" s="35">
        <f>-BG27*'операционные  расходы 1 этап'!$P$7</f>
        <v>-7636.5489843097275</v>
      </c>
      <c r="BH29" s="35">
        <f>-BH27*'операционные  расходы 1 этап'!$P$7</f>
        <v>-9216.619487327951</v>
      </c>
      <c r="BI29" s="35">
        <f>-BI27*'операционные  расходы 1 этап'!$P$7</f>
        <v>-5020.8165901419197</v>
      </c>
      <c r="BJ29" s="35">
        <f>-BJ27*'операционные  расходы 1 этап'!$P$7</f>
        <v>-7379.0657406786886</v>
      </c>
      <c r="BK29" s="35">
        <f>-BK27*'операционные  расходы 1 этап'!$P$7</f>
        <v>-8920.8105227307151</v>
      </c>
      <c r="BL29" s="35">
        <f>-BL27*'операционные  расходы 1 этап'!$P$7</f>
        <v>-4830.0631251785298</v>
      </c>
      <c r="BM29" s="35">
        <f>-BM27*'операционные  расходы 1 этап'!$P$7</f>
        <v>-6401.756122340912</v>
      </c>
      <c r="BN29" s="35">
        <f>-BN27*'операционные  расходы 1 этап'!$P$7</f>
        <v>-8018.3764335252135</v>
      </c>
      <c r="BO29" s="35">
        <f>-BO27*'операционные  расходы 1 этап'!$P$7</f>
        <v>-9677.4504616943486</v>
      </c>
      <c r="BP29" s="35">
        <f>-BP27*'операционные  расходы 1 этап'!$P$7</f>
        <v>-5271.8574196490172</v>
      </c>
      <c r="BQ29" s="35">
        <f>-BQ27*'операционные  расходы 1 этап'!$P$7</f>
        <v>-7748.0190277126239</v>
      </c>
      <c r="BR29" s="35">
        <f>-BR27*'операционные  расходы 1 этап'!$P$7</f>
        <v>-9366.8510488672491</v>
      </c>
      <c r="BS29" s="35">
        <f>-BS27*'операционные  расходы 1 этап'!$P$7</f>
        <v>-5071.5662814374573</v>
      </c>
      <c r="BT29" s="35">
        <f>-BT27*'операционные  расходы 1 этап'!$P$7</f>
        <v>-6721.8439284579572</v>
      </c>
      <c r="BU29" s="35">
        <f>-BU27*'операционные  расходы 1 этап'!$P$7</f>
        <v>-8419.2952552014758</v>
      </c>
      <c r="BV29" s="35">
        <f>-BV27*'операционные  расходы 1 этап'!$P$7</f>
        <v>-10161.322984779066</v>
      </c>
      <c r="BW29" s="35">
        <f>-BW27*'операционные  расходы 1 этап'!$P$7</f>
        <v>-5535.4502906314683</v>
      </c>
      <c r="BX29" s="35">
        <f>-BX27*'операционные  расходы 1 этап'!$P$7</f>
        <v>-8135.4199790982557</v>
      </c>
      <c r="BY29" s="35">
        <f>-BY27*'операционные  расходы 1 этап'!$P$7</f>
        <v>-9835.1936013106133</v>
      </c>
      <c r="BZ29" s="35">
        <f>-BZ27*'операционные  расходы 1 этап'!$P$7</f>
        <v>-5325.1445955093295</v>
      </c>
      <c r="CA29" s="35">
        <f>-CA27*'операционные  расходы 1 этап'!$P$7</f>
        <v>-7057.9361248808564</v>
      </c>
      <c r="CB29" s="35">
        <f>-CB27*'операционные  расходы 1 этап'!$P$7</f>
        <v>-8840.2600179615511</v>
      </c>
      <c r="CC29" s="35">
        <f>-CC27*'операционные  расходы 1 этап'!$P$7</f>
        <v>-10669.389134018022</v>
      </c>
      <c r="CD29" s="35">
        <f>-CD27*'операционные  расходы 1 этап'!$P$7</f>
        <v>-5812.2228051630409</v>
      </c>
      <c r="CE29" s="35">
        <f>-CE27*'операционные  расходы 1 этап'!$P$7</f>
        <v>-8542.1909780531678</v>
      </c>
      <c r="CF29" s="35">
        <f>-CF27*'операционные  расходы 1 этап'!$P$7</f>
        <v>-10326.953281376145</v>
      </c>
      <c r="CG29" s="35">
        <f>-CG27*'операционные  расходы 1 этап'!$P$7</f>
        <v>-5591.4018252847973</v>
      </c>
      <c r="CH29" s="35">
        <f>-CH27*'операционные  расходы 1 этап'!$P$7</f>
        <v>-7410.832931124899</v>
      </c>
      <c r="CI29" s="35">
        <f>-CI27*'операционные  расходы 1 этап'!$P$7</f>
        <v>-9282.273018859627</v>
      </c>
      <c r="CJ29" s="35">
        <f>-CJ27*'операционные  расходы 1 этап'!$P$7</f>
        <v>-11202.858590718921</v>
      </c>
      <c r="CK29" s="35">
        <f>-CK27*'операционные  расходы 1 этап'!$P$7</f>
        <v>-6102.8339454211937</v>
      </c>
      <c r="CL29" s="35">
        <f>-CL27*'операционные  расходы 1 этап'!$P$7</f>
        <v>-8969.3005269558271</v>
      </c>
      <c r="CM29" s="35">
        <f>-CM27*'операционные  расходы 1 этап'!$P$7</f>
        <v>-10843.300945444953</v>
      </c>
      <c r="CN29" s="35">
        <f>-CN27*'операционные  расходы 1 этап'!$P$7</f>
        <v>-5870.9719165490369</v>
      </c>
      <c r="CO29" s="5">
        <f>-CO27*'операционные  расходы 1 этап'!$P$7</f>
        <v>-7781.3745776811456</v>
      </c>
    </row>
    <row r="30" spans="1:93" ht="12.75" customHeight="1" outlineLevel="2">
      <c r="A30" s="35"/>
      <c r="B30" s="63" t="s">
        <v>131</v>
      </c>
      <c r="C30" s="74">
        <f t="shared" si="229"/>
        <v>-145707.90602676902</v>
      </c>
      <c r="D30" s="60"/>
      <c r="E30" s="35">
        <f>E29*Assump!$D$24</f>
        <v>0</v>
      </c>
      <c r="F30" s="35">
        <f>F29*Assump!$D$24</f>
        <v>0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>
        <f>V29*Assump!$D$24</f>
        <v>0</v>
      </c>
      <c r="W30" s="35">
        <f>W29*Assump!$D$24</f>
        <v>-1675.434401711645</v>
      </c>
      <c r="X30" s="35">
        <f>X29*Assump!$D$24</f>
        <v>-2023.9668860314166</v>
      </c>
      <c r="Y30" s="35">
        <f>Y29*Assump!$D$24</f>
        <v>-1099.6070208177978</v>
      </c>
      <c r="Z30" s="35">
        <f>Z29*Assump!$D$24</f>
        <v>-1391.5116094938248</v>
      </c>
      <c r="AA30" s="35">
        <f>AA29*Assump!$D$24</f>
        <v>-1746.0707097576387</v>
      </c>
      <c r="AB30" s="35">
        <f>AB29*Assump!$D$24</f>
        <v>-2110.8859181413391</v>
      </c>
      <c r="AC30" s="35">
        <f>AC29*Assump!$D$24</f>
        <v>-1142.9132149700829</v>
      </c>
      <c r="AD30" s="35">
        <f>AD29*Assump!$D$24</f>
        <v>-1514.8149168275361</v>
      </c>
      <c r="AE30" s="35">
        <f>AE29*Assump!$D$24</f>
        <v>-1897.3475399748356</v>
      </c>
      <c r="AF30" s="35">
        <f>AF29*Assump!$D$24</f>
        <v>-2289.9257697548164</v>
      </c>
      <c r="AG30" s="35">
        <f>AG29*Assump!$D$24</f>
        <v>-1247.4527467241403</v>
      </c>
      <c r="AH30" s="35">
        <f>AH29*Assump!$D$24</f>
        <v>-1833.3742452455208</v>
      </c>
      <c r="AI30" s="35">
        <f>AI29*Assump!$D$24</f>
        <v>-2216.4302140484056</v>
      </c>
      <c r="AJ30" s="35">
        <f>AJ29*Assump!$D$24</f>
        <v>-1200.0588757185869</v>
      </c>
      <c r="AK30" s="35">
        <f>AK29*Assump!$D$24</f>
        <v>-1590.5556626689126</v>
      </c>
      <c r="AL30" s="35">
        <f>AL29*Assump!$D$24</f>
        <v>-1992.2149169735769</v>
      </c>
      <c r="AM30" s="35">
        <f>AM29*Assump!$D$24</f>
        <v>-2404.4220582425578</v>
      </c>
      <c r="AN30" s="35">
        <f>AN29*Assump!$D$24</f>
        <v>-1309.8253840603475</v>
      </c>
      <c r="AO30" s="35">
        <f>AO29*Assump!$D$24</f>
        <v>-1925.0429575077972</v>
      </c>
      <c r="AP30" s="35">
        <f>AP29*Assump!$D$24</f>
        <v>-2327.2517247508263</v>
      </c>
      <c r="AQ30" s="35">
        <f>AQ29*Assump!$D$24</f>
        <v>-1260.0618195045165</v>
      </c>
      <c r="AR30" s="35">
        <f>AR29*Assump!$D$24</f>
        <v>-1670.083445802358</v>
      </c>
      <c r="AS30" s="35">
        <f>AS29*Assump!$D$24</f>
        <v>-2091.8256628222562</v>
      </c>
      <c r="AT30" s="35">
        <f>AT29*Assump!$D$24</f>
        <v>-2524.6431611546855</v>
      </c>
      <c r="AU30" s="35">
        <f>AU29*Assump!$D$24</f>
        <v>-1375.316653263365</v>
      </c>
      <c r="AV30" s="35">
        <f>AV29*Assump!$D$24</f>
        <v>-2021.2951053831869</v>
      </c>
      <c r="AW30" s="35">
        <f>AW29*Assump!$D$24</f>
        <v>-2443.6143109883678</v>
      </c>
      <c r="AX30" s="35">
        <f>AX29*Assump!$D$24</f>
        <v>-1323.0649104797426</v>
      </c>
      <c r="AY30" s="35">
        <f>AY29*Assump!$D$24</f>
        <v>-1753.5876180924765</v>
      </c>
      <c r="AZ30" s="35">
        <f>AZ29*Assump!$D$24</f>
        <v>-2196.416945963369</v>
      </c>
      <c r="BA30" s="35">
        <f>BA29*Assump!$D$24</f>
        <v>-2650.8753192124195</v>
      </c>
      <c r="BB30" s="35">
        <f>BB29*Assump!$D$24</f>
        <v>-1444.0824859265333</v>
      </c>
      <c r="BC30" s="35">
        <f>BC29*Assump!$D$24</f>
        <v>-2122.359860652346</v>
      </c>
      <c r="BD30" s="35">
        <f>BD29*Assump!$D$24</f>
        <v>-2565.7950265377863</v>
      </c>
      <c r="BE30" s="35">
        <f>BE29*Assump!$D$24</f>
        <v>-1389.2181560037295</v>
      </c>
      <c r="BF30" s="35">
        <f>BF29*Assump!$D$24</f>
        <v>-1841.2669989971002</v>
      </c>
      <c r="BG30" s="35">
        <f>BG29*Assump!$D$24</f>
        <v>-2306.2377932615377</v>
      </c>
      <c r="BH30" s="35">
        <f>BH29*Assump!$D$24</f>
        <v>-2783.4190851730409</v>
      </c>
      <c r="BI30" s="35">
        <f>BI29*Assump!$D$24</f>
        <v>-1516.2866102228597</v>
      </c>
      <c r="BJ30" s="35">
        <f>BJ29*Assump!$D$24</f>
        <v>-2228.477853684964</v>
      </c>
      <c r="BK30" s="35">
        <f>BK29*Assump!$D$24</f>
        <v>-2694.0847778646757</v>
      </c>
      <c r="BL30" s="35">
        <f>BL29*Assump!$D$24</f>
        <v>-1458.6790638039161</v>
      </c>
      <c r="BM30" s="35">
        <f>BM29*Assump!$D$24</f>
        <v>-1933.3303489469554</v>
      </c>
      <c r="BN30" s="35">
        <f>BN29*Assump!$D$24</f>
        <v>-2421.5496829246144</v>
      </c>
      <c r="BO30" s="35">
        <f>BO29*Assump!$D$24</f>
        <v>-2922.5900394316932</v>
      </c>
      <c r="BP30" s="35">
        <f>BP29*Assump!$D$24</f>
        <v>-1592.1009407340032</v>
      </c>
      <c r="BQ30" s="35">
        <f>BQ29*Assump!$D$24</f>
        <v>-2339.9017463692126</v>
      </c>
      <c r="BR30" s="35">
        <f>BR29*Assump!$D$24</f>
        <v>-2828.7890167579089</v>
      </c>
      <c r="BS30" s="35">
        <f>BS29*Assump!$D$24</f>
        <v>-1531.6130169941121</v>
      </c>
      <c r="BT30" s="35">
        <f>BT29*Assump!$D$24</f>
        <v>-2029.996866394303</v>
      </c>
      <c r="BU30" s="35">
        <f>BU29*Assump!$D$24</f>
        <v>-2542.6271670708456</v>
      </c>
      <c r="BV30" s="35">
        <f>BV29*Assump!$D$24</f>
        <v>-3068.7195414032781</v>
      </c>
      <c r="BW30" s="35">
        <f>BW29*Assump!$D$24</f>
        <v>-1671.7059877707034</v>
      </c>
      <c r="BX30" s="35">
        <f>BX29*Assump!$D$24</f>
        <v>-2456.8968336876733</v>
      </c>
      <c r="BY30" s="35">
        <f>BY29*Assump!$D$24</f>
        <v>-2970.2284675958053</v>
      </c>
      <c r="BZ30" s="35">
        <f>BZ29*Assump!$D$24</f>
        <v>-1608.1936678438174</v>
      </c>
      <c r="CA30" s="35">
        <f>CA29*Assump!$D$24</f>
        <v>-2131.4967097140184</v>
      </c>
      <c r="CB30" s="35">
        <f>CB29*Assump!$D$24</f>
        <v>-2669.7585254243882</v>
      </c>
      <c r="CC30" s="35">
        <f>CC29*Assump!$D$24</f>
        <v>-3222.1555184734425</v>
      </c>
      <c r="CD30" s="35">
        <f>CD29*Assump!$D$24</f>
        <v>-1755.2912871592382</v>
      </c>
      <c r="CE30" s="35">
        <f>CE29*Assump!$D$24</f>
        <v>-2579.7416753720568</v>
      </c>
      <c r="CF30" s="35">
        <f>CF29*Assump!$D$24</f>
        <v>-3118.7398909755957</v>
      </c>
      <c r="CG30" s="35">
        <f>CG29*Assump!$D$24</f>
        <v>-1688.6033512360086</v>
      </c>
      <c r="CH30" s="35">
        <f>CH29*Assump!$D$24</f>
        <v>-2238.0715451997194</v>
      </c>
      <c r="CI30" s="35">
        <f>CI29*Assump!$D$24</f>
        <v>-2803.2464516956074</v>
      </c>
      <c r="CJ30" s="35">
        <f>CJ29*Assump!$D$24</f>
        <v>-3383.2632943971139</v>
      </c>
      <c r="CK30" s="35">
        <f>CK29*Assump!$D$24</f>
        <v>-1843.0558515172004</v>
      </c>
      <c r="CL30" s="35">
        <f>CL29*Assump!$D$24</f>
        <v>-2708.7287591406598</v>
      </c>
      <c r="CM30" s="35">
        <f>CM29*Assump!$D$24</f>
        <v>-3274.6768855243758</v>
      </c>
      <c r="CN30" s="35">
        <f>CN29*Assump!$D$24</f>
        <v>-1773.0335187978092</v>
      </c>
      <c r="CO30" s="5">
        <f>CO29*Assump!$D$24</f>
        <v>-2349.9751224597057</v>
      </c>
    </row>
    <row r="31" spans="1:93" ht="12.75" customHeight="1" outlineLevel="2">
      <c r="A31" s="35"/>
      <c r="B31" s="63" t="s">
        <v>132</v>
      </c>
      <c r="C31" s="74">
        <f t="shared" si="229"/>
        <v>-249942.46760057649</v>
      </c>
      <c r="D31" s="60"/>
      <c r="E31" s="35">
        <f>-IF(E15&gt;60%,#REF!*3/1000,0)</f>
        <v>0</v>
      </c>
      <c r="F31" s="35">
        <f>-IF(F15&gt;60%,#REF!*3/1000,0)</f>
        <v>0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>
        <f>-IF(V15&gt;60%,#REF!*3/1000,0)</f>
        <v>0</v>
      </c>
      <c r="W31" s="35">
        <f>-IF(W15&gt;60%,'ФОТ 1 этап'!$G$330*3/1000*0.05,0)</f>
        <v>-3570.6066800082403</v>
      </c>
      <c r="X31" s="35">
        <f>-IF(X15&gt;60%,'ФОТ 1 этап'!$G$330*3/1000*0.05,0)</f>
        <v>-3570.6066800082403</v>
      </c>
      <c r="Y31" s="35">
        <f>-IF(Y15&gt;60%,'ФОТ 1 этап'!$G$330*3/1000*0.05,0)</f>
        <v>-3570.6066800082403</v>
      </c>
      <c r="Z31" s="35">
        <f>-IF(Z15&gt;60%,'ФОТ 1 этап'!$G$330*3/1000*0.05,0)</f>
        <v>-3570.6066800082403</v>
      </c>
      <c r="AA31" s="35">
        <f>-IF(AA15&gt;60%,'ФОТ 1 этап'!$G$330*3/1000*0.05,0)</f>
        <v>-3570.6066800082403</v>
      </c>
      <c r="AB31" s="35">
        <f>-IF(AB15&gt;60%,'ФОТ 1 этап'!$G$330*3/1000*0.05,0)</f>
        <v>-3570.6066800082403</v>
      </c>
      <c r="AC31" s="35">
        <f>-IF(AC15&gt;60%,'ФОТ 1 этап'!$G$330*3/1000*0.05,0)</f>
        <v>-3570.6066800082403</v>
      </c>
      <c r="AD31" s="35">
        <f>-IF(AD15&gt;60%,'ФОТ 1 этап'!$G$330*3/1000*0.05,0)</f>
        <v>-3570.6066800082403</v>
      </c>
      <c r="AE31" s="35">
        <f>-IF(AE15&gt;60%,'ФОТ 1 этап'!$G$330*3/1000*0.05,0)</f>
        <v>-3570.6066800082403</v>
      </c>
      <c r="AF31" s="35">
        <f>-IF(AF15&gt;60%,'ФОТ 1 этап'!$G$330*3/1000*0.05,0)</f>
        <v>-3570.6066800082403</v>
      </c>
      <c r="AG31" s="35">
        <f>-IF(AG15&gt;60%,'ФОТ 1 этап'!$G$330*3/1000*0.05,0)</f>
        <v>-3570.6066800082403</v>
      </c>
      <c r="AH31" s="35">
        <f>-IF(AH15&gt;60%,'ФОТ 1 этап'!$G$330*3/1000*0.05,0)</f>
        <v>-3570.6066800082403</v>
      </c>
      <c r="AI31" s="35">
        <f>-IF(AI15&gt;60%,'ФОТ 1 этап'!$G$330*3/1000*0.05,0)</f>
        <v>-3570.6066800082403</v>
      </c>
      <c r="AJ31" s="35">
        <f>-IF(AJ15&gt;60%,'ФОТ 1 этап'!$G$330*3/1000*0.05,0)</f>
        <v>-3570.6066800082403</v>
      </c>
      <c r="AK31" s="35">
        <f>-IF(AK15&gt;60%,'ФОТ 1 этап'!$G$330*3/1000*0.05,0)</f>
        <v>-3570.6066800082403</v>
      </c>
      <c r="AL31" s="35">
        <f>-IF(AL15&gt;60%,'ФОТ 1 этап'!$G$330*3/1000*0.05,0)</f>
        <v>-3570.6066800082403</v>
      </c>
      <c r="AM31" s="35">
        <f>-IF(AM15&gt;60%,'ФОТ 1 этап'!$G$330*3/1000*0.05,0)</f>
        <v>-3570.6066800082403</v>
      </c>
      <c r="AN31" s="35">
        <f>-IF(AN15&gt;60%,'ФОТ 1 этап'!$G$330*3/1000*0.05,0)</f>
        <v>-3570.6066800082403</v>
      </c>
      <c r="AO31" s="35">
        <f>-IF(AO15&gt;60%,'ФОТ 1 этап'!$G$330*3/1000*0.05,0)</f>
        <v>-3570.6066800082403</v>
      </c>
      <c r="AP31" s="35">
        <f>-IF(AP15&gt;60%,'ФОТ 1 этап'!$G$330*3/1000*0.05,0)</f>
        <v>-3570.6066800082403</v>
      </c>
      <c r="AQ31" s="35">
        <f>-IF(AQ15&gt;60%,'ФОТ 1 этап'!$G$330*3/1000*0.05,0)</f>
        <v>-3570.6066800082403</v>
      </c>
      <c r="AR31" s="35">
        <f>-IF(AR15&gt;60%,'ФОТ 1 этап'!$G$330*3/1000*0.05,0)</f>
        <v>-3570.6066800082403</v>
      </c>
      <c r="AS31" s="35">
        <f>-IF(AS15&gt;60%,'ФОТ 1 этап'!$G$330*3/1000*0.05,0)</f>
        <v>-3570.6066800082403</v>
      </c>
      <c r="AT31" s="35">
        <f>-IF(AT15&gt;60%,'ФОТ 1 этап'!$G$330*3/1000*0.05,0)</f>
        <v>-3570.6066800082403</v>
      </c>
      <c r="AU31" s="35">
        <f>-IF(AU15&gt;60%,'ФОТ 1 этап'!$G$330*3/1000*0.05,0)</f>
        <v>-3570.6066800082403</v>
      </c>
      <c r="AV31" s="35">
        <f>-IF(AV15&gt;60%,'ФОТ 1 этап'!$G$330*3/1000*0.05,0)</f>
        <v>-3570.6066800082403</v>
      </c>
      <c r="AW31" s="35">
        <f>-IF(AW15&gt;60%,'ФОТ 1 этап'!$G$330*3/1000*0.05,0)</f>
        <v>-3570.6066800082403</v>
      </c>
      <c r="AX31" s="35">
        <f>-IF(AX15&gt;60%,'ФОТ 1 этап'!$G$330*3/1000*0.05,0)</f>
        <v>-3570.6066800082403</v>
      </c>
      <c r="AY31" s="35">
        <f>-IF(AY15&gt;60%,'ФОТ 1 этап'!$G$330*3/1000*0.05,0)</f>
        <v>-3570.6066800082403</v>
      </c>
      <c r="AZ31" s="35">
        <f>-IF(AZ15&gt;60%,'ФОТ 1 этап'!$G$330*3/1000*0.05,0)</f>
        <v>-3570.6066800082403</v>
      </c>
      <c r="BA31" s="35">
        <f>-IF(BA15&gt;60%,'ФОТ 1 этап'!$G$330*3/1000*0.05,0)</f>
        <v>-3570.6066800082403</v>
      </c>
      <c r="BB31" s="35">
        <f>-IF(BB15&gt;60%,'ФОТ 1 этап'!$G$330*3/1000*0.05,0)</f>
        <v>-3570.6066800082403</v>
      </c>
      <c r="BC31" s="35">
        <f>-IF(BC15&gt;60%,'ФОТ 1 этап'!$G$330*3/1000*0.05,0)</f>
        <v>-3570.6066800082403</v>
      </c>
      <c r="BD31" s="35">
        <f>-IF(BD15&gt;60%,'ФОТ 1 этап'!$G$330*3/1000*0.05,0)</f>
        <v>-3570.6066800082403</v>
      </c>
      <c r="BE31" s="35">
        <f>-IF(BE15&gt;60%,'ФОТ 1 этап'!$G$330*3/1000*0.05,0)</f>
        <v>-3570.6066800082403</v>
      </c>
      <c r="BF31" s="35">
        <f>-IF(BF15&gt;60%,'ФОТ 1 этап'!$G$330*3/1000*0.05,0)</f>
        <v>-3570.6066800082403</v>
      </c>
      <c r="BG31" s="35">
        <f>-IF(BG15&gt;60%,'ФОТ 1 этап'!$G$330*3/1000*0.05,0)</f>
        <v>-3570.6066800082403</v>
      </c>
      <c r="BH31" s="35">
        <f>-IF(BH15&gt;60%,'ФОТ 1 этап'!$G$330*3/1000*0.05,0)</f>
        <v>-3570.6066800082403</v>
      </c>
      <c r="BI31" s="35">
        <f>-IF(BI15&gt;60%,'ФОТ 1 этап'!$G$330*3/1000*0.05,0)</f>
        <v>-3570.6066800082403</v>
      </c>
      <c r="BJ31" s="35">
        <f>-IF(BJ15&gt;60%,'ФОТ 1 этап'!$G$330*3/1000*0.05,0)</f>
        <v>-3570.6066800082403</v>
      </c>
      <c r="BK31" s="35">
        <f>-IF(BK15&gt;60%,'ФОТ 1 этап'!$G$330*3/1000*0.05,0)</f>
        <v>-3570.6066800082403</v>
      </c>
      <c r="BL31" s="35">
        <f>-IF(BL15&gt;60%,'ФОТ 1 этап'!$G$330*3/1000*0.05,0)</f>
        <v>-3570.6066800082403</v>
      </c>
      <c r="BM31" s="35">
        <f>-IF(BM15&gt;60%,'ФОТ 1 этап'!$G$330*3/1000*0.05,0)</f>
        <v>-3570.6066800082403</v>
      </c>
      <c r="BN31" s="35">
        <f>-IF(BN15&gt;60%,'ФОТ 1 этап'!$G$330*3/1000*0.05,0)</f>
        <v>-3570.6066800082403</v>
      </c>
      <c r="BO31" s="35">
        <f>-IF(BO15&gt;60%,'ФОТ 1 этап'!$G$330*3/1000*0.05,0)</f>
        <v>-3570.6066800082403</v>
      </c>
      <c r="BP31" s="35">
        <f>-IF(BP15&gt;60%,'ФОТ 1 этап'!$G$330*3/1000*0.05,0)</f>
        <v>-3570.6066800082403</v>
      </c>
      <c r="BQ31" s="35">
        <f>-IF(BQ15&gt;60%,'ФОТ 1 этап'!$G$330*3/1000*0.05,0)</f>
        <v>-3570.6066800082403</v>
      </c>
      <c r="BR31" s="35">
        <f>-IF(BR15&gt;60%,'ФОТ 1 этап'!$G$330*3/1000*0.05,0)</f>
        <v>-3570.6066800082403</v>
      </c>
      <c r="BS31" s="35">
        <f>-IF(BS15&gt;60%,'ФОТ 1 этап'!$G$330*3/1000*0.05,0)</f>
        <v>-3570.6066800082403</v>
      </c>
      <c r="BT31" s="35">
        <f>-IF(BT15&gt;60%,'ФОТ 1 этап'!$G$330*3/1000*0.05,0)</f>
        <v>-3570.6066800082403</v>
      </c>
      <c r="BU31" s="35">
        <f>-IF(BU15&gt;60%,'ФОТ 1 этап'!$G$330*3/1000*0.05,0)</f>
        <v>-3570.6066800082403</v>
      </c>
      <c r="BV31" s="35">
        <f>-IF(BV15&gt;60%,'ФОТ 1 этап'!$G$330*3/1000*0.05,0)</f>
        <v>-3570.6066800082403</v>
      </c>
      <c r="BW31" s="35">
        <f>-IF(BW15&gt;60%,'ФОТ 1 этап'!$G$330*3/1000*0.05,0)</f>
        <v>-3570.6066800082403</v>
      </c>
      <c r="BX31" s="35">
        <f>-IF(BX15&gt;60%,'ФОТ 1 этап'!$G$330*3/1000*0.05,0)</f>
        <v>-3570.6066800082403</v>
      </c>
      <c r="BY31" s="35">
        <f>-IF(BY15&gt;60%,'ФОТ 1 этап'!$G$330*3/1000*0.05,0)</f>
        <v>-3570.6066800082403</v>
      </c>
      <c r="BZ31" s="35">
        <f>-IF(BZ15&gt;60%,'ФОТ 1 этап'!$G$330*3/1000*0.05,0)</f>
        <v>-3570.6066800082403</v>
      </c>
      <c r="CA31" s="35">
        <f>-IF(CA15&gt;60%,'ФОТ 1 этап'!$G$330*3/1000*0.05,0)</f>
        <v>-3570.6066800082403</v>
      </c>
      <c r="CB31" s="35">
        <f>-IF(CB15&gt;60%,'ФОТ 1 этап'!$G$330*3/1000*0.05,0)</f>
        <v>-3570.6066800082403</v>
      </c>
      <c r="CC31" s="35">
        <f>-IF(CC15&gt;60%,'ФОТ 1 этап'!$G$330*3/1000*0.05,0)</f>
        <v>-3570.6066800082403</v>
      </c>
      <c r="CD31" s="35">
        <f>-IF(CD15&gt;60%,'ФОТ 1 этап'!$G$330*3/1000*0.05,0)</f>
        <v>-3570.6066800082403</v>
      </c>
      <c r="CE31" s="35">
        <f>-IF(CE15&gt;60%,'ФОТ 1 этап'!$G$330*3/1000*0.05,0)</f>
        <v>-3570.6066800082403</v>
      </c>
      <c r="CF31" s="35">
        <f>-IF(CF15&gt;60%,'ФОТ 1 этап'!$G$330*3/1000*0.05,0)</f>
        <v>-3570.6066800082403</v>
      </c>
      <c r="CG31" s="35">
        <f>-IF(CG15&gt;60%,'ФОТ 1 этап'!$G$330*3/1000*0.05,0)</f>
        <v>-3570.6066800082403</v>
      </c>
      <c r="CH31" s="35">
        <f>-IF(CH15&gt;60%,'ФОТ 1 этап'!$G$330*3/1000*0.05,0)</f>
        <v>-3570.6066800082403</v>
      </c>
      <c r="CI31" s="35">
        <f>-IF(CI15&gt;60%,'ФОТ 1 этап'!$G$330*3/1000*0.05,0)</f>
        <v>-3570.6066800082403</v>
      </c>
      <c r="CJ31" s="35">
        <f>-IF(CJ15&gt;60%,'ФОТ 1 этап'!$G$330*3/1000*0.05,0)</f>
        <v>-3570.6066800082403</v>
      </c>
      <c r="CK31" s="35">
        <f>-IF(CK15&gt;60%,'ФОТ 1 этап'!$G$330*3/1000*0.05,0)</f>
        <v>-3570.6066800082403</v>
      </c>
      <c r="CL31" s="35">
        <f>-IF(CL15&gt;60%,'ФОТ 1 этап'!$G$330*3/1000*0.05,0)</f>
        <v>-3570.6066800082403</v>
      </c>
      <c r="CM31" s="35">
        <f>-IF(CM15&gt;60%,'ФОТ 1 этап'!$G$330*3/1000*0.05,0)</f>
        <v>-3570.6066800082403</v>
      </c>
      <c r="CN31" s="35">
        <f>-IF(CN15&gt;60%,'ФОТ 1 этап'!$G$330*3/1000*0.05,0)</f>
        <v>-3570.6066800082403</v>
      </c>
      <c r="CO31" s="35">
        <f>-IF(CO15&gt;60%,'ФОТ 1 этап'!$G$330*3/1000*0.05,0)</f>
        <v>-3570.6066800082403</v>
      </c>
    </row>
    <row r="32" spans="1:93" ht="12.75" customHeight="1" outlineLevel="2">
      <c r="A32" s="35"/>
      <c r="B32" s="63" t="s">
        <v>133</v>
      </c>
      <c r="C32" s="74">
        <f t="shared" si="229"/>
        <v>-1138721.0574330864</v>
      </c>
      <c r="D32" s="60"/>
      <c r="E32" s="35">
        <f>-E22*'операционные  расходы 1 этап'!$R$11</f>
        <v>0</v>
      </c>
      <c r="F32" s="35">
        <f>-F22*'операционные  расходы 1 этап'!$R$11</f>
        <v>0</v>
      </c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>
        <f>-V22*'операционные  расходы 1 этап'!$R$11</f>
        <v>0</v>
      </c>
      <c r="W32" s="35">
        <f>-W22*'операционные  расходы 1 этап'!$R$11</f>
        <v>-13059.011735280003</v>
      </c>
      <c r="X32" s="35">
        <f>-X22*'операционные  расходы 1 этап'!$R$11</f>
        <v>-15190.53555432</v>
      </c>
      <c r="Y32" s="35">
        <f>-Y22*'операционные  расходы 1 этап'!$R$11</f>
        <v>-9746.8606788000016</v>
      </c>
      <c r="Z32" s="35">
        <f>-Z22*'операционные  расходы 1 этап'!$R$11</f>
        <v>-10892.121355080002</v>
      </c>
      <c r="AA32" s="35">
        <f>-AA22*'операционные  расходы 1 этап'!$R$11</f>
        <v>-13711.962322044003</v>
      </c>
      <c r="AB32" s="35">
        <f>-AB22*'операционные  расходы 1 этап'!$R$11</f>
        <v>-15950.062332036003</v>
      </c>
      <c r="AC32" s="35">
        <f>-AC22*'операционные  расходы 1 этап'!$R$11</f>
        <v>-10234.20371274</v>
      </c>
      <c r="AD32" s="35">
        <f>-AD22*'операционные  расходы 1 этап'!$R$11</f>
        <v>-11436.727422834001</v>
      </c>
      <c r="AE32" s="35">
        <f>-AE22*'операционные  расходы 1 этап'!$R$11</f>
        <v>-14397.560438146202</v>
      </c>
      <c r="AF32" s="35">
        <f>-AF22*'операционные  расходы 1 этап'!$R$11</f>
        <v>-16747.565448637797</v>
      </c>
      <c r="AG32" s="35">
        <f>-AG22*'операционные  расходы 1 этап'!$R$11</f>
        <v>-10745.913898377001</v>
      </c>
      <c r="AH32" s="35">
        <f>-AH22*'операционные  расходы 1 этап'!$R$11</f>
        <v>-14397.560438146204</v>
      </c>
      <c r="AI32" s="35">
        <f>-AI22*'операционные  расходы 1 этап'!$R$11</f>
        <v>-16747.565448637801</v>
      </c>
      <c r="AJ32" s="35">
        <f>-AJ22*'операционные  расходы 1 этап'!$R$11</f>
        <v>-10745.913898377001</v>
      </c>
      <c r="AK32" s="35">
        <f>-AK22*'операционные  расходы 1 этап'!$R$11</f>
        <v>-12008.5637939757</v>
      </c>
      <c r="AL32" s="35">
        <f>-AL22*'операционные  расходы 1 этап'!$R$11</f>
        <v>-15117.438460053512</v>
      </c>
      <c r="AM32" s="35">
        <f>-AM22*'операционные  расходы 1 этап'!$R$11</f>
        <v>-17584.943721069689</v>
      </c>
      <c r="AN32" s="35">
        <f>-AN22*'операционные  расходы 1 этап'!$R$11</f>
        <v>-11283.209593295851</v>
      </c>
      <c r="AO32" s="35">
        <f>-AO22*'операционные  расходы 1 этап'!$R$11</f>
        <v>-15117.438460053516</v>
      </c>
      <c r="AP32" s="35">
        <f>-AP22*'операционные  расходы 1 этап'!$R$11</f>
        <v>-17584.943721069692</v>
      </c>
      <c r="AQ32" s="35">
        <f>-AQ22*'операционные  расходы 1 этап'!$R$11</f>
        <v>-11283.209593295851</v>
      </c>
      <c r="AR32" s="35">
        <f>-AR22*'операционные  расходы 1 этап'!$R$11</f>
        <v>-12608.991983674487</v>
      </c>
      <c r="AS32" s="35">
        <f>-AS22*'операционные  расходы 1 этап'!$R$11</f>
        <v>-15873.31038305619</v>
      </c>
      <c r="AT32" s="35">
        <f>-AT22*'операционные  расходы 1 этап'!$R$11</f>
        <v>-18464.190907123171</v>
      </c>
      <c r="AU32" s="35">
        <f>-AU22*'операционные  расходы 1 этап'!$R$11</f>
        <v>-11847.370072960644</v>
      </c>
      <c r="AV32" s="35">
        <f>-AV22*'операционные  расходы 1 этап'!$R$11</f>
        <v>-15873.310383056192</v>
      </c>
      <c r="AW32" s="35">
        <f>-AW22*'операционные  расходы 1 этап'!$R$11</f>
        <v>-18464.190907123178</v>
      </c>
      <c r="AX32" s="35">
        <f>-AX22*'операционные  расходы 1 этап'!$R$11</f>
        <v>-11847.370072960644</v>
      </c>
      <c r="AY32" s="35">
        <f>-AY22*'операционные  расходы 1 этап'!$R$11</f>
        <v>-13239.441582858211</v>
      </c>
      <c r="AZ32" s="35">
        <f>-AZ22*'операционные  расходы 1 этап'!$R$11</f>
        <v>-16666.975902209</v>
      </c>
      <c r="BA32" s="35">
        <f>-BA22*'операционные  расходы 1 этап'!$R$11</f>
        <v>-19387.400452479334</v>
      </c>
      <c r="BB32" s="35">
        <f>-BB22*'операционные  расходы 1 этап'!$R$11</f>
        <v>-12439.738576608677</v>
      </c>
      <c r="BC32" s="35">
        <f>-BC22*'операционные  расходы 1 этап'!$R$11</f>
        <v>-16666.975902209004</v>
      </c>
      <c r="BD32" s="35">
        <f>-BD22*'операционные  расходы 1 этап'!$R$11</f>
        <v>-19387.400452479338</v>
      </c>
      <c r="BE32" s="35">
        <f>-BE22*'операционные  расходы 1 этап'!$R$11</f>
        <v>-12439.738576608677</v>
      </c>
      <c r="BF32" s="35">
        <f>-BF22*'операционные  расходы 1 этап'!$R$11</f>
        <v>-13901.413662001123</v>
      </c>
      <c r="BG32" s="35">
        <f>-BG22*'операционные  расходы 1 этап'!$R$11</f>
        <v>-17500.324697319451</v>
      </c>
      <c r="BH32" s="35">
        <f>-BH22*'операционные  расходы 1 этап'!$R$11</f>
        <v>-20356.770475103302</v>
      </c>
      <c r="BI32" s="35">
        <f>-BI22*'операционные  расходы 1 этап'!$R$11</f>
        <v>-13061.725505439112</v>
      </c>
      <c r="BJ32" s="35">
        <f>-BJ22*'операционные  расходы 1 этап'!$R$11</f>
        <v>-17500.324697319455</v>
      </c>
      <c r="BK32" s="35">
        <f>-BK22*'операционные  расходы 1 этап'!$R$11</f>
        <v>-20356.770475103305</v>
      </c>
      <c r="BL32" s="35">
        <f>-BL22*'операционные  расходы 1 этап'!$R$11</f>
        <v>-13061.725505439112</v>
      </c>
      <c r="BM32" s="35">
        <f>-BM22*'операционные  расходы 1 этап'!$R$11</f>
        <v>-14596.48434510118</v>
      </c>
      <c r="BN32" s="35">
        <f>-BN22*'операционные  расходы 1 этап'!$R$11</f>
        <v>-18375.340932185423</v>
      </c>
      <c r="BO32" s="35">
        <f>-BO22*'операционные  расходы 1 этап'!$R$11</f>
        <v>-21374.608998858464</v>
      </c>
      <c r="BP32" s="35">
        <f>-BP22*'операционные  расходы 1 этап'!$R$11</f>
        <v>-13714.811780711067</v>
      </c>
      <c r="BQ32" s="35">
        <f>-BQ22*'операционные  расходы 1 этап'!$R$11</f>
        <v>-18375.340932185427</v>
      </c>
      <c r="BR32" s="35">
        <f>-BR22*'операционные  расходы 1 этап'!$R$11</f>
        <v>-21374.608998858468</v>
      </c>
      <c r="BS32" s="35">
        <f>-BS22*'операционные  расходы 1 этап'!$R$11</f>
        <v>-13714.811780711067</v>
      </c>
      <c r="BT32" s="35">
        <f>-BT22*'операционные  расходы 1 этап'!$R$11</f>
        <v>-15326.30856235624</v>
      </c>
      <c r="BU32" s="35">
        <f>-BU22*'операционные  расходы 1 этап'!$R$11</f>
        <v>-19294.107978794698</v>
      </c>
      <c r="BV32" s="35">
        <f>-BV22*'операционные  расходы 1 этап'!$R$11</f>
        <v>-22443.339448801387</v>
      </c>
      <c r="BW32" s="35">
        <f>-BW22*'операционные  расходы 1 этап'!$R$11</f>
        <v>-14400.552369746621</v>
      </c>
      <c r="BX32" s="35">
        <f>-BX22*'операционные  расходы 1 этап'!$R$11</f>
        <v>-19294.107978794702</v>
      </c>
      <c r="BY32" s="35">
        <f>-BY22*'операционные  расходы 1 этап'!$R$11</f>
        <v>-22443.339448801391</v>
      </c>
      <c r="BZ32" s="35">
        <f>-BZ22*'операционные  расходы 1 этап'!$R$11</f>
        <v>-14400.552369746621</v>
      </c>
      <c r="CA32" s="35">
        <f>-CA22*'операционные  расходы 1 этап'!$R$11</f>
        <v>-16092.623990474052</v>
      </c>
      <c r="CB32" s="35">
        <f>-CB22*'операционные  расходы 1 этап'!$R$11</f>
        <v>-20258.813377734434</v>
      </c>
      <c r="CC32" s="35">
        <f>-CC22*'операционные  расходы 1 этап'!$R$11</f>
        <v>-23565.506421241458</v>
      </c>
      <c r="CD32" s="35">
        <f>-CD22*'операционные  расходы 1 этап'!$R$11</f>
        <v>-15120.579988233954</v>
      </c>
      <c r="CE32" s="35">
        <f>-CE22*'операционные  расходы 1 этап'!$R$11</f>
        <v>-20258.813377734437</v>
      </c>
      <c r="CF32" s="35">
        <f>-CF22*'операционные  расходы 1 этап'!$R$11</f>
        <v>-23565.506421241462</v>
      </c>
      <c r="CG32" s="35">
        <f>-CG22*'операционные  расходы 1 этап'!$R$11</f>
        <v>-15120.579988233954</v>
      </c>
      <c r="CH32" s="35">
        <f>-CH22*'операционные  расходы 1 этап'!$R$11</f>
        <v>-16897.255189997755</v>
      </c>
      <c r="CI32" s="35">
        <f>-CI22*'операционные  расходы 1 этап'!$R$11</f>
        <v>-21271.754046621158</v>
      </c>
      <c r="CJ32" s="35">
        <f>-CJ22*'операционные  расходы 1 этап'!$R$11</f>
        <v>-24743.78174230353</v>
      </c>
      <c r="CK32" s="35">
        <f>-CK22*'операционные  расходы 1 этап'!$R$11</f>
        <v>-15876.608987645654</v>
      </c>
      <c r="CL32" s="35">
        <f>-CL22*'операционные  расходы 1 этап'!$R$11</f>
        <v>-21271.754046621161</v>
      </c>
      <c r="CM32" s="35">
        <f>-CM22*'операционные  расходы 1 этап'!$R$11</f>
        <v>-24743.781742303534</v>
      </c>
      <c r="CN32" s="35">
        <f>-CN22*'операционные  расходы 1 этап'!$R$11</f>
        <v>-15876.608987645654</v>
      </c>
      <c r="CO32" s="5">
        <f>-CO22*'операционные  расходы 1 этап'!$R$11</f>
        <v>-17742.117949497646</v>
      </c>
    </row>
    <row r="33" spans="1:93" ht="12.75" customHeight="1" outlineLevel="2">
      <c r="A33" s="35"/>
      <c r="B33" s="63" t="s">
        <v>134</v>
      </c>
      <c r="C33" s="74">
        <f t="shared" si="229"/>
        <v>-658252.00493245199</v>
      </c>
      <c r="D33" s="60"/>
      <c r="E33" s="35">
        <f>-E20*'операционные  расходы 1 этап'!$S$12</f>
        <v>0</v>
      </c>
      <c r="F33" s="35">
        <f>-F20*'операционные  расходы 1 этап'!$S$12</f>
        <v>0</v>
      </c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>
        <f>-V20*'операционные  расходы 1 этап'!$S$12</f>
        <v>0</v>
      </c>
      <c r="W33" s="35">
        <f>-W20*'операционные  расходы 1 этап'!$S$12</f>
        <v>-7259.0364000000009</v>
      </c>
      <c r="X33" s="35">
        <f>-X20*'операционные  расходы 1 этап'!$S$12</f>
        <v>-7859.7842400000009</v>
      </c>
      <c r="Y33" s="35">
        <f>-Y20*'операционные  расходы 1 этап'!$S$12</f>
        <v>-5807.22912</v>
      </c>
      <c r="Z33" s="35">
        <f>-Z20*'операционные  расходы 1 этап'!$S$12</f>
        <v>-6506.4328559999994</v>
      </c>
      <c r="AA33" s="35">
        <f>-AA20*'операционные  расходы 1 этап'!$S$12</f>
        <v>-7621.9882199999993</v>
      </c>
      <c r="AB33" s="35">
        <f>-AB20*'операционные  расходы 1 этап'!$S$12</f>
        <v>-8252.7734519999976</v>
      </c>
      <c r="AC33" s="35">
        <f>-AC20*'операционные  расходы 1 этап'!$S$12</f>
        <v>-6097.5905759999996</v>
      </c>
      <c r="AD33" s="35">
        <f>-AD20*'операционные  расходы 1 этап'!$S$12</f>
        <v>-7344.1360862100009</v>
      </c>
      <c r="AE33" s="35">
        <f>-AE20*'операционные  расходы 1 этап'!$S$12</f>
        <v>-8603.3192033249998</v>
      </c>
      <c r="AF33" s="35">
        <f>-AF20*'операционные  расходы 1 этап'!$S$12</f>
        <v>-9315.3180339450009</v>
      </c>
      <c r="AG33" s="35">
        <f>-AG20*'операционные  расходы 1 этап'!$S$12</f>
        <v>-6882.6553626599998</v>
      </c>
      <c r="AH33" s="35">
        <f>-AH20*'операционные  расходы 1 этап'!$S$12</f>
        <v>-8003.0876309999994</v>
      </c>
      <c r="AI33" s="35">
        <f>-AI20*'операционные  расходы 1 этап'!$S$12</f>
        <v>-8665.4121245999977</v>
      </c>
      <c r="AJ33" s="35">
        <f>-AJ20*'операционные  расходы 1 этап'!$S$12</f>
        <v>-6402.4701047999997</v>
      </c>
      <c r="AK33" s="35">
        <f>-AK20*'операционные  расходы 1 этап'!$S$12</f>
        <v>-7711.3428905205019</v>
      </c>
      <c r="AL33" s="35">
        <f>-AL20*'операционные  расходы 1 этап'!$S$12</f>
        <v>-9033.4851634912502</v>
      </c>
      <c r="AM33" s="35">
        <f>-AM20*'операционные  расходы 1 этап'!$S$12</f>
        <v>-9781.0839356422512</v>
      </c>
      <c r="AN33" s="35">
        <f>-AN20*'операционные  расходы 1 этап'!$S$12</f>
        <v>-7226.7881307930002</v>
      </c>
      <c r="AO33" s="35">
        <f>-AO20*'операционные  расходы 1 этап'!$S$12</f>
        <v>-8403.2420125499993</v>
      </c>
      <c r="AP33" s="35">
        <f>-AP20*'операционные  расходы 1 этап'!$S$12</f>
        <v>-9098.6827308299999</v>
      </c>
      <c r="AQ33" s="35">
        <f>-AQ20*'операционные  расходы 1 этап'!$S$12</f>
        <v>-6722.5936100400004</v>
      </c>
      <c r="AR33" s="35">
        <f>-AR20*'операционные  расходы 1 этап'!$S$12</f>
        <v>-8096.9100350465278</v>
      </c>
      <c r="AS33" s="35">
        <f>-AS20*'операционные  расходы 1 этап'!$S$12</f>
        <v>-9485.1594216658141</v>
      </c>
      <c r="AT33" s="35">
        <f>-AT20*'операционные  расходы 1 этап'!$S$12</f>
        <v>-10270.138132424363</v>
      </c>
      <c r="AU33" s="35">
        <f>-AU20*'операционные  расходы 1 этап'!$S$12</f>
        <v>-7588.1275373326507</v>
      </c>
      <c r="AV33" s="35">
        <f>-AV20*'операционные  расходы 1 этап'!$S$12</f>
        <v>-8823.4041131774993</v>
      </c>
      <c r="AW33" s="35">
        <f>-AW20*'операционные  расходы 1 этап'!$S$12</f>
        <v>-9553.6168673715001</v>
      </c>
      <c r="AX33" s="35">
        <f>-AX20*'операционные  расходы 1 этап'!$S$12</f>
        <v>-7058.7232905420015</v>
      </c>
      <c r="AY33" s="35">
        <f>-AY20*'операционные  расходы 1 этап'!$S$12</f>
        <v>-8501.7555367988534</v>
      </c>
      <c r="AZ33" s="35">
        <f>-AZ20*'операционные  расходы 1 этап'!$S$12</f>
        <v>-9959.4173927491047</v>
      </c>
      <c r="BA33" s="35">
        <f>-BA20*'операционные  расходы 1 этап'!$S$12</f>
        <v>-10783.645039045583</v>
      </c>
      <c r="BB33" s="35">
        <f>-BB20*'операционные  расходы 1 этап'!$S$12</f>
        <v>-7967.5339141992827</v>
      </c>
      <c r="BC33" s="35">
        <f>-BC20*'операционные  расходы 1 этап'!$S$12</f>
        <v>-9264.5743188363758</v>
      </c>
      <c r="BD33" s="35">
        <f>-BD20*'операционные  расходы 1 этап'!$S$12</f>
        <v>-10031.297710740075</v>
      </c>
      <c r="BE33" s="35">
        <f>-BE20*'операционные  расходы 1 этап'!$S$12</f>
        <v>-7411.6594550691016</v>
      </c>
      <c r="BF33" s="35">
        <f>-BF20*'операционные  расходы 1 этап'!$S$12</f>
        <v>-8926.8433136387976</v>
      </c>
      <c r="BG33" s="35">
        <f>-BG20*'операционные  расходы 1 этап'!$S$12</f>
        <v>-10457.388262386561</v>
      </c>
      <c r="BH33" s="35">
        <f>-BH20*'операционные  расходы 1 этап'!$S$12</f>
        <v>-11322.827290997862</v>
      </c>
      <c r="BI33" s="35">
        <f>-BI20*'операционные  расходы 1 этап'!$S$12</f>
        <v>-8365.9106099092478</v>
      </c>
      <c r="BJ33" s="35">
        <f>-BJ20*'операционные  расходы 1 этап'!$S$12</f>
        <v>-9727.8030347781951</v>
      </c>
      <c r="BK33" s="35">
        <f>-BK20*'операционные  расходы 1 этап'!$S$12</f>
        <v>-10532.86259627708</v>
      </c>
      <c r="BL33" s="35">
        <f>-BL20*'операционные  расходы 1 этап'!$S$12</f>
        <v>-7782.2424278225571</v>
      </c>
      <c r="BM33" s="35">
        <f>-BM20*'операционные  расходы 1 этап'!$S$12</f>
        <v>-9373.1854793207367</v>
      </c>
      <c r="BN33" s="35">
        <f>-BN20*'операционные  расходы 1 этап'!$S$12</f>
        <v>-10980.257675505889</v>
      </c>
      <c r="BO33" s="35">
        <f>-BO20*'операционные  расходы 1 этап'!$S$12</f>
        <v>-11888.968655547756</v>
      </c>
      <c r="BP33" s="35">
        <f>-BP20*'операционные  расходы 1 этап'!$S$12</f>
        <v>-8784.2061404047108</v>
      </c>
      <c r="BQ33" s="35">
        <f>-BQ20*'операционные  расходы 1 этап'!$S$12</f>
        <v>-10214.193186517105</v>
      </c>
      <c r="BR33" s="35">
        <f>-BR20*'операционные  расходы 1 этап'!$S$12</f>
        <v>-11059.505726090934</v>
      </c>
      <c r="BS33" s="35">
        <f>-BS20*'операционные  расходы 1 этап'!$S$12</f>
        <v>-8171.3545492136855</v>
      </c>
      <c r="BT33" s="35">
        <f>-BT20*'операционные  расходы 1 этап'!$S$12</f>
        <v>-9841.844753286774</v>
      </c>
      <c r="BU33" s="35">
        <f>-BU20*'операционные  расходы 1 этап'!$S$12</f>
        <v>-11529.270559281184</v>
      </c>
      <c r="BV33" s="35">
        <f>-BV20*'операционные  расходы 1 этап'!$S$12</f>
        <v>-12483.417088325145</v>
      </c>
      <c r="BW33" s="35">
        <f>-BW20*'операционные  расходы 1 этап'!$S$12</f>
        <v>-9223.4164474249446</v>
      </c>
      <c r="BX33" s="35">
        <f>-BX20*'операционные  расходы 1 этап'!$S$12</f>
        <v>-10724.90284584296</v>
      </c>
      <c r="BY33" s="35">
        <f>-BY20*'операционные  расходы 1 этап'!$S$12</f>
        <v>-11612.481012395481</v>
      </c>
      <c r="BZ33" s="35">
        <f>-BZ20*'операционные  расходы 1 этап'!$S$12</f>
        <v>-8579.9222766743696</v>
      </c>
      <c r="CA33" s="35">
        <f>-CA20*'операционные  расходы 1 этап'!$S$12</f>
        <v>-10333.936990951113</v>
      </c>
      <c r="CB33" s="35">
        <f>-CB20*'операционные  расходы 1 этап'!$S$12</f>
        <v>-12105.734087245242</v>
      </c>
      <c r="CC33" s="35">
        <f>-CC20*'операционные  расходы 1 этап'!$S$12</f>
        <v>-13107.587942741402</v>
      </c>
      <c r="CD33" s="35">
        <f>-CD20*'операционные  расходы 1 этап'!$S$12</f>
        <v>-9684.5872697961931</v>
      </c>
      <c r="CE33" s="35">
        <f>-CE20*'операционные  расходы 1 этап'!$S$12</f>
        <v>-11261.14798813511</v>
      </c>
      <c r="CF33" s="35">
        <f>-CF20*'операционные  расходы 1 этап'!$S$12</f>
        <v>-12193.105063015255</v>
      </c>
      <c r="CG33" s="35">
        <f>-CG20*'операционные  расходы 1 этап'!$S$12</f>
        <v>-9008.9183905080899</v>
      </c>
      <c r="CH33" s="35">
        <f>-CH20*'операционные  расходы 1 этап'!$S$12</f>
        <v>-10850.633840498671</v>
      </c>
      <c r="CI33" s="35">
        <f>-CI20*'операционные  расходы 1 этап'!$S$12</f>
        <v>-12711.020791607505</v>
      </c>
      <c r="CJ33" s="35">
        <f>-CJ20*'операционные  расходы 1 этап'!$S$12</f>
        <v>-13762.967339878471</v>
      </c>
      <c r="CK33" s="35">
        <f>-CK20*'операционные  расходы 1 этап'!$S$12</f>
        <v>-10168.816633286004</v>
      </c>
      <c r="CL33" s="35">
        <f>-CL20*'операционные  расходы 1 этап'!$S$12</f>
        <v>-11824.205387541864</v>
      </c>
      <c r="CM33" s="35">
        <f>-CM20*'операционные  расходы 1 этап'!$S$12</f>
        <v>-12802.760316166019</v>
      </c>
      <c r="CN33" s="35">
        <f>-CN20*'операционные  расходы 1 этап'!$S$12</f>
        <v>-9459.3643100334939</v>
      </c>
      <c r="CO33" s="5">
        <f>-CO20*'операционные  расходы 1 этап'!$S$12</f>
        <v>-11393.165532523604</v>
      </c>
    </row>
    <row r="34" spans="1:93" ht="12.75" customHeight="1" outlineLevel="2">
      <c r="A34" s="35"/>
      <c r="B34" s="63" t="s">
        <v>135</v>
      </c>
      <c r="C34" s="74">
        <f t="shared" si="229"/>
        <v>0</v>
      </c>
      <c r="D34" s="60"/>
      <c r="E34" s="35">
        <f>-E19*'операционные  расходы 1 этап'!$Q$13-(E20+E22)*'операционные  расходы 1 этап'!$R$13</f>
        <v>0</v>
      </c>
      <c r="F34" s="35">
        <f>-F19*'операционные  расходы 1 этап'!$Q$13-(F20+F22)*'операционные  расходы 1 этап'!$R$13</f>
        <v>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>
        <f>-V19*'операционные  расходы 1 этап'!$Q$13-(V20+V22)*'операционные  расходы 1 этап'!$R$13</f>
        <v>0</v>
      </c>
      <c r="W34" s="35">
        <f>-W19*'операционные  расходы 1 этап'!$Q$13-(W20+W22)*'операционные  расходы 1 этап'!$R$13</f>
        <v>0</v>
      </c>
      <c r="X34" s="35">
        <f>-X19*'операционные  расходы 1 этап'!$Q$13-(X20+X22)*'операционные  расходы 1 этап'!$R$13</f>
        <v>0</v>
      </c>
      <c r="Y34" s="35">
        <f>-Y19*'операционные  расходы 1 этап'!$Q$13-(Y20+Y22)*'операционные  расходы 1 этап'!$R$13</f>
        <v>0</v>
      </c>
      <c r="Z34" s="35">
        <f>-Z19*'операционные  расходы 1 этап'!$Q$13-(Z20+Z22)*'операционные  расходы 1 этап'!$R$13</f>
        <v>0</v>
      </c>
      <c r="AA34" s="35">
        <f>-AA19*'операционные  расходы 1 этап'!$Q$13-(AA20+AA22)*'операционные  расходы 1 этап'!$R$13</f>
        <v>0</v>
      </c>
      <c r="AB34" s="35">
        <f>-AB19*'операционные  расходы 1 этап'!$Q$13-(AB20+AB22)*'операционные  расходы 1 этап'!$R$13</f>
        <v>0</v>
      </c>
      <c r="AC34" s="35">
        <f>-AC19*'операционные  расходы 1 этап'!$Q$13-(AC20+AC22)*'операционные  расходы 1 этап'!$R$13</f>
        <v>0</v>
      </c>
      <c r="AD34" s="35">
        <f>-AD19*'операционные  расходы 1 этап'!$Q$13-(AD20+AD22)*'операционные  расходы 1 этап'!$R$13</f>
        <v>0</v>
      </c>
      <c r="AE34" s="35">
        <f>-AE19*'операционные  расходы 1 этап'!$Q$13-(AE20+AE22)*'операционные  расходы 1 этап'!$R$13</f>
        <v>0</v>
      </c>
      <c r="AF34" s="35">
        <f>-AF19*'операционные  расходы 1 этап'!$Q$13-(AF20+AF22)*'операционные  расходы 1 этап'!$R$13</f>
        <v>0</v>
      </c>
      <c r="AG34" s="35">
        <f>-AG19*'операционные  расходы 1 этап'!$Q$13-(AG20+AG22)*'операционные  расходы 1 этап'!$R$13</f>
        <v>0</v>
      </c>
      <c r="AH34" s="35">
        <f>-AH19*'операционные  расходы 1 этап'!$Q$13-(AH20+AH22)*'операционные  расходы 1 этап'!$R$13</f>
        <v>0</v>
      </c>
      <c r="AI34" s="35">
        <f>-AI19*'операционные  расходы 1 этап'!$Q$13-(AI20+AI22)*'операционные  расходы 1 этап'!$R$13</f>
        <v>0</v>
      </c>
      <c r="AJ34" s="35">
        <f>-AJ19*'операционные  расходы 1 этап'!$Q$13-(AJ20+AJ22)*'операционные  расходы 1 этап'!$R$13</f>
        <v>0</v>
      </c>
      <c r="AK34" s="35">
        <f>-AK19*'операционные  расходы 1 этап'!$Q$13-(AK20+AK22)*'операционные  расходы 1 этап'!$R$13</f>
        <v>0</v>
      </c>
      <c r="AL34" s="35">
        <f>-AL19*'операционные  расходы 1 этап'!$Q$13-(AL20+AL22)*'операционные  расходы 1 этап'!$R$13</f>
        <v>0</v>
      </c>
      <c r="AM34" s="35">
        <f>-AM19*'операционные  расходы 1 этап'!$Q$13-(AM20+AM22)*'операционные  расходы 1 этап'!$R$13</f>
        <v>0</v>
      </c>
      <c r="AN34" s="35">
        <f>-AN19*'операционные  расходы 1 этап'!$Q$13-(AN20+AN22)*'операционные  расходы 1 этап'!$R$13</f>
        <v>0</v>
      </c>
      <c r="AO34" s="35">
        <f>-AO19*'операционные  расходы 1 этап'!$Q$13-(AO20+AO22)*'операционные  расходы 1 этап'!$R$13</f>
        <v>0</v>
      </c>
      <c r="AP34" s="35">
        <f>-AP19*'операционные  расходы 1 этап'!$Q$13-(AP20+AP22)*'операционные  расходы 1 этап'!$R$13</f>
        <v>0</v>
      </c>
      <c r="AQ34" s="35">
        <f>-AQ19*'операционные  расходы 1 этап'!$Q$13-(AQ20+AQ22)*'операционные  расходы 1 этап'!$R$13</f>
        <v>0</v>
      </c>
      <c r="AR34" s="35">
        <f>-AR19*'операционные  расходы 1 этап'!$Q$13-(AR20+AR22)*'операционные  расходы 1 этап'!$R$13</f>
        <v>0</v>
      </c>
      <c r="AS34" s="35">
        <f>-AS19*'операционные  расходы 1 этап'!$Q$13-(AS20+AS22)*'операционные  расходы 1 этап'!$R$13</f>
        <v>0</v>
      </c>
      <c r="AT34" s="35">
        <f>-AT19*'операционные  расходы 1 этап'!$Q$13-(AT20+AT22)*'операционные  расходы 1 этап'!$R$13</f>
        <v>0</v>
      </c>
      <c r="AU34" s="35">
        <f>-AU19*'операционные  расходы 1 этап'!$Q$13-(AU20+AU22)*'операционные  расходы 1 этап'!$R$13</f>
        <v>0</v>
      </c>
      <c r="AV34" s="35">
        <f>-AV19*'операционные  расходы 1 этап'!$Q$13-(AV20+AV22)*'операционные  расходы 1 этап'!$R$13</f>
        <v>0</v>
      </c>
      <c r="AW34" s="35">
        <f>-AW19*'операционные  расходы 1 этап'!$Q$13-(AW20+AW22)*'операционные  расходы 1 этап'!$R$13</f>
        <v>0</v>
      </c>
      <c r="AX34" s="35">
        <f>-AX19*'операционные  расходы 1 этап'!$Q$13-(AX20+AX22)*'операционные  расходы 1 этап'!$R$13</f>
        <v>0</v>
      </c>
      <c r="AY34" s="35">
        <f>-AY19*'операционные  расходы 1 этап'!$Q$13-(AY20+AY22)*'операционные  расходы 1 этап'!$R$13</f>
        <v>0</v>
      </c>
      <c r="AZ34" s="35">
        <f>-AZ19*'операционные  расходы 1 этап'!$Q$13-(AZ20+AZ22)*'операционные  расходы 1 этап'!$R$13</f>
        <v>0</v>
      </c>
      <c r="BA34" s="35">
        <f>-BA19*'операционные  расходы 1 этап'!$Q$13-(BA20+BA22)*'операционные  расходы 1 этап'!$R$13</f>
        <v>0</v>
      </c>
      <c r="BB34" s="35">
        <f>-BB19*'операционные  расходы 1 этап'!$Q$13-(BB20+BB22)*'операционные  расходы 1 этап'!$R$13</f>
        <v>0</v>
      </c>
      <c r="BC34" s="35">
        <f>-BC19*'операционные  расходы 1 этап'!$Q$13-(BC20+BC22)*'операционные  расходы 1 этап'!$R$13</f>
        <v>0</v>
      </c>
      <c r="BD34" s="35">
        <f>-BD19*'операционные  расходы 1 этап'!$Q$13-(BD20+BD22)*'операционные  расходы 1 этап'!$R$13</f>
        <v>0</v>
      </c>
      <c r="BE34" s="35">
        <f>-BE19*'операционные  расходы 1 этап'!$Q$13-(BE20+BE22)*'операционные  расходы 1 этап'!$R$13</f>
        <v>0</v>
      </c>
      <c r="BF34" s="35">
        <f>-BF19*'операционные  расходы 1 этап'!$Q$13-(BF20+BF22)*'операционные  расходы 1 этап'!$R$13</f>
        <v>0</v>
      </c>
      <c r="BG34" s="35">
        <f>-BG19*'операционные  расходы 1 этап'!$Q$13-(BG20+BG22)*'операционные  расходы 1 этап'!$R$13</f>
        <v>0</v>
      </c>
      <c r="BH34" s="35">
        <f>-BH19*'операционные  расходы 1 этап'!$Q$13-(BH20+BH22)*'операционные  расходы 1 этап'!$R$13</f>
        <v>0</v>
      </c>
      <c r="BI34" s="35">
        <f>-BI19*'операционные  расходы 1 этап'!$Q$13-(BI20+BI22)*'операционные  расходы 1 этап'!$R$13</f>
        <v>0</v>
      </c>
      <c r="BJ34" s="35">
        <f>-BJ19*'операционные  расходы 1 этап'!$Q$13-(BJ20+BJ22)*'операционные  расходы 1 этап'!$R$13</f>
        <v>0</v>
      </c>
      <c r="BK34" s="35">
        <f>-BK19*'операционные  расходы 1 этап'!$Q$13-(BK20+BK22)*'операционные  расходы 1 этап'!$R$13</f>
        <v>0</v>
      </c>
      <c r="BL34" s="35">
        <f>-BL19*'операционные  расходы 1 этап'!$Q$13-(BL20+BL22)*'операционные  расходы 1 этап'!$R$13</f>
        <v>0</v>
      </c>
      <c r="BM34" s="35">
        <f>-BM19*'операционные  расходы 1 этап'!$Q$13-(BM20+BM22)*'операционные  расходы 1 этап'!$R$13</f>
        <v>0</v>
      </c>
      <c r="BN34" s="35">
        <f>-BN19*'операционные  расходы 1 этап'!$Q$13-(BN20+BN22)*'операционные  расходы 1 этап'!$R$13</f>
        <v>0</v>
      </c>
      <c r="BO34" s="35">
        <f>-BO19*'операционные  расходы 1 этап'!$Q$13-(BO20+BO22)*'операционные  расходы 1 этап'!$R$13</f>
        <v>0</v>
      </c>
      <c r="BP34" s="35">
        <f>-BP19*'операционные  расходы 1 этап'!$Q$13-(BP20+BP22)*'операционные  расходы 1 этап'!$R$13</f>
        <v>0</v>
      </c>
      <c r="BQ34" s="35">
        <f>-BQ19*'операционные  расходы 1 этап'!$Q$13-(BQ20+BQ22)*'операционные  расходы 1 этап'!$R$13</f>
        <v>0</v>
      </c>
      <c r="BR34" s="35">
        <f>-BR19*'операционные  расходы 1 этап'!$Q$13-(BR20+BR22)*'операционные  расходы 1 этап'!$R$13</f>
        <v>0</v>
      </c>
      <c r="BS34" s="35">
        <f>-BS19*'операционные  расходы 1 этап'!$Q$13-(BS20+BS22)*'операционные  расходы 1 этап'!$R$13</f>
        <v>0</v>
      </c>
      <c r="BT34" s="35">
        <f>-BT19*'операционные  расходы 1 этап'!$Q$13-(BT20+BT22)*'операционные  расходы 1 этап'!$R$13</f>
        <v>0</v>
      </c>
      <c r="BU34" s="35">
        <f>-BU19*'операционные  расходы 1 этап'!$Q$13-(BU20+BU22)*'операционные  расходы 1 этап'!$R$13</f>
        <v>0</v>
      </c>
      <c r="BV34" s="35">
        <f>-BV19*'операционные  расходы 1 этап'!$Q$13-(BV20+BV22)*'операционные  расходы 1 этап'!$R$13</f>
        <v>0</v>
      </c>
      <c r="BW34" s="35">
        <f>-BW19*'операционные  расходы 1 этап'!$Q$13-(BW20+BW22)*'операционные  расходы 1 этап'!$R$13</f>
        <v>0</v>
      </c>
      <c r="BX34" s="35">
        <f>-BX19*'операционные  расходы 1 этап'!$Q$13-(BX20+BX22)*'операционные  расходы 1 этап'!$R$13</f>
        <v>0</v>
      </c>
      <c r="BY34" s="35">
        <f>-BY19*'операционные  расходы 1 этап'!$Q$13-(BY20+BY22)*'операционные  расходы 1 этап'!$R$13</f>
        <v>0</v>
      </c>
      <c r="BZ34" s="35">
        <f>-BZ19*'операционные  расходы 1 этап'!$Q$13-(BZ20+BZ22)*'операционные  расходы 1 этап'!$R$13</f>
        <v>0</v>
      </c>
      <c r="CA34" s="35">
        <f>-CA19*'операционные  расходы 1 этап'!$Q$13-(CA20+CA22)*'операционные  расходы 1 этап'!$R$13</f>
        <v>0</v>
      </c>
      <c r="CB34" s="35">
        <f>-CB19*'операционные  расходы 1 этап'!$Q$13-(CB20+CB22)*'операционные  расходы 1 этап'!$R$13</f>
        <v>0</v>
      </c>
      <c r="CC34" s="35">
        <f>-CC19*'операционные  расходы 1 этап'!$Q$13-(CC20+CC22)*'операционные  расходы 1 этап'!$R$13</f>
        <v>0</v>
      </c>
      <c r="CD34" s="35">
        <f>-CD19*'операционные  расходы 1 этап'!$Q$13-(CD20+CD22)*'операционные  расходы 1 этап'!$R$13</f>
        <v>0</v>
      </c>
      <c r="CE34" s="35">
        <f>-CE19*'операционные  расходы 1 этап'!$Q$13-(CE20+CE22)*'операционные  расходы 1 этап'!$R$13</f>
        <v>0</v>
      </c>
      <c r="CF34" s="35">
        <f>-CF19*'операционные  расходы 1 этап'!$Q$13-(CF20+CF22)*'операционные  расходы 1 этап'!$R$13</f>
        <v>0</v>
      </c>
      <c r="CG34" s="35">
        <f>-CG19*'операционные  расходы 1 этап'!$Q$13-(CG20+CG22)*'операционные  расходы 1 этап'!$R$13</f>
        <v>0</v>
      </c>
      <c r="CH34" s="35">
        <f>-CH19*'операционные  расходы 1 этап'!$Q$13-(CH20+CH22)*'операционные  расходы 1 этап'!$R$13</f>
        <v>0</v>
      </c>
      <c r="CI34" s="35">
        <f>-CI19*'операционные  расходы 1 этап'!$Q$13-(CI20+CI22)*'операционные  расходы 1 этап'!$R$13</f>
        <v>0</v>
      </c>
      <c r="CJ34" s="35">
        <f>-CJ19*'операционные  расходы 1 этап'!$Q$13-(CJ20+CJ22)*'операционные  расходы 1 этап'!$R$13</f>
        <v>0</v>
      </c>
      <c r="CK34" s="35">
        <f>-CK19*'операционные  расходы 1 этап'!$Q$13-(CK20+CK22)*'операционные  расходы 1 этап'!$R$13</f>
        <v>0</v>
      </c>
      <c r="CL34" s="35">
        <f>-CL19*'операционные  расходы 1 этап'!$Q$13-(CL20+CL22)*'операционные  расходы 1 этап'!$R$13</f>
        <v>0</v>
      </c>
      <c r="CM34" s="35">
        <f>-CM19*'операционные  расходы 1 этап'!$Q$13-(CM20+CM22)*'операционные  расходы 1 этап'!$R$13</f>
        <v>0</v>
      </c>
      <c r="CN34" s="35">
        <f>-CN19*'операционные  расходы 1 этап'!$Q$13-(CN20+CN22)*'операционные  расходы 1 этап'!$R$13</f>
        <v>0</v>
      </c>
      <c r="CO34" s="5">
        <f>-CO19*'операционные  расходы 1 этап'!$Q$13-(CO20+CO22)*'операционные  расходы 1 этап'!$R$13</f>
        <v>0</v>
      </c>
    </row>
    <row r="35" spans="1:93" ht="12.75" customHeight="1" outlineLevel="2">
      <c r="A35" s="35"/>
      <c r="B35" s="63" t="s">
        <v>136</v>
      </c>
      <c r="C35" s="74">
        <f t="shared" si="229"/>
        <v>-629370.99696667015</v>
      </c>
      <c r="D35" s="60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>
        <f>-W$23*'операционные  расходы 1 этап'!$T$14</f>
        <v>-7411.544516092059</v>
      </c>
      <c r="X35" s="35">
        <f>-X$23*'операционные  расходы 1 этап'!$T$14</f>
        <v>-9491.6049394336769</v>
      </c>
      <c r="Y35" s="35">
        <f>-Y$23*'операционные  расходы 1 этап'!$T$14</f>
        <v>-4007.8738222857351</v>
      </c>
      <c r="Z35" s="35">
        <f>-Z$23*'операционные  расходы 1 этап'!$T$14</f>
        <v>-6207.8508269064923</v>
      </c>
      <c r="AA35" s="35">
        <f>-AA$23*'операционные  расходы 1 этап'!$T$14</f>
        <v>-7782.1217418966617</v>
      </c>
      <c r="AB35" s="35">
        <f>-AB$23*'операционные  расходы 1 этап'!$T$14</f>
        <v>-9966.1851864053588</v>
      </c>
      <c r="AC35" s="35">
        <f>-AC$23*'операционные  расходы 1 этап'!$T$14</f>
        <v>-4208.2675134000228</v>
      </c>
      <c r="AD35" s="35">
        <f>-AD$23*'операционные  расходы 1 этап'!$T$14</f>
        <v>-6518.2433682518167</v>
      </c>
      <c r="AE35" s="35">
        <f>-AE$23*'операционные  расходы 1 этап'!$T$14</f>
        <v>-8171.2278289914939</v>
      </c>
      <c r="AF35" s="35">
        <f>-AF$23*'операционные  расходы 1 этап'!$T$14</f>
        <v>-10464.494445725626</v>
      </c>
      <c r="AG35" s="35">
        <f>-AG$23*'операционные  расходы 1 этап'!$T$14</f>
        <v>-4418.6808890700231</v>
      </c>
      <c r="AH35" s="35">
        <f>-AH$23*'операционные  расходы 1 этап'!$T$14</f>
        <v>-8171.2278289914957</v>
      </c>
      <c r="AI35" s="35">
        <f>-AI$23*'операционные  расходы 1 этап'!$T$14</f>
        <v>-10464.494445725628</v>
      </c>
      <c r="AJ35" s="35">
        <f>-AJ$23*'операционные  расходы 1 этап'!$T$14</f>
        <v>-4418.680889070024</v>
      </c>
      <c r="AK35" s="35">
        <f>-AK$23*'операционные  расходы 1 этап'!$T$14</f>
        <v>-6844.1555366644088</v>
      </c>
      <c r="AL35" s="35">
        <f>-AL$23*'операционные  расходы 1 этап'!$T$14</f>
        <v>-8579.7892204410691</v>
      </c>
      <c r="AM35" s="35">
        <f>-AM$23*'операционные  расходы 1 этап'!$T$14</f>
        <v>-10987.719168011909</v>
      </c>
      <c r="AN35" s="35">
        <f>-AN$23*'операционные  расходы 1 этап'!$T$14</f>
        <v>-4639.614933523525</v>
      </c>
      <c r="AO35" s="35">
        <f>-AO$23*'операционные  расходы 1 этап'!$T$14</f>
        <v>-8579.7892204410709</v>
      </c>
      <c r="AP35" s="35">
        <f>-AP$23*'операционные  расходы 1 этап'!$T$14</f>
        <v>-10987.71916801191</v>
      </c>
      <c r="AQ35" s="35">
        <f>-AQ$23*'операционные  расходы 1 этап'!$T$14</f>
        <v>-4639.6149335235259</v>
      </c>
      <c r="AR35" s="35">
        <f>-AR$23*'операционные  расходы 1 этап'!$T$14</f>
        <v>-7186.363313497629</v>
      </c>
      <c r="AS35" s="35">
        <f>-AS$23*'операционные  расходы 1 этап'!$T$14</f>
        <v>-9008.7786814631236</v>
      </c>
      <c r="AT35" s="35">
        <f>-AT$23*'операционные  расходы 1 этап'!$T$14</f>
        <v>-11537.105126412504</v>
      </c>
      <c r="AU35" s="35">
        <f>-AU$23*'операционные  расходы 1 этап'!$T$14</f>
        <v>-4871.5956801997008</v>
      </c>
      <c r="AV35" s="35">
        <f>-AV$23*'операционные  расходы 1 этап'!$T$14</f>
        <v>-9008.7786814631254</v>
      </c>
      <c r="AW35" s="35">
        <f>-AW$23*'операционные  расходы 1 этап'!$T$14</f>
        <v>-11537.105126412505</v>
      </c>
      <c r="AX35" s="35">
        <f>-AX$23*'операционные  расходы 1 этап'!$T$14</f>
        <v>-4871.5956801997027</v>
      </c>
      <c r="AY35" s="35">
        <f>-AY$23*'операционные  расходы 1 этап'!$T$14</f>
        <v>-7545.6814791725101</v>
      </c>
      <c r="AZ35" s="35">
        <f>-AZ$23*'операционные  расходы 1 этап'!$T$14</f>
        <v>-9459.2176155362795</v>
      </c>
      <c r="BA35" s="35">
        <f>-BA$23*'операционные  расходы 1 этап'!$T$14</f>
        <v>-12113.960382733128</v>
      </c>
      <c r="BB35" s="35">
        <f>-BB$23*'операционные  расходы 1 этап'!$T$14</f>
        <v>-5115.1754642096867</v>
      </c>
      <c r="BC35" s="35">
        <f>-BC$23*'операционные  расходы 1 этап'!$T$14</f>
        <v>-9459.2176155362813</v>
      </c>
      <c r="BD35" s="35">
        <f>-BD$23*'операционные  расходы 1 этап'!$T$14</f>
        <v>-12113.960382733132</v>
      </c>
      <c r="BE35" s="35">
        <f>-BE$23*'операционные  расходы 1 этап'!$T$14</f>
        <v>-5115.1754642096876</v>
      </c>
      <c r="BF35" s="35">
        <f>-BF$23*'операционные  расходы 1 этап'!$T$14</f>
        <v>-7922.9655531311364</v>
      </c>
      <c r="BG35" s="35">
        <f>-BG$23*'операционные  расходы 1 этап'!$T$14</f>
        <v>-9932.178496313094</v>
      </c>
      <c r="BH35" s="35">
        <f>-BH$23*'операционные  расходы 1 этап'!$T$14</f>
        <v>-12719.658401869787</v>
      </c>
      <c r="BI35" s="35">
        <f>-BI$23*'операционные  расходы 1 этап'!$T$14</f>
        <v>-5370.9342374201706</v>
      </c>
      <c r="BJ35" s="35">
        <f>-BJ$23*'операционные  расходы 1 этап'!$T$14</f>
        <v>-9932.178496313094</v>
      </c>
      <c r="BK35" s="35">
        <f>-BK$23*'операционные  расходы 1 этап'!$T$14</f>
        <v>-12719.658401869789</v>
      </c>
      <c r="BL35" s="35">
        <f>-BL$23*'операционные  расходы 1 этап'!$T$14</f>
        <v>-5370.9342374201724</v>
      </c>
      <c r="BM35" s="35">
        <f>-BM$23*'операционные  расходы 1 этап'!$T$14</f>
        <v>-8319.1138307876936</v>
      </c>
      <c r="BN35" s="35">
        <f>-BN$23*'операционные  расходы 1 этап'!$T$14</f>
        <v>-10428.787421128751</v>
      </c>
      <c r="BO35" s="35">
        <f>-BO$23*'операционные  расходы 1 этап'!$T$14</f>
        <v>-13355.641321963278</v>
      </c>
      <c r="BP35" s="35">
        <f>-BP$23*'операционные  расходы 1 этап'!$T$14</f>
        <v>-5639.48094929118</v>
      </c>
      <c r="BQ35" s="35">
        <f>-BQ$23*'операционные  расходы 1 этап'!$T$14</f>
        <v>-10428.787421128751</v>
      </c>
      <c r="BR35" s="35">
        <f>-BR$23*'операционные  расходы 1 этап'!$T$14</f>
        <v>-13355.64132196328</v>
      </c>
      <c r="BS35" s="35">
        <f>-BS$23*'операционные  расходы 1 этап'!$T$14</f>
        <v>-5639.4809492911809</v>
      </c>
      <c r="BT35" s="35">
        <f>-BT$23*'операционные  расходы 1 этап'!$T$14</f>
        <v>-8735.0695223270777</v>
      </c>
      <c r="BU35" s="35">
        <f>-BU$23*'операционные  расходы 1 этап'!$T$14</f>
        <v>-10950.226792185189</v>
      </c>
      <c r="BV35" s="35">
        <f>-BV$23*'операционные  расходы 1 этап'!$T$14</f>
        <v>-14023.423388061443</v>
      </c>
      <c r="BW35" s="35">
        <f>-BW$23*'операционные  расходы 1 этап'!$T$14</f>
        <v>-5921.4549967557386</v>
      </c>
      <c r="BX35" s="35">
        <f>-BX$23*'операционные  расходы 1 этап'!$T$14</f>
        <v>-10950.226792185189</v>
      </c>
      <c r="BY35" s="35">
        <f>-BY$23*'операционные  расходы 1 этап'!$T$14</f>
        <v>-14023.423388061445</v>
      </c>
      <c r="BZ35" s="35">
        <f>-BZ$23*'операционные  расходы 1 этап'!$T$14</f>
        <v>-5921.4549967557396</v>
      </c>
      <c r="CA35" s="35">
        <f>-CA$23*'операционные  расходы 1 этап'!$T$14</f>
        <v>-9171.8229984434311</v>
      </c>
      <c r="CB35" s="35">
        <f>-CB$23*'операционные  расходы 1 этап'!$T$14</f>
        <v>-11497.738131794451</v>
      </c>
      <c r="CC35" s="35">
        <f>-CC$23*'операционные  расходы 1 этап'!$T$14</f>
        <v>-14724.594557464516</v>
      </c>
      <c r="CD35" s="35">
        <f>-CD$23*'операционные  расходы 1 этап'!$T$14</f>
        <v>-6217.527746593526</v>
      </c>
      <c r="CE35" s="35">
        <f>-CE$23*'операционные  расходы 1 этап'!$T$14</f>
        <v>-11497.738131794451</v>
      </c>
      <c r="CF35" s="35">
        <f>-CF$23*'операционные  расходы 1 этап'!$T$14</f>
        <v>-14724.594557464517</v>
      </c>
      <c r="CG35" s="35">
        <f>-CG$23*'операционные  расходы 1 этап'!$T$14</f>
        <v>-6217.5277465935278</v>
      </c>
      <c r="CH35" s="35">
        <f>-CH$23*'операционные  расходы 1 этап'!$T$14</f>
        <v>-9630.414148365604</v>
      </c>
      <c r="CI35" s="35">
        <f>-CI$23*'операционные  расходы 1 этап'!$T$14</f>
        <v>-12072.625038384173</v>
      </c>
      <c r="CJ35" s="35">
        <f>-CJ$23*'операционные  расходы 1 этап'!$T$14</f>
        <v>-15460.824285337743</v>
      </c>
      <c r="CK35" s="35">
        <f>-CK$23*'операционные  расходы 1 этап'!$T$14</f>
        <v>-6528.4041339232026</v>
      </c>
      <c r="CL35" s="35">
        <f>-CL$23*'операционные  расходы 1 этап'!$T$14</f>
        <v>-12072.625038384173</v>
      </c>
      <c r="CM35" s="35">
        <f>-CM$23*'операционные  расходы 1 этап'!$T$14</f>
        <v>-15460.824285337745</v>
      </c>
      <c r="CN35" s="35">
        <f>-CN$23*'операционные  расходы 1 этап'!$T$14</f>
        <v>-6528.4041339232035</v>
      </c>
      <c r="CO35" s="35">
        <f>-CO$23*'операционные  расходы 1 этап'!$T$14</f>
        <v>-10111.934855783884</v>
      </c>
    </row>
    <row r="36" spans="1:93" ht="12.75" customHeight="1" outlineLevel="2">
      <c r="A36" s="35"/>
      <c r="B36" s="63" t="s">
        <v>137</v>
      </c>
      <c r="C36" s="74">
        <f t="shared" si="229"/>
        <v>-1258741.9939333403</v>
      </c>
      <c r="D36" s="60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>
        <f>-W$23*'операционные  расходы 1 этап'!$T$15</f>
        <v>-14823.089032184118</v>
      </c>
      <c r="X36" s="35">
        <f>-X$23*'операционные  расходы 1 этап'!$T$15</f>
        <v>-18983.209878867354</v>
      </c>
      <c r="Y36" s="35">
        <f>-Y$23*'операционные  расходы 1 этап'!$T$15</f>
        <v>-8015.7476445714701</v>
      </c>
      <c r="Z36" s="35">
        <f>-Z$23*'операционные  расходы 1 этап'!$T$15</f>
        <v>-12415.701653812985</v>
      </c>
      <c r="AA36" s="35">
        <f>-AA$23*'операционные  расходы 1 этап'!$T$15</f>
        <v>-15564.243483793323</v>
      </c>
      <c r="AB36" s="35">
        <f>-AB$23*'операционные  расходы 1 этап'!$T$15</f>
        <v>-19932.370372810718</v>
      </c>
      <c r="AC36" s="35">
        <f>-AC$23*'операционные  расходы 1 этап'!$T$15</f>
        <v>-8416.5350268000457</v>
      </c>
      <c r="AD36" s="35">
        <f>-AD$23*'операционные  расходы 1 этап'!$T$15</f>
        <v>-13036.486736503633</v>
      </c>
      <c r="AE36" s="35">
        <f>-AE$23*'операционные  расходы 1 этап'!$T$15</f>
        <v>-16342.455657982988</v>
      </c>
      <c r="AF36" s="35">
        <f>-AF$23*'операционные  расходы 1 этап'!$T$15</f>
        <v>-20928.988891451252</v>
      </c>
      <c r="AG36" s="35">
        <f>-AG$23*'операционные  расходы 1 этап'!$T$15</f>
        <v>-8837.3617781400462</v>
      </c>
      <c r="AH36" s="35">
        <f>-AH$23*'операционные  расходы 1 этап'!$T$15</f>
        <v>-16342.455657982991</v>
      </c>
      <c r="AI36" s="35">
        <f>-AI$23*'операционные  расходы 1 этап'!$T$15</f>
        <v>-20928.988891451256</v>
      </c>
      <c r="AJ36" s="35">
        <f>-AJ$23*'операционные  расходы 1 этап'!$T$15</f>
        <v>-8837.361778140048</v>
      </c>
      <c r="AK36" s="35">
        <f>-AK$23*'операционные  расходы 1 этап'!$T$15</f>
        <v>-13688.311073328818</v>
      </c>
      <c r="AL36" s="35">
        <f>-AL$23*'операционные  расходы 1 этап'!$T$15</f>
        <v>-17159.578440882138</v>
      </c>
      <c r="AM36" s="35">
        <f>-AM$23*'операционные  расходы 1 этап'!$T$15</f>
        <v>-21975.438336023817</v>
      </c>
      <c r="AN36" s="35">
        <f>-AN$23*'операционные  расходы 1 этап'!$T$15</f>
        <v>-9279.22986704705</v>
      </c>
      <c r="AO36" s="35">
        <f>-AO$23*'операционные  расходы 1 этап'!$T$15</f>
        <v>-17159.578440882142</v>
      </c>
      <c r="AP36" s="35">
        <f>-AP$23*'операционные  расходы 1 этап'!$T$15</f>
        <v>-21975.438336023821</v>
      </c>
      <c r="AQ36" s="35">
        <f>-AQ$23*'операционные  расходы 1 этап'!$T$15</f>
        <v>-9279.2298670470518</v>
      </c>
      <c r="AR36" s="35">
        <f>-AR$23*'операционные  расходы 1 этап'!$T$15</f>
        <v>-14372.726626995258</v>
      </c>
      <c r="AS36" s="35">
        <f>-AS$23*'операционные  расходы 1 этап'!$T$15</f>
        <v>-18017.557362926247</v>
      </c>
      <c r="AT36" s="35">
        <f>-AT$23*'операционные  расходы 1 этап'!$T$15</f>
        <v>-23074.210252825007</v>
      </c>
      <c r="AU36" s="35">
        <f>-AU$23*'операционные  расходы 1 этап'!$T$15</f>
        <v>-9743.1913603994017</v>
      </c>
      <c r="AV36" s="35">
        <f>-AV$23*'операционные  расходы 1 этап'!$T$15</f>
        <v>-18017.557362926251</v>
      </c>
      <c r="AW36" s="35">
        <f>-AW$23*'операционные  расходы 1 этап'!$T$15</f>
        <v>-23074.210252825011</v>
      </c>
      <c r="AX36" s="35">
        <f>-AX$23*'операционные  расходы 1 этап'!$T$15</f>
        <v>-9743.1913603994053</v>
      </c>
      <c r="AY36" s="35">
        <f>-AY$23*'операционные  расходы 1 этап'!$T$15</f>
        <v>-15091.36295834502</v>
      </c>
      <c r="AZ36" s="35">
        <f>-AZ$23*'операционные  расходы 1 этап'!$T$15</f>
        <v>-18918.435231072559</v>
      </c>
      <c r="BA36" s="35">
        <f>-BA$23*'операционные  расходы 1 этап'!$T$15</f>
        <v>-24227.920765466257</v>
      </c>
      <c r="BB36" s="35">
        <f>-BB$23*'операционные  расходы 1 этап'!$T$15</f>
        <v>-10230.350928419373</v>
      </c>
      <c r="BC36" s="35">
        <f>-BC$23*'операционные  расходы 1 этап'!$T$15</f>
        <v>-18918.435231072563</v>
      </c>
      <c r="BD36" s="35">
        <f>-BD$23*'операционные  расходы 1 этап'!$T$15</f>
        <v>-24227.920765466264</v>
      </c>
      <c r="BE36" s="35">
        <f>-BE$23*'операционные  расходы 1 этап'!$T$15</f>
        <v>-10230.350928419375</v>
      </c>
      <c r="BF36" s="35">
        <f>-BF$23*'операционные  расходы 1 этап'!$T$15</f>
        <v>-15845.931106262273</v>
      </c>
      <c r="BG36" s="35">
        <f>-BG$23*'операционные  расходы 1 этап'!$T$15</f>
        <v>-19864.356992626188</v>
      </c>
      <c r="BH36" s="35">
        <f>-BH$23*'операционные  расходы 1 этап'!$T$15</f>
        <v>-25439.316803739574</v>
      </c>
      <c r="BI36" s="35">
        <f>-BI$23*'операционные  расходы 1 этап'!$T$15</f>
        <v>-10741.868474840341</v>
      </c>
      <c r="BJ36" s="35">
        <f>-BJ$23*'операционные  расходы 1 этап'!$T$15</f>
        <v>-19864.356992626188</v>
      </c>
      <c r="BK36" s="35">
        <f>-BK$23*'операционные  расходы 1 этап'!$T$15</f>
        <v>-25439.316803739577</v>
      </c>
      <c r="BL36" s="35">
        <f>-BL$23*'операционные  расходы 1 этап'!$T$15</f>
        <v>-10741.868474840345</v>
      </c>
      <c r="BM36" s="35">
        <f>-BM$23*'операционные  расходы 1 этап'!$T$15</f>
        <v>-16638.227661575387</v>
      </c>
      <c r="BN36" s="35">
        <f>-BN$23*'операционные  расходы 1 этап'!$T$15</f>
        <v>-20857.574842257502</v>
      </c>
      <c r="BO36" s="35">
        <f>-BO$23*'операционные  расходы 1 этап'!$T$15</f>
        <v>-26711.282643926555</v>
      </c>
      <c r="BP36" s="35">
        <f>-BP$23*'операционные  расходы 1 этап'!$T$15</f>
        <v>-11278.96189858236</v>
      </c>
      <c r="BQ36" s="35">
        <f>-BQ$23*'операционные  расходы 1 этап'!$T$15</f>
        <v>-20857.574842257502</v>
      </c>
      <c r="BR36" s="35">
        <f>-BR$23*'операционные  расходы 1 этап'!$T$15</f>
        <v>-26711.282643926559</v>
      </c>
      <c r="BS36" s="35">
        <f>-BS$23*'операционные  расходы 1 этап'!$T$15</f>
        <v>-11278.961898582362</v>
      </c>
      <c r="BT36" s="35">
        <f>-BT$23*'операционные  расходы 1 этап'!$T$15</f>
        <v>-17470.139044654155</v>
      </c>
      <c r="BU36" s="35">
        <f>-BU$23*'операционные  расходы 1 этап'!$T$15</f>
        <v>-21900.453584370378</v>
      </c>
      <c r="BV36" s="35">
        <f>-BV$23*'операционные  расходы 1 этап'!$T$15</f>
        <v>-28046.846776122886</v>
      </c>
      <c r="BW36" s="35">
        <f>-BW$23*'операционные  расходы 1 этап'!$T$15</f>
        <v>-11842.909993511477</v>
      </c>
      <c r="BX36" s="35">
        <f>-BX$23*'операционные  расходы 1 этап'!$T$15</f>
        <v>-21900.453584370378</v>
      </c>
      <c r="BY36" s="35">
        <f>-BY$23*'операционные  расходы 1 этап'!$T$15</f>
        <v>-28046.846776122889</v>
      </c>
      <c r="BZ36" s="35">
        <f>-BZ$23*'операционные  расходы 1 этап'!$T$15</f>
        <v>-11842.909993511479</v>
      </c>
      <c r="CA36" s="35">
        <f>-CA$23*'операционные  расходы 1 этап'!$T$15</f>
        <v>-18343.645996886862</v>
      </c>
      <c r="CB36" s="35">
        <f>-CB$23*'операционные  расходы 1 этап'!$T$15</f>
        <v>-22995.476263588902</v>
      </c>
      <c r="CC36" s="35">
        <f>-CC$23*'операционные  расходы 1 этап'!$T$15</f>
        <v>-29449.189114929031</v>
      </c>
      <c r="CD36" s="35">
        <f>-CD$23*'операционные  расходы 1 этап'!$T$15</f>
        <v>-12435.055493187052</v>
      </c>
      <c r="CE36" s="35">
        <f>-CE$23*'операционные  расходы 1 этап'!$T$15</f>
        <v>-22995.476263588902</v>
      </c>
      <c r="CF36" s="35">
        <f>-CF$23*'операционные  расходы 1 этап'!$T$15</f>
        <v>-29449.189114929035</v>
      </c>
      <c r="CG36" s="35">
        <f>-CG$23*'операционные  расходы 1 этап'!$T$15</f>
        <v>-12435.055493187056</v>
      </c>
      <c r="CH36" s="35">
        <f>-CH$23*'операционные  расходы 1 этап'!$T$15</f>
        <v>-19260.828296731208</v>
      </c>
      <c r="CI36" s="35">
        <f>-CI$23*'операционные  расходы 1 этап'!$T$15</f>
        <v>-24145.250076768345</v>
      </c>
      <c r="CJ36" s="35">
        <f>-CJ$23*'операционные  расходы 1 этап'!$T$15</f>
        <v>-30921.648570675487</v>
      </c>
      <c r="CK36" s="35">
        <f>-CK$23*'операционные  расходы 1 этап'!$T$15</f>
        <v>-13056.808267846405</v>
      </c>
      <c r="CL36" s="35">
        <f>-CL$23*'операционные  расходы 1 этап'!$T$15</f>
        <v>-24145.250076768345</v>
      </c>
      <c r="CM36" s="35">
        <f>-CM$23*'операционные  расходы 1 этап'!$T$15</f>
        <v>-30921.64857067549</v>
      </c>
      <c r="CN36" s="35">
        <f>-CN$23*'операционные  расходы 1 этап'!$T$15</f>
        <v>-13056.808267846407</v>
      </c>
      <c r="CO36" s="35">
        <f>-CO$23*'операционные  расходы 1 этап'!$T$15</f>
        <v>-20223.869711567768</v>
      </c>
    </row>
    <row r="37" spans="1:93" ht="12.75" customHeight="1" outlineLevel="2">
      <c r="A37" s="35"/>
      <c r="B37" s="63" t="s">
        <v>138</v>
      </c>
      <c r="C37" s="74">
        <f t="shared" si="229"/>
        <v>0</v>
      </c>
      <c r="D37" s="60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</row>
    <row r="38" spans="1:93" ht="12.75" customHeight="1" outlineLevel="2">
      <c r="A38" s="35"/>
      <c r="B38" s="63" t="s">
        <v>139</v>
      </c>
      <c r="C38" s="74">
        <f t="shared" si="229"/>
        <v>-241238.25501120699</v>
      </c>
      <c r="D38" s="60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>
        <f>-W$27*'операционные  расходы 1 этап'!$P16</f>
        <v>-2773.8980160788824</v>
      </c>
      <c r="X38" s="35">
        <f>-X$27*'операционные  расходы 1 этап'!$P16</f>
        <v>-3350.938553032147</v>
      </c>
      <c r="Y38" s="35">
        <f>-Y$27*'операционные  расходы 1 этап'!$P16</f>
        <v>-1820.5414251950297</v>
      </c>
      <c r="Z38" s="35">
        <f>-Z$27*'операционные  расходы 1 этап'!$P16</f>
        <v>-2303.827168036134</v>
      </c>
      <c r="AA38" s="35">
        <f>-AA$27*'операционные  расходы 1 этап'!$P16</f>
        <v>-2890.8455459563556</v>
      </c>
      <c r="AB38" s="35">
        <f>-AB$27*'операционные  расходы 1 этап'!$P16</f>
        <v>-3494.844235333343</v>
      </c>
      <c r="AC38" s="35">
        <f>-AC$27*'операционные  расходы 1 этап'!$P16</f>
        <v>-1892.2404221358988</v>
      </c>
      <c r="AD38" s="35">
        <f>-AD$27*'операционные  расходы 1 этап'!$P16</f>
        <v>-2507.9717166018809</v>
      </c>
      <c r="AE38" s="35">
        <f>-AE$27*'операционные  расходы 1 этап'!$P16</f>
        <v>-3141.3038741305227</v>
      </c>
      <c r="AF38" s="35">
        <f>-AF$27*'операционные  расходы 1 этап'!$P16</f>
        <v>-3791.2678307198948</v>
      </c>
      <c r="AG38" s="35">
        <f>-AG$27*'операционные  расходы 1 этап'!$P16</f>
        <v>-2065.3191170929476</v>
      </c>
      <c r="AH38" s="35">
        <f>-AH$27*'операционные  расходы 1 этап'!$P16</f>
        <v>-3035.3878232541738</v>
      </c>
      <c r="AI38" s="35">
        <f>-AI$27*'операционные  расходы 1 этап'!$P16</f>
        <v>-3669.5864471000095</v>
      </c>
      <c r="AJ38" s="35">
        <f>-AJ$27*'операционные  расходы 1 этап'!$P16</f>
        <v>-1986.8524432426937</v>
      </c>
      <c r="AK38" s="35">
        <f>-AK$27*'операционные  расходы 1 этап'!$P16</f>
        <v>-2633.3703024319748</v>
      </c>
      <c r="AL38" s="35">
        <f>-AL$27*'операционные  расходы 1 этап'!$P16</f>
        <v>-3298.3690678370481</v>
      </c>
      <c r="AM38" s="35">
        <f>-AM$27*'операционные  расходы 1 этап'!$P16</f>
        <v>-3980.8312222558902</v>
      </c>
      <c r="AN38" s="35">
        <f>-AN$27*'операционные  расходы 1 этап'!$P16</f>
        <v>-2168.5850729475951</v>
      </c>
      <c r="AO38" s="35">
        <f>-AO$27*'операционные  расходы 1 этап'!$P16</f>
        <v>-3187.1572144168827</v>
      </c>
      <c r="AP38" s="35">
        <f>-AP$27*'операционные  расходы 1 этап'!$P16</f>
        <v>-3853.0657694550105</v>
      </c>
      <c r="AQ38" s="35">
        <f>-AQ$27*'операционные  расходы 1 этап'!$P16</f>
        <v>-2086.1950654048287</v>
      </c>
      <c r="AR38" s="35">
        <f>-AR$27*'операционные  расходы 1 этап'!$P16</f>
        <v>-2765.0388175535732</v>
      </c>
      <c r="AS38" s="35">
        <f>-AS$27*'операционные  расходы 1 этап'!$P16</f>
        <v>-3463.2875212289009</v>
      </c>
      <c r="AT38" s="35">
        <f>-AT$27*'операционные  расходы 1 этап'!$P16</f>
        <v>-4179.8727833686844</v>
      </c>
      <c r="AU38" s="35">
        <f>-AU$27*'операционные  расходы 1 этап'!$P16</f>
        <v>-2277.014326594975</v>
      </c>
      <c r="AV38" s="35">
        <f>-AV$27*'операционные  расходы 1 этап'!$P16</f>
        <v>-3346.5150751377269</v>
      </c>
      <c r="AW38" s="35">
        <f>-AW$27*'операционные  расходы 1 этап'!$P16</f>
        <v>-4045.7190579277617</v>
      </c>
      <c r="AX38" s="35">
        <f>-AX$27*'операционные  расходы 1 этап'!$P16</f>
        <v>-2190.5048186750705</v>
      </c>
      <c r="AY38" s="35">
        <f>-AY$27*'операционные  расходы 1 этап'!$P16</f>
        <v>-2903.2907584312525</v>
      </c>
      <c r="AZ38" s="35">
        <f>-AZ$27*'операционные  расходы 1 этап'!$P16</f>
        <v>-3636.4518972903461</v>
      </c>
      <c r="BA38" s="35">
        <f>-BA$27*'операционные  расходы 1 этап'!$P16</f>
        <v>-4388.8664225371185</v>
      </c>
      <c r="BB38" s="35">
        <f>-BB$27*'операционные  расходы 1 этап'!$P16</f>
        <v>-2390.8650429247241</v>
      </c>
      <c r="BC38" s="35">
        <f>-BC$27*'операционные  расходы 1 этап'!$P16</f>
        <v>-3513.840828894613</v>
      </c>
      <c r="BD38" s="35">
        <f>-BD$27*'операционные  расходы 1 этап'!$P16</f>
        <v>-4248.0050108241494</v>
      </c>
      <c r="BE38" s="35">
        <f>-BE$27*'операционные  расходы 1 этап'!$P16</f>
        <v>-2300.0300596088236</v>
      </c>
      <c r="BF38" s="35">
        <f>-BF$27*'операционные  расходы 1 этап'!$P16</f>
        <v>-3048.4552963528149</v>
      </c>
      <c r="BG38" s="35">
        <f>-BG$27*'операционные  расходы 1 этап'!$P16</f>
        <v>-3818.2744921548638</v>
      </c>
      <c r="BH38" s="35">
        <f>-BH$27*'операционные  расходы 1 этап'!$P16</f>
        <v>-4608.3097436639755</v>
      </c>
      <c r="BI38" s="35">
        <f>-BI$27*'операционные  расходы 1 этап'!$P16</f>
        <v>-2510.4082950709599</v>
      </c>
      <c r="BJ38" s="35">
        <f>-BJ$27*'операционные  расходы 1 этап'!$P16</f>
        <v>-3689.5328703393443</v>
      </c>
      <c r="BK38" s="35">
        <f>-BK$27*'операционные  расходы 1 этап'!$P16</f>
        <v>-4460.4052613653575</v>
      </c>
      <c r="BL38" s="35">
        <f>-BL$27*'операционные  расходы 1 этап'!$P16</f>
        <v>-2415.0315625892649</v>
      </c>
      <c r="BM38" s="35">
        <f>-BM$27*'операционные  расходы 1 этап'!$P16</f>
        <v>-3200.878061170456</v>
      </c>
      <c r="BN38" s="35">
        <f>-BN$27*'операционные  расходы 1 этап'!$P16</f>
        <v>-4009.1882167626068</v>
      </c>
      <c r="BO38" s="35">
        <f>-BO$27*'операционные  расходы 1 этап'!$P16</f>
        <v>-4838.7252308471743</v>
      </c>
      <c r="BP38" s="35">
        <f>-BP$27*'операционные  расходы 1 этап'!$P16</f>
        <v>-2635.9287098245086</v>
      </c>
      <c r="BQ38" s="35">
        <f>-BQ$27*'операционные  расходы 1 этап'!$P16</f>
        <v>-3874.009513856312</v>
      </c>
      <c r="BR38" s="35">
        <f>-BR$27*'операционные  расходы 1 этап'!$P16</f>
        <v>-4683.4255244336246</v>
      </c>
      <c r="BS38" s="35">
        <f>-BS$27*'операционные  расходы 1 этап'!$P16</f>
        <v>-2535.7831407187286</v>
      </c>
      <c r="BT38" s="35">
        <f>-BT$27*'операционные  расходы 1 этап'!$P16</f>
        <v>-3360.9219642289786</v>
      </c>
      <c r="BU38" s="35">
        <f>-BU$27*'операционные  расходы 1 этап'!$P16</f>
        <v>-4209.6476276007379</v>
      </c>
      <c r="BV38" s="35">
        <f>-BV$27*'операционные  расходы 1 этап'!$P16</f>
        <v>-5080.6614923895331</v>
      </c>
      <c r="BW38" s="35">
        <f>-BW$27*'операционные  расходы 1 этап'!$P16</f>
        <v>-2767.7251453157342</v>
      </c>
      <c r="BX38" s="35">
        <f>-BX$27*'операционные  расходы 1 этап'!$P16</f>
        <v>-4067.7099895491278</v>
      </c>
      <c r="BY38" s="35">
        <f>-BY$27*'операционные  расходы 1 этап'!$P16</f>
        <v>-4917.5968006553067</v>
      </c>
      <c r="BZ38" s="35">
        <f>-BZ$27*'операционные  расходы 1 этап'!$P16</f>
        <v>-2662.5722977546648</v>
      </c>
      <c r="CA38" s="35">
        <f>-CA$27*'операционные  расходы 1 этап'!$P16</f>
        <v>-3528.9680624404282</v>
      </c>
      <c r="CB38" s="35">
        <f>-CB$27*'операционные  расходы 1 этап'!$P16</f>
        <v>-4420.1300089807755</v>
      </c>
      <c r="CC38" s="35">
        <f>-CC$27*'операционные  расходы 1 этап'!$P16</f>
        <v>-5334.6945670090108</v>
      </c>
      <c r="CD38" s="35">
        <f>-CD$27*'операционные  расходы 1 этап'!$P16</f>
        <v>-2906.1114025815205</v>
      </c>
      <c r="CE38" s="35">
        <f>-CE$27*'операционные  расходы 1 этап'!$P16</f>
        <v>-4271.0954890265839</v>
      </c>
      <c r="CF38" s="35">
        <f>-CF$27*'операционные  расходы 1 этап'!$P16</f>
        <v>-5163.4766406880726</v>
      </c>
      <c r="CG38" s="35">
        <f>-CG$27*'операционные  расходы 1 этап'!$P16</f>
        <v>-2795.7009126423986</v>
      </c>
      <c r="CH38" s="35">
        <f>-CH$27*'операционные  расходы 1 этап'!$P16</f>
        <v>-3705.4164655624495</v>
      </c>
      <c r="CI38" s="35">
        <f>-CI$27*'операционные  расходы 1 этап'!$P16</f>
        <v>-4641.1365094298135</v>
      </c>
      <c r="CJ38" s="35">
        <f>-CJ$27*'операционные  расходы 1 этап'!$P16</f>
        <v>-5601.4292953594604</v>
      </c>
      <c r="CK38" s="35">
        <f>-CK$27*'операционные  расходы 1 этап'!$P16</f>
        <v>-3051.4169727105968</v>
      </c>
      <c r="CL38" s="35">
        <f>-CL$27*'операционные  расходы 1 этап'!$P16</f>
        <v>-4484.6502634779135</v>
      </c>
      <c r="CM38" s="35">
        <f>-CM$27*'операционные  расходы 1 этап'!$P16</f>
        <v>-5421.6504727224765</v>
      </c>
      <c r="CN38" s="35">
        <f>-CN$27*'операционные  расходы 1 этап'!$P16</f>
        <v>-2935.4859582745185</v>
      </c>
      <c r="CO38" s="35">
        <f>-CO$27*'операционные  расходы 1 этап'!$P16</f>
        <v>-3890.6872888405728</v>
      </c>
    </row>
    <row r="39" spans="1:93" ht="12.75" customHeight="1" outlineLevel="2">
      <c r="A39" s="35"/>
      <c r="B39" s="63" t="s">
        <v>140</v>
      </c>
      <c r="C39" s="74">
        <f t="shared" si="229"/>
        <v>-192990.60400896557</v>
      </c>
      <c r="D39" s="60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>
        <f>-W$27*'операционные  расходы 1 этап'!$P17</f>
        <v>-2219.1184128631062</v>
      </c>
      <c r="X39" s="35">
        <f>-X$27*'операционные  расходы 1 этап'!$P17</f>
        <v>-2680.7508424257176</v>
      </c>
      <c r="Y39" s="35">
        <f>-Y$27*'операционные  расходы 1 этап'!$P17</f>
        <v>-1456.4331401560237</v>
      </c>
      <c r="Z39" s="35">
        <f>-Z$27*'операционные  расходы 1 этап'!$P17</f>
        <v>-1843.0617344289074</v>
      </c>
      <c r="AA39" s="35">
        <f>-AA$27*'операционные  расходы 1 этап'!$P17</f>
        <v>-2312.6764367650844</v>
      </c>
      <c r="AB39" s="35">
        <f>-AB$27*'операционные  расходы 1 этап'!$P17</f>
        <v>-2795.8753882666742</v>
      </c>
      <c r="AC39" s="35">
        <f>-AC$27*'операционные  расходы 1 этап'!$P17</f>
        <v>-1513.7923377087191</v>
      </c>
      <c r="AD39" s="35">
        <f>-AD$27*'операционные  расходы 1 этап'!$P17</f>
        <v>-2006.3773732815046</v>
      </c>
      <c r="AE39" s="35">
        <f>-AE$27*'операционные  расходы 1 этап'!$P17</f>
        <v>-2513.0430993044183</v>
      </c>
      <c r="AF39" s="35">
        <f>-AF$27*'операционные  расходы 1 этап'!$P17</f>
        <v>-3033.0142645759161</v>
      </c>
      <c r="AG39" s="35">
        <f>-AG$27*'операционные  расходы 1 этап'!$P17</f>
        <v>-1652.2552936743582</v>
      </c>
      <c r="AH39" s="35">
        <f>-AH$27*'операционные  расходы 1 этап'!$P17</f>
        <v>-2428.3102586033392</v>
      </c>
      <c r="AI39" s="35">
        <f>-AI$27*'операционные  расходы 1 этап'!$P17</f>
        <v>-2935.6691576800076</v>
      </c>
      <c r="AJ39" s="35">
        <f>-AJ$27*'операционные  расходы 1 этап'!$P17</f>
        <v>-1589.4819545941548</v>
      </c>
      <c r="AK39" s="35">
        <f>-AK$27*'операционные  расходы 1 этап'!$P17</f>
        <v>-2106.6962419455799</v>
      </c>
      <c r="AL39" s="35">
        <f>-AL$27*'операционные  расходы 1 этап'!$P17</f>
        <v>-2638.6952542696386</v>
      </c>
      <c r="AM39" s="35">
        <f>-AM$27*'операционные  расходы 1 этап'!$P17</f>
        <v>-3184.6649778047122</v>
      </c>
      <c r="AN39" s="35">
        <f>-AN$27*'операционные  расходы 1 этап'!$P17</f>
        <v>-1734.868058358076</v>
      </c>
      <c r="AO39" s="35">
        <f>-AO$27*'операционные  расходы 1 этап'!$P17</f>
        <v>-2549.7257715335058</v>
      </c>
      <c r="AP39" s="35">
        <f>-AP$27*'операционные  расходы 1 этап'!$P17</f>
        <v>-3082.4526155640083</v>
      </c>
      <c r="AQ39" s="35">
        <f>-AQ$27*'операционные  расходы 1 этап'!$P17</f>
        <v>-1668.9560523238629</v>
      </c>
      <c r="AR39" s="35">
        <f>-AR$27*'операционные  расходы 1 этап'!$P17</f>
        <v>-2212.0310540428586</v>
      </c>
      <c r="AS39" s="35">
        <f>-AS$27*'операционные  расходы 1 этап'!$P17</f>
        <v>-2770.6300169831206</v>
      </c>
      <c r="AT39" s="35">
        <f>-AT$27*'операционные  расходы 1 этап'!$P17</f>
        <v>-3343.8982266949474</v>
      </c>
      <c r="AU39" s="35">
        <f>-AU$27*'операционные  расходы 1 этап'!$P17</f>
        <v>-1821.61146127598</v>
      </c>
      <c r="AV39" s="35">
        <f>-AV$27*'операционные  расходы 1 этап'!$P17</f>
        <v>-2677.2120601101815</v>
      </c>
      <c r="AW39" s="35">
        <f>-AW$27*'операционные  расходы 1 этап'!$P17</f>
        <v>-3236.5752463422091</v>
      </c>
      <c r="AX39" s="35">
        <f>-AX$27*'операционные  расходы 1 этап'!$P17</f>
        <v>-1752.4038549400564</v>
      </c>
      <c r="AY39" s="35">
        <f>-AY$27*'операционные  расходы 1 этап'!$P17</f>
        <v>-2322.6326067450018</v>
      </c>
      <c r="AZ39" s="35">
        <f>-AZ$27*'операционные  расходы 1 этап'!$P17</f>
        <v>-2909.1615178322768</v>
      </c>
      <c r="BA39" s="35">
        <f>-BA$27*'операционные  расходы 1 этап'!$P17</f>
        <v>-3511.0931380296947</v>
      </c>
      <c r="BB39" s="35">
        <f>-BB$27*'операционные  расходы 1 этап'!$P17</f>
        <v>-1912.6920343397792</v>
      </c>
      <c r="BC39" s="35">
        <f>-BC$27*'операционные  расходы 1 этап'!$P17</f>
        <v>-2811.0726631156904</v>
      </c>
      <c r="BD39" s="35">
        <f>-BD$27*'операционные  расходы 1 этап'!$P17</f>
        <v>-3398.4040086593195</v>
      </c>
      <c r="BE39" s="35">
        <f>-BE$27*'операционные  расходы 1 этап'!$P17</f>
        <v>-1840.024047687059</v>
      </c>
      <c r="BF39" s="35">
        <f>-BF$27*'операционные  расходы 1 этап'!$P17</f>
        <v>-2438.7642370822518</v>
      </c>
      <c r="BG39" s="35">
        <f>-BG$27*'операционные  расходы 1 этап'!$P17</f>
        <v>-3054.6195937238908</v>
      </c>
      <c r="BH39" s="35">
        <f>-BH$27*'операционные  расходы 1 этап'!$P17</f>
        <v>-3686.6477949311802</v>
      </c>
      <c r="BI39" s="35">
        <f>-BI$27*'операционные  расходы 1 этап'!$P17</f>
        <v>-2008.3266360567677</v>
      </c>
      <c r="BJ39" s="35">
        <f>-BJ$27*'операционные  расходы 1 этап'!$P17</f>
        <v>-2951.6262962714754</v>
      </c>
      <c r="BK39" s="35">
        <f>-BK$27*'операционные  расходы 1 этап'!$P17</f>
        <v>-3568.3242090922859</v>
      </c>
      <c r="BL39" s="35">
        <f>-BL$27*'операционные  расходы 1 этап'!$P17</f>
        <v>-1932.0252500714121</v>
      </c>
      <c r="BM39" s="35">
        <f>-BM$27*'операционные  расходы 1 этап'!$P17</f>
        <v>-2560.7024489363648</v>
      </c>
      <c r="BN39" s="35">
        <f>-BN$27*'операционные  расходы 1 этап'!$P17</f>
        <v>-3207.3505734100854</v>
      </c>
      <c r="BO39" s="35">
        <f>-BO$27*'операционные  расходы 1 этап'!$P17</f>
        <v>-3870.9801846777391</v>
      </c>
      <c r="BP39" s="35">
        <f>-BP$27*'операционные  расходы 1 этап'!$P17</f>
        <v>-2108.7429678596068</v>
      </c>
      <c r="BQ39" s="35">
        <f>-BQ$27*'операционные  расходы 1 этап'!$P17</f>
        <v>-3099.2076110850494</v>
      </c>
      <c r="BR39" s="35">
        <f>-BR$27*'операционные  расходы 1 этап'!$P17</f>
        <v>-3746.7404195468998</v>
      </c>
      <c r="BS39" s="35">
        <f>-BS$27*'операционные  расходы 1 этап'!$P17</f>
        <v>-2028.6265125749828</v>
      </c>
      <c r="BT39" s="35">
        <f>-BT$27*'операционные  расходы 1 этап'!$P17</f>
        <v>-2688.737571383183</v>
      </c>
      <c r="BU39" s="35">
        <f>-BU$27*'операционные  расходы 1 этап'!$P17</f>
        <v>-3367.7181020805906</v>
      </c>
      <c r="BV39" s="35">
        <f>-BV$27*'операционные  расходы 1 этап'!$P17</f>
        <v>-4064.5291939116264</v>
      </c>
      <c r="BW39" s="35">
        <f>-BW$27*'операционные  расходы 1 этап'!$P17</f>
        <v>-2214.1801162525871</v>
      </c>
      <c r="BX39" s="35">
        <f>-BX$27*'операционные  расходы 1 этап'!$P17</f>
        <v>-3254.1679916393023</v>
      </c>
      <c r="BY39" s="35">
        <f>-BY$27*'операционные  расходы 1 этап'!$P17</f>
        <v>-3934.077440524245</v>
      </c>
      <c r="BZ39" s="35">
        <f>-BZ$27*'операционные  расходы 1 этап'!$P17</f>
        <v>-2130.057838203732</v>
      </c>
      <c r="CA39" s="35">
        <f>-CA$27*'операционные  расходы 1 этап'!$P17</f>
        <v>-2823.1744499523425</v>
      </c>
      <c r="CB39" s="35">
        <f>-CB$27*'операционные  расходы 1 этап'!$P17</f>
        <v>-3536.1040071846201</v>
      </c>
      <c r="CC39" s="35">
        <f>-CC$27*'операционные  расходы 1 этап'!$P17</f>
        <v>-4267.7556536072079</v>
      </c>
      <c r="CD39" s="35">
        <f>-CD$27*'операционные  расходы 1 этап'!$P17</f>
        <v>-2324.8891220652163</v>
      </c>
      <c r="CE39" s="35">
        <f>-CE$27*'операционные  расходы 1 этап'!$P17</f>
        <v>-3416.8763912212671</v>
      </c>
      <c r="CF39" s="35">
        <f>-CF$27*'операционные  расходы 1 этап'!$P17</f>
        <v>-4130.7813125504581</v>
      </c>
      <c r="CG39" s="35">
        <f>-CG$27*'операционные  расходы 1 этап'!$P17</f>
        <v>-2236.5607301139189</v>
      </c>
      <c r="CH39" s="35">
        <f>-CH$27*'операционные  расходы 1 этап'!$P17</f>
        <v>-2964.3331724499594</v>
      </c>
      <c r="CI39" s="35">
        <f>-CI$27*'операционные  расходы 1 этап'!$P17</f>
        <v>-3712.9092075438512</v>
      </c>
      <c r="CJ39" s="35">
        <f>-CJ$27*'операционные  расходы 1 этап'!$P17</f>
        <v>-4481.143436287568</v>
      </c>
      <c r="CK39" s="35">
        <f>-CK$27*'операционные  расходы 1 этап'!$P17</f>
        <v>-2441.1335781684775</v>
      </c>
      <c r="CL39" s="35">
        <f>-CL$27*'операционные  расходы 1 этап'!$P17</f>
        <v>-3587.7202107823305</v>
      </c>
      <c r="CM39" s="35">
        <f>-CM$27*'операционные  расходы 1 этап'!$P17</f>
        <v>-4337.3203781779812</v>
      </c>
      <c r="CN39" s="35">
        <f>-CN$27*'операционные  расходы 1 этап'!$P17</f>
        <v>-2348.3887666196147</v>
      </c>
      <c r="CO39" s="35">
        <f>-CO$27*'операционные  расходы 1 этап'!$P17</f>
        <v>-3112.5498310724583</v>
      </c>
    </row>
    <row r="40" spans="1:93" ht="12.75" customHeight="1" outlineLevel="2">
      <c r="A40" s="35"/>
      <c r="B40" s="63" t="s">
        <v>141</v>
      </c>
      <c r="C40" s="74">
        <f t="shared" si="229"/>
        <v>-120619.12750560349</v>
      </c>
      <c r="D40" s="60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>
        <f>-W$27*'операционные  расходы 1 этап'!$P18</f>
        <v>-1386.9490080394412</v>
      </c>
      <c r="X40" s="35">
        <f>-X$27*'операционные  расходы 1 этап'!$P18</f>
        <v>-1675.4692765160735</v>
      </c>
      <c r="Y40" s="35">
        <f>-Y$27*'операционные  расходы 1 этап'!$P18</f>
        <v>-910.27071259751483</v>
      </c>
      <c r="Z40" s="35">
        <f>-Z$27*'операционные  расходы 1 этап'!$P18</f>
        <v>-1151.913584018067</v>
      </c>
      <c r="AA40" s="35">
        <f>-AA$27*'операционные  расходы 1 этап'!$P18</f>
        <v>-1445.4227729781778</v>
      </c>
      <c r="AB40" s="35">
        <f>-AB$27*'операционные  расходы 1 этап'!$P18</f>
        <v>-1747.4221176666715</v>
      </c>
      <c r="AC40" s="35">
        <f>-AC$27*'операционные  расходы 1 этап'!$P18</f>
        <v>-946.12021106794941</v>
      </c>
      <c r="AD40" s="35">
        <f>-AD$27*'операционные  расходы 1 этап'!$P18</f>
        <v>-1253.9858583009404</v>
      </c>
      <c r="AE40" s="35">
        <f>-AE$27*'операционные  расходы 1 этап'!$P18</f>
        <v>-1570.6519370652613</v>
      </c>
      <c r="AF40" s="35">
        <f>-AF$27*'операционные  расходы 1 этап'!$P18</f>
        <v>-1895.6339153599474</v>
      </c>
      <c r="AG40" s="35">
        <f>-AG$27*'операционные  расходы 1 этап'!$P18</f>
        <v>-1032.6595585464738</v>
      </c>
      <c r="AH40" s="35">
        <f>-AH$27*'операционные  расходы 1 этап'!$P18</f>
        <v>-1517.6939116270869</v>
      </c>
      <c r="AI40" s="35">
        <f>-AI$27*'операционные  расходы 1 этап'!$P18</f>
        <v>-1834.7932235500048</v>
      </c>
      <c r="AJ40" s="35">
        <f>-AJ$27*'операционные  расходы 1 этап'!$P18</f>
        <v>-993.42622162134683</v>
      </c>
      <c r="AK40" s="35">
        <f>-AK$27*'операционные  расходы 1 этап'!$P18</f>
        <v>-1316.6851512159874</v>
      </c>
      <c r="AL40" s="35">
        <f>-AL$27*'операционные  расходы 1 этап'!$P18</f>
        <v>-1649.184533918524</v>
      </c>
      <c r="AM40" s="35">
        <f>-AM$27*'операционные  расходы 1 этап'!$P18</f>
        <v>-1990.4156111279451</v>
      </c>
      <c r="AN40" s="35">
        <f>-AN$27*'операционные  расходы 1 этап'!$P18</f>
        <v>-1084.2925364737976</v>
      </c>
      <c r="AO40" s="35">
        <f>-AO$27*'операционные  расходы 1 этап'!$P18</f>
        <v>-1593.5786072084413</v>
      </c>
      <c r="AP40" s="35">
        <f>-AP$27*'операционные  расходы 1 этап'!$P18</f>
        <v>-1926.5328847275052</v>
      </c>
      <c r="AQ40" s="35">
        <f>-AQ$27*'операционные  расходы 1 этап'!$P18</f>
        <v>-1043.0975327024144</v>
      </c>
      <c r="AR40" s="35">
        <f>-AR$27*'операционные  расходы 1 этап'!$P18</f>
        <v>-1382.5194087767866</v>
      </c>
      <c r="AS40" s="35">
        <f>-AS$27*'операционные  расходы 1 этап'!$P18</f>
        <v>-1731.6437606144505</v>
      </c>
      <c r="AT40" s="35">
        <f>-AT$27*'операционные  расходы 1 этап'!$P18</f>
        <v>-2089.9363916843422</v>
      </c>
      <c r="AU40" s="35">
        <f>-AU$27*'операционные  расходы 1 этап'!$P18</f>
        <v>-1138.5071632974875</v>
      </c>
      <c r="AV40" s="35">
        <f>-AV$27*'операционные  расходы 1 этап'!$P18</f>
        <v>-1673.2575375688634</v>
      </c>
      <c r="AW40" s="35">
        <f>-AW$27*'операционные  расходы 1 этап'!$P18</f>
        <v>-2022.8595289638808</v>
      </c>
      <c r="AX40" s="35">
        <f>-AX$27*'операционные  расходы 1 этап'!$P18</f>
        <v>-1095.2524093375353</v>
      </c>
      <c r="AY40" s="35">
        <f>-AY$27*'операционные  расходы 1 этап'!$P18</f>
        <v>-1451.6453792156262</v>
      </c>
      <c r="AZ40" s="35">
        <f>-AZ$27*'операционные  расходы 1 этап'!$P18</f>
        <v>-1818.225948645173</v>
      </c>
      <c r="BA40" s="35">
        <f>-BA$27*'операционные  расходы 1 этап'!$P18</f>
        <v>-2194.4332112685593</v>
      </c>
      <c r="BB40" s="35">
        <f>-BB$27*'операционные  расходы 1 этап'!$P18</f>
        <v>-1195.432521462362</v>
      </c>
      <c r="BC40" s="35">
        <f>-BC$27*'операционные  расходы 1 этап'!$P18</f>
        <v>-1756.9204144473065</v>
      </c>
      <c r="BD40" s="35">
        <f>-BD$27*'операционные  расходы 1 этап'!$P18</f>
        <v>-2124.0025054120747</v>
      </c>
      <c r="BE40" s="35">
        <f>-BE$27*'операционные  расходы 1 этап'!$P18</f>
        <v>-1150.0150298044118</v>
      </c>
      <c r="BF40" s="35">
        <f>-BF$27*'операционные  расходы 1 этап'!$P18</f>
        <v>-1524.2276481764075</v>
      </c>
      <c r="BG40" s="35">
        <f>-BG$27*'операционные  расходы 1 этап'!$P18</f>
        <v>-1909.1372460774319</v>
      </c>
      <c r="BH40" s="35">
        <f>-BH$27*'операционные  расходы 1 этап'!$P18</f>
        <v>-2304.1548718319877</v>
      </c>
      <c r="BI40" s="35">
        <f>-BI$27*'операционные  расходы 1 этап'!$P18</f>
        <v>-1255.2041475354799</v>
      </c>
      <c r="BJ40" s="35">
        <f>-BJ$27*'операционные  расходы 1 этап'!$P18</f>
        <v>-1844.7664351696721</v>
      </c>
      <c r="BK40" s="35">
        <f>-BK$27*'операционные  расходы 1 этап'!$P18</f>
        <v>-2230.2026306826788</v>
      </c>
      <c r="BL40" s="35">
        <f>-BL$27*'операционные  расходы 1 этап'!$P18</f>
        <v>-1207.5157812946325</v>
      </c>
      <c r="BM40" s="35">
        <f>-BM$27*'операционные  расходы 1 этап'!$P18</f>
        <v>-1600.439030585228</v>
      </c>
      <c r="BN40" s="35">
        <f>-BN$27*'операционные  расходы 1 этап'!$P18</f>
        <v>-2004.5941083813034</v>
      </c>
      <c r="BO40" s="35">
        <f>-BO$27*'операционные  расходы 1 этап'!$P18</f>
        <v>-2419.3626154235872</v>
      </c>
      <c r="BP40" s="35">
        <f>-BP$27*'операционные  расходы 1 этап'!$P18</f>
        <v>-1317.9643549122543</v>
      </c>
      <c r="BQ40" s="35">
        <f>-BQ$27*'операционные  расходы 1 этап'!$P18</f>
        <v>-1937.004756928156</v>
      </c>
      <c r="BR40" s="35">
        <f>-BR$27*'операционные  расходы 1 этап'!$P18</f>
        <v>-2341.7127622168123</v>
      </c>
      <c r="BS40" s="35">
        <f>-BS$27*'операционные  расходы 1 этап'!$P18</f>
        <v>-1267.8915703593643</v>
      </c>
      <c r="BT40" s="35">
        <f>-BT$27*'операционные  расходы 1 этап'!$P18</f>
        <v>-1680.4609821144893</v>
      </c>
      <c r="BU40" s="35">
        <f>-BU$27*'операционные  расходы 1 этап'!$P18</f>
        <v>-2104.823813800369</v>
      </c>
      <c r="BV40" s="35">
        <f>-BV$27*'операционные  расходы 1 этап'!$P18</f>
        <v>-2540.3307461947666</v>
      </c>
      <c r="BW40" s="35">
        <f>-BW$27*'операционные  расходы 1 этап'!$P18</f>
        <v>-1383.8625726578671</v>
      </c>
      <c r="BX40" s="35">
        <f>-BX$27*'операционные  расходы 1 этап'!$P18</f>
        <v>-2033.8549947745639</v>
      </c>
      <c r="BY40" s="35">
        <f>-BY$27*'операционные  расходы 1 этап'!$P18</f>
        <v>-2458.7984003276533</v>
      </c>
      <c r="BZ40" s="35">
        <f>-BZ$27*'операционные  расходы 1 этап'!$P18</f>
        <v>-1331.2861488773324</v>
      </c>
      <c r="CA40" s="35">
        <f>-CA$27*'операционные  расходы 1 этап'!$P18</f>
        <v>-1764.4840312202141</v>
      </c>
      <c r="CB40" s="35">
        <f>-CB$27*'операционные  расходы 1 этап'!$P18</f>
        <v>-2210.0650044903878</v>
      </c>
      <c r="CC40" s="35">
        <f>-CC$27*'операционные  расходы 1 этап'!$P18</f>
        <v>-2667.3472835045054</v>
      </c>
      <c r="CD40" s="35">
        <f>-CD$27*'операционные  расходы 1 этап'!$P18</f>
        <v>-1453.0557012907602</v>
      </c>
      <c r="CE40" s="35">
        <f>-CE$27*'операционные  расходы 1 этап'!$P18</f>
        <v>-2135.5477445132919</v>
      </c>
      <c r="CF40" s="35">
        <f>-CF$27*'операционные  расходы 1 этап'!$P18</f>
        <v>-2581.7383203440363</v>
      </c>
      <c r="CG40" s="35">
        <f>-CG$27*'операционные  расходы 1 этап'!$P18</f>
        <v>-1397.8504563211993</v>
      </c>
      <c r="CH40" s="35">
        <f>-CH$27*'операционные  расходы 1 этап'!$P18</f>
        <v>-1852.7082327812248</v>
      </c>
      <c r="CI40" s="35">
        <f>-CI$27*'операционные  расходы 1 этап'!$P18</f>
        <v>-2320.5682547149067</v>
      </c>
      <c r="CJ40" s="35">
        <f>-CJ$27*'операционные  расходы 1 этап'!$P18</f>
        <v>-2800.7146476797302</v>
      </c>
      <c r="CK40" s="35">
        <f>-CK$27*'операционные  расходы 1 этап'!$P18</f>
        <v>-1525.7084863552984</v>
      </c>
      <c r="CL40" s="35">
        <f>-CL$27*'операционные  расходы 1 этап'!$P18</f>
        <v>-2242.3251317389568</v>
      </c>
      <c r="CM40" s="35">
        <f>-CM$27*'операционные  расходы 1 этап'!$P18</f>
        <v>-2710.8252363612382</v>
      </c>
      <c r="CN40" s="35">
        <f>-CN$27*'операционные  расходы 1 этап'!$P18</f>
        <v>-1467.7429791372592</v>
      </c>
      <c r="CO40" s="35">
        <f>-CO$27*'операционные  расходы 1 этап'!$P18</f>
        <v>-1945.3436444202864</v>
      </c>
    </row>
    <row r="41" spans="1:93" ht="12.75" customHeight="1" outlineLevel="1">
      <c r="A41" s="35"/>
      <c r="B41" s="73" t="s">
        <v>142</v>
      </c>
      <c r="C41" s="37">
        <f>SUM(C42:C58)</f>
        <v>-4460497.0959513336</v>
      </c>
      <c r="D41" s="60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5"/>
    </row>
    <row r="42" spans="1:93" ht="12.75" customHeight="1" outlineLevel="2">
      <c r="A42" s="35"/>
      <c r="B42" s="63" t="s">
        <v>143</v>
      </c>
      <c r="C42" s="74">
        <f t="shared" ref="C42:C60" si="230">SUM(D42:CN42)</f>
        <v>0</v>
      </c>
      <c r="D42" s="60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>
        <f>-W$27*'операционные  расходы 1 этап'!$P20</f>
        <v>0</v>
      </c>
      <c r="X42" s="35">
        <f>-X$27*'операционные  расходы 1 этап'!$P20</f>
        <v>0</v>
      </c>
      <c r="Y42" s="35">
        <f>-Y$27*'операционные  расходы 1 этап'!$P20</f>
        <v>0</v>
      </c>
      <c r="Z42" s="35">
        <f>-Z$27*'операционные  расходы 1 этап'!$P20</f>
        <v>0</v>
      </c>
      <c r="AA42" s="35">
        <f>-AA$27*'операционные  расходы 1 этап'!$P20</f>
        <v>0</v>
      </c>
      <c r="AB42" s="35">
        <f>-AB$27*'операционные  расходы 1 этап'!$P20</f>
        <v>0</v>
      </c>
      <c r="AC42" s="35">
        <f>-AC$27*'операционные  расходы 1 этап'!$P20</f>
        <v>0</v>
      </c>
      <c r="AD42" s="35">
        <f>-AD$27*'операционные  расходы 1 этап'!$P20</f>
        <v>0</v>
      </c>
      <c r="AE42" s="35">
        <f>-AE$27*'операционные  расходы 1 этап'!$P20</f>
        <v>0</v>
      </c>
      <c r="AF42" s="35">
        <f>-AF$27*'операционные  расходы 1 этап'!$P20</f>
        <v>0</v>
      </c>
      <c r="AG42" s="35">
        <f>-AG$27*'операционные  расходы 1 этап'!$P20</f>
        <v>0</v>
      </c>
      <c r="AH42" s="35">
        <f>-AH$27*'операционные  расходы 1 этап'!$P20</f>
        <v>0</v>
      </c>
      <c r="AI42" s="35">
        <f>-AI$27*'операционные  расходы 1 этап'!$P20</f>
        <v>0</v>
      </c>
      <c r="AJ42" s="35">
        <f>-AJ$27*'операционные  расходы 1 этап'!$P20</f>
        <v>0</v>
      </c>
      <c r="AK42" s="35">
        <f>-AK$27*'операционные  расходы 1 этап'!$P20</f>
        <v>0</v>
      </c>
      <c r="AL42" s="35">
        <f>-AL$27*'операционные  расходы 1 этап'!$P20</f>
        <v>0</v>
      </c>
      <c r="AM42" s="35">
        <f>-AM$27*'операционные  расходы 1 этап'!$P20</f>
        <v>0</v>
      </c>
      <c r="AN42" s="35">
        <f>-AN$27*'операционные  расходы 1 этап'!$P20</f>
        <v>0</v>
      </c>
      <c r="AO42" s="35">
        <f>-AO$27*'операционные  расходы 1 этап'!$P20</f>
        <v>0</v>
      </c>
      <c r="AP42" s="35">
        <f>-AP$27*'операционные  расходы 1 этап'!$P20</f>
        <v>0</v>
      </c>
      <c r="AQ42" s="35">
        <f>-AQ$27*'операционные  расходы 1 этап'!$P20</f>
        <v>0</v>
      </c>
      <c r="AR42" s="35">
        <f>-AR$27*'операционные  расходы 1 этап'!$P20</f>
        <v>0</v>
      </c>
      <c r="AS42" s="35">
        <f>-AS$27*'операционные  расходы 1 этап'!$P20</f>
        <v>0</v>
      </c>
      <c r="AT42" s="35">
        <f>-AT$27*'операционные  расходы 1 этап'!$P20</f>
        <v>0</v>
      </c>
      <c r="AU42" s="35">
        <f>-AU$27*'операционные  расходы 1 этап'!$P20</f>
        <v>0</v>
      </c>
      <c r="AV42" s="35">
        <f>-AV$27*'операционные  расходы 1 этап'!$P20</f>
        <v>0</v>
      </c>
      <c r="AW42" s="35">
        <f>-AW$27*'операционные  расходы 1 этап'!$P20</f>
        <v>0</v>
      </c>
      <c r="AX42" s="35">
        <f>-AX$27*'операционные  расходы 1 этап'!$P20</f>
        <v>0</v>
      </c>
      <c r="AY42" s="35">
        <f>-AY$27*'операционные  расходы 1 этап'!$P20</f>
        <v>0</v>
      </c>
      <c r="AZ42" s="35">
        <f>-AZ$27*'операционные  расходы 1 этап'!$P20</f>
        <v>0</v>
      </c>
      <c r="BA42" s="35">
        <f>-BA$27*'операционные  расходы 1 этап'!$P20</f>
        <v>0</v>
      </c>
      <c r="BB42" s="35">
        <f>-BB$27*'операционные  расходы 1 этап'!$P20</f>
        <v>0</v>
      </c>
      <c r="BC42" s="35">
        <f>-BC$27*'операционные  расходы 1 этап'!$P20</f>
        <v>0</v>
      </c>
      <c r="BD42" s="35">
        <f>-BD$27*'операционные  расходы 1 этап'!$P20</f>
        <v>0</v>
      </c>
      <c r="BE42" s="35">
        <f>-BE$27*'операционные  расходы 1 этап'!$P20</f>
        <v>0</v>
      </c>
      <c r="BF42" s="35">
        <f>-BF$27*'операционные  расходы 1 этап'!$P20</f>
        <v>0</v>
      </c>
      <c r="BG42" s="35">
        <f>-BG$27*'операционные  расходы 1 этап'!$P20</f>
        <v>0</v>
      </c>
      <c r="BH42" s="35">
        <f>-BH$27*'операционные  расходы 1 этап'!$P20</f>
        <v>0</v>
      </c>
      <c r="BI42" s="35">
        <f>-BI$27*'операционные  расходы 1 этап'!$P20</f>
        <v>0</v>
      </c>
      <c r="BJ42" s="35">
        <f>-BJ$27*'операционные  расходы 1 этап'!$P20</f>
        <v>0</v>
      </c>
      <c r="BK42" s="35">
        <f>-BK$27*'операционные  расходы 1 этап'!$P20</f>
        <v>0</v>
      </c>
      <c r="BL42" s="35">
        <f>-BL$27*'операционные  расходы 1 этап'!$P20</f>
        <v>0</v>
      </c>
      <c r="BM42" s="35">
        <f>-BM$27*'операционные  расходы 1 этап'!$P20</f>
        <v>0</v>
      </c>
      <c r="BN42" s="35">
        <f>-BN$27*'операционные  расходы 1 этап'!$P20</f>
        <v>0</v>
      </c>
      <c r="BO42" s="35">
        <f>-BO$27*'операционные  расходы 1 этап'!$P20</f>
        <v>0</v>
      </c>
      <c r="BP42" s="35">
        <f>-BP$27*'операционные  расходы 1 этап'!$P20</f>
        <v>0</v>
      </c>
      <c r="BQ42" s="35">
        <f>-BQ$27*'операционные  расходы 1 этап'!$P20</f>
        <v>0</v>
      </c>
      <c r="BR42" s="35">
        <f>-BR$27*'операционные  расходы 1 этап'!$P20</f>
        <v>0</v>
      </c>
      <c r="BS42" s="35">
        <f>-BS$27*'операционные  расходы 1 этап'!$P20</f>
        <v>0</v>
      </c>
      <c r="BT42" s="35">
        <f>-BT$27*'операционные  расходы 1 этап'!$P20</f>
        <v>0</v>
      </c>
      <c r="BU42" s="35">
        <f>-BU$27*'операционные  расходы 1 этап'!$P20</f>
        <v>0</v>
      </c>
      <c r="BV42" s="35">
        <f>-BV$27*'операционные  расходы 1 этап'!$P20</f>
        <v>0</v>
      </c>
      <c r="BW42" s="35">
        <f>-BW$27*'операционные  расходы 1 этап'!$P20</f>
        <v>0</v>
      </c>
      <c r="BX42" s="35">
        <f>-BX$27*'операционные  расходы 1 этап'!$P20</f>
        <v>0</v>
      </c>
      <c r="BY42" s="35">
        <f>-BY$27*'операционные  расходы 1 этап'!$P20</f>
        <v>0</v>
      </c>
      <c r="BZ42" s="35">
        <f>-BZ$27*'операционные  расходы 1 этап'!$P20</f>
        <v>0</v>
      </c>
      <c r="CA42" s="35">
        <f>-CA$27*'операционные  расходы 1 этап'!$P20</f>
        <v>0</v>
      </c>
      <c r="CB42" s="35">
        <f>-CB$27*'операционные  расходы 1 этап'!$P20</f>
        <v>0</v>
      </c>
      <c r="CC42" s="35">
        <f>-CC$27*'операционные  расходы 1 этап'!$P20</f>
        <v>0</v>
      </c>
      <c r="CD42" s="35">
        <f>-CD$27*'операционные  расходы 1 этап'!$P20</f>
        <v>0</v>
      </c>
      <c r="CE42" s="35">
        <f>-CE$27*'операционные  расходы 1 этап'!$P20</f>
        <v>0</v>
      </c>
      <c r="CF42" s="35">
        <f>-CF$27*'операционные  расходы 1 этап'!$P20</f>
        <v>0</v>
      </c>
      <c r="CG42" s="35">
        <f>-CG$27*'операционные  расходы 1 этап'!$P20</f>
        <v>0</v>
      </c>
      <c r="CH42" s="35">
        <f>-CH$27*'операционные  расходы 1 этап'!$P20</f>
        <v>0</v>
      </c>
      <c r="CI42" s="35">
        <f>-CI$27*'операционные  расходы 1 этап'!$P20</f>
        <v>0</v>
      </c>
      <c r="CJ42" s="35">
        <f>-CJ$27*'операционные  расходы 1 этап'!$P20</f>
        <v>0</v>
      </c>
      <c r="CK42" s="35">
        <f>-CK$27*'операционные  расходы 1 этап'!$P20</f>
        <v>0</v>
      </c>
      <c r="CL42" s="35">
        <f>-CL$27*'операционные  расходы 1 этап'!$P20</f>
        <v>0</v>
      </c>
      <c r="CM42" s="35">
        <f>-CM$27*'операционные  расходы 1 этап'!$P20</f>
        <v>0</v>
      </c>
      <c r="CN42" s="35">
        <f>-CN$27*'операционные  расходы 1 этап'!$P20</f>
        <v>0</v>
      </c>
      <c r="CO42" s="35">
        <f>-CO$27*'операционные  расходы 1 этап'!$P20</f>
        <v>0</v>
      </c>
    </row>
    <row r="43" spans="1:93" ht="12.75" customHeight="1" outlineLevel="2">
      <c r="A43" s="35"/>
      <c r="B43" s="63" t="s">
        <v>144</v>
      </c>
      <c r="C43" s="74">
        <f t="shared" si="230"/>
        <v>0</v>
      </c>
      <c r="D43" s="60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>
        <f>-W$27*'операционные  расходы 1 этап'!$P21</f>
        <v>0</v>
      </c>
      <c r="X43" s="35">
        <f>-X$27*'операционные  расходы 1 этап'!$P21</f>
        <v>0</v>
      </c>
      <c r="Y43" s="35">
        <f>-Y$27*'операционные  расходы 1 этап'!$P21</f>
        <v>0</v>
      </c>
      <c r="Z43" s="35">
        <f>-Z$27*'операционные  расходы 1 этап'!$P21</f>
        <v>0</v>
      </c>
      <c r="AA43" s="35">
        <f>-AA$27*'операционные  расходы 1 этап'!$P21</f>
        <v>0</v>
      </c>
      <c r="AB43" s="35">
        <f>-AB$27*'операционные  расходы 1 этап'!$P21</f>
        <v>0</v>
      </c>
      <c r="AC43" s="35">
        <f>-AC$27*'операционные  расходы 1 этап'!$P21</f>
        <v>0</v>
      </c>
      <c r="AD43" s="35">
        <f>-AD$27*'операционные  расходы 1 этап'!$P21</f>
        <v>0</v>
      </c>
      <c r="AE43" s="35">
        <f>-AE$27*'операционные  расходы 1 этап'!$P21</f>
        <v>0</v>
      </c>
      <c r="AF43" s="35">
        <f>-AF$27*'операционные  расходы 1 этап'!$P21</f>
        <v>0</v>
      </c>
      <c r="AG43" s="35">
        <f>-AG$27*'операционные  расходы 1 этап'!$P21</f>
        <v>0</v>
      </c>
      <c r="AH43" s="35">
        <f>-AH$27*'операционные  расходы 1 этап'!$P21</f>
        <v>0</v>
      </c>
      <c r="AI43" s="35">
        <f>-AI$27*'операционные  расходы 1 этап'!$P21</f>
        <v>0</v>
      </c>
      <c r="AJ43" s="35">
        <f>-AJ$27*'операционные  расходы 1 этап'!$P21</f>
        <v>0</v>
      </c>
      <c r="AK43" s="35">
        <f>-AK$27*'операционные  расходы 1 этап'!$P21</f>
        <v>0</v>
      </c>
      <c r="AL43" s="35">
        <f>-AL$27*'операционные  расходы 1 этап'!$P21</f>
        <v>0</v>
      </c>
      <c r="AM43" s="35">
        <f>-AM$27*'операционные  расходы 1 этап'!$P21</f>
        <v>0</v>
      </c>
      <c r="AN43" s="35">
        <f>-AN$27*'операционные  расходы 1 этап'!$P21</f>
        <v>0</v>
      </c>
      <c r="AO43" s="35">
        <f>-AO$27*'операционные  расходы 1 этап'!$P21</f>
        <v>0</v>
      </c>
      <c r="AP43" s="35">
        <f>-AP$27*'операционные  расходы 1 этап'!$P21</f>
        <v>0</v>
      </c>
      <c r="AQ43" s="35">
        <f>-AQ$27*'операционные  расходы 1 этап'!$P21</f>
        <v>0</v>
      </c>
      <c r="AR43" s="35">
        <f>-AR$27*'операционные  расходы 1 этап'!$P21</f>
        <v>0</v>
      </c>
      <c r="AS43" s="35">
        <f>-AS$27*'операционные  расходы 1 этап'!$P21</f>
        <v>0</v>
      </c>
      <c r="AT43" s="35">
        <f>-AT$27*'операционные  расходы 1 этап'!$P21</f>
        <v>0</v>
      </c>
      <c r="AU43" s="35">
        <f>-AU$27*'операционные  расходы 1 этап'!$P21</f>
        <v>0</v>
      </c>
      <c r="AV43" s="35">
        <f>-AV$27*'операционные  расходы 1 этап'!$P21</f>
        <v>0</v>
      </c>
      <c r="AW43" s="35">
        <f>-AW$27*'операционные  расходы 1 этап'!$P21</f>
        <v>0</v>
      </c>
      <c r="AX43" s="35">
        <f>-AX$27*'операционные  расходы 1 этап'!$P21</f>
        <v>0</v>
      </c>
      <c r="AY43" s="35">
        <f>-AY$27*'операционные  расходы 1 этап'!$P21</f>
        <v>0</v>
      </c>
      <c r="AZ43" s="35">
        <f>-AZ$27*'операционные  расходы 1 этап'!$P21</f>
        <v>0</v>
      </c>
      <c r="BA43" s="35">
        <f>-BA$27*'операционные  расходы 1 этап'!$P21</f>
        <v>0</v>
      </c>
      <c r="BB43" s="35">
        <f>-BB$27*'операционные  расходы 1 этап'!$P21</f>
        <v>0</v>
      </c>
      <c r="BC43" s="35">
        <f>-BC$27*'операционные  расходы 1 этап'!$P21</f>
        <v>0</v>
      </c>
      <c r="BD43" s="35">
        <f>-BD$27*'операционные  расходы 1 этап'!$P21</f>
        <v>0</v>
      </c>
      <c r="BE43" s="35">
        <f>-BE$27*'операционные  расходы 1 этап'!$P21</f>
        <v>0</v>
      </c>
      <c r="BF43" s="35">
        <f>-BF$27*'операционные  расходы 1 этап'!$P21</f>
        <v>0</v>
      </c>
      <c r="BG43" s="35">
        <f>-BG$27*'операционные  расходы 1 этап'!$P21</f>
        <v>0</v>
      </c>
      <c r="BH43" s="35">
        <f>-BH$27*'операционные  расходы 1 этап'!$P21</f>
        <v>0</v>
      </c>
      <c r="BI43" s="35">
        <f>-BI$27*'операционные  расходы 1 этап'!$P21</f>
        <v>0</v>
      </c>
      <c r="BJ43" s="35">
        <f>-BJ$27*'операционные  расходы 1 этап'!$P21</f>
        <v>0</v>
      </c>
      <c r="BK43" s="35">
        <f>-BK$27*'операционные  расходы 1 этап'!$P21</f>
        <v>0</v>
      </c>
      <c r="BL43" s="35">
        <f>-BL$27*'операционные  расходы 1 этап'!$P21</f>
        <v>0</v>
      </c>
      <c r="BM43" s="35">
        <f>-BM$27*'операционные  расходы 1 этап'!$P21</f>
        <v>0</v>
      </c>
      <c r="BN43" s="35">
        <f>-BN$27*'операционные  расходы 1 этап'!$P21</f>
        <v>0</v>
      </c>
      <c r="BO43" s="35">
        <f>-BO$27*'операционные  расходы 1 этап'!$P21</f>
        <v>0</v>
      </c>
      <c r="BP43" s="35">
        <f>-BP$27*'операционные  расходы 1 этап'!$P21</f>
        <v>0</v>
      </c>
      <c r="BQ43" s="35">
        <f>-BQ$27*'операционные  расходы 1 этап'!$P21</f>
        <v>0</v>
      </c>
      <c r="BR43" s="35">
        <f>-BR$27*'операционные  расходы 1 этап'!$P21</f>
        <v>0</v>
      </c>
      <c r="BS43" s="35">
        <f>-BS$27*'операционные  расходы 1 этап'!$P21</f>
        <v>0</v>
      </c>
      <c r="BT43" s="35">
        <f>-BT$27*'операционные  расходы 1 этап'!$P21</f>
        <v>0</v>
      </c>
      <c r="BU43" s="35">
        <f>-BU$27*'операционные  расходы 1 этап'!$P21</f>
        <v>0</v>
      </c>
      <c r="BV43" s="35">
        <f>-BV$27*'операционные  расходы 1 этап'!$P21</f>
        <v>0</v>
      </c>
      <c r="BW43" s="35">
        <f>-BW$27*'операционные  расходы 1 этап'!$P21</f>
        <v>0</v>
      </c>
      <c r="BX43" s="35">
        <f>-BX$27*'операционные  расходы 1 этап'!$P21</f>
        <v>0</v>
      </c>
      <c r="BY43" s="35">
        <f>-BY$27*'операционные  расходы 1 этап'!$P21</f>
        <v>0</v>
      </c>
      <c r="BZ43" s="35">
        <f>-BZ$27*'операционные  расходы 1 этап'!$P21</f>
        <v>0</v>
      </c>
      <c r="CA43" s="35">
        <f>-CA$27*'операционные  расходы 1 этап'!$P21</f>
        <v>0</v>
      </c>
      <c r="CB43" s="35">
        <f>-CB$27*'операционные  расходы 1 этап'!$P21</f>
        <v>0</v>
      </c>
      <c r="CC43" s="35">
        <f>-CC$27*'операционные  расходы 1 этап'!$P21</f>
        <v>0</v>
      </c>
      <c r="CD43" s="35">
        <f>-CD$27*'операционные  расходы 1 этап'!$P21</f>
        <v>0</v>
      </c>
      <c r="CE43" s="35">
        <f>-CE$27*'операционные  расходы 1 этап'!$P21</f>
        <v>0</v>
      </c>
      <c r="CF43" s="35">
        <f>-CF$27*'операционные  расходы 1 этап'!$P21</f>
        <v>0</v>
      </c>
      <c r="CG43" s="35">
        <f>-CG$27*'операционные  расходы 1 этап'!$P21</f>
        <v>0</v>
      </c>
      <c r="CH43" s="35">
        <f>-CH$27*'операционные  расходы 1 этап'!$P21</f>
        <v>0</v>
      </c>
      <c r="CI43" s="35">
        <f>-CI$27*'операционные  расходы 1 этап'!$P21</f>
        <v>0</v>
      </c>
      <c r="CJ43" s="35">
        <f>-CJ$27*'операционные  расходы 1 этап'!$P21</f>
        <v>0</v>
      </c>
      <c r="CK43" s="35">
        <f>-CK$27*'операционные  расходы 1 этап'!$P21</f>
        <v>0</v>
      </c>
      <c r="CL43" s="35">
        <f>-CL$27*'операционные  расходы 1 этап'!$P21</f>
        <v>0</v>
      </c>
      <c r="CM43" s="35">
        <f>-CM$27*'операционные  расходы 1 этап'!$P21</f>
        <v>0</v>
      </c>
      <c r="CN43" s="35">
        <f>-CN$27*'операционные  расходы 1 этап'!$P21</f>
        <v>0</v>
      </c>
      <c r="CO43" s="35">
        <f>-CO$27*'операционные  расходы 1 этап'!$P21</f>
        <v>0</v>
      </c>
    </row>
    <row r="44" spans="1:93" ht="12.75" customHeight="1" outlineLevel="2">
      <c r="A44" s="35"/>
      <c r="B44" s="63" t="s">
        <v>145</v>
      </c>
      <c r="C44" s="74">
        <f t="shared" si="230"/>
        <v>-120619.12750560349</v>
      </c>
      <c r="D44" s="60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>
        <f>-W$27*'операционные  расходы 1 этап'!$P$22</f>
        <v>-1386.9490080394412</v>
      </c>
      <c r="X44" s="35">
        <f>-X$27*'операционные  расходы 1 этап'!$P$22</f>
        <v>-1675.4692765160735</v>
      </c>
      <c r="Y44" s="35">
        <f>-Y$27*'операционные  расходы 1 этап'!$P$22</f>
        <v>-910.27071259751483</v>
      </c>
      <c r="Z44" s="35">
        <f>-Z$27*'операционные  расходы 1 этап'!$P$22</f>
        <v>-1151.913584018067</v>
      </c>
      <c r="AA44" s="35">
        <f>-AA$27*'операционные  расходы 1 этап'!$P$22</f>
        <v>-1445.4227729781778</v>
      </c>
      <c r="AB44" s="35">
        <f>-AB$27*'операционные  расходы 1 этап'!$P$22</f>
        <v>-1747.4221176666715</v>
      </c>
      <c r="AC44" s="35">
        <f>-AC$27*'операционные  расходы 1 этап'!$P$22</f>
        <v>-946.12021106794941</v>
      </c>
      <c r="AD44" s="35">
        <f>-AD$27*'операционные  расходы 1 этап'!$P$22</f>
        <v>-1253.9858583009404</v>
      </c>
      <c r="AE44" s="35">
        <f>-AE$27*'операционные  расходы 1 этап'!$P$22</f>
        <v>-1570.6519370652613</v>
      </c>
      <c r="AF44" s="35">
        <f>-AF$27*'операционные  расходы 1 этап'!$P$22</f>
        <v>-1895.6339153599474</v>
      </c>
      <c r="AG44" s="35">
        <f>-AG$27*'операционные  расходы 1 этап'!$P$22</f>
        <v>-1032.6595585464738</v>
      </c>
      <c r="AH44" s="35">
        <f>-AH$27*'операционные  расходы 1 этап'!$P$22</f>
        <v>-1517.6939116270869</v>
      </c>
      <c r="AI44" s="35">
        <f>-AI$27*'операционные  расходы 1 этап'!$P$22</f>
        <v>-1834.7932235500048</v>
      </c>
      <c r="AJ44" s="35">
        <f>-AJ$27*'операционные  расходы 1 этап'!$P$22</f>
        <v>-993.42622162134683</v>
      </c>
      <c r="AK44" s="35">
        <f>-AK$27*'операционные  расходы 1 этап'!$P$22</f>
        <v>-1316.6851512159874</v>
      </c>
      <c r="AL44" s="35">
        <f>-AL$27*'операционные  расходы 1 этап'!$P$22</f>
        <v>-1649.184533918524</v>
      </c>
      <c r="AM44" s="35">
        <f>-AM$27*'операционные  расходы 1 этап'!$P$22</f>
        <v>-1990.4156111279451</v>
      </c>
      <c r="AN44" s="35">
        <f>-AN$27*'операционные  расходы 1 этап'!$P$22</f>
        <v>-1084.2925364737976</v>
      </c>
      <c r="AO44" s="35">
        <f>-AO$27*'операционные  расходы 1 этап'!$P$22</f>
        <v>-1593.5786072084413</v>
      </c>
      <c r="AP44" s="35">
        <f>-AP$27*'операционные  расходы 1 этап'!$P$22</f>
        <v>-1926.5328847275052</v>
      </c>
      <c r="AQ44" s="35">
        <f>-AQ$27*'операционные  расходы 1 этап'!$P$22</f>
        <v>-1043.0975327024144</v>
      </c>
      <c r="AR44" s="35">
        <f>-AR$27*'операционные  расходы 1 этап'!$P$22</f>
        <v>-1382.5194087767866</v>
      </c>
      <c r="AS44" s="35">
        <f>-AS$27*'операционные  расходы 1 этап'!$P$22</f>
        <v>-1731.6437606144505</v>
      </c>
      <c r="AT44" s="35">
        <f>-AT$27*'операционные  расходы 1 этап'!$P$22</f>
        <v>-2089.9363916843422</v>
      </c>
      <c r="AU44" s="35">
        <f>-AU$27*'операционные  расходы 1 этап'!$P$22</f>
        <v>-1138.5071632974875</v>
      </c>
      <c r="AV44" s="35">
        <f>-AV$27*'операционные  расходы 1 этап'!$P$22</f>
        <v>-1673.2575375688634</v>
      </c>
      <c r="AW44" s="35">
        <f>-AW$27*'операционные  расходы 1 этап'!$P$22</f>
        <v>-2022.8595289638808</v>
      </c>
      <c r="AX44" s="35">
        <f>-AX$27*'операционные  расходы 1 этап'!$P$22</f>
        <v>-1095.2524093375353</v>
      </c>
      <c r="AY44" s="35">
        <f>-AY$27*'операционные  расходы 1 этап'!$P$22</f>
        <v>-1451.6453792156262</v>
      </c>
      <c r="AZ44" s="35">
        <f>-AZ$27*'операционные  расходы 1 этап'!$P$22</f>
        <v>-1818.225948645173</v>
      </c>
      <c r="BA44" s="35">
        <f>-BA$27*'операционные  расходы 1 этап'!$P$22</f>
        <v>-2194.4332112685593</v>
      </c>
      <c r="BB44" s="35">
        <f>-BB$27*'операционные  расходы 1 этап'!$P$22</f>
        <v>-1195.432521462362</v>
      </c>
      <c r="BC44" s="35">
        <f>-BC$27*'операционные  расходы 1 этап'!$P$22</f>
        <v>-1756.9204144473065</v>
      </c>
      <c r="BD44" s="35">
        <f>-BD$27*'операционные  расходы 1 этап'!$P$22</f>
        <v>-2124.0025054120747</v>
      </c>
      <c r="BE44" s="35">
        <f>-BE$27*'операционные  расходы 1 этап'!$P$22</f>
        <v>-1150.0150298044118</v>
      </c>
      <c r="BF44" s="35">
        <f>-BF$27*'операционные  расходы 1 этап'!$P$22</f>
        <v>-1524.2276481764075</v>
      </c>
      <c r="BG44" s="35">
        <f>-BG$27*'операционные  расходы 1 этап'!$P$22</f>
        <v>-1909.1372460774319</v>
      </c>
      <c r="BH44" s="35">
        <f>-BH$27*'операционные  расходы 1 этап'!$P$22</f>
        <v>-2304.1548718319877</v>
      </c>
      <c r="BI44" s="35">
        <f>-BI$27*'операционные  расходы 1 этап'!$P$22</f>
        <v>-1255.2041475354799</v>
      </c>
      <c r="BJ44" s="35">
        <f>-BJ$27*'операционные  расходы 1 этап'!$P$22</f>
        <v>-1844.7664351696721</v>
      </c>
      <c r="BK44" s="35">
        <f>-BK$27*'операционные  расходы 1 этап'!$P$22</f>
        <v>-2230.2026306826788</v>
      </c>
      <c r="BL44" s="35">
        <f>-BL$27*'операционные  расходы 1 этап'!$P$22</f>
        <v>-1207.5157812946325</v>
      </c>
      <c r="BM44" s="35">
        <f>-BM$27*'операционные  расходы 1 этап'!$P$22</f>
        <v>-1600.439030585228</v>
      </c>
      <c r="BN44" s="35">
        <f>-BN$27*'операционные  расходы 1 этап'!$P$22</f>
        <v>-2004.5941083813034</v>
      </c>
      <c r="BO44" s="35">
        <f>-BO$27*'операционные  расходы 1 этап'!$P$22</f>
        <v>-2419.3626154235872</v>
      </c>
      <c r="BP44" s="35">
        <f>-BP$27*'операционные  расходы 1 этап'!$P$22</f>
        <v>-1317.9643549122543</v>
      </c>
      <c r="BQ44" s="35">
        <f>-BQ$27*'операционные  расходы 1 этап'!$P$22</f>
        <v>-1937.004756928156</v>
      </c>
      <c r="BR44" s="35">
        <f>-BR$27*'операционные  расходы 1 этап'!$P$22</f>
        <v>-2341.7127622168123</v>
      </c>
      <c r="BS44" s="35">
        <f>-BS$27*'операционные  расходы 1 этап'!$P$22</f>
        <v>-1267.8915703593643</v>
      </c>
      <c r="BT44" s="35">
        <f>-BT$27*'операционные  расходы 1 этап'!$P$22</f>
        <v>-1680.4609821144893</v>
      </c>
      <c r="BU44" s="35">
        <f>-BU$27*'операционные  расходы 1 этап'!$P$22</f>
        <v>-2104.823813800369</v>
      </c>
      <c r="BV44" s="35">
        <f>-BV$27*'операционные  расходы 1 этап'!$P$22</f>
        <v>-2540.3307461947666</v>
      </c>
      <c r="BW44" s="35">
        <f>-BW$27*'операционные  расходы 1 этап'!$P$22</f>
        <v>-1383.8625726578671</v>
      </c>
      <c r="BX44" s="35">
        <f>-BX$27*'операционные  расходы 1 этап'!$P$22</f>
        <v>-2033.8549947745639</v>
      </c>
      <c r="BY44" s="35">
        <f>-BY$27*'операционные  расходы 1 этап'!$P$22</f>
        <v>-2458.7984003276533</v>
      </c>
      <c r="BZ44" s="35">
        <f>-BZ$27*'операционные  расходы 1 этап'!$P$22</f>
        <v>-1331.2861488773324</v>
      </c>
      <c r="CA44" s="35">
        <f>-CA$27*'операционные  расходы 1 этап'!$P$22</f>
        <v>-1764.4840312202141</v>
      </c>
      <c r="CB44" s="35">
        <f>-CB$27*'операционные  расходы 1 этап'!$P$22</f>
        <v>-2210.0650044903878</v>
      </c>
      <c r="CC44" s="35">
        <f>-CC$27*'операционные  расходы 1 этап'!$P$22</f>
        <v>-2667.3472835045054</v>
      </c>
      <c r="CD44" s="35">
        <f>-CD$27*'операционные  расходы 1 этап'!$P$22</f>
        <v>-1453.0557012907602</v>
      </c>
      <c r="CE44" s="35">
        <f>-CE$27*'операционные  расходы 1 этап'!$P$22</f>
        <v>-2135.5477445132919</v>
      </c>
      <c r="CF44" s="35">
        <f>-CF$27*'операционные  расходы 1 этап'!$P$22</f>
        <v>-2581.7383203440363</v>
      </c>
      <c r="CG44" s="35">
        <f>-CG$27*'операционные  расходы 1 этап'!$P$22</f>
        <v>-1397.8504563211993</v>
      </c>
      <c r="CH44" s="35">
        <f>-CH$27*'операционные  расходы 1 этап'!$P$22</f>
        <v>-1852.7082327812248</v>
      </c>
      <c r="CI44" s="35">
        <f>-CI$27*'операционные  расходы 1 этап'!$P$22</f>
        <v>-2320.5682547149067</v>
      </c>
      <c r="CJ44" s="35">
        <f>-CJ$27*'операционные  расходы 1 этап'!$P$22</f>
        <v>-2800.7146476797302</v>
      </c>
      <c r="CK44" s="35">
        <f>-CK$27*'операционные  расходы 1 этап'!$P$22</f>
        <v>-1525.7084863552984</v>
      </c>
      <c r="CL44" s="35">
        <f>-CL$27*'операционные  расходы 1 этап'!$P$22</f>
        <v>-2242.3251317389568</v>
      </c>
      <c r="CM44" s="35">
        <f>-CM$27*'операционные  расходы 1 этап'!$P$22</f>
        <v>-2710.8252363612382</v>
      </c>
      <c r="CN44" s="35">
        <f>-CN$27*'операционные  расходы 1 этап'!$P$22</f>
        <v>-1467.7429791372592</v>
      </c>
      <c r="CO44" s="35">
        <f>-CO$27*'операционные  расходы 1 этап'!$P$22</f>
        <v>-1945.3436444202864</v>
      </c>
    </row>
    <row r="45" spans="1:93" ht="12.75" customHeight="1" outlineLevel="2">
      <c r="A45" s="35"/>
      <c r="B45" s="63"/>
      <c r="C45" s="74">
        <f t="shared" si="230"/>
        <v>0</v>
      </c>
      <c r="D45" s="60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</row>
    <row r="46" spans="1:93" ht="12.75" customHeight="1" outlineLevel="2">
      <c r="A46" s="35"/>
      <c r="B46" s="63" t="s">
        <v>147</v>
      </c>
      <c r="C46" s="74">
        <f t="shared" si="230"/>
        <v>-25599.868193815877</v>
      </c>
      <c r="D46" s="60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>
        <f>-('операционные  расходы 1 этап'!E23+'операционные  расходы 1 этап'!F23+'операционные  расходы 1 этап'!G23)/1000</f>
        <v>-455.45499999999998</v>
      </c>
      <c r="X46" s="5">
        <f>-SUM('операционные  расходы 1 этап'!H23:J23)/1000</f>
        <v>-157.6575</v>
      </c>
      <c r="Y46" s="5">
        <f>-SUM('операционные  расходы 1 этап'!K23:M23)/1000</f>
        <v>-157.6575</v>
      </c>
      <c r="Z46" s="5">
        <f>-SUM('операционные  расходы 1 этап'!B23:D23)/1000*$Z$14</f>
        <v>-165.54037500000001</v>
      </c>
      <c r="AA46" s="5">
        <f>W46*$AA14</f>
        <v>-478.22775000000001</v>
      </c>
      <c r="AB46" s="5">
        <f t="shared" ref="AB46:CM46" si="231">X46*$AA14</f>
        <v>-165.54037500000001</v>
      </c>
      <c r="AC46" s="5">
        <f t="shared" si="231"/>
        <v>-165.54037500000001</v>
      </c>
      <c r="AD46" s="5">
        <f t="shared" si="231"/>
        <v>-173.81739375000001</v>
      </c>
      <c r="AE46" s="5">
        <f t="shared" si="231"/>
        <v>-502.13913750000006</v>
      </c>
      <c r="AF46" s="5">
        <f t="shared" si="231"/>
        <v>-173.81739375000001</v>
      </c>
      <c r="AG46" s="5">
        <f t="shared" si="231"/>
        <v>-173.81739375000001</v>
      </c>
      <c r="AH46" s="5">
        <f t="shared" si="231"/>
        <v>-182.50826343750001</v>
      </c>
      <c r="AI46" s="5">
        <f t="shared" si="231"/>
        <v>-527.2460943750001</v>
      </c>
      <c r="AJ46" s="5">
        <f t="shared" si="231"/>
        <v>-182.50826343750001</v>
      </c>
      <c r="AK46" s="5">
        <f t="shared" si="231"/>
        <v>-182.50826343750001</v>
      </c>
      <c r="AL46" s="5">
        <f t="shared" si="231"/>
        <v>-191.63367660937502</v>
      </c>
      <c r="AM46" s="5">
        <f t="shared" si="231"/>
        <v>-553.60839909375011</v>
      </c>
      <c r="AN46" s="5">
        <f t="shared" si="231"/>
        <v>-191.63367660937502</v>
      </c>
      <c r="AO46" s="5">
        <f t="shared" si="231"/>
        <v>-191.63367660937502</v>
      </c>
      <c r="AP46" s="5">
        <f t="shared" si="231"/>
        <v>-201.21536043984378</v>
      </c>
      <c r="AQ46" s="5">
        <f t="shared" si="231"/>
        <v>-581.28881904843763</v>
      </c>
      <c r="AR46" s="5">
        <f t="shared" si="231"/>
        <v>-201.21536043984378</v>
      </c>
      <c r="AS46" s="5">
        <f t="shared" si="231"/>
        <v>-201.21536043984378</v>
      </c>
      <c r="AT46" s="5">
        <f t="shared" si="231"/>
        <v>-211.27612846183598</v>
      </c>
      <c r="AU46" s="5">
        <f t="shared" si="231"/>
        <v>-610.35326000085956</v>
      </c>
      <c r="AV46" s="5">
        <f t="shared" si="231"/>
        <v>-211.27612846183598</v>
      </c>
      <c r="AW46" s="5">
        <f t="shared" si="231"/>
        <v>-211.27612846183598</v>
      </c>
      <c r="AX46" s="5">
        <f t="shared" si="231"/>
        <v>-221.8399348849278</v>
      </c>
      <c r="AY46" s="5">
        <f t="shared" si="231"/>
        <v>-640.87092300090262</v>
      </c>
      <c r="AZ46" s="5">
        <f t="shared" si="231"/>
        <v>-221.8399348849278</v>
      </c>
      <c r="BA46" s="5">
        <f t="shared" si="231"/>
        <v>-221.8399348849278</v>
      </c>
      <c r="BB46" s="5">
        <f t="shared" si="231"/>
        <v>-232.93193162917419</v>
      </c>
      <c r="BC46" s="5">
        <f t="shared" si="231"/>
        <v>-672.91446915094775</v>
      </c>
      <c r="BD46" s="5">
        <f t="shared" si="231"/>
        <v>-232.93193162917419</v>
      </c>
      <c r="BE46" s="5">
        <f t="shared" si="231"/>
        <v>-232.93193162917419</v>
      </c>
      <c r="BF46" s="5">
        <f t="shared" si="231"/>
        <v>-244.5785282106329</v>
      </c>
      <c r="BG46" s="5">
        <f t="shared" si="231"/>
        <v>-706.56019260849519</v>
      </c>
      <c r="BH46" s="5">
        <f t="shared" si="231"/>
        <v>-244.5785282106329</v>
      </c>
      <c r="BI46" s="5">
        <f t="shared" si="231"/>
        <v>-244.5785282106329</v>
      </c>
      <c r="BJ46" s="5">
        <f t="shared" si="231"/>
        <v>-256.80745462116454</v>
      </c>
      <c r="BK46" s="5">
        <f t="shared" si="231"/>
        <v>-741.88820223892003</v>
      </c>
      <c r="BL46" s="5">
        <f t="shared" si="231"/>
        <v>-256.80745462116454</v>
      </c>
      <c r="BM46" s="5">
        <f t="shared" si="231"/>
        <v>-256.80745462116454</v>
      </c>
      <c r="BN46" s="5">
        <f t="shared" si="231"/>
        <v>-269.64782735222281</v>
      </c>
      <c r="BO46" s="5">
        <f t="shared" si="231"/>
        <v>-778.98261235086602</v>
      </c>
      <c r="BP46" s="5">
        <f t="shared" si="231"/>
        <v>-269.64782735222281</v>
      </c>
      <c r="BQ46" s="5">
        <f t="shared" si="231"/>
        <v>-269.64782735222281</v>
      </c>
      <c r="BR46" s="5">
        <f t="shared" si="231"/>
        <v>-283.13021871983398</v>
      </c>
      <c r="BS46" s="5">
        <f t="shared" si="231"/>
        <v>-817.93174296840937</v>
      </c>
      <c r="BT46" s="5">
        <f t="shared" si="231"/>
        <v>-283.13021871983398</v>
      </c>
      <c r="BU46" s="5">
        <f t="shared" si="231"/>
        <v>-283.13021871983398</v>
      </c>
      <c r="BV46" s="5">
        <f t="shared" si="231"/>
        <v>-297.2867296558257</v>
      </c>
      <c r="BW46" s="5">
        <f t="shared" si="231"/>
        <v>-858.82833011682987</v>
      </c>
      <c r="BX46" s="5">
        <f t="shared" si="231"/>
        <v>-297.2867296558257</v>
      </c>
      <c r="BY46" s="5">
        <f t="shared" si="231"/>
        <v>-297.2867296558257</v>
      </c>
      <c r="BZ46" s="5">
        <f t="shared" si="231"/>
        <v>-312.15106613861701</v>
      </c>
      <c r="CA46" s="5">
        <f t="shared" si="231"/>
        <v>-901.76974662267139</v>
      </c>
      <c r="CB46" s="5">
        <f t="shared" si="231"/>
        <v>-312.15106613861701</v>
      </c>
      <c r="CC46" s="5">
        <f t="shared" si="231"/>
        <v>-312.15106613861701</v>
      </c>
      <c r="CD46" s="5">
        <f t="shared" si="231"/>
        <v>-327.75861944554788</v>
      </c>
      <c r="CE46" s="5">
        <f t="shared" si="231"/>
        <v>-946.85823395380498</v>
      </c>
      <c r="CF46" s="5">
        <f t="shared" si="231"/>
        <v>-327.75861944554788</v>
      </c>
      <c r="CG46" s="5">
        <f t="shared" si="231"/>
        <v>-327.75861944554788</v>
      </c>
      <c r="CH46" s="5">
        <f t="shared" si="231"/>
        <v>-344.14655041782527</v>
      </c>
      <c r="CI46" s="5">
        <f t="shared" si="231"/>
        <v>-994.20114565149527</v>
      </c>
      <c r="CJ46" s="5">
        <f t="shared" si="231"/>
        <v>-344.14655041782527</v>
      </c>
      <c r="CK46" s="5">
        <f t="shared" si="231"/>
        <v>-344.14655041782527</v>
      </c>
      <c r="CL46" s="5">
        <f t="shared" si="231"/>
        <v>-361.35387793871655</v>
      </c>
      <c r="CM46" s="5">
        <f t="shared" si="231"/>
        <v>-1043.9112029340702</v>
      </c>
      <c r="CN46" s="5">
        <f t="shared" ref="CN46:CO46" si="232">CJ46*$AA14</f>
        <v>-361.35387793871655</v>
      </c>
      <c r="CO46" s="5">
        <f t="shared" si="232"/>
        <v>-361.35387793871655</v>
      </c>
    </row>
    <row r="47" spans="1:93" ht="12.75" customHeight="1" outlineLevel="2">
      <c r="A47" s="35"/>
      <c r="B47" s="63" t="s">
        <v>148</v>
      </c>
      <c r="C47" s="74">
        <f t="shared" si="230"/>
        <v>-11827.417164568118</v>
      </c>
      <c r="D47" s="60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>
        <f>-('операционные  расходы 1 этап'!E24+'операционные  расходы 1 этап'!F24+'операционные  расходы 1 этап'!G24)/1000</f>
        <v>-355.74</v>
      </c>
      <c r="X47" s="5">
        <f>-SUM('операционные  расходы 1 этап'!H24:J24)/1000</f>
        <v>-64.680000000000007</v>
      </c>
      <c r="Y47" s="5">
        <f>-SUM('операционные  расходы 1 этап'!K24:M24)/1000</f>
        <v>0</v>
      </c>
      <c r="Z47" s="5">
        <f>-SUM('операционные  расходы 1 этап'!B24:D24)/1000*$Z$14</f>
        <v>0</v>
      </c>
      <c r="AA47" s="5">
        <f>W47*AA$14</f>
        <v>-373.52700000000004</v>
      </c>
      <c r="AB47" s="5">
        <f t="shared" ref="AB47:CM47" si="233">X47*AB$14</f>
        <v>-67.914000000000016</v>
      </c>
      <c r="AC47" s="5">
        <f t="shared" si="233"/>
        <v>0</v>
      </c>
      <c r="AD47" s="5">
        <f t="shared" si="233"/>
        <v>0</v>
      </c>
      <c r="AE47" s="5">
        <f t="shared" si="233"/>
        <v>-392.20335000000006</v>
      </c>
      <c r="AF47" s="5">
        <f t="shared" si="233"/>
        <v>-71.309700000000021</v>
      </c>
      <c r="AG47" s="5">
        <f t="shared" si="233"/>
        <v>0</v>
      </c>
      <c r="AH47" s="5">
        <f t="shared" si="233"/>
        <v>0</v>
      </c>
      <c r="AI47" s="5">
        <f t="shared" si="233"/>
        <v>-411.8135175000001</v>
      </c>
      <c r="AJ47" s="5">
        <f t="shared" si="233"/>
        <v>-74.87518500000003</v>
      </c>
      <c r="AK47" s="5">
        <f t="shared" si="233"/>
        <v>0</v>
      </c>
      <c r="AL47" s="5">
        <f t="shared" si="233"/>
        <v>0</v>
      </c>
      <c r="AM47" s="5">
        <f t="shared" si="233"/>
        <v>-432.40419337500015</v>
      </c>
      <c r="AN47" s="5">
        <f t="shared" si="233"/>
        <v>-78.618944250000041</v>
      </c>
      <c r="AO47" s="5">
        <f t="shared" si="233"/>
        <v>0</v>
      </c>
      <c r="AP47" s="5">
        <f t="shared" si="233"/>
        <v>0</v>
      </c>
      <c r="AQ47" s="5">
        <f t="shared" si="233"/>
        <v>-454.02440304375017</v>
      </c>
      <c r="AR47" s="5">
        <f t="shared" si="233"/>
        <v>-82.549891462500042</v>
      </c>
      <c r="AS47" s="5">
        <f t="shared" si="233"/>
        <v>0</v>
      </c>
      <c r="AT47" s="5">
        <f t="shared" si="233"/>
        <v>0</v>
      </c>
      <c r="AU47" s="5">
        <f t="shared" si="233"/>
        <v>-476.72562319593771</v>
      </c>
      <c r="AV47" s="5">
        <f t="shared" si="233"/>
        <v>-86.677386035625048</v>
      </c>
      <c r="AW47" s="5">
        <f t="shared" si="233"/>
        <v>0</v>
      </c>
      <c r="AX47" s="5">
        <f t="shared" si="233"/>
        <v>0</v>
      </c>
      <c r="AY47" s="5">
        <f t="shared" si="233"/>
        <v>-500.56190435573461</v>
      </c>
      <c r="AZ47" s="5">
        <f t="shared" si="233"/>
        <v>-91.011255337406311</v>
      </c>
      <c r="BA47" s="5">
        <f t="shared" si="233"/>
        <v>0</v>
      </c>
      <c r="BB47" s="5">
        <f t="shared" si="233"/>
        <v>0</v>
      </c>
      <c r="BC47" s="5">
        <f t="shared" si="233"/>
        <v>-525.58999957352137</v>
      </c>
      <c r="BD47" s="5">
        <f t="shared" si="233"/>
        <v>-95.561818104276625</v>
      </c>
      <c r="BE47" s="5">
        <f t="shared" si="233"/>
        <v>0</v>
      </c>
      <c r="BF47" s="5">
        <f t="shared" si="233"/>
        <v>0</v>
      </c>
      <c r="BG47" s="5">
        <f t="shared" si="233"/>
        <v>-551.86949955219745</v>
      </c>
      <c r="BH47" s="5">
        <f t="shared" si="233"/>
        <v>-100.33990900949046</v>
      </c>
      <c r="BI47" s="5">
        <f t="shared" si="233"/>
        <v>0</v>
      </c>
      <c r="BJ47" s="5">
        <f t="shared" si="233"/>
        <v>0</v>
      </c>
      <c r="BK47" s="5">
        <f t="shared" si="233"/>
        <v>-579.4629745298073</v>
      </c>
      <c r="BL47" s="5">
        <f t="shared" si="233"/>
        <v>-105.35690445996498</v>
      </c>
      <c r="BM47" s="5">
        <f t="shared" si="233"/>
        <v>0</v>
      </c>
      <c r="BN47" s="5">
        <f t="shared" si="233"/>
        <v>0</v>
      </c>
      <c r="BO47" s="5">
        <f t="shared" si="233"/>
        <v>-608.43612325629772</v>
      </c>
      <c r="BP47" s="5">
        <f t="shared" si="233"/>
        <v>-110.62474968296323</v>
      </c>
      <c r="BQ47" s="5">
        <f t="shared" si="233"/>
        <v>0</v>
      </c>
      <c r="BR47" s="5">
        <f t="shared" si="233"/>
        <v>0</v>
      </c>
      <c r="BS47" s="5">
        <f t="shared" si="233"/>
        <v>-638.85792941911268</v>
      </c>
      <c r="BT47" s="5">
        <f t="shared" si="233"/>
        <v>-116.15598716711139</v>
      </c>
      <c r="BU47" s="5">
        <f t="shared" si="233"/>
        <v>0</v>
      </c>
      <c r="BV47" s="5">
        <f t="shared" si="233"/>
        <v>0</v>
      </c>
      <c r="BW47" s="5">
        <f t="shared" si="233"/>
        <v>-670.80082589006838</v>
      </c>
      <c r="BX47" s="5">
        <f t="shared" si="233"/>
        <v>-121.96378652546697</v>
      </c>
      <c r="BY47" s="5">
        <f t="shared" si="233"/>
        <v>0</v>
      </c>
      <c r="BZ47" s="5">
        <f t="shared" si="233"/>
        <v>0</v>
      </c>
      <c r="CA47" s="5">
        <f t="shared" si="233"/>
        <v>-704.34086718457183</v>
      </c>
      <c r="CB47" s="5">
        <f t="shared" si="233"/>
        <v>-128.06197585174033</v>
      </c>
      <c r="CC47" s="5">
        <f t="shared" si="233"/>
        <v>0</v>
      </c>
      <c r="CD47" s="5">
        <f t="shared" si="233"/>
        <v>0</v>
      </c>
      <c r="CE47" s="5">
        <f t="shared" si="233"/>
        <v>-739.5579105438004</v>
      </c>
      <c r="CF47" s="5">
        <f t="shared" si="233"/>
        <v>-134.46507464432736</v>
      </c>
      <c r="CG47" s="5">
        <f t="shared" si="233"/>
        <v>0</v>
      </c>
      <c r="CH47" s="5">
        <f t="shared" si="233"/>
        <v>0</v>
      </c>
      <c r="CI47" s="5">
        <f t="shared" si="233"/>
        <v>-776.53580607099047</v>
      </c>
      <c r="CJ47" s="5">
        <f t="shared" si="233"/>
        <v>-141.18832837654372</v>
      </c>
      <c r="CK47" s="5">
        <f t="shared" si="233"/>
        <v>0</v>
      </c>
      <c r="CL47" s="5">
        <f t="shared" si="233"/>
        <v>0</v>
      </c>
      <c r="CM47" s="5">
        <f t="shared" si="233"/>
        <v>-815.36259637454009</v>
      </c>
      <c r="CN47" s="5">
        <f t="shared" ref="CN47:CO47" si="234">CJ47*CN$14</f>
        <v>-148.24774479537092</v>
      </c>
      <c r="CO47" s="5">
        <f t="shared" si="234"/>
        <v>0</v>
      </c>
    </row>
    <row r="48" spans="1:93" ht="12.75" customHeight="1" outlineLevel="2">
      <c r="A48" s="35"/>
      <c r="B48" s="63" t="s">
        <v>149</v>
      </c>
      <c r="C48" s="74">
        <f t="shared" si="230"/>
        <v>-65542.51222649141</v>
      </c>
      <c r="D48" s="60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>
        <f>-('операционные  расходы 1 этап'!E25+'операционные  расходы 1 этап'!F25+'операционные  расходы 1 этап'!G25)/1000</f>
        <v>-600</v>
      </c>
      <c r="X48" s="5">
        <f>-SUM('операционные  расходы 1 этап'!H25:J25)/1000</f>
        <v>-600</v>
      </c>
      <c r="Y48" s="5">
        <f>-SUM('операционные  расходы 1 этап'!K25:M25)/1000</f>
        <v>-600</v>
      </c>
      <c r="Z48" s="5">
        <f>-SUM('операционные  расходы 1 этап'!B25:D25)/1000*$Z$14</f>
        <v>-630</v>
      </c>
      <c r="AA48" s="5">
        <f>W48*AA$14</f>
        <v>-630</v>
      </c>
      <c r="AB48" s="5">
        <f t="shared" ref="AB48" si="235">X48*AB$14</f>
        <v>-630</v>
      </c>
      <c r="AC48" s="5">
        <f t="shared" ref="AC48" si="236">Y48*AC$14</f>
        <v>-630</v>
      </c>
      <c r="AD48" s="5">
        <f t="shared" ref="AD48" si="237">Z48*AD$14</f>
        <v>-661.5</v>
      </c>
      <c r="AE48" s="5">
        <f t="shared" ref="AE48" si="238">AA48*AE$14</f>
        <v>-661.5</v>
      </c>
      <c r="AF48" s="5">
        <f t="shared" ref="AF48" si="239">AB48*AF$14</f>
        <v>-661.5</v>
      </c>
      <c r="AG48" s="5">
        <f t="shared" ref="AG48" si="240">AC48*AG$14</f>
        <v>-661.5</v>
      </c>
      <c r="AH48" s="5">
        <f t="shared" ref="AH48" si="241">AD48*AH$14</f>
        <v>-694.57500000000005</v>
      </c>
      <c r="AI48" s="5">
        <f t="shared" ref="AI48" si="242">AE48*AI$14</f>
        <v>-694.57500000000005</v>
      </c>
      <c r="AJ48" s="5">
        <f t="shared" ref="AJ48" si="243">AF48*AJ$14</f>
        <v>-694.57500000000005</v>
      </c>
      <c r="AK48" s="5">
        <f t="shared" ref="AK48" si="244">AG48*AK$14</f>
        <v>-694.57500000000005</v>
      </c>
      <c r="AL48" s="5">
        <f t="shared" ref="AL48" si="245">AH48*AL$14</f>
        <v>-729.30375000000004</v>
      </c>
      <c r="AM48" s="5">
        <f t="shared" ref="AM48" si="246">AI48*AM$14</f>
        <v>-729.30375000000004</v>
      </c>
      <c r="AN48" s="5">
        <f t="shared" ref="AN48" si="247">AJ48*AN$14</f>
        <v>-729.30375000000004</v>
      </c>
      <c r="AO48" s="5">
        <f t="shared" ref="AO48" si="248">AK48*AO$14</f>
        <v>-729.30375000000004</v>
      </c>
      <c r="AP48" s="5">
        <f t="shared" ref="AP48" si="249">AL48*AP$14</f>
        <v>-765.76893750000011</v>
      </c>
      <c r="AQ48" s="5">
        <f t="shared" ref="AQ48" si="250">AM48*AQ$14</f>
        <v>-765.76893750000011</v>
      </c>
      <c r="AR48" s="5">
        <f t="shared" ref="AR48" si="251">AN48*AR$14</f>
        <v>-765.76893750000011</v>
      </c>
      <c r="AS48" s="5">
        <f t="shared" ref="AS48" si="252">AO48*AS$14</f>
        <v>-765.76893750000011</v>
      </c>
      <c r="AT48" s="5">
        <f t="shared" ref="AT48" si="253">AP48*AT$14</f>
        <v>-804.0573843750002</v>
      </c>
      <c r="AU48" s="5">
        <f t="shared" ref="AU48" si="254">AQ48*AU$14</f>
        <v>-804.0573843750002</v>
      </c>
      <c r="AV48" s="5">
        <f t="shared" ref="AV48" si="255">AR48*AV$14</f>
        <v>-804.0573843750002</v>
      </c>
      <c r="AW48" s="5">
        <f t="shared" ref="AW48" si="256">AS48*AW$14</f>
        <v>-804.0573843750002</v>
      </c>
      <c r="AX48" s="5">
        <f t="shared" ref="AX48" si="257">AT48*AX$14</f>
        <v>-844.26025359375024</v>
      </c>
      <c r="AY48" s="5">
        <f t="shared" ref="AY48" si="258">AU48*AY$14</f>
        <v>-844.26025359375024</v>
      </c>
      <c r="AZ48" s="5">
        <f t="shared" ref="AZ48" si="259">AV48*AZ$14</f>
        <v>-844.26025359375024</v>
      </c>
      <c r="BA48" s="5">
        <f t="shared" ref="BA48" si="260">AW48*BA$14</f>
        <v>-844.26025359375024</v>
      </c>
      <c r="BB48" s="5">
        <f t="shared" ref="BB48" si="261">AX48*BB$14</f>
        <v>-886.47326627343773</v>
      </c>
      <c r="BC48" s="5">
        <f t="shared" ref="BC48" si="262">AY48*BC$14</f>
        <v>-886.47326627343773</v>
      </c>
      <c r="BD48" s="5">
        <f t="shared" ref="BD48" si="263">AZ48*BD$14</f>
        <v>-886.47326627343773</v>
      </c>
      <c r="BE48" s="5">
        <f t="shared" ref="BE48" si="264">BA48*BE$14</f>
        <v>-886.47326627343773</v>
      </c>
      <c r="BF48" s="5">
        <f t="shared" ref="BF48" si="265">BB48*BF$14</f>
        <v>-930.79692958710962</v>
      </c>
      <c r="BG48" s="5">
        <f t="shared" ref="BG48" si="266">BC48*BG$14</f>
        <v>-930.79692958710962</v>
      </c>
      <c r="BH48" s="5">
        <f t="shared" ref="BH48" si="267">BD48*BH$14</f>
        <v>-930.79692958710962</v>
      </c>
      <c r="BI48" s="5">
        <f t="shared" ref="BI48" si="268">BE48*BI$14</f>
        <v>-930.79692958710962</v>
      </c>
      <c r="BJ48" s="5">
        <f t="shared" ref="BJ48" si="269">BF48*BJ$14</f>
        <v>-977.33677606646518</v>
      </c>
      <c r="BK48" s="5">
        <f t="shared" ref="BK48" si="270">BG48*BK$14</f>
        <v>-977.33677606646518</v>
      </c>
      <c r="BL48" s="5">
        <f t="shared" ref="BL48" si="271">BH48*BL$14</f>
        <v>-977.33677606646518</v>
      </c>
      <c r="BM48" s="5">
        <f t="shared" ref="BM48" si="272">BI48*BM$14</f>
        <v>-977.33677606646518</v>
      </c>
      <c r="BN48" s="5">
        <f t="shared" ref="BN48" si="273">BJ48*BN$14</f>
        <v>-1026.2036148697885</v>
      </c>
      <c r="BO48" s="5">
        <f t="shared" ref="BO48" si="274">BK48*BO$14</f>
        <v>-1026.2036148697885</v>
      </c>
      <c r="BP48" s="5">
        <f t="shared" ref="BP48" si="275">BL48*BP$14</f>
        <v>-1026.2036148697885</v>
      </c>
      <c r="BQ48" s="5">
        <f t="shared" ref="BQ48" si="276">BM48*BQ$14</f>
        <v>-1026.2036148697885</v>
      </c>
      <c r="BR48" s="5">
        <f t="shared" ref="BR48" si="277">BN48*BR$14</f>
        <v>-1077.513795613278</v>
      </c>
      <c r="BS48" s="5">
        <f t="shared" ref="BS48" si="278">BO48*BS$14</f>
        <v>-1077.513795613278</v>
      </c>
      <c r="BT48" s="5">
        <f t="shared" ref="BT48" si="279">BP48*BT$14</f>
        <v>-1077.513795613278</v>
      </c>
      <c r="BU48" s="5">
        <f t="shared" ref="BU48" si="280">BQ48*BU$14</f>
        <v>-1077.513795613278</v>
      </c>
      <c r="BV48" s="5">
        <f t="shared" ref="BV48" si="281">BR48*BV$14</f>
        <v>-1131.3894853939421</v>
      </c>
      <c r="BW48" s="5">
        <f t="shared" ref="BW48" si="282">BS48*BW$14</f>
        <v>-1131.3894853939421</v>
      </c>
      <c r="BX48" s="5">
        <f t="shared" ref="BX48" si="283">BT48*BX$14</f>
        <v>-1131.3894853939421</v>
      </c>
      <c r="BY48" s="5">
        <f t="shared" ref="BY48" si="284">BU48*BY$14</f>
        <v>-1131.3894853939421</v>
      </c>
      <c r="BZ48" s="5">
        <f t="shared" ref="BZ48" si="285">BV48*BZ$14</f>
        <v>-1187.9589596636392</v>
      </c>
      <c r="CA48" s="5">
        <f t="shared" ref="CA48" si="286">BW48*CA$14</f>
        <v>-1187.9589596636392</v>
      </c>
      <c r="CB48" s="5">
        <f t="shared" ref="CB48" si="287">BX48*CB$14</f>
        <v>-1187.9589596636392</v>
      </c>
      <c r="CC48" s="5">
        <f t="shared" ref="CC48" si="288">BY48*CC$14</f>
        <v>-1187.9589596636392</v>
      </c>
      <c r="CD48" s="5">
        <f t="shared" ref="CD48" si="289">BZ48*CD$14</f>
        <v>-1247.3569076468214</v>
      </c>
      <c r="CE48" s="5">
        <f t="shared" ref="CE48" si="290">CA48*CE$14</f>
        <v>-1247.3569076468214</v>
      </c>
      <c r="CF48" s="5">
        <f t="shared" ref="CF48" si="291">CB48*CF$14</f>
        <v>-1247.3569076468214</v>
      </c>
      <c r="CG48" s="5">
        <f t="shared" ref="CG48" si="292">CC48*CG$14</f>
        <v>-1247.3569076468214</v>
      </c>
      <c r="CH48" s="5">
        <f t="shared" ref="CH48" si="293">CD48*CH$14</f>
        <v>-1309.7247530291625</v>
      </c>
      <c r="CI48" s="5">
        <f t="shared" ref="CI48" si="294">CE48*CI$14</f>
        <v>-1309.7247530291625</v>
      </c>
      <c r="CJ48" s="5">
        <f t="shared" ref="CJ48" si="295">CF48*CJ$14</f>
        <v>-1309.7247530291625</v>
      </c>
      <c r="CK48" s="5">
        <f t="shared" ref="CK48" si="296">CG48*CK$14</f>
        <v>-1309.7247530291625</v>
      </c>
      <c r="CL48" s="5">
        <f t="shared" ref="CL48" si="297">CH48*CL$14</f>
        <v>-1375.2109906806206</v>
      </c>
      <c r="CM48" s="5">
        <f t="shared" ref="CM48" si="298">CI48*CM$14</f>
        <v>-1375.2109906806206</v>
      </c>
      <c r="CN48" s="5">
        <f t="shared" ref="CN48" si="299">CJ48*CN$14</f>
        <v>-1375.2109906806206</v>
      </c>
      <c r="CO48" s="5">
        <f t="shared" ref="CO48" si="300">CK48*CO$14</f>
        <v>-1375.2109906806206</v>
      </c>
    </row>
    <row r="49" spans="1:93" ht="12.75" customHeight="1" outlineLevel="2">
      <c r="A49" s="35"/>
      <c r="B49" s="63" t="s">
        <v>150</v>
      </c>
      <c r="C49" s="74">
        <f t="shared" si="230"/>
        <v>-81928.140283114306</v>
      </c>
      <c r="D49" s="60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>
        <f>-('операционные  расходы 1 этап'!E26+'операционные  расходы 1 этап'!F26+'операционные  расходы 1 этап'!G26)/1000</f>
        <v>-750</v>
      </c>
      <c r="X49" s="5">
        <f>-SUM('операционные  расходы 1 этап'!H26:J26)/1000</f>
        <v>-750</v>
      </c>
      <c r="Y49" s="5">
        <f>-SUM('операционные  расходы 1 этап'!K26:M26)/1000</f>
        <v>-750</v>
      </c>
      <c r="Z49" s="5">
        <f>-SUM('операционные  расходы 1 этап'!B26:D26)/1000*$Z$14</f>
        <v>-787.5</v>
      </c>
      <c r="AA49" s="5">
        <f>W49*AA$14</f>
        <v>-787.5</v>
      </c>
      <c r="AB49" s="5">
        <f t="shared" ref="AB49" si="301">X49*AB$14</f>
        <v>-787.5</v>
      </c>
      <c r="AC49" s="5">
        <f t="shared" ref="AC49" si="302">Y49*AC$14</f>
        <v>-787.5</v>
      </c>
      <c r="AD49" s="5">
        <f t="shared" ref="AD49" si="303">Z49*AD$14</f>
        <v>-826.875</v>
      </c>
      <c r="AE49" s="5">
        <f t="shared" ref="AE49" si="304">AA49*AE$14</f>
        <v>-826.875</v>
      </c>
      <c r="AF49" s="5">
        <f t="shared" ref="AF49" si="305">AB49*AF$14</f>
        <v>-826.875</v>
      </c>
      <c r="AG49" s="5">
        <f t="shared" ref="AG49" si="306">AC49*AG$14</f>
        <v>-826.875</v>
      </c>
      <c r="AH49" s="5">
        <f t="shared" ref="AH49" si="307">AD49*AH$14</f>
        <v>-868.21875</v>
      </c>
      <c r="AI49" s="5">
        <f t="shared" ref="AI49" si="308">AE49*AI$14</f>
        <v>-868.21875</v>
      </c>
      <c r="AJ49" s="5">
        <f t="shared" ref="AJ49" si="309">AF49*AJ$14</f>
        <v>-868.21875</v>
      </c>
      <c r="AK49" s="5">
        <f t="shared" ref="AK49" si="310">AG49*AK$14</f>
        <v>-868.21875</v>
      </c>
      <c r="AL49" s="5">
        <f t="shared" ref="AL49" si="311">AH49*AL$14</f>
        <v>-911.62968750000005</v>
      </c>
      <c r="AM49" s="5">
        <f t="shared" ref="AM49" si="312">AI49*AM$14</f>
        <v>-911.62968750000005</v>
      </c>
      <c r="AN49" s="5">
        <f t="shared" ref="AN49" si="313">AJ49*AN$14</f>
        <v>-911.62968750000005</v>
      </c>
      <c r="AO49" s="5">
        <f t="shared" ref="AO49" si="314">AK49*AO$14</f>
        <v>-911.62968750000005</v>
      </c>
      <c r="AP49" s="5">
        <f t="shared" ref="AP49" si="315">AL49*AP$14</f>
        <v>-957.2111718750001</v>
      </c>
      <c r="AQ49" s="5">
        <f t="shared" ref="AQ49" si="316">AM49*AQ$14</f>
        <v>-957.2111718750001</v>
      </c>
      <c r="AR49" s="5">
        <f t="shared" ref="AR49" si="317">AN49*AR$14</f>
        <v>-957.2111718750001</v>
      </c>
      <c r="AS49" s="5">
        <f t="shared" ref="AS49" si="318">AO49*AS$14</f>
        <v>-957.2111718750001</v>
      </c>
      <c r="AT49" s="5">
        <f t="shared" ref="AT49" si="319">AP49*AT$14</f>
        <v>-1005.0717304687502</v>
      </c>
      <c r="AU49" s="5">
        <f t="shared" ref="AU49" si="320">AQ49*AU$14</f>
        <v>-1005.0717304687502</v>
      </c>
      <c r="AV49" s="5">
        <f t="shared" ref="AV49" si="321">AR49*AV$14</f>
        <v>-1005.0717304687502</v>
      </c>
      <c r="AW49" s="5">
        <f t="shared" ref="AW49" si="322">AS49*AW$14</f>
        <v>-1005.0717304687502</v>
      </c>
      <c r="AX49" s="5">
        <f t="shared" ref="AX49" si="323">AT49*AX$14</f>
        <v>-1055.3253169921877</v>
      </c>
      <c r="AY49" s="5">
        <f t="shared" ref="AY49" si="324">AU49*AY$14</f>
        <v>-1055.3253169921877</v>
      </c>
      <c r="AZ49" s="5">
        <f t="shared" ref="AZ49" si="325">AV49*AZ$14</f>
        <v>-1055.3253169921877</v>
      </c>
      <c r="BA49" s="5">
        <f t="shared" ref="BA49" si="326">AW49*BA$14</f>
        <v>-1055.3253169921877</v>
      </c>
      <c r="BB49" s="5">
        <f t="shared" ref="BB49" si="327">AX49*BB$14</f>
        <v>-1108.0915828417972</v>
      </c>
      <c r="BC49" s="5">
        <f t="shared" ref="BC49" si="328">AY49*BC$14</f>
        <v>-1108.0915828417972</v>
      </c>
      <c r="BD49" s="5">
        <f t="shared" ref="BD49" si="329">AZ49*BD$14</f>
        <v>-1108.0915828417972</v>
      </c>
      <c r="BE49" s="5">
        <f t="shared" ref="BE49" si="330">BA49*BE$14</f>
        <v>-1108.0915828417972</v>
      </c>
      <c r="BF49" s="5">
        <f t="shared" ref="BF49" si="331">BB49*BF$14</f>
        <v>-1163.4961619838871</v>
      </c>
      <c r="BG49" s="5">
        <f t="shared" ref="BG49" si="332">BC49*BG$14</f>
        <v>-1163.4961619838871</v>
      </c>
      <c r="BH49" s="5">
        <f t="shared" ref="BH49" si="333">BD49*BH$14</f>
        <v>-1163.4961619838871</v>
      </c>
      <c r="BI49" s="5">
        <f t="shared" ref="BI49" si="334">BE49*BI$14</f>
        <v>-1163.4961619838871</v>
      </c>
      <c r="BJ49" s="5">
        <f t="shared" ref="BJ49" si="335">BF49*BJ$14</f>
        <v>-1221.6709700830816</v>
      </c>
      <c r="BK49" s="5">
        <f t="shared" ref="BK49" si="336">BG49*BK$14</f>
        <v>-1221.6709700830816</v>
      </c>
      <c r="BL49" s="5">
        <f t="shared" ref="BL49" si="337">BH49*BL$14</f>
        <v>-1221.6709700830816</v>
      </c>
      <c r="BM49" s="5">
        <f t="shared" ref="BM49" si="338">BI49*BM$14</f>
        <v>-1221.6709700830816</v>
      </c>
      <c r="BN49" s="5">
        <f t="shared" ref="BN49" si="339">BJ49*BN$14</f>
        <v>-1282.7545185872357</v>
      </c>
      <c r="BO49" s="5">
        <f t="shared" ref="BO49" si="340">BK49*BO$14</f>
        <v>-1282.7545185872357</v>
      </c>
      <c r="BP49" s="5">
        <f t="shared" ref="BP49" si="341">BL49*BP$14</f>
        <v>-1282.7545185872357</v>
      </c>
      <c r="BQ49" s="5">
        <f t="shared" ref="BQ49" si="342">BM49*BQ$14</f>
        <v>-1282.7545185872357</v>
      </c>
      <c r="BR49" s="5">
        <f t="shared" ref="BR49" si="343">BN49*BR$14</f>
        <v>-1346.8922445165974</v>
      </c>
      <c r="BS49" s="5">
        <f t="shared" ref="BS49" si="344">BO49*BS$14</f>
        <v>-1346.8922445165974</v>
      </c>
      <c r="BT49" s="5">
        <f t="shared" ref="BT49" si="345">BP49*BT$14</f>
        <v>-1346.8922445165974</v>
      </c>
      <c r="BU49" s="5">
        <f t="shared" ref="BU49" si="346">BQ49*BU$14</f>
        <v>-1346.8922445165974</v>
      </c>
      <c r="BV49" s="5">
        <f t="shared" ref="BV49" si="347">BR49*BV$14</f>
        <v>-1414.2368567424273</v>
      </c>
      <c r="BW49" s="5">
        <f t="shared" ref="BW49" si="348">BS49*BW$14</f>
        <v>-1414.2368567424273</v>
      </c>
      <c r="BX49" s="5">
        <f t="shared" ref="BX49" si="349">BT49*BX$14</f>
        <v>-1414.2368567424273</v>
      </c>
      <c r="BY49" s="5">
        <f t="shared" ref="BY49" si="350">BU49*BY$14</f>
        <v>-1414.2368567424273</v>
      </c>
      <c r="BZ49" s="5">
        <f t="shared" ref="BZ49" si="351">BV49*BZ$14</f>
        <v>-1484.9486995795487</v>
      </c>
      <c r="CA49" s="5">
        <f t="shared" ref="CA49" si="352">BW49*CA$14</f>
        <v>-1484.9486995795487</v>
      </c>
      <c r="CB49" s="5">
        <f t="shared" ref="CB49" si="353">BX49*CB$14</f>
        <v>-1484.9486995795487</v>
      </c>
      <c r="CC49" s="5">
        <f t="shared" ref="CC49" si="354">BY49*CC$14</f>
        <v>-1484.9486995795487</v>
      </c>
      <c r="CD49" s="5">
        <f t="shared" ref="CD49" si="355">BZ49*CD$14</f>
        <v>-1559.1961345585262</v>
      </c>
      <c r="CE49" s="5">
        <f t="shared" ref="CE49" si="356">CA49*CE$14</f>
        <v>-1559.1961345585262</v>
      </c>
      <c r="CF49" s="5">
        <f t="shared" ref="CF49" si="357">CB49*CF$14</f>
        <v>-1559.1961345585262</v>
      </c>
      <c r="CG49" s="5">
        <f t="shared" ref="CG49" si="358">CC49*CG$14</f>
        <v>-1559.1961345585262</v>
      </c>
      <c r="CH49" s="5">
        <f t="shared" ref="CH49" si="359">CD49*CH$14</f>
        <v>-1637.1559412864526</v>
      </c>
      <c r="CI49" s="5">
        <f t="shared" ref="CI49" si="360">CE49*CI$14</f>
        <v>-1637.1559412864526</v>
      </c>
      <c r="CJ49" s="5">
        <f t="shared" ref="CJ49" si="361">CF49*CJ$14</f>
        <v>-1637.1559412864526</v>
      </c>
      <c r="CK49" s="5">
        <f t="shared" ref="CK49" si="362">CG49*CK$14</f>
        <v>-1637.1559412864526</v>
      </c>
      <c r="CL49" s="5">
        <f t="shared" ref="CL49" si="363">CH49*CL$14</f>
        <v>-1719.0137383507754</v>
      </c>
      <c r="CM49" s="5">
        <f t="shared" ref="CM49" si="364">CI49*CM$14</f>
        <v>-1719.0137383507754</v>
      </c>
      <c r="CN49" s="5">
        <f t="shared" ref="CN49" si="365">CJ49*CN$14</f>
        <v>-1719.0137383507754</v>
      </c>
      <c r="CO49" s="5">
        <f t="shared" ref="CO49" si="366">CK49*CO$14</f>
        <v>-1719.0137383507754</v>
      </c>
    </row>
    <row r="50" spans="1:93" ht="12.75" customHeight="1" outlineLevel="2">
      <c r="A50" s="35"/>
      <c r="B50" s="63" t="s">
        <v>151</v>
      </c>
      <c r="C50" s="74">
        <f t="shared" si="230"/>
        <v>-100070.55636597272</v>
      </c>
      <c r="D50" s="60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>
        <f>-('операционные  расходы 1 этап'!E27+'операционные  расходы 1 этап'!F27+'операционные  расходы 1 этап'!G27)/1000</f>
        <v>-890</v>
      </c>
      <c r="X50" s="5">
        <f>-SUM('операционные  расходы 1 этап'!H27:J27)/1000</f>
        <v>-690</v>
      </c>
      <c r="Y50" s="5">
        <f>-SUM('операционные  расходы 1 этап'!K27:M27)/1000</f>
        <v>-1050</v>
      </c>
      <c r="Z50" s="5">
        <f>-SUM('операционные  расходы 1 этап'!B27:D27)/1000*$Z$14</f>
        <v>-1102.5</v>
      </c>
      <c r="AA50" s="5">
        <f t="shared" ref="AA50:AA51" si="367">W50*AA$14</f>
        <v>-934.5</v>
      </c>
      <c r="AB50" s="5">
        <f t="shared" ref="AB50:AB53" si="368">X50*AB$14</f>
        <v>-724.5</v>
      </c>
      <c r="AC50" s="5">
        <f t="shared" ref="AC50:AC53" si="369">Y50*AC$14</f>
        <v>-1102.5</v>
      </c>
      <c r="AD50" s="5">
        <f t="shared" ref="AD50:AD53" si="370">Z50*AD$14</f>
        <v>-1157.625</v>
      </c>
      <c r="AE50" s="5">
        <f t="shared" ref="AE50:AE53" si="371">AA50*AE$14</f>
        <v>-981.22500000000002</v>
      </c>
      <c r="AF50" s="5">
        <f t="shared" ref="AF50:AF53" si="372">AB50*AF$14</f>
        <v>-760.72500000000002</v>
      </c>
      <c r="AG50" s="5">
        <f t="shared" ref="AG50:AG53" si="373">AC50*AG$14</f>
        <v>-1157.625</v>
      </c>
      <c r="AH50" s="5">
        <f t="shared" ref="AH50:AH53" si="374">AD50*AH$14</f>
        <v>-1215.5062500000001</v>
      </c>
      <c r="AI50" s="5">
        <f t="shared" ref="AI50:AI53" si="375">AE50*AI$14</f>
        <v>-1030.2862500000001</v>
      </c>
      <c r="AJ50" s="5">
        <f t="shared" ref="AJ50:AJ53" si="376">AF50*AJ$14</f>
        <v>-798.76125000000002</v>
      </c>
      <c r="AK50" s="5">
        <f t="shared" ref="AK50:AK53" si="377">AG50*AK$14</f>
        <v>-1215.5062500000001</v>
      </c>
      <c r="AL50" s="5">
        <f t="shared" ref="AL50:AL53" si="378">AH50*AL$14</f>
        <v>-1276.2815625000003</v>
      </c>
      <c r="AM50" s="5">
        <f t="shared" ref="AM50:AM53" si="379">AI50*AM$14</f>
        <v>-1081.8005625000001</v>
      </c>
      <c r="AN50" s="5">
        <f t="shared" ref="AN50:AN53" si="380">AJ50*AN$14</f>
        <v>-838.69931250000002</v>
      </c>
      <c r="AO50" s="5">
        <f t="shared" ref="AO50:AO53" si="381">AK50*AO$14</f>
        <v>-1276.2815625000003</v>
      </c>
      <c r="AP50" s="5">
        <f t="shared" ref="AP50:AP53" si="382">AL50*AP$14</f>
        <v>-1340.0956406250004</v>
      </c>
      <c r="AQ50" s="5">
        <f t="shared" ref="AQ50:AQ53" si="383">AM50*AQ$14</f>
        <v>-1135.8905906250002</v>
      </c>
      <c r="AR50" s="5">
        <f t="shared" ref="AR50:AR53" si="384">AN50*AR$14</f>
        <v>-880.63427812500004</v>
      </c>
      <c r="AS50" s="5">
        <f t="shared" ref="AS50:AS53" si="385">AO50*AS$14</f>
        <v>-1340.0956406250004</v>
      </c>
      <c r="AT50" s="5">
        <f t="shared" ref="AT50:AT53" si="386">AP50*AT$14</f>
        <v>-1407.1004226562504</v>
      </c>
      <c r="AU50" s="5">
        <f t="shared" ref="AU50:AU53" si="387">AQ50*AU$14</f>
        <v>-1192.6851201562502</v>
      </c>
      <c r="AV50" s="5">
        <f t="shared" ref="AV50:AV53" si="388">AR50*AV$14</f>
        <v>-924.66599203125008</v>
      </c>
      <c r="AW50" s="5">
        <f t="shared" ref="AW50:AW53" si="389">AS50*AW$14</f>
        <v>-1407.1004226562504</v>
      </c>
      <c r="AX50" s="5">
        <f t="shared" ref="AX50:AX53" si="390">AT50*AX$14</f>
        <v>-1477.4554437890631</v>
      </c>
      <c r="AY50" s="5">
        <f t="shared" ref="AY50:AY53" si="391">AU50*AY$14</f>
        <v>-1252.3193761640628</v>
      </c>
      <c r="AZ50" s="5">
        <f t="shared" ref="AZ50:AZ53" si="392">AV50*AZ$14</f>
        <v>-970.89929163281261</v>
      </c>
      <c r="BA50" s="5">
        <f t="shared" ref="BA50:BA53" si="393">AW50*BA$14</f>
        <v>-1477.4554437890631</v>
      </c>
      <c r="BB50" s="5">
        <f t="shared" ref="BB50:BB53" si="394">AX50*BB$14</f>
        <v>-1551.3282159785163</v>
      </c>
      <c r="BC50" s="5">
        <f t="shared" ref="BC50:BC53" si="395">AY50*BC$14</f>
        <v>-1314.935344972266</v>
      </c>
      <c r="BD50" s="5">
        <f t="shared" ref="BD50:BD53" si="396">AZ50*BD$14</f>
        <v>-1019.4442562144533</v>
      </c>
      <c r="BE50" s="5">
        <f t="shared" ref="BE50:BE53" si="397">BA50*BE$14</f>
        <v>-1551.3282159785163</v>
      </c>
      <c r="BF50" s="5">
        <f t="shared" ref="BF50:BF53" si="398">BB50*BF$14</f>
        <v>-1628.8946267774422</v>
      </c>
      <c r="BG50" s="5">
        <f t="shared" ref="BG50:BG53" si="399">BC50*BG$14</f>
        <v>-1380.6821122208794</v>
      </c>
      <c r="BH50" s="5">
        <f t="shared" ref="BH50:BH53" si="400">BD50*BH$14</f>
        <v>-1070.416469025176</v>
      </c>
      <c r="BI50" s="5">
        <f t="shared" ref="BI50:BI53" si="401">BE50*BI$14</f>
        <v>-1628.8946267774422</v>
      </c>
      <c r="BJ50" s="5">
        <f t="shared" ref="BJ50:BJ53" si="402">BF50*BJ$14</f>
        <v>-1710.3393581163143</v>
      </c>
      <c r="BK50" s="5">
        <f t="shared" ref="BK50:BK53" si="403">BG50*BK$14</f>
        <v>-1449.7162178319234</v>
      </c>
      <c r="BL50" s="5">
        <f t="shared" ref="BL50:BL53" si="404">BH50*BL$14</f>
        <v>-1123.9372924764348</v>
      </c>
      <c r="BM50" s="5">
        <f t="shared" ref="BM50:BM53" si="405">BI50*BM$14</f>
        <v>-1710.3393581163143</v>
      </c>
      <c r="BN50" s="5">
        <f t="shared" ref="BN50:BN53" si="406">BJ50*BN$14</f>
        <v>-1795.8563260221301</v>
      </c>
      <c r="BO50" s="5">
        <f t="shared" ref="BO50:BO53" si="407">BK50*BO$14</f>
        <v>-1522.2020287235196</v>
      </c>
      <c r="BP50" s="5">
        <f t="shared" ref="BP50:BP53" si="408">BL50*BP$14</f>
        <v>-1180.1341571002565</v>
      </c>
      <c r="BQ50" s="5">
        <f t="shared" ref="BQ50:BQ53" si="409">BM50*BQ$14</f>
        <v>-1795.8563260221301</v>
      </c>
      <c r="BR50" s="5">
        <f t="shared" ref="BR50:BR53" si="410">BN50*BR$14</f>
        <v>-1885.6491423232367</v>
      </c>
      <c r="BS50" s="5">
        <f t="shared" ref="BS50:BS53" si="411">BO50*BS$14</f>
        <v>-1598.3121301596957</v>
      </c>
      <c r="BT50" s="5">
        <f t="shared" ref="BT50:BT53" si="412">BP50*BT$14</f>
        <v>-1239.1408649552693</v>
      </c>
      <c r="BU50" s="5">
        <f t="shared" ref="BU50:BU53" si="413">BQ50*BU$14</f>
        <v>-1885.6491423232367</v>
      </c>
      <c r="BV50" s="5">
        <f t="shared" ref="BV50:BV53" si="414">BR50*BV$14</f>
        <v>-1979.9315994393985</v>
      </c>
      <c r="BW50" s="5">
        <f t="shared" ref="BW50:BW53" si="415">BS50*BW$14</f>
        <v>-1678.2277366676806</v>
      </c>
      <c r="BX50" s="5">
        <f t="shared" ref="BX50:BX53" si="416">BT50*BX$14</f>
        <v>-1301.0979082030328</v>
      </c>
      <c r="BY50" s="5">
        <f t="shared" ref="BY50:BY53" si="417">BU50*BY$14</f>
        <v>-1979.9315994393985</v>
      </c>
      <c r="BZ50" s="5">
        <f t="shared" ref="BZ50:BZ53" si="418">BV50*BZ$14</f>
        <v>-2078.9281794113685</v>
      </c>
      <c r="CA50" s="5">
        <f t="shared" ref="CA50:CA53" si="419">BW50*CA$14</f>
        <v>-1762.1391235010647</v>
      </c>
      <c r="CB50" s="5">
        <f t="shared" ref="CB50:CB53" si="420">BX50*CB$14</f>
        <v>-1366.1528036131845</v>
      </c>
      <c r="CC50" s="5">
        <f t="shared" ref="CC50:CC53" si="421">BY50*CC$14</f>
        <v>-2078.9281794113685</v>
      </c>
      <c r="CD50" s="5">
        <f t="shared" ref="CD50:CD53" si="422">BZ50*CD$14</f>
        <v>-2182.874588381937</v>
      </c>
      <c r="CE50" s="5">
        <f t="shared" ref="CE50:CE53" si="423">CA50*CE$14</f>
        <v>-1850.2460796761179</v>
      </c>
      <c r="CF50" s="5">
        <f t="shared" ref="CF50:CF53" si="424">CB50*CF$14</f>
        <v>-1434.4604437938438</v>
      </c>
      <c r="CG50" s="5">
        <f t="shared" ref="CG50:CG53" si="425">CC50*CG$14</f>
        <v>-2182.874588381937</v>
      </c>
      <c r="CH50" s="5">
        <f t="shared" ref="CH50:CH53" si="426">CD50*CH$14</f>
        <v>-2292.0183178010338</v>
      </c>
      <c r="CI50" s="5">
        <f t="shared" ref="CI50:CI53" si="427">CE50*CI$14</f>
        <v>-1942.758383659924</v>
      </c>
      <c r="CJ50" s="5">
        <f t="shared" ref="CJ50:CJ53" si="428">CF50*CJ$14</f>
        <v>-1506.1834659835361</v>
      </c>
      <c r="CK50" s="5">
        <f t="shared" ref="CK50:CK53" si="429">CG50*CK$14</f>
        <v>-2292.0183178010338</v>
      </c>
      <c r="CL50" s="5">
        <f t="shared" ref="CL50:CL53" si="430">CH50*CL$14</f>
        <v>-2406.6192336910858</v>
      </c>
      <c r="CM50" s="5">
        <f t="shared" ref="CM50:CM53" si="431">CI50*CM$14</f>
        <v>-2039.8963028429202</v>
      </c>
      <c r="CN50" s="5">
        <f t="shared" ref="CN50:CN53" si="432">CJ50*CN$14</f>
        <v>-1581.4926392827128</v>
      </c>
      <c r="CO50" s="5">
        <f t="shared" ref="CO50:CO53" si="433">CK50*CO$14</f>
        <v>-2406.6192336910858</v>
      </c>
    </row>
    <row r="51" spans="1:93" ht="12.75" customHeight="1" outlineLevel="2">
      <c r="A51" s="35"/>
      <c r="B51" s="63" t="s">
        <v>152</v>
      </c>
      <c r="C51" s="74">
        <f t="shared" si="230"/>
        <v>-2054896.1263347748</v>
      </c>
      <c r="D51" s="60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>
        <f>-('операционные  расходы 1 этап'!E28+'операционные  расходы 1 этап'!F28+'операционные  расходы 1 этап'!G28)/1000</f>
        <v>-18811.266671321253</v>
      </c>
      <c r="X51" s="5">
        <f>-SUM('операционные  расходы 1 этап'!H28:J28)/1000</f>
        <v>-18811.266671321253</v>
      </c>
      <c r="Y51" s="5">
        <f>-SUM('операционные  расходы 1 этап'!K28:M28)/1000</f>
        <v>-18811.266671321253</v>
      </c>
      <c r="Z51" s="5">
        <f>-SUM('операционные  расходы 1 этап'!B28:D28)/1000*$Z$14</f>
        <v>-19751.830004887317</v>
      </c>
      <c r="AA51" s="5">
        <f t="shared" si="367"/>
        <v>-19751.830004887317</v>
      </c>
      <c r="AB51" s="5">
        <f t="shared" si="368"/>
        <v>-19751.830004887317</v>
      </c>
      <c r="AC51" s="5">
        <f t="shared" si="369"/>
        <v>-19751.830004887317</v>
      </c>
      <c r="AD51" s="5">
        <f t="shared" si="370"/>
        <v>-20739.421505131682</v>
      </c>
      <c r="AE51" s="5">
        <f t="shared" si="371"/>
        <v>-20739.421505131682</v>
      </c>
      <c r="AF51" s="5">
        <f t="shared" si="372"/>
        <v>-20739.421505131682</v>
      </c>
      <c r="AG51" s="5">
        <f t="shared" si="373"/>
        <v>-20739.421505131682</v>
      </c>
      <c r="AH51" s="5">
        <f t="shared" si="374"/>
        <v>-21776.392580388267</v>
      </c>
      <c r="AI51" s="5">
        <f t="shared" si="375"/>
        <v>-21776.392580388267</v>
      </c>
      <c r="AJ51" s="5">
        <f t="shared" si="376"/>
        <v>-21776.392580388267</v>
      </c>
      <c r="AK51" s="5">
        <f t="shared" si="377"/>
        <v>-21776.392580388267</v>
      </c>
      <c r="AL51" s="5">
        <f t="shared" si="378"/>
        <v>-22865.21220940768</v>
      </c>
      <c r="AM51" s="5">
        <f t="shared" si="379"/>
        <v>-22865.21220940768</v>
      </c>
      <c r="AN51" s="5">
        <f t="shared" si="380"/>
        <v>-22865.21220940768</v>
      </c>
      <c r="AO51" s="5">
        <f t="shared" si="381"/>
        <v>-22865.21220940768</v>
      </c>
      <c r="AP51" s="5">
        <f t="shared" si="382"/>
        <v>-24008.472819878065</v>
      </c>
      <c r="AQ51" s="5">
        <f t="shared" si="383"/>
        <v>-24008.472819878065</v>
      </c>
      <c r="AR51" s="5">
        <f t="shared" si="384"/>
        <v>-24008.472819878065</v>
      </c>
      <c r="AS51" s="5">
        <f t="shared" si="385"/>
        <v>-24008.472819878065</v>
      </c>
      <c r="AT51" s="5">
        <f t="shared" si="386"/>
        <v>-25208.896460871969</v>
      </c>
      <c r="AU51" s="5">
        <f t="shared" si="387"/>
        <v>-25208.896460871969</v>
      </c>
      <c r="AV51" s="5">
        <f t="shared" si="388"/>
        <v>-25208.896460871969</v>
      </c>
      <c r="AW51" s="5">
        <f t="shared" si="389"/>
        <v>-25208.896460871969</v>
      </c>
      <c r="AX51" s="5">
        <f t="shared" si="390"/>
        <v>-26469.341283915568</v>
      </c>
      <c r="AY51" s="5">
        <f t="shared" si="391"/>
        <v>-26469.341283915568</v>
      </c>
      <c r="AZ51" s="5">
        <f t="shared" si="392"/>
        <v>-26469.341283915568</v>
      </c>
      <c r="BA51" s="5">
        <f t="shared" si="393"/>
        <v>-26469.341283915568</v>
      </c>
      <c r="BB51" s="5">
        <f t="shared" si="394"/>
        <v>-27792.808348111346</v>
      </c>
      <c r="BC51" s="5">
        <f t="shared" si="395"/>
        <v>-27792.808348111346</v>
      </c>
      <c r="BD51" s="5">
        <f t="shared" si="396"/>
        <v>-27792.808348111346</v>
      </c>
      <c r="BE51" s="5">
        <f t="shared" si="397"/>
        <v>-27792.808348111346</v>
      </c>
      <c r="BF51" s="5">
        <f t="shared" si="398"/>
        <v>-29182.448765516914</v>
      </c>
      <c r="BG51" s="5">
        <f t="shared" si="399"/>
        <v>-29182.448765516914</v>
      </c>
      <c r="BH51" s="5">
        <f t="shared" si="400"/>
        <v>-29182.448765516914</v>
      </c>
      <c r="BI51" s="5">
        <f t="shared" si="401"/>
        <v>-29182.448765516914</v>
      </c>
      <c r="BJ51" s="5">
        <f t="shared" si="402"/>
        <v>-30641.571203792762</v>
      </c>
      <c r="BK51" s="5">
        <f t="shared" si="403"/>
        <v>-30641.571203792762</v>
      </c>
      <c r="BL51" s="5">
        <f t="shared" si="404"/>
        <v>-30641.571203792762</v>
      </c>
      <c r="BM51" s="5">
        <f t="shared" si="405"/>
        <v>-30641.571203792762</v>
      </c>
      <c r="BN51" s="5">
        <f t="shared" si="406"/>
        <v>-32173.649763982401</v>
      </c>
      <c r="BO51" s="5">
        <f t="shared" si="407"/>
        <v>-32173.649763982401</v>
      </c>
      <c r="BP51" s="5">
        <f t="shared" si="408"/>
        <v>-32173.649763982401</v>
      </c>
      <c r="BQ51" s="5">
        <f t="shared" si="409"/>
        <v>-32173.649763982401</v>
      </c>
      <c r="BR51" s="5">
        <f t="shared" si="410"/>
        <v>-33782.332252181521</v>
      </c>
      <c r="BS51" s="5">
        <f t="shared" si="411"/>
        <v>-33782.332252181521</v>
      </c>
      <c r="BT51" s="5">
        <f t="shared" si="412"/>
        <v>-33782.332252181521</v>
      </c>
      <c r="BU51" s="5">
        <f t="shared" si="413"/>
        <v>-33782.332252181521</v>
      </c>
      <c r="BV51" s="5">
        <f t="shared" si="414"/>
        <v>-35471.448864790596</v>
      </c>
      <c r="BW51" s="5">
        <f t="shared" si="415"/>
        <v>-35471.448864790596</v>
      </c>
      <c r="BX51" s="5">
        <f t="shared" si="416"/>
        <v>-35471.448864790596</v>
      </c>
      <c r="BY51" s="5">
        <f t="shared" si="417"/>
        <v>-35471.448864790596</v>
      </c>
      <c r="BZ51" s="5">
        <f t="shared" si="418"/>
        <v>-37245.021308030126</v>
      </c>
      <c r="CA51" s="5">
        <f t="shared" si="419"/>
        <v>-37245.021308030126</v>
      </c>
      <c r="CB51" s="5">
        <f t="shared" si="420"/>
        <v>-37245.021308030126</v>
      </c>
      <c r="CC51" s="5">
        <f t="shared" si="421"/>
        <v>-37245.021308030126</v>
      </c>
      <c r="CD51" s="5">
        <f t="shared" si="422"/>
        <v>-39107.272373431631</v>
      </c>
      <c r="CE51" s="5">
        <f t="shared" si="423"/>
        <v>-39107.272373431631</v>
      </c>
      <c r="CF51" s="5">
        <f t="shared" si="424"/>
        <v>-39107.272373431631</v>
      </c>
      <c r="CG51" s="5">
        <f t="shared" si="425"/>
        <v>-39107.272373431631</v>
      </c>
      <c r="CH51" s="5">
        <f t="shared" si="426"/>
        <v>-41062.635992103213</v>
      </c>
      <c r="CI51" s="5">
        <f t="shared" si="427"/>
        <v>-41062.635992103213</v>
      </c>
      <c r="CJ51" s="5">
        <f t="shared" si="428"/>
        <v>-41062.635992103213</v>
      </c>
      <c r="CK51" s="5">
        <f t="shared" si="429"/>
        <v>-41062.635992103213</v>
      </c>
      <c r="CL51" s="5">
        <f t="shared" si="430"/>
        <v>-43115.767791708378</v>
      </c>
      <c r="CM51" s="5">
        <f t="shared" si="431"/>
        <v>-43115.767791708378</v>
      </c>
      <c r="CN51" s="5">
        <f t="shared" si="432"/>
        <v>-43115.767791708378</v>
      </c>
      <c r="CO51" s="5">
        <f t="shared" si="433"/>
        <v>-43115.767791708378</v>
      </c>
    </row>
    <row r="52" spans="1:93" ht="12.75" customHeight="1" outlineLevel="2">
      <c r="A52" s="35"/>
      <c r="B52" s="63" t="s">
        <v>153</v>
      </c>
      <c r="C52" s="74">
        <f t="shared" si="230"/>
        <v>-558821.98642729945</v>
      </c>
      <c r="D52" s="60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>
        <f>-('операционные  расходы 1 этап'!E29+'операционные  расходы 1 этап'!F29+'операционные  расходы 1 этап'!G29)/1000</f>
        <v>-5547.7960321577648</v>
      </c>
      <c r="X52" s="5">
        <f>-SUM('операционные  расходы 1 этап'!H29:J29)/1000</f>
        <v>-6701.8771060642948</v>
      </c>
      <c r="Y52" s="5">
        <f>-SUM('операционные  расходы 1 этап'!K29:M29)/1000</f>
        <v>-3641.0828503900593</v>
      </c>
      <c r="Z52" s="5">
        <f>-SUM('операционные  расходы 1 этап'!B29:D29)/1000*$Z$14</f>
        <v>-4648.6397728476804</v>
      </c>
      <c r="AA52" s="5">
        <f>W52*AA$14</f>
        <v>-5825.1858337656531</v>
      </c>
      <c r="AB52" s="5">
        <f t="shared" si="368"/>
        <v>-7036.9709613675095</v>
      </c>
      <c r="AC52" s="5">
        <f t="shared" si="369"/>
        <v>-3823.1369929095627</v>
      </c>
      <c r="AD52" s="5">
        <f t="shared" si="370"/>
        <v>-4881.071761490065</v>
      </c>
      <c r="AE52" s="5">
        <f t="shared" si="371"/>
        <v>-6116.4451254539363</v>
      </c>
      <c r="AF52" s="5">
        <f t="shared" si="372"/>
        <v>-7388.8195094358853</v>
      </c>
      <c r="AG52" s="5">
        <f t="shared" si="373"/>
        <v>-4014.293842555041</v>
      </c>
      <c r="AH52" s="5">
        <f t="shared" si="374"/>
        <v>-5125.1253495645688</v>
      </c>
      <c r="AI52" s="5">
        <f t="shared" si="375"/>
        <v>-6422.2673817266332</v>
      </c>
      <c r="AJ52" s="5">
        <f t="shared" si="376"/>
        <v>-7758.2604849076797</v>
      </c>
      <c r="AK52" s="5">
        <f t="shared" si="377"/>
        <v>-4215.0085346827937</v>
      </c>
      <c r="AL52" s="5">
        <f t="shared" si="378"/>
        <v>-5381.3816170427972</v>
      </c>
      <c r="AM52" s="5">
        <f t="shared" si="379"/>
        <v>-6743.3807508129648</v>
      </c>
      <c r="AN52" s="5">
        <f t="shared" si="380"/>
        <v>-8146.1735091530636</v>
      </c>
      <c r="AO52" s="5">
        <f t="shared" si="381"/>
        <v>-4425.7589614169337</v>
      </c>
      <c r="AP52" s="5">
        <f t="shared" si="382"/>
        <v>-5650.4506978949375</v>
      </c>
      <c r="AQ52" s="5">
        <f t="shared" si="383"/>
        <v>-7080.5497883536136</v>
      </c>
      <c r="AR52" s="5">
        <f t="shared" si="384"/>
        <v>-8553.482184610717</v>
      </c>
      <c r="AS52" s="5">
        <f t="shared" si="385"/>
        <v>-4647.0469094877808</v>
      </c>
      <c r="AT52" s="5">
        <f t="shared" si="386"/>
        <v>-5932.9732327896845</v>
      </c>
      <c r="AU52" s="5">
        <f t="shared" si="387"/>
        <v>-7434.5772777712946</v>
      </c>
      <c r="AV52" s="5">
        <f t="shared" si="388"/>
        <v>-8981.1562938412535</v>
      </c>
      <c r="AW52" s="5">
        <f t="shared" si="389"/>
        <v>-4879.3992549621698</v>
      </c>
      <c r="AX52" s="5">
        <f t="shared" si="390"/>
        <v>-6229.6218944291686</v>
      </c>
      <c r="AY52" s="5">
        <f t="shared" si="391"/>
        <v>-7806.3061416598593</v>
      </c>
      <c r="AZ52" s="5">
        <f t="shared" si="392"/>
        <v>-9430.2141085333169</v>
      </c>
      <c r="BA52" s="5">
        <f t="shared" si="393"/>
        <v>-5123.3692177102785</v>
      </c>
      <c r="BB52" s="5">
        <f t="shared" si="394"/>
        <v>-6541.1029891506278</v>
      </c>
      <c r="BC52" s="5">
        <f t="shared" si="395"/>
        <v>-8196.6214487428533</v>
      </c>
      <c r="BD52" s="5">
        <f t="shared" si="396"/>
        <v>-9901.7248139599833</v>
      </c>
      <c r="BE52" s="5">
        <f t="shared" si="397"/>
        <v>-5379.5376785957924</v>
      </c>
      <c r="BF52" s="5">
        <f t="shared" si="398"/>
        <v>-6868.1581386081598</v>
      </c>
      <c r="BG52" s="5">
        <f t="shared" si="399"/>
        <v>-8606.4525211799955</v>
      </c>
      <c r="BH52" s="5">
        <f t="shared" si="400"/>
        <v>-10396.811054657983</v>
      </c>
      <c r="BI52" s="5">
        <f t="shared" si="401"/>
        <v>-5648.5145625255818</v>
      </c>
      <c r="BJ52" s="5">
        <f t="shared" si="402"/>
        <v>-7211.5660455385678</v>
      </c>
      <c r="BK52" s="5">
        <f t="shared" si="403"/>
        <v>-9036.7751472389955</v>
      </c>
      <c r="BL52" s="5">
        <f t="shared" si="404"/>
        <v>-10916.651607390882</v>
      </c>
      <c r="BM52" s="5">
        <f t="shared" si="405"/>
        <v>-5930.9402906518608</v>
      </c>
      <c r="BN52" s="5">
        <f t="shared" si="406"/>
        <v>-7572.1443478154961</v>
      </c>
      <c r="BO52" s="5">
        <f t="shared" si="407"/>
        <v>-9488.6139046009448</v>
      </c>
      <c r="BP52" s="5">
        <f t="shared" si="408"/>
        <v>-11462.484187760427</v>
      </c>
      <c r="BQ52" s="5">
        <f t="shared" si="409"/>
        <v>-6227.4873051844543</v>
      </c>
      <c r="BR52" s="5">
        <f t="shared" si="410"/>
        <v>-7950.7515652062712</v>
      </c>
      <c r="BS52" s="5">
        <f t="shared" si="411"/>
        <v>-9963.0445998309933</v>
      </c>
      <c r="BT52" s="5">
        <f t="shared" si="412"/>
        <v>-12035.608397148448</v>
      </c>
      <c r="BU52" s="5">
        <f t="shared" si="413"/>
        <v>-6538.8616704436772</v>
      </c>
      <c r="BV52" s="5">
        <f t="shared" si="414"/>
        <v>-8348.2891434665853</v>
      </c>
      <c r="BW52" s="5">
        <f t="shared" si="415"/>
        <v>-10461.196829822544</v>
      </c>
      <c r="BX52" s="5">
        <f t="shared" si="416"/>
        <v>-12637.388817005871</v>
      </c>
      <c r="BY52" s="5">
        <f t="shared" si="417"/>
        <v>-6865.804753965861</v>
      </c>
      <c r="BZ52" s="5">
        <f t="shared" si="418"/>
        <v>-8765.7036006399157</v>
      </c>
      <c r="CA52" s="5">
        <f t="shared" si="419"/>
        <v>-10984.256671313671</v>
      </c>
      <c r="CB52" s="5">
        <f t="shared" si="420"/>
        <v>-13269.258257856165</v>
      </c>
      <c r="CC52" s="5">
        <f t="shared" si="421"/>
        <v>-7209.0949916641539</v>
      </c>
      <c r="CD52" s="5">
        <f t="shared" si="422"/>
        <v>-9203.9887806719125</v>
      </c>
      <c r="CE52" s="5">
        <f t="shared" si="423"/>
        <v>-11533.469504879355</v>
      </c>
      <c r="CF52" s="5">
        <f t="shared" si="424"/>
        <v>-13932.721170748973</v>
      </c>
      <c r="CG52" s="5">
        <f t="shared" si="425"/>
        <v>-7569.5497412473624</v>
      </c>
      <c r="CH52" s="5">
        <f t="shared" si="426"/>
        <v>-9664.1882197055093</v>
      </c>
      <c r="CI52" s="5">
        <f t="shared" si="427"/>
        <v>-12110.142980123323</v>
      </c>
      <c r="CJ52" s="5">
        <f t="shared" si="428"/>
        <v>-14629.357229286423</v>
      </c>
      <c r="CK52" s="5">
        <f t="shared" si="429"/>
        <v>-7948.0272283097311</v>
      </c>
      <c r="CL52" s="5">
        <f t="shared" si="430"/>
        <v>-10147.397630690784</v>
      </c>
      <c r="CM52" s="5">
        <f t="shared" si="431"/>
        <v>-12715.65012912949</v>
      </c>
      <c r="CN52" s="5">
        <f t="shared" si="432"/>
        <v>-15360.825090750744</v>
      </c>
      <c r="CO52" s="5">
        <f t="shared" si="433"/>
        <v>-8345.4285897252175</v>
      </c>
    </row>
    <row r="53" spans="1:93" ht="12.75" customHeight="1" outlineLevel="2">
      <c r="A53" s="35"/>
      <c r="B53" s="63" t="s">
        <v>154</v>
      </c>
      <c r="C53" s="74">
        <f t="shared" si="230"/>
        <v>-131587.58775018709</v>
      </c>
      <c r="D53" s="60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>
        <f>-('операционные  расходы 1 этап'!E30+'операционные  расходы 1 этап'!F30+'операционные  расходы 1 этап'!G30)/1000</f>
        <v>-1290</v>
      </c>
      <c r="X53" s="5">
        <f>-SUM('операционные  расходы 1 этап'!H30:J30)/1000</f>
        <v>-1380</v>
      </c>
      <c r="Y53" s="5">
        <f>-SUM('операционные  расходы 1 этап'!K30:M30)/1000</f>
        <v>-1020</v>
      </c>
      <c r="Z53" s="5">
        <f>-SUM('операционные  расходы 1 этап'!B30:D30)/1000*$Z$14</f>
        <v>-1165.5</v>
      </c>
      <c r="AA53" s="5">
        <f>W53*AA$14</f>
        <v>-1354.5</v>
      </c>
      <c r="AB53" s="5">
        <f t="shared" si="368"/>
        <v>-1449</v>
      </c>
      <c r="AC53" s="5">
        <f t="shared" si="369"/>
        <v>-1071</v>
      </c>
      <c r="AD53" s="5">
        <f t="shared" si="370"/>
        <v>-1223.7750000000001</v>
      </c>
      <c r="AE53" s="5">
        <f t="shared" si="371"/>
        <v>-1422.2250000000001</v>
      </c>
      <c r="AF53" s="5">
        <f t="shared" si="372"/>
        <v>-1521.45</v>
      </c>
      <c r="AG53" s="5">
        <f t="shared" si="373"/>
        <v>-1124.55</v>
      </c>
      <c r="AH53" s="5">
        <f t="shared" si="374"/>
        <v>-1284.9637500000001</v>
      </c>
      <c r="AI53" s="5">
        <f t="shared" si="375"/>
        <v>-1493.3362500000003</v>
      </c>
      <c r="AJ53" s="5">
        <f t="shared" si="376"/>
        <v>-1597.5225</v>
      </c>
      <c r="AK53" s="5">
        <f t="shared" si="377"/>
        <v>-1180.7774999999999</v>
      </c>
      <c r="AL53" s="5">
        <f t="shared" si="378"/>
        <v>-1349.2119375000002</v>
      </c>
      <c r="AM53" s="5">
        <f t="shared" si="379"/>
        <v>-1568.0030625000004</v>
      </c>
      <c r="AN53" s="5">
        <f t="shared" si="380"/>
        <v>-1677.398625</v>
      </c>
      <c r="AO53" s="5">
        <f t="shared" si="381"/>
        <v>-1239.8163749999999</v>
      </c>
      <c r="AP53" s="5">
        <f t="shared" si="382"/>
        <v>-1416.6725343750002</v>
      </c>
      <c r="AQ53" s="5">
        <f t="shared" si="383"/>
        <v>-1646.4032156250005</v>
      </c>
      <c r="AR53" s="5">
        <f t="shared" si="384"/>
        <v>-1761.2685562500001</v>
      </c>
      <c r="AS53" s="5">
        <f t="shared" si="385"/>
        <v>-1301.8071937499999</v>
      </c>
      <c r="AT53" s="5">
        <f t="shared" si="386"/>
        <v>-1487.5061610937503</v>
      </c>
      <c r="AU53" s="5">
        <f t="shared" si="387"/>
        <v>-1728.7233764062505</v>
      </c>
      <c r="AV53" s="5">
        <f t="shared" si="388"/>
        <v>-1849.3319840625002</v>
      </c>
      <c r="AW53" s="5">
        <f t="shared" si="389"/>
        <v>-1366.8975534374999</v>
      </c>
      <c r="AX53" s="5">
        <f t="shared" si="390"/>
        <v>-1561.8814691484379</v>
      </c>
      <c r="AY53" s="5">
        <f t="shared" si="391"/>
        <v>-1815.1595452265631</v>
      </c>
      <c r="AZ53" s="5">
        <f t="shared" si="392"/>
        <v>-1941.7985832656252</v>
      </c>
      <c r="BA53" s="5">
        <f t="shared" si="393"/>
        <v>-1435.242431109375</v>
      </c>
      <c r="BB53" s="5">
        <f t="shared" si="394"/>
        <v>-1639.9755426058598</v>
      </c>
      <c r="BC53" s="5">
        <f t="shared" si="395"/>
        <v>-1905.9175224878913</v>
      </c>
      <c r="BD53" s="5">
        <f t="shared" si="396"/>
        <v>-2038.8885124289066</v>
      </c>
      <c r="BE53" s="5">
        <f t="shared" si="397"/>
        <v>-1507.0045526648439</v>
      </c>
      <c r="BF53" s="5">
        <f t="shared" si="398"/>
        <v>-1721.9743197361529</v>
      </c>
      <c r="BG53" s="5">
        <f t="shared" si="399"/>
        <v>-2001.213398612286</v>
      </c>
      <c r="BH53" s="5">
        <f t="shared" si="400"/>
        <v>-2140.8329380503519</v>
      </c>
      <c r="BI53" s="5">
        <f t="shared" si="401"/>
        <v>-1582.3547802980861</v>
      </c>
      <c r="BJ53" s="5">
        <f t="shared" si="402"/>
        <v>-1808.0730357229606</v>
      </c>
      <c r="BK53" s="5">
        <f t="shared" si="403"/>
        <v>-2101.2740685429003</v>
      </c>
      <c r="BL53" s="5">
        <f t="shared" si="404"/>
        <v>-2247.8745849528696</v>
      </c>
      <c r="BM53" s="5">
        <f t="shared" si="405"/>
        <v>-1661.4725193129905</v>
      </c>
      <c r="BN53" s="5">
        <f t="shared" si="406"/>
        <v>-1898.4766875091088</v>
      </c>
      <c r="BO53" s="5">
        <f t="shared" si="407"/>
        <v>-2206.3377719700452</v>
      </c>
      <c r="BP53" s="5">
        <f t="shared" si="408"/>
        <v>-2360.268314200513</v>
      </c>
      <c r="BQ53" s="5">
        <f t="shared" si="409"/>
        <v>-1744.5461452786401</v>
      </c>
      <c r="BR53" s="5">
        <f t="shared" si="410"/>
        <v>-1993.4005218845643</v>
      </c>
      <c r="BS53" s="5">
        <f t="shared" si="411"/>
        <v>-2316.6546605685476</v>
      </c>
      <c r="BT53" s="5">
        <f t="shared" si="412"/>
        <v>-2478.2817299105386</v>
      </c>
      <c r="BU53" s="5">
        <f t="shared" si="413"/>
        <v>-1831.7734525425722</v>
      </c>
      <c r="BV53" s="5">
        <f t="shared" si="414"/>
        <v>-2093.0705479787925</v>
      </c>
      <c r="BW53" s="5">
        <f t="shared" si="415"/>
        <v>-2432.4873935969749</v>
      </c>
      <c r="BX53" s="5">
        <f t="shared" si="416"/>
        <v>-2602.1958164060657</v>
      </c>
      <c r="BY53" s="5">
        <f t="shared" si="417"/>
        <v>-1923.3621251697009</v>
      </c>
      <c r="BZ53" s="5">
        <f t="shared" si="418"/>
        <v>-2197.7240753777323</v>
      </c>
      <c r="CA53" s="5">
        <f t="shared" si="419"/>
        <v>-2554.1117632768237</v>
      </c>
      <c r="CB53" s="5">
        <f t="shared" si="420"/>
        <v>-2732.3056072263689</v>
      </c>
      <c r="CC53" s="5">
        <f t="shared" si="421"/>
        <v>-2019.530231428186</v>
      </c>
      <c r="CD53" s="5">
        <f t="shared" si="422"/>
        <v>-2307.6102791466192</v>
      </c>
      <c r="CE53" s="5">
        <f t="shared" si="423"/>
        <v>-2681.8173514406649</v>
      </c>
      <c r="CF53" s="5">
        <f t="shared" si="424"/>
        <v>-2868.9208875876875</v>
      </c>
      <c r="CG53" s="5">
        <f t="shared" si="425"/>
        <v>-2120.5067429995952</v>
      </c>
      <c r="CH53" s="5">
        <f t="shared" si="426"/>
        <v>-2422.9907931039502</v>
      </c>
      <c r="CI53" s="5">
        <f t="shared" si="427"/>
        <v>-2815.9082190126983</v>
      </c>
      <c r="CJ53" s="5">
        <f t="shared" si="428"/>
        <v>-3012.3669319670721</v>
      </c>
      <c r="CK53" s="5">
        <f t="shared" si="429"/>
        <v>-2226.532080149575</v>
      </c>
      <c r="CL53" s="5">
        <f t="shared" si="430"/>
        <v>-2544.1403327591479</v>
      </c>
      <c r="CM53" s="5">
        <f t="shared" si="431"/>
        <v>-2956.7036299633332</v>
      </c>
      <c r="CN53" s="5">
        <f t="shared" si="432"/>
        <v>-3162.9852785654257</v>
      </c>
      <c r="CO53" s="5">
        <f t="shared" si="433"/>
        <v>-2337.8586841570536</v>
      </c>
    </row>
    <row r="54" spans="1:93" ht="12.75" customHeight="1" outlineLevel="2">
      <c r="A54" s="35"/>
      <c r="B54" s="63" t="s">
        <v>155</v>
      </c>
      <c r="C54" s="74">
        <f t="shared" si="230"/>
        <v>-49156.884169868565</v>
      </c>
      <c r="D54" s="60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>
        <f>-('операционные  расходы 1 этап'!E31+'операционные  расходы 1 этап'!F31+'операционные  расходы 1 этап'!G31)/1000</f>
        <v>-450</v>
      </c>
      <c r="X54" s="5">
        <f>-SUM('операционные  расходы 1 этап'!H31:J31)/1000</f>
        <v>-450</v>
      </c>
      <c r="Y54" s="5">
        <f>-SUM('операционные  расходы 1 этап'!K31:M31)/1000</f>
        <v>-450</v>
      </c>
      <c r="Z54" s="5">
        <f>-SUM('операционные  расходы 1 этап'!B31:D31)/1000*$Z$14</f>
        <v>-472.5</v>
      </c>
      <c r="AA54" s="5">
        <f t="shared" ref="AA54" si="434">W54*AA$14</f>
        <v>-472.5</v>
      </c>
      <c r="AB54" s="5">
        <f t="shared" ref="AB54:AB55" si="435">X54*AB$14</f>
        <v>-472.5</v>
      </c>
      <c r="AC54" s="5">
        <f t="shared" ref="AC54:AC55" si="436">Y54*AC$14</f>
        <v>-472.5</v>
      </c>
      <c r="AD54" s="5">
        <f t="shared" ref="AD54:AD55" si="437">Z54*AD$14</f>
        <v>-496.125</v>
      </c>
      <c r="AE54" s="5">
        <f t="shared" ref="AE54:AE55" si="438">AA54*AE$14</f>
        <v>-496.125</v>
      </c>
      <c r="AF54" s="5">
        <f t="shared" ref="AF54:AF55" si="439">AB54*AF$14</f>
        <v>-496.125</v>
      </c>
      <c r="AG54" s="5">
        <f t="shared" ref="AG54:AG55" si="440">AC54*AG$14</f>
        <v>-496.125</v>
      </c>
      <c r="AH54" s="5">
        <f t="shared" ref="AH54:AH55" si="441">AD54*AH$14</f>
        <v>-520.93124999999998</v>
      </c>
      <c r="AI54" s="5">
        <f t="shared" ref="AI54:AI55" si="442">AE54*AI$14</f>
        <v>-520.93124999999998</v>
      </c>
      <c r="AJ54" s="5">
        <f t="shared" ref="AJ54:AJ55" si="443">AF54*AJ$14</f>
        <v>-520.93124999999998</v>
      </c>
      <c r="AK54" s="5">
        <f t="shared" ref="AK54:AK55" si="444">AG54*AK$14</f>
        <v>-520.93124999999998</v>
      </c>
      <c r="AL54" s="5">
        <f t="shared" ref="AL54:AL55" si="445">AH54*AL$14</f>
        <v>-546.97781250000003</v>
      </c>
      <c r="AM54" s="5">
        <f t="shared" ref="AM54:AM55" si="446">AI54*AM$14</f>
        <v>-546.97781250000003</v>
      </c>
      <c r="AN54" s="5">
        <f t="shared" ref="AN54:AN55" si="447">AJ54*AN$14</f>
        <v>-546.97781250000003</v>
      </c>
      <c r="AO54" s="5">
        <f t="shared" ref="AO54:AO55" si="448">AK54*AO$14</f>
        <v>-546.97781250000003</v>
      </c>
      <c r="AP54" s="5">
        <f t="shared" ref="AP54:AP55" si="449">AL54*AP$14</f>
        <v>-574.32670312500011</v>
      </c>
      <c r="AQ54" s="5">
        <f t="shared" ref="AQ54:AQ55" si="450">AM54*AQ$14</f>
        <v>-574.32670312500011</v>
      </c>
      <c r="AR54" s="5">
        <f t="shared" ref="AR54:AR55" si="451">AN54*AR$14</f>
        <v>-574.32670312500011</v>
      </c>
      <c r="AS54" s="5">
        <f t="shared" ref="AS54:AS55" si="452">AO54*AS$14</f>
        <v>-574.32670312500011</v>
      </c>
      <c r="AT54" s="5">
        <f t="shared" ref="AT54:AT55" si="453">AP54*AT$14</f>
        <v>-603.04303828125012</v>
      </c>
      <c r="AU54" s="5">
        <f t="shared" ref="AU54:AU55" si="454">AQ54*AU$14</f>
        <v>-603.04303828125012</v>
      </c>
      <c r="AV54" s="5">
        <f t="shared" ref="AV54:AV55" si="455">AR54*AV$14</f>
        <v>-603.04303828125012</v>
      </c>
      <c r="AW54" s="5">
        <f t="shared" ref="AW54:AW55" si="456">AS54*AW$14</f>
        <v>-603.04303828125012</v>
      </c>
      <c r="AX54" s="5">
        <f t="shared" ref="AX54:AX55" si="457">AT54*AX$14</f>
        <v>-633.19519019531265</v>
      </c>
      <c r="AY54" s="5">
        <f t="shared" ref="AY54:AY55" si="458">AU54*AY$14</f>
        <v>-633.19519019531265</v>
      </c>
      <c r="AZ54" s="5">
        <f t="shared" ref="AZ54:AZ55" si="459">AV54*AZ$14</f>
        <v>-633.19519019531265</v>
      </c>
      <c r="BA54" s="5">
        <f t="shared" ref="BA54:BA55" si="460">AW54*BA$14</f>
        <v>-633.19519019531265</v>
      </c>
      <c r="BB54" s="5">
        <f t="shared" ref="BB54:BB55" si="461">AX54*BB$14</f>
        <v>-664.8549497050783</v>
      </c>
      <c r="BC54" s="5">
        <f t="shared" ref="BC54:BC55" si="462">AY54*BC$14</f>
        <v>-664.8549497050783</v>
      </c>
      <c r="BD54" s="5">
        <f t="shared" ref="BD54:BD55" si="463">AZ54*BD$14</f>
        <v>-664.8549497050783</v>
      </c>
      <c r="BE54" s="5">
        <f t="shared" ref="BE54:BE55" si="464">BA54*BE$14</f>
        <v>-664.8549497050783</v>
      </c>
      <c r="BF54" s="5">
        <f t="shared" ref="BF54:BF55" si="465">BB54*BF$14</f>
        <v>-698.09769719033227</v>
      </c>
      <c r="BG54" s="5">
        <f t="shared" ref="BG54:BG55" si="466">BC54*BG$14</f>
        <v>-698.09769719033227</v>
      </c>
      <c r="BH54" s="5">
        <f t="shared" ref="BH54:BH55" si="467">BD54*BH$14</f>
        <v>-698.09769719033227</v>
      </c>
      <c r="BI54" s="5">
        <f t="shared" ref="BI54:BI55" si="468">BE54*BI$14</f>
        <v>-698.09769719033227</v>
      </c>
      <c r="BJ54" s="5">
        <f t="shared" ref="BJ54:BJ55" si="469">BF54*BJ$14</f>
        <v>-733.00258204984891</v>
      </c>
      <c r="BK54" s="5">
        <f t="shared" ref="BK54:BK55" si="470">BG54*BK$14</f>
        <v>-733.00258204984891</v>
      </c>
      <c r="BL54" s="5">
        <f t="shared" ref="BL54:BL55" si="471">BH54*BL$14</f>
        <v>-733.00258204984891</v>
      </c>
      <c r="BM54" s="5">
        <f t="shared" ref="BM54:BM55" si="472">BI54*BM$14</f>
        <v>-733.00258204984891</v>
      </c>
      <c r="BN54" s="5">
        <f t="shared" ref="BN54:BN55" si="473">BJ54*BN$14</f>
        <v>-769.65271115234134</v>
      </c>
      <c r="BO54" s="5">
        <f t="shared" ref="BO54:BO55" si="474">BK54*BO$14</f>
        <v>-769.65271115234134</v>
      </c>
      <c r="BP54" s="5">
        <f t="shared" ref="BP54:BP55" si="475">BL54*BP$14</f>
        <v>-769.65271115234134</v>
      </c>
      <c r="BQ54" s="5">
        <f t="shared" ref="BQ54:BQ55" si="476">BM54*BQ$14</f>
        <v>-769.65271115234134</v>
      </c>
      <c r="BR54" s="5">
        <f t="shared" ref="BR54:BR55" si="477">BN54*BR$14</f>
        <v>-808.13534670995841</v>
      </c>
      <c r="BS54" s="5">
        <f t="shared" ref="BS54:BS55" si="478">BO54*BS$14</f>
        <v>-808.13534670995841</v>
      </c>
      <c r="BT54" s="5">
        <f t="shared" ref="BT54:BT55" si="479">BP54*BT$14</f>
        <v>-808.13534670995841</v>
      </c>
      <c r="BU54" s="5">
        <f t="shared" ref="BU54:BU55" si="480">BQ54*BU$14</f>
        <v>-808.13534670995841</v>
      </c>
      <c r="BV54" s="5">
        <f t="shared" ref="BV54:BV55" si="481">BR54*BV$14</f>
        <v>-848.5421140454564</v>
      </c>
      <c r="BW54" s="5">
        <f t="shared" ref="BW54:BW55" si="482">BS54*BW$14</f>
        <v>-848.5421140454564</v>
      </c>
      <c r="BX54" s="5">
        <f t="shared" ref="BX54:BX55" si="483">BT54*BX$14</f>
        <v>-848.5421140454564</v>
      </c>
      <c r="BY54" s="5">
        <f t="shared" ref="BY54:BY55" si="484">BU54*BY$14</f>
        <v>-848.5421140454564</v>
      </c>
      <c r="BZ54" s="5">
        <f t="shared" ref="BZ54:BZ55" si="485">BV54*BZ$14</f>
        <v>-890.96921974772931</v>
      </c>
      <c r="CA54" s="5">
        <f t="shared" ref="CA54:CA55" si="486">BW54*CA$14</f>
        <v>-890.96921974772931</v>
      </c>
      <c r="CB54" s="5">
        <f t="shared" ref="CB54:CB55" si="487">BX54*CB$14</f>
        <v>-890.96921974772931</v>
      </c>
      <c r="CC54" s="5">
        <f t="shared" ref="CC54:CC55" si="488">BY54*CC$14</f>
        <v>-890.96921974772931</v>
      </c>
      <c r="CD54" s="5">
        <f t="shared" ref="CD54:CD55" si="489">BZ54*CD$14</f>
        <v>-935.51768073511585</v>
      </c>
      <c r="CE54" s="5">
        <f t="shared" ref="CE54:CE55" si="490">CA54*CE$14</f>
        <v>-935.51768073511585</v>
      </c>
      <c r="CF54" s="5">
        <f t="shared" ref="CF54:CF55" si="491">CB54*CF$14</f>
        <v>-935.51768073511585</v>
      </c>
      <c r="CG54" s="5">
        <f t="shared" ref="CG54:CG55" si="492">CC54*CG$14</f>
        <v>-935.51768073511585</v>
      </c>
      <c r="CH54" s="5">
        <f t="shared" ref="CH54:CH55" si="493">CD54*CH$14</f>
        <v>-982.29356477187173</v>
      </c>
      <c r="CI54" s="5">
        <f t="shared" ref="CI54:CI55" si="494">CE54*CI$14</f>
        <v>-982.29356477187173</v>
      </c>
      <c r="CJ54" s="5">
        <f t="shared" ref="CJ54:CJ55" si="495">CF54*CJ$14</f>
        <v>-982.29356477187173</v>
      </c>
      <c r="CK54" s="5">
        <f t="shared" ref="CK54:CK55" si="496">CG54*CK$14</f>
        <v>-982.29356477187173</v>
      </c>
      <c r="CL54" s="5">
        <f t="shared" ref="CL54:CL55" si="497">CH54*CL$14</f>
        <v>-1031.4082430104654</v>
      </c>
      <c r="CM54" s="5">
        <f t="shared" ref="CM54:CM55" si="498">CI54*CM$14</f>
        <v>-1031.4082430104654</v>
      </c>
      <c r="CN54" s="5">
        <f t="shared" ref="CN54:CN55" si="499">CJ54*CN$14</f>
        <v>-1031.4082430104654</v>
      </c>
      <c r="CO54" s="5">
        <f t="shared" ref="CO54:CO55" si="500">CK54*CO$14</f>
        <v>-1031.4082430104654</v>
      </c>
    </row>
    <row r="55" spans="1:93" ht="12.75" customHeight="1" outlineLevel="2">
      <c r="A55" s="35"/>
      <c r="B55" s="63" t="s">
        <v>156</v>
      </c>
      <c r="C55" s="74">
        <f t="shared" si="230"/>
        <v>-558821.98642729945</v>
      </c>
      <c r="D55" s="60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>
        <f>-('операционные  расходы 1 этап'!E32+'операционные  расходы 1 этап'!F32+'операционные  расходы 1 этап'!G32)/1000</f>
        <v>-5547.7960321577648</v>
      </c>
      <c r="X55" s="5">
        <f>-SUM('операционные  расходы 1 этап'!H32:J32)/1000</f>
        <v>-6701.8771060642948</v>
      </c>
      <c r="Y55" s="5">
        <f>-SUM('операционные  расходы 1 этап'!K32:M32)/1000</f>
        <v>-3641.0828503900593</v>
      </c>
      <c r="Z55" s="5">
        <f>-SUM('операционные  расходы 1 этап'!B32:D32)/1000*$Z$14</f>
        <v>-4648.6397728476804</v>
      </c>
      <c r="AA55" s="5">
        <f>W55*AA$14</f>
        <v>-5825.1858337656531</v>
      </c>
      <c r="AB55" s="5">
        <f t="shared" si="435"/>
        <v>-7036.9709613675095</v>
      </c>
      <c r="AC55" s="5">
        <f t="shared" si="436"/>
        <v>-3823.1369929095627</v>
      </c>
      <c r="AD55" s="5">
        <f t="shared" si="437"/>
        <v>-4881.071761490065</v>
      </c>
      <c r="AE55" s="5">
        <f t="shared" si="438"/>
        <v>-6116.4451254539363</v>
      </c>
      <c r="AF55" s="5">
        <f t="shared" si="439"/>
        <v>-7388.8195094358853</v>
      </c>
      <c r="AG55" s="5">
        <f t="shared" si="440"/>
        <v>-4014.293842555041</v>
      </c>
      <c r="AH55" s="5">
        <f t="shared" si="441"/>
        <v>-5125.1253495645688</v>
      </c>
      <c r="AI55" s="5">
        <f t="shared" si="442"/>
        <v>-6422.2673817266332</v>
      </c>
      <c r="AJ55" s="5">
        <f t="shared" si="443"/>
        <v>-7758.2604849076797</v>
      </c>
      <c r="AK55" s="5">
        <f t="shared" si="444"/>
        <v>-4215.0085346827937</v>
      </c>
      <c r="AL55" s="5">
        <f t="shared" si="445"/>
        <v>-5381.3816170427972</v>
      </c>
      <c r="AM55" s="5">
        <f t="shared" si="446"/>
        <v>-6743.3807508129648</v>
      </c>
      <c r="AN55" s="5">
        <f t="shared" si="447"/>
        <v>-8146.1735091530636</v>
      </c>
      <c r="AO55" s="5">
        <f t="shared" si="448"/>
        <v>-4425.7589614169337</v>
      </c>
      <c r="AP55" s="5">
        <f t="shared" si="449"/>
        <v>-5650.4506978949375</v>
      </c>
      <c r="AQ55" s="5">
        <f t="shared" si="450"/>
        <v>-7080.5497883536136</v>
      </c>
      <c r="AR55" s="5">
        <f t="shared" si="451"/>
        <v>-8553.482184610717</v>
      </c>
      <c r="AS55" s="5">
        <f t="shared" si="452"/>
        <v>-4647.0469094877808</v>
      </c>
      <c r="AT55" s="5">
        <f t="shared" si="453"/>
        <v>-5932.9732327896845</v>
      </c>
      <c r="AU55" s="5">
        <f t="shared" si="454"/>
        <v>-7434.5772777712946</v>
      </c>
      <c r="AV55" s="5">
        <f t="shared" si="455"/>
        <v>-8981.1562938412535</v>
      </c>
      <c r="AW55" s="5">
        <f t="shared" si="456"/>
        <v>-4879.3992549621698</v>
      </c>
      <c r="AX55" s="5">
        <f t="shared" si="457"/>
        <v>-6229.6218944291686</v>
      </c>
      <c r="AY55" s="5">
        <f t="shared" si="458"/>
        <v>-7806.3061416598593</v>
      </c>
      <c r="AZ55" s="5">
        <f t="shared" si="459"/>
        <v>-9430.2141085333169</v>
      </c>
      <c r="BA55" s="5">
        <f t="shared" si="460"/>
        <v>-5123.3692177102785</v>
      </c>
      <c r="BB55" s="5">
        <f t="shared" si="461"/>
        <v>-6541.1029891506278</v>
      </c>
      <c r="BC55" s="5">
        <f t="shared" si="462"/>
        <v>-8196.6214487428533</v>
      </c>
      <c r="BD55" s="5">
        <f t="shared" si="463"/>
        <v>-9901.7248139599833</v>
      </c>
      <c r="BE55" s="5">
        <f t="shared" si="464"/>
        <v>-5379.5376785957924</v>
      </c>
      <c r="BF55" s="5">
        <f t="shared" si="465"/>
        <v>-6868.1581386081598</v>
      </c>
      <c r="BG55" s="5">
        <f t="shared" si="466"/>
        <v>-8606.4525211799955</v>
      </c>
      <c r="BH55" s="5">
        <f t="shared" si="467"/>
        <v>-10396.811054657983</v>
      </c>
      <c r="BI55" s="5">
        <f t="shared" si="468"/>
        <v>-5648.5145625255818</v>
      </c>
      <c r="BJ55" s="5">
        <f t="shared" si="469"/>
        <v>-7211.5660455385678</v>
      </c>
      <c r="BK55" s="5">
        <f t="shared" si="470"/>
        <v>-9036.7751472389955</v>
      </c>
      <c r="BL55" s="5">
        <f t="shared" si="471"/>
        <v>-10916.651607390882</v>
      </c>
      <c r="BM55" s="5">
        <f t="shared" si="472"/>
        <v>-5930.9402906518608</v>
      </c>
      <c r="BN55" s="5">
        <f t="shared" si="473"/>
        <v>-7572.1443478154961</v>
      </c>
      <c r="BO55" s="5">
        <f t="shared" si="474"/>
        <v>-9488.6139046009448</v>
      </c>
      <c r="BP55" s="5">
        <f t="shared" si="475"/>
        <v>-11462.484187760427</v>
      </c>
      <c r="BQ55" s="5">
        <f t="shared" si="476"/>
        <v>-6227.4873051844543</v>
      </c>
      <c r="BR55" s="5">
        <f t="shared" si="477"/>
        <v>-7950.7515652062712</v>
      </c>
      <c r="BS55" s="5">
        <f t="shared" si="478"/>
        <v>-9963.0445998309933</v>
      </c>
      <c r="BT55" s="5">
        <f t="shared" si="479"/>
        <v>-12035.608397148448</v>
      </c>
      <c r="BU55" s="5">
        <f t="shared" si="480"/>
        <v>-6538.8616704436772</v>
      </c>
      <c r="BV55" s="5">
        <f t="shared" si="481"/>
        <v>-8348.2891434665853</v>
      </c>
      <c r="BW55" s="5">
        <f t="shared" si="482"/>
        <v>-10461.196829822544</v>
      </c>
      <c r="BX55" s="5">
        <f t="shared" si="483"/>
        <v>-12637.388817005871</v>
      </c>
      <c r="BY55" s="5">
        <f t="shared" si="484"/>
        <v>-6865.804753965861</v>
      </c>
      <c r="BZ55" s="5">
        <f t="shared" si="485"/>
        <v>-8765.7036006399157</v>
      </c>
      <c r="CA55" s="5">
        <f t="shared" si="486"/>
        <v>-10984.256671313671</v>
      </c>
      <c r="CB55" s="5">
        <f t="shared" si="487"/>
        <v>-13269.258257856165</v>
      </c>
      <c r="CC55" s="5">
        <f t="shared" si="488"/>
        <v>-7209.0949916641539</v>
      </c>
      <c r="CD55" s="5">
        <f t="shared" si="489"/>
        <v>-9203.9887806719125</v>
      </c>
      <c r="CE55" s="5">
        <f t="shared" si="490"/>
        <v>-11533.469504879355</v>
      </c>
      <c r="CF55" s="5">
        <f t="shared" si="491"/>
        <v>-13932.721170748973</v>
      </c>
      <c r="CG55" s="5">
        <f t="shared" si="492"/>
        <v>-7569.5497412473624</v>
      </c>
      <c r="CH55" s="5">
        <f t="shared" si="493"/>
        <v>-9664.1882197055093</v>
      </c>
      <c r="CI55" s="5">
        <f t="shared" si="494"/>
        <v>-12110.142980123323</v>
      </c>
      <c r="CJ55" s="5">
        <f t="shared" si="495"/>
        <v>-14629.357229286423</v>
      </c>
      <c r="CK55" s="5">
        <f t="shared" si="496"/>
        <v>-7948.0272283097311</v>
      </c>
      <c r="CL55" s="5">
        <f t="shared" si="497"/>
        <v>-10147.397630690784</v>
      </c>
      <c r="CM55" s="5">
        <f t="shared" si="498"/>
        <v>-12715.65012912949</v>
      </c>
      <c r="CN55" s="5">
        <f t="shared" si="499"/>
        <v>-15360.825090750744</v>
      </c>
      <c r="CO55" s="5">
        <f t="shared" si="500"/>
        <v>-8345.4285897252175</v>
      </c>
    </row>
    <row r="56" spans="1:93" ht="12.75" customHeight="1" outlineLevel="2">
      <c r="A56" s="35"/>
      <c r="B56" s="63" t="s">
        <v>157</v>
      </c>
      <c r="C56" s="74">
        <f t="shared" si="230"/>
        <v>-279410.99321364972</v>
      </c>
      <c r="D56" s="60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>
        <f>-('операционные  расходы 1 этап'!E35+'операционные  расходы 1 этап'!F35+'операционные  расходы 1 этап'!G35)/1000</f>
        <v>-2773.8980160788824</v>
      </c>
      <c r="X56" s="5">
        <f>-SUM('операционные  расходы 1 этап'!H35:J35)/1000</f>
        <v>-3350.9385530321474</v>
      </c>
      <c r="Y56" s="5">
        <f>-SUM('операционные  расходы 1 этап'!K35:M35)/1000</f>
        <v>-1820.5414251950297</v>
      </c>
      <c r="Z56" s="5">
        <f>-SUM('операционные  расходы 1 этап'!B35:D35)/1000*$Z$14</f>
        <v>-2324.3198864238402</v>
      </c>
      <c r="AA56" s="5">
        <f>W56*AA$14</f>
        <v>-2912.5929168828266</v>
      </c>
      <c r="AB56" s="5">
        <f t="shared" ref="AB56" si="501">X56*AB$14</f>
        <v>-3518.4854806837548</v>
      </c>
      <c r="AC56" s="5">
        <f t="shared" ref="AC56" si="502">Y56*AC$14</f>
        <v>-1911.5684964547813</v>
      </c>
      <c r="AD56" s="5">
        <f t="shared" ref="AD56" si="503">Z56*AD$14</f>
        <v>-2440.5358807450325</v>
      </c>
      <c r="AE56" s="5">
        <f t="shared" ref="AE56" si="504">AA56*AE$14</f>
        <v>-3058.2225627269681</v>
      </c>
      <c r="AF56" s="5">
        <f t="shared" ref="AF56" si="505">AB56*AF$14</f>
        <v>-3694.4097547179426</v>
      </c>
      <c r="AG56" s="5">
        <f t="shared" ref="AG56" si="506">AC56*AG$14</f>
        <v>-2007.1469212775205</v>
      </c>
      <c r="AH56" s="5">
        <f t="shared" ref="AH56" si="507">AD56*AH$14</f>
        <v>-2562.5626747822844</v>
      </c>
      <c r="AI56" s="5">
        <f t="shared" ref="AI56" si="508">AE56*AI$14</f>
        <v>-3211.1336908633166</v>
      </c>
      <c r="AJ56" s="5">
        <f t="shared" ref="AJ56" si="509">AF56*AJ$14</f>
        <v>-3879.1302424538399</v>
      </c>
      <c r="AK56" s="5">
        <f t="shared" ref="AK56" si="510">AG56*AK$14</f>
        <v>-2107.5042673413968</v>
      </c>
      <c r="AL56" s="5">
        <f t="shared" ref="AL56" si="511">AH56*AL$14</f>
        <v>-2690.6908085213986</v>
      </c>
      <c r="AM56" s="5">
        <f t="shared" ref="AM56" si="512">AI56*AM$14</f>
        <v>-3371.6903754064824</v>
      </c>
      <c r="AN56" s="5">
        <f t="shared" ref="AN56" si="513">AJ56*AN$14</f>
        <v>-4073.0867545765318</v>
      </c>
      <c r="AO56" s="5">
        <f t="shared" ref="AO56" si="514">AK56*AO$14</f>
        <v>-2212.8794807084669</v>
      </c>
      <c r="AP56" s="5">
        <f t="shared" ref="AP56" si="515">AL56*AP$14</f>
        <v>-2825.2253489474688</v>
      </c>
      <c r="AQ56" s="5">
        <f t="shared" ref="AQ56" si="516">AM56*AQ$14</f>
        <v>-3540.2748941768068</v>
      </c>
      <c r="AR56" s="5">
        <f t="shared" ref="AR56" si="517">AN56*AR$14</f>
        <v>-4276.7410923053585</v>
      </c>
      <c r="AS56" s="5">
        <f t="shared" ref="AS56" si="518">AO56*AS$14</f>
        <v>-2323.5234547438904</v>
      </c>
      <c r="AT56" s="5">
        <f t="shared" ref="AT56" si="519">AP56*AT$14</f>
        <v>-2966.4866163948423</v>
      </c>
      <c r="AU56" s="5">
        <f t="shared" ref="AU56" si="520">AQ56*AU$14</f>
        <v>-3717.2886388856473</v>
      </c>
      <c r="AV56" s="5">
        <f t="shared" ref="AV56" si="521">AR56*AV$14</f>
        <v>-4490.5781469206268</v>
      </c>
      <c r="AW56" s="5">
        <f t="shared" ref="AW56" si="522">AS56*AW$14</f>
        <v>-2439.6996274810849</v>
      </c>
      <c r="AX56" s="5">
        <f t="shared" ref="AX56" si="523">AT56*AX$14</f>
        <v>-3114.8109472145843</v>
      </c>
      <c r="AY56" s="5">
        <f t="shared" ref="AY56" si="524">AU56*AY$14</f>
        <v>-3903.1530708299297</v>
      </c>
      <c r="AZ56" s="5">
        <f t="shared" ref="AZ56" si="525">AV56*AZ$14</f>
        <v>-4715.1070542666585</v>
      </c>
      <c r="BA56" s="5">
        <f t="shared" ref="BA56" si="526">AW56*BA$14</f>
        <v>-2561.6846088551392</v>
      </c>
      <c r="BB56" s="5">
        <f t="shared" ref="BB56" si="527">AX56*BB$14</f>
        <v>-3270.5514945753139</v>
      </c>
      <c r="BC56" s="5">
        <f t="shared" ref="BC56" si="528">AY56*BC$14</f>
        <v>-4098.3107243714267</v>
      </c>
      <c r="BD56" s="5">
        <f t="shared" ref="BD56" si="529">AZ56*BD$14</f>
        <v>-4950.8624069799916</v>
      </c>
      <c r="BE56" s="5">
        <f t="shared" ref="BE56" si="530">BA56*BE$14</f>
        <v>-2689.7688392978962</v>
      </c>
      <c r="BF56" s="5">
        <f t="shared" ref="BF56" si="531">BB56*BF$14</f>
        <v>-3434.0790693040799</v>
      </c>
      <c r="BG56" s="5">
        <f t="shared" ref="BG56" si="532">BC56*BG$14</f>
        <v>-4303.2262605899978</v>
      </c>
      <c r="BH56" s="5">
        <f t="shared" ref="BH56" si="533">BD56*BH$14</f>
        <v>-5198.4055273289914</v>
      </c>
      <c r="BI56" s="5">
        <f t="shared" ref="BI56" si="534">BE56*BI$14</f>
        <v>-2824.2572812627909</v>
      </c>
      <c r="BJ56" s="5">
        <f t="shared" ref="BJ56" si="535">BF56*BJ$14</f>
        <v>-3605.7830227692839</v>
      </c>
      <c r="BK56" s="5">
        <f t="shared" ref="BK56" si="536">BG56*BK$14</f>
        <v>-4518.3875736194977</v>
      </c>
      <c r="BL56" s="5">
        <f t="shared" ref="BL56" si="537">BH56*BL$14</f>
        <v>-5458.3258036954412</v>
      </c>
      <c r="BM56" s="5">
        <f t="shared" ref="BM56" si="538">BI56*BM$14</f>
        <v>-2965.4701453259304</v>
      </c>
      <c r="BN56" s="5">
        <f t="shared" ref="BN56" si="539">BJ56*BN$14</f>
        <v>-3786.072173907748</v>
      </c>
      <c r="BO56" s="5">
        <f t="shared" ref="BO56" si="540">BK56*BO$14</f>
        <v>-4744.3069523004724</v>
      </c>
      <c r="BP56" s="5">
        <f t="shared" ref="BP56" si="541">BL56*BP$14</f>
        <v>-5731.2420938802134</v>
      </c>
      <c r="BQ56" s="5">
        <f t="shared" ref="BQ56" si="542">BM56*BQ$14</f>
        <v>-3113.7436525922271</v>
      </c>
      <c r="BR56" s="5">
        <f t="shared" ref="BR56" si="543">BN56*BR$14</f>
        <v>-3975.3757826031356</v>
      </c>
      <c r="BS56" s="5">
        <f t="shared" ref="BS56" si="544">BO56*BS$14</f>
        <v>-4981.5222999154967</v>
      </c>
      <c r="BT56" s="5">
        <f t="shared" ref="BT56" si="545">BP56*BT$14</f>
        <v>-6017.8041985742238</v>
      </c>
      <c r="BU56" s="5">
        <f t="shared" ref="BU56" si="546">BQ56*BU$14</f>
        <v>-3269.4308352218386</v>
      </c>
      <c r="BV56" s="5">
        <f t="shared" ref="BV56" si="547">BR56*BV$14</f>
        <v>-4174.1445717332927</v>
      </c>
      <c r="BW56" s="5">
        <f t="shared" ref="BW56" si="548">BS56*BW$14</f>
        <v>-5230.5984149112719</v>
      </c>
      <c r="BX56" s="5">
        <f t="shared" ref="BX56" si="549">BT56*BX$14</f>
        <v>-6318.6944085029354</v>
      </c>
      <c r="BY56" s="5">
        <f t="shared" ref="BY56" si="550">BU56*BY$14</f>
        <v>-3432.9023769829305</v>
      </c>
      <c r="BZ56" s="5">
        <f t="shared" ref="BZ56" si="551">BV56*BZ$14</f>
        <v>-4382.8518003199579</v>
      </c>
      <c r="CA56" s="5">
        <f t="shared" ref="CA56" si="552">BW56*CA$14</f>
        <v>-5492.1283356568356</v>
      </c>
      <c r="CB56" s="5">
        <f t="shared" ref="CB56" si="553">BX56*CB$14</f>
        <v>-6634.6291289280825</v>
      </c>
      <c r="CC56" s="5">
        <f t="shared" ref="CC56" si="554">BY56*CC$14</f>
        <v>-3604.5474958320769</v>
      </c>
      <c r="CD56" s="5">
        <f t="shared" ref="CD56" si="555">BZ56*CD$14</f>
        <v>-4601.9943903359563</v>
      </c>
      <c r="CE56" s="5">
        <f t="shared" ref="CE56" si="556">CA56*CE$14</f>
        <v>-5766.7347524396773</v>
      </c>
      <c r="CF56" s="5">
        <f t="shared" ref="CF56" si="557">CB56*CF$14</f>
        <v>-6966.3605853744866</v>
      </c>
      <c r="CG56" s="5">
        <f t="shared" ref="CG56" si="558">CC56*CG$14</f>
        <v>-3784.7748706236812</v>
      </c>
      <c r="CH56" s="5">
        <f t="shared" ref="CH56" si="559">CD56*CH$14</f>
        <v>-4832.0941098527546</v>
      </c>
      <c r="CI56" s="5">
        <f t="shared" ref="CI56" si="560">CE56*CI$14</f>
        <v>-6055.0714900616613</v>
      </c>
      <c r="CJ56" s="5">
        <f t="shared" ref="CJ56" si="561">CF56*CJ$14</f>
        <v>-7314.6786146432114</v>
      </c>
      <c r="CK56" s="5">
        <f t="shared" ref="CK56" si="562">CG56*CK$14</f>
        <v>-3974.0136141548655</v>
      </c>
      <c r="CL56" s="5">
        <f t="shared" ref="CL56" si="563">CH56*CL$14</f>
        <v>-5073.6988153453922</v>
      </c>
      <c r="CM56" s="5">
        <f t="shared" ref="CM56" si="564">CI56*CM$14</f>
        <v>-6357.8250645647449</v>
      </c>
      <c r="CN56" s="5">
        <f t="shared" ref="CN56" si="565">CJ56*CN$14</f>
        <v>-7680.4125453753722</v>
      </c>
      <c r="CO56" s="5">
        <f t="shared" ref="CO56" si="566">CK56*CO$14</f>
        <v>-4172.7142948626088</v>
      </c>
    </row>
    <row r="57" spans="1:93" ht="12.75" customHeight="1" outlineLevel="2">
      <c r="A57" s="35"/>
      <c r="B57" s="63" t="s">
        <v>86</v>
      </c>
      <c r="C57" s="74">
        <f t="shared" si="230"/>
        <v>-362713.90988868801</v>
      </c>
      <c r="D57" s="60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5">
        <f>-('операционные  расходы 1 этап'!E36+'операционные  расходы 1 этап'!F36+'операционные  расходы 1 этап'!G36)/1000</f>
        <v>-5119.4623837500012</v>
      </c>
      <c r="X57" s="5">
        <f>-SUM('операционные  расходы 1 этап'!H36:J36)/1000</f>
        <v>-5119.4623837500012</v>
      </c>
      <c r="Y57" s="5">
        <f>-SUM('операционные  расходы 1 этап'!K36:M36)/1000</f>
        <v>-5119.4623837500012</v>
      </c>
      <c r="Z57" s="5">
        <f>-SUM('операционные  расходы 1 этап'!B36:D36)/1000*$Z$14</f>
        <v>-5375.435502937502</v>
      </c>
      <c r="AA57" s="35">
        <f>W57</f>
        <v>-5119.4623837500012</v>
      </c>
      <c r="AB57" s="35">
        <f t="shared" ref="AB57:CM57" si="567">X57</f>
        <v>-5119.4623837500012</v>
      </c>
      <c r="AC57" s="35">
        <f t="shared" si="567"/>
        <v>-5119.4623837500012</v>
      </c>
      <c r="AD57" s="35">
        <f t="shared" si="567"/>
        <v>-5375.435502937502</v>
      </c>
      <c r="AE57" s="35">
        <f t="shared" si="567"/>
        <v>-5119.4623837500012</v>
      </c>
      <c r="AF57" s="35">
        <f t="shared" si="567"/>
        <v>-5119.4623837500012</v>
      </c>
      <c r="AG57" s="35">
        <f t="shared" si="567"/>
        <v>-5119.4623837500012</v>
      </c>
      <c r="AH57" s="35">
        <f t="shared" si="567"/>
        <v>-5375.435502937502</v>
      </c>
      <c r="AI57" s="35">
        <f t="shared" si="567"/>
        <v>-5119.4623837500012</v>
      </c>
      <c r="AJ57" s="35">
        <f t="shared" si="567"/>
        <v>-5119.4623837500012</v>
      </c>
      <c r="AK57" s="35">
        <f t="shared" si="567"/>
        <v>-5119.4623837500012</v>
      </c>
      <c r="AL57" s="35">
        <f t="shared" si="567"/>
        <v>-5375.435502937502</v>
      </c>
      <c r="AM57" s="35">
        <f t="shared" si="567"/>
        <v>-5119.4623837500012</v>
      </c>
      <c r="AN57" s="35">
        <f t="shared" si="567"/>
        <v>-5119.4623837500012</v>
      </c>
      <c r="AO57" s="35">
        <f t="shared" si="567"/>
        <v>-5119.4623837500012</v>
      </c>
      <c r="AP57" s="35">
        <f t="shared" si="567"/>
        <v>-5375.435502937502</v>
      </c>
      <c r="AQ57" s="35">
        <f t="shared" si="567"/>
        <v>-5119.4623837500012</v>
      </c>
      <c r="AR57" s="35">
        <f t="shared" si="567"/>
        <v>-5119.4623837500012</v>
      </c>
      <c r="AS57" s="35">
        <f t="shared" si="567"/>
        <v>-5119.4623837500012</v>
      </c>
      <c r="AT57" s="35">
        <f t="shared" si="567"/>
        <v>-5375.435502937502</v>
      </c>
      <c r="AU57" s="35">
        <f t="shared" si="567"/>
        <v>-5119.4623837500012</v>
      </c>
      <c r="AV57" s="35">
        <f t="shared" si="567"/>
        <v>-5119.4623837500012</v>
      </c>
      <c r="AW57" s="35">
        <f t="shared" si="567"/>
        <v>-5119.4623837500012</v>
      </c>
      <c r="AX57" s="35">
        <f t="shared" si="567"/>
        <v>-5375.435502937502</v>
      </c>
      <c r="AY57" s="35">
        <f t="shared" si="567"/>
        <v>-5119.4623837500012</v>
      </c>
      <c r="AZ57" s="35">
        <f t="shared" si="567"/>
        <v>-5119.4623837500012</v>
      </c>
      <c r="BA57" s="35">
        <f t="shared" si="567"/>
        <v>-5119.4623837500012</v>
      </c>
      <c r="BB57" s="35">
        <f t="shared" si="567"/>
        <v>-5375.435502937502</v>
      </c>
      <c r="BC57" s="35">
        <f t="shared" si="567"/>
        <v>-5119.4623837500012</v>
      </c>
      <c r="BD57" s="35">
        <f t="shared" si="567"/>
        <v>-5119.4623837500012</v>
      </c>
      <c r="BE57" s="35">
        <f t="shared" si="567"/>
        <v>-5119.4623837500012</v>
      </c>
      <c r="BF57" s="35">
        <f t="shared" si="567"/>
        <v>-5375.435502937502</v>
      </c>
      <c r="BG57" s="35">
        <f t="shared" si="567"/>
        <v>-5119.4623837500012</v>
      </c>
      <c r="BH57" s="35">
        <f t="shared" si="567"/>
        <v>-5119.4623837500012</v>
      </c>
      <c r="BI57" s="35">
        <f t="shared" si="567"/>
        <v>-5119.4623837500012</v>
      </c>
      <c r="BJ57" s="35">
        <f t="shared" si="567"/>
        <v>-5375.435502937502</v>
      </c>
      <c r="BK57" s="35">
        <f t="shared" si="567"/>
        <v>-5119.4623837500012</v>
      </c>
      <c r="BL57" s="35">
        <f t="shared" si="567"/>
        <v>-5119.4623837500012</v>
      </c>
      <c r="BM57" s="35">
        <f t="shared" si="567"/>
        <v>-5119.4623837500012</v>
      </c>
      <c r="BN57" s="35">
        <f t="shared" si="567"/>
        <v>-5375.435502937502</v>
      </c>
      <c r="BO57" s="35">
        <f t="shared" si="567"/>
        <v>-5119.4623837500012</v>
      </c>
      <c r="BP57" s="35">
        <f t="shared" si="567"/>
        <v>-5119.4623837500012</v>
      </c>
      <c r="BQ57" s="35">
        <f t="shared" si="567"/>
        <v>-5119.4623837500012</v>
      </c>
      <c r="BR57" s="35">
        <f t="shared" si="567"/>
        <v>-5375.435502937502</v>
      </c>
      <c r="BS57" s="35">
        <f t="shared" si="567"/>
        <v>-5119.4623837500012</v>
      </c>
      <c r="BT57" s="35">
        <f t="shared" si="567"/>
        <v>-5119.4623837500012</v>
      </c>
      <c r="BU57" s="35">
        <f t="shared" si="567"/>
        <v>-5119.4623837500012</v>
      </c>
      <c r="BV57" s="35">
        <f t="shared" si="567"/>
        <v>-5375.435502937502</v>
      </c>
      <c r="BW57" s="35">
        <f t="shared" si="567"/>
        <v>-5119.4623837500012</v>
      </c>
      <c r="BX57" s="35">
        <f t="shared" si="567"/>
        <v>-5119.4623837500012</v>
      </c>
      <c r="BY57" s="35">
        <f t="shared" si="567"/>
        <v>-5119.4623837500012</v>
      </c>
      <c r="BZ57" s="35">
        <f t="shared" si="567"/>
        <v>-5375.435502937502</v>
      </c>
      <c r="CA57" s="35">
        <f t="shared" si="567"/>
        <v>-5119.4623837500012</v>
      </c>
      <c r="CB57" s="35">
        <f t="shared" si="567"/>
        <v>-5119.4623837500012</v>
      </c>
      <c r="CC57" s="35">
        <f t="shared" si="567"/>
        <v>-5119.4623837500012</v>
      </c>
      <c r="CD57" s="35">
        <f t="shared" si="567"/>
        <v>-5375.435502937502</v>
      </c>
      <c r="CE57" s="35">
        <f t="shared" si="567"/>
        <v>-5119.4623837500012</v>
      </c>
      <c r="CF57" s="35">
        <f t="shared" si="567"/>
        <v>-5119.4623837500012</v>
      </c>
      <c r="CG57" s="35">
        <f t="shared" si="567"/>
        <v>-5119.4623837500012</v>
      </c>
      <c r="CH57" s="35">
        <f t="shared" si="567"/>
        <v>-5375.435502937502</v>
      </c>
      <c r="CI57" s="35">
        <f t="shared" si="567"/>
        <v>-5119.4623837500012</v>
      </c>
      <c r="CJ57" s="35">
        <f t="shared" si="567"/>
        <v>-5119.4623837500012</v>
      </c>
      <c r="CK57" s="35">
        <f t="shared" si="567"/>
        <v>-5119.4623837500012</v>
      </c>
      <c r="CL57" s="35">
        <f t="shared" si="567"/>
        <v>-5375.435502937502</v>
      </c>
      <c r="CM57" s="35">
        <f t="shared" si="567"/>
        <v>-5119.4623837500012</v>
      </c>
      <c r="CN57" s="35">
        <f t="shared" ref="CN57:CO57" si="568">CJ57</f>
        <v>-5119.4623837500012</v>
      </c>
      <c r="CO57" s="35">
        <f t="shared" si="568"/>
        <v>-5119.4623837500012</v>
      </c>
    </row>
    <row r="58" spans="1:93" ht="12.75" customHeight="1" outlineLevel="2">
      <c r="A58" s="35"/>
      <c r="B58" s="63" t="s">
        <v>158</v>
      </c>
      <c r="C58" s="74">
        <f t="shared" si="230"/>
        <v>-59500</v>
      </c>
      <c r="D58" s="60"/>
      <c r="E58" s="35"/>
      <c r="F58" s="35"/>
      <c r="G58" s="35"/>
      <c r="H58" s="35">
        <f t="shared" ref="H58:U58" si="569">I58</f>
        <v>-700</v>
      </c>
      <c r="I58" s="35">
        <f t="shared" si="569"/>
        <v>-700</v>
      </c>
      <c r="J58" s="35">
        <f t="shared" si="569"/>
        <v>-700</v>
      </c>
      <c r="K58" s="35">
        <f t="shared" si="569"/>
        <v>-700</v>
      </c>
      <c r="L58" s="35">
        <f t="shared" si="569"/>
        <v>-700</v>
      </c>
      <c r="M58" s="35">
        <f t="shared" si="569"/>
        <v>-700</v>
      </c>
      <c r="N58" s="35">
        <f t="shared" si="569"/>
        <v>-700</v>
      </c>
      <c r="O58" s="35">
        <f t="shared" si="569"/>
        <v>-700</v>
      </c>
      <c r="P58" s="35">
        <f t="shared" si="569"/>
        <v>-700</v>
      </c>
      <c r="Q58" s="35">
        <f t="shared" si="569"/>
        <v>-700</v>
      </c>
      <c r="R58" s="35">
        <f t="shared" si="569"/>
        <v>-700</v>
      </c>
      <c r="S58" s="35">
        <f t="shared" si="569"/>
        <v>-700</v>
      </c>
      <c r="T58" s="35">
        <f t="shared" si="569"/>
        <v>-700</v>
      </c>
      <c r="U58" s="35">
        <f t="shared" si="569"/>
        <v>-700</v>
      </c>
      <c r="V58" s="35">
        <f>W58</f>
        <v>-700</v>
      </c>
      <c r="W58" s="35">
        <f>-'операционные  расходы 1 этап'!B43</f>
        <v>-700</v>
      </c>
      <c r="X58" s="35">
        <f>W58</f>
        <v>-700</v>
      </c>
      <c r="Y58" s="35">
        <f t="shared" ref="Y58:CJ58" si="570">X58</f>
        <v>-700</v>
      </c>
      <c r="Z58" s="35">
        <f t="shared" si="570"/>
        <v>-700</v>
      </c>
      <c r="AA58" s="35">
        <f t="shared" si="570"/>
        <v>-700</v>
      </c>
      <c r="AB58" s="35">
        <f t="shared" si="570"/>
        <v>-700</v>
      </c>
      <c r="AC58" s="35">
        <f t="shared" si="570"/>
        <v>-700</v>
      </c>
      <c r="AD58" s="35">
        <f t="shared" si="570"/>
        <v>-700</v>
      </c>
      <c r="AE58" s="35">
        <f t="shared" si="570"/>
        <v>-700</v>
      </c>
      <c r="AF58" s="35">
        <f t="shared" si="570"/>
        <v>-700</v>
      </c>
      <c r="AG58" s="35">
        <f t="shared" si="570"/>
        <v>-700</v>
      </c>
      <c r="AH58" s="35">
        <f t="shared" si="570"/>
        <v>-700</v>
      </c>
      <c r="AI58" s="35">
        <f t="shared" si="570"/>
        <v>-700</v>
      </c>
      <c r="AJ58" s="35">
        <f t="shared" si="570"/>
        <v>-700</v>
      </c>
      <c r="AK58" s="35">
        <f t="shared" si="570"/>
        <v>-700</v>
      </c>
      <c r="AL58" s="35">
        <f t="shared" si="570"/>
        <v>-700</v>
      </c>
      <c r="AM58" s="35">
        <f t="shared" si="570"/>
        <v>-700</v>
      </c>
      <c r="AN58" s="35">
        <f t="shared" si="570"/>
        <v>-700</v>
      </c>
      <c r="AO58" s="35">
        <f t="shared" si="570"/>
        <v>-700</v>
      </c>
      <c r="AP58" s="35">
        <f t="shared" si="570"/>
        <v>-700</v>
      </c>
      <c r="AQ58" s="35">
        <f t="shared" si="570"/>
        <v>-700</v>
      </c>
      <c r="AR58" s="35">
        <f t="shared" si="570"/>
        <v>-700</v>
      </c>
      <c r="AS58" s="35">
        <f t="shared" si="570"/>
        <v>-700</v>
      </c>
      <c r="AT58" s="35">
        <f t="shared" si="570"/>
        <v>-700</v>
      </c>
      <c r="AU58" s="35">
        <f t="shared" si="570"/>
        <v>-700</v>
      </c>
      <c r="AV58" s="35">
        <f t="shared" si="570"/>
        <v>-700</v>
      </c>
      <c r="AW58" s="35">
        <f t="shared" si="570"/>
        <v>-700</v>
      </c>
      <c r="AX58" s="35">
        <f t="shared" si="570"/>
        <v>-700</v>
      </c>
      <c r="AY58" s="35">
        <f t="shared" si="570"/>
        <v>-700</v>
      </c>
      <c r="AZ58" s="35">
        <f t="shared" si="570"/>
        <v>-700</v>
      </c>
      <c r="BA58" s="35">
        <f t="shared" si="570"/>
        <v>-700</v>
      </c>
      <c r="BB58" s="35">
        <f t="shared" si="570"/>
        <v>-700</v>
      </c>
      <c r="BC58" s="35">
        <f t="shared" si="570"/>
        <v>-700</v>
      </c>
      <c r="BD58" s="35">
        <f t="shared" si="570"/>
        <v>-700</v>
      </c>
      <c r="BE58" s="35">
        <f t="shared" si="570"/>
        <v>-700</v>
      </c>
      <c r="BF58" s="35">
        <f t="shared" si="570"/>
        <v>-700</v>
      </c>
      <c r="BG58" s="35">
        <f t="shared" si="570"/>
        <v>-700</v>
      </c>
      <c r="BH58" s="35">
        <f t="shared" si="570"/>
        <v>-700</v>
      </c>
      <c r="BI58" s="35">
        <f t="shared" si="570"/>
        <v>-700</v>
      </c>
      <c r="BJ58" s="35">
        <f t="shared" si="570"/>
        <v>-700</v>
      </c>
      <c r="BK58" s="35">
        <f t="shared" si="570"/>
        <v>-700</v>
      </c>
      <c r="BL58" s="35">
        <f t="shared" si="570"/>
        <v>-700</v>
      </c>
      <c r="BM58" s="35">
        <f t="shared" si="570"/>
        <v>-700</v>
      </c>
      <c r="BN58" s="35">
        <f t="shared" si="570"/>
        <v>-700</v>
      </c>
      <c r="BO58" s="35">
        <f t="shared" si="570"/>
        <v>-700</v>
      </c>
      <c r="BP58" s="35">
        <f t="shared" si="570"/>
        <v>-700</v>
      </c>
      <c r="BQ58" s="35">
        <f t="shared" si="570"/>
        <v>-700</v>
      </c>
      <c r="BR58" s="35">
        <f t="shared" si="570"/>
        <v>-700</v>
      </c>
      <c r="BS58" s="35">
        <f t="shared" si="570"/>
        <v>-700</v>
      </c>
      <c r="BT58" s="35">
        <f t="shared" si="570"/>
        <v>-700</v>
      </c>
      <c r="BU58" s="35">
        <f t="shared" si="570"/>
        <v>-700</v>
      </c>
      <c r="BV58" s="35">
        <f t="shared" si="570"/>
        <v>-700</v>
      </c>
      <c r="BW58" s="35">
        <f t="shared" si="570"/>
        <v>-700</v>
      </c>
      <c r="BX58" s="35">
        <f t="shared" si="570"/>
        <v>-700</v>
      </c>
      <c r="BY58" s="35">
        <f t="shared" si="570"/>
        <v>-700</v>
      </c>
      <c r="BZ58" s="35">
        <f t="shared" si="570"/>
        <v>-700</v>
      </c>
      <c r="CA58" s="35">
        <f t="shared" si="570"/>
        <v>-700</v>
      </c>
      <c r="CB58" s="35">
        <f t="shared" si="570"/>
        <v>-700</v>
      </c>
      <c r="CC58" s="35">
        <f t="shared" si="570"/>
        <v>-700</v>
      </c>
      <c r="CD58" s="35">
        <f t="shared" si="570"/>
        <v>-700</v>
      </c>
      <c r="CE58" s="35">
        <f t="shared" si="570"/>
        <v>-700</v>
      </c>
      <c r="CF58" s="35">
        <f t="shared" si="570"/>
        <v>-700</v>
      </c>
      <c r="CG58" s="35">
        <f t="shared" si="570"/>
        <v>-700</v>
      </c>
      <c r="CH58" s="35">
        <f t="shared" si="570"/>
        <v>-700</v>
      </c>
      <c r="CI58" s="35">
        <f t="shared" si="570"/>
        <v>-700</v>
      </c>
      <c r="CJ58" s="35">
        <f t="shared" si="570"/>
        <v>-700</v>
      </c>
      <c r="CK58" s="35">
        <f t="shared" ref="CK58:CO58" si="571">CJ58</f>
        <v>-700</v>
      </c>
      <c r="CL58" s="35">
        <f t="shared" si="571"/>
        <v>-700</v>
      </c>
      <c r="CM58" s="35">
        <f t="shared" si="571"/>
        <v>-700</v>
      </c>
      <c r="CN58" s="35">
        <f t="shared" si="571"/>
        <v>-700</v>
      </c>
      <c r="CO58" s="35">
        <f t="shared" si="571"/>
        <v>-700</v>
      </c>
    </row>
    <row r="59" spans="1:93" ht="12.75" customHeight="1" outlineLevel="1">
      <c r="A59" s="37"/>
      <c r="B59" s="70" t="s">
        <v>159</v>
      </c>
      <c r="C59" s="70">
        <f t="shared" si="230"/>
        <v>-9578558.0193924122</v>
      </c>
      <c r="D59" s="71">
        <f t="shared" ref="D59:CO59" si="572">SUM(D29:D58)</f>
        <v>0</v>
      </c>
      <c r="E59" s="70">
        <f t="shared" si="572"/>
        <v>0</v>
      </c>
      <c r="F59" s="70">
        <f t="shared" si="572"/>
        <v>0</v>
      </c>
      <c r="G59" s="70">
        <f t="shared" si="572"/>
        <v>0</v>
      </c>
      <c r="H59" s="70">
        <f t="shared" si="572"/>
        <v>-700</v>
      </c>
      <c r="I59" s="70">
        <f t="shared" si="572"/>
        <v>-700</v>
      </c>
      <c r="J59" s="70">
        <f t="shared" si="572"/>
        <v>-700</v>
      </c>
      <c r="K59" s="70">
        <f t="shared" si="572"/>
        <v>-700</v>
      </c>
      <c r="L59" s="70">
        <f t="shared" si="572"/>
        <v>-700</v>
      </c>
      <c r="M59" s="70">
        <f t="shared" si="572"/>
        <v>-700</v>
      </c>
      <c r="N59" s="70">
        <f t="shared" si="572"/>
        <v>-700</v>
      </c>
      <c r="O59" s="70">
        <f t="shared" si="572"/>
        <v>-700</v>
      </c>
      <c r="P59" s="70">
        <f t="shared" si="572"/>
        <v>-700</v>
      </c>
      <c r="Q59" s="70">
        <f t="shared" si="572"/>
        <v>-700</v>
      </c>
      <c r="R59" s="70">
        <f t="shared" si="572"/>
        <v>-700</v>
      </c>
      <c r="S59" s="70">
        <f t="shared" si="572"/>
        <v>-700</v>
      </c>
      <c r="T59" s="70">
        <f t="shared" si="572"/>
        <v>-700</v>
      </c>
      <c r="U59" s="70">
        <f t="shared" si="572"/>
        <v>-700</v>
      </c>
      <c r="V59" s="70">
        <f t="shared" si="572"/>
        <v>-700</v>
      </c>
      <c r="W59" s="70">
        <f t="shared" si="572"/>
        <v>-104404.84737792038</v>
      </c>
      <c r="X59" s="70">
        <f t="shared" si="572"/>
        <v>-118681.97255344698</v>
      </c>
      <c r="Y59" s="70">
        <f t="shared" si="572"/>
        <v>-78747.617488465781</v>
      </c>
      <c r="Z59" s="70">
        <f t="shared" si="572"/>
        <v>-93815.000702818987</v>
      </c>
      <c r="AA59" s="70">
        <f t="shared" si="572"/>
        <v>-109038.06350114185</v>
      </c>
      <c r="AB59" s="70">
        <f t="shared" si="572"/>
        <v>-124018.8104380578</v>
      </c>
      <c r="AC59" s="70">
        <f t="shared" si="572"/>
        <v>-82111.045996081943</v>
      </c>
      <c r="AD59" s="70">
        <f t="shared" si="572"/>
        <v>-99016.533255868606</v>
      </c>
      <c r="AE59" s="70">
        <f t="shared" si="572"/>
        <v>-115193.06513427179</v>
      </c>
      <c r="AF59" s="70">
        <f t="shared" si="572"/>
        <v>-131057.71961319962</v>
      </c>
      <c r="AG59" s="70">
        <f t="shared" si="572"/>
        <v>-86651.314006044893</v>
      </c>
      <c r="AH59" s="70">
        <f t="shared" si="572"/>
        <v>-112319.51875366915</v>
      </c>
      <c r="AI59" s="70">
        <f t="shared" si="572"/>
        <v>-129405.44328088123</v>
      </c>
      <c r="AJ59" s="70">
        <f t="shared" si="572"/>
        <v>-96440.882328523774</v>
      </c>
      <c r="AK59" s="70">
        <f t="shared" si="572"/>
        <v>-100849.6064031228</v>
      </c>
      <c r="AL59" s="70">
        <f t="shared" si="572"/>
        <v>-118684.42458902916</v>
      </c>
      <c r="AM59" s="70">
        <f t="shared" si="572"/>
        <v>-136779.0577034856</v>
      </c>
      <c r="AN59" s="70">
        <f t="shared" si="572"/>
        <v>-101742.85311327617</v>
      </c>
      <c r="AO59" s="70">
        <f t="shared" si="572"/>
        <v>-114698.76726145318</v>
      </c>
      <c r="AP59" s="70">
        <f t="shared" si="572"/>
        <v>-133504.68346957132</v>
      </c>
      <c r="AQ59" s="70">
        <f t="shared" si="572"/>
        <v>-100413.27633271665</v>
      </c>
      <c r="AR59" s="70">
        <f t="shared" si="572"/>
        <v>-117212.48397321385</v>
      </c>
      <c r="AS59" s="70">
        <f t="shared" si="572"/>
        <v>-121256.99577850295</v>
      </c>
      <c r="AT59" s="70">
        <f t="shared" si="572"/>
        <v>-141139.10353123816</v>
      </c>
      <c r="AU59" s="70">
        <f t="shared" si="572"/>
        <v>-105961.3383237544</v>
      </c>
      <c r="AV59" s="70">
        <f t="shared" si="572"/>
        <v>-132343.59790961689</v>
      </c>
      <c r="AW59" s="70">
        <f t="shared" si="572"/>
        <v>-136687.09886249006</v>
      </c>
      <c r="AX59" s="70">
        <f t="shared" si="572"/>
        <v>-102841.76425575976</v>
      </c>
      <c r="AY59" s="70">
        <f t="shared" si="572"/>
        <v>-122184.49302708905</v>
      </c>
      <c r="AZ59" s="70">
        <f t="shared" si="572"/>
        <v>-139848.70763943309</v>
      </c>
      <c r="BA59" s="70">
        <f t="shared" si="572"/>
        <v>-144565.51274962904</v>
      </c>
      <c r="BB59" s="70">
        <f t="shared" si="572"/>
        <v>-108548.29706836975</v>
      </c>
      <c r="BC59" s="70">
        <f t="shared" si="572"/>
        <v>-138051.20707573235</v>
      </c>
      <c r="BD59" s="70">
        <f t="shared" si="572"/>
        <v>-156700.2341538792</v>
      </c>
      <c r="BE59" s="70">
        <f t="shared" si="572"/>
        <v>-104208.69297388483</v>
      </c>
      <c r="BF59" s="70">
        <f t="shared" si="572"/>
        <v>-125457.73061499256</v>
      </c>
      <c r="BG59" s="70">
        <f t="shared" si="572"/>
        <v>-145909.5689282305</v>
      </c>
      <c r="BH59" s="70">
        <f t="shared" si="572"/>
        <v>-165654.98292544772</v>
      </c>
      <c r="BI59" s="70">
        <f t="shared" si="572"/>
        <v>-110048.70821380893</v>
      </c>
      <c r="BJ59" s="70">
        <f t="shared" si="572"/>
        <v>-141986.65752959554</v>
      </c>
      <c r="BK59" s="70">
        <f t="shared" si="572"/>
        <v>-163580.56823639962</v>
      </c>
      <c r="BL59" s="70">
        <f t="shared" si="572"/>
        <v>-123996.85706049261</v>
      </c>
      <c r="BM59" s="70">
        <f t="shared" si="572"/>
        <v>-127644.17701378066</v>
      </c>
      <c r="BN59" s="70">
        <f t="shared" si="572"/>
        <v>-150100.25849642238</v>
      </c>
      <c r="BO59" s="70">
        <f t="shared" si="572"/>
        <v>-172958.79573794728</v>
      </c>
      <c r="BP59" s="70">
        <f t="shared" si="572"/>
        <v>-130881.23470696801</v>
      </c>
      <c r="BQ59" s="70">
        <f t="shared" si="572"/>
        <v>-144832.14202893246</v>
      </c>
      <c r="BR59" s="70">
        <f t="shared" si="572"/>
        <v>-168510.24484278896</v>
      </c>
      <c r="BS59" s="70">
        <f t="shared" si="572"/>
        <v>-129192.29193571513</v>
      </c>
      <c r="BT59" s="70">
        <f t="shared" si="572"/>
        <v>-150146.45667372108</v>
      </c>
      <c r="BU59" s="70">
        <f t="shared" si="572"/>
        <v>-153175.64438666025</v>
      </c>
      <c r="BV59" s="70">
        <f t="shared" si="572"/>
        <v>-178205.59264584255</v>
      </c>
      <c r="BW59" s="70">
        <f t="shared" si="572"/>
        <v>-136394.14323828361</v>
      </c>
      <c r="BX59" s="70">
        <f t="shared" si="572"/>
        <v>-169023.29865275248</v>
      </c>
      <c r="BY59" s="70">
        <f t="shared" si="572"/>
        <v>-172321.56246003273</v>
      </c>
      <c r="BZ59" s="70">
        <f t="shared" si="572"/>
        <v>-132091.38302624872</v>
      </c>
      <c r="CA59" s="70">
        <f t="shared" si="572"/>
        <v>-156594.54381583212</v>
      </c>
      <c r="CB59" s="70">
        <f t="shared" si="572"/>
        <v>-178654.92877714473</v>
      </c>
      <c r="CC59" s="70">
        <f t="shared" si="572"/>
        <v>-182307.88168341093</v>
      </c>
      <c r="CD59" s="70">
        <f t="shared" si="572"/>
        <v>-139485.97723533295</v>
      </c>
      <c r="CE59" s="70">
        <f t="shared" si="572"/>
        <v>-176385.74128189569</v>
      </c>
      <c r="CF59" s="70">
        <f t="shared" si="572"/>
        <v>-199672.64303540278</v>
      </c>
      <c r="CG59" s="70">
        <f t="shared" si="572"/>
        <v>-133684.47581451797</v>
      </c>
      <c r="CH59" s="70">
        <f t="shared" si="572"/>
        <v>-160520.68070021577</v>
      </c>
      <c r="CI59" s="70">
        <f t="shared" si="572"/>
        <v>-186467.99196999226</v>
      </c>
      <c r="CJ59" s="70">
        <f t="shared" si="572"/>
        <v>-211118.50351522776</v>
      </c>
      <c r="CK59" s="70">
        <f t="shared" si="572"/>
        <v>-141235.13967732101</v>
      </c>
      <c r="CL59" s="70">
        <f t="shared" si="572"/>
        <v>-181116.93504096204</v>
      </c>
      <c r="CM59" s="70">
        <f t="shared" si="572"/>
        <v>-208504.08295152214</v>
      </c>
      <c r="CN59" s="70">
        <f t="shared" si="572"/>
        <v>-161072.16391293184</v>
      </c>
      <c r="CO59" s="72">
        <f t="shared" si="572"/>
        <v>-163097.23525587574</v>
      </c>
    </row>
    <row r="60" spans="1:93" ht="12.75" customHeight="1">
      <c r="A60" s="37"/>
      <c r="B60" s="75" t="s">
        <v>160</v>
      </c>
      <c r="C60" s="70">
        <f t="shared" si="230"/>
        <v>14545267.481728278</v>
      </c>
      <c r="D60" s="76">
        <f t="shared" ref="D60:CO60" si="573">SUM(D27,D59)</f>
        <v>0</v>
      </c>
      <c r="E60" s="75">
        <f t="shared" si="573"/>
        <v>0</v>
      </c>
      <c r="F60" s="75">
        <f t="shared" si="573"/>
        <v>0</v>
      </c>
      <c r="G60" s="75">
        <f t="shared" si="573"/>
        <v>0</v>
      </c>
      <c r="H60" s="75">
        <f t="shared" si="573"/>
        <v>-700</v>
      </c>
      <c r="I60" s="75">
        <f t="shared" si="573"/>
        <v>-700</v>
      </c>
      <c r="J60" s="75">
        <f t="shared" si="573"/>
        <v>-700</v>
      </c>
      <c r="K60" s="75">
        <f t="shared" si="573"/>
        <v>-700</v>
      </c>
      <c r="L60" s="75">
        <f t="shared" si="573"/>
        <v>-700</v>
      </c>
      <c r="M60" s="75">
        <f t="shared" si="573"/>
        <v>-700</v>
      </c>
      <c r="N60" s="75">
        <f t="shared" si="573"/>
        <v>-700</v>
      </c>
      <c r="O60" s="75">
        <f t="shared" si="573"/>
        <v>-700</v>
      </c>
      <c r="P60" s="75">
        <f t="shared" si="573"/>
        <v>-700</v>
      </c>
      <c r="Q60" s="75">
        <f t="shared" si="573"/>
        <v>-700</v>
      </c>
      <c r="R60" s="75">
        <f t="shared" si="573"/>
        <v>-700</v>
      </c>
      <c r="S60" s="75">
        <f t="shared" si="573"/>
        <v>-700</v>
      </c>
      <c r="T60" s="75">
        <f t="shared" si="573"/>
        <v>-700</v>
      </c>
      <c r="U60" s="75">
        <f t="shared" si="573"/>
        <v>-700</v>
      </c>
      <c r="V60" s="75">
        <f t="shared" si="573"/>
        <v>-700</v>
      </c>
      <c r="W60" s="75">
        <f t="shared" si="573"/>
        <v>172984.95422996787</v>
      </c>
      <c r="X60" s="75">
        <f t="shared" si="573"/>
        <v>216411.88274976771</v>
      </c>
      <c r="Y60" s="75">
        <f t="shared" si="573"/>
        <v>103306.52503103718</v>
      </c>
      <c r="Z60" s="75">
        <f t="shared" si="573"/>
        <v>136567.71610079444</v>
      </c>
      <c r="AA60" s="75">
        <f t="shared" si="573"/>
        <v>180046.49109449371</v>
      </c>
      <c r="AB60" s="75">
        <f t="shared" si="573"/>
        <v>225465.61309527647</v>
      </c>
      <c r="AC60" s="75">
        <f t="shared" si="573"/>
        <v>107112.99621750794</v>
      </c>
      <c r="AD60" s="75">
        <f t="shared" si="573"/>
        <v>151780.63840431947</v>
      </c>
      <c r="AE60" s="75">
        <f t="shared" si="573"/>
        <v>198937.32227878046</v>
      </c>
      <c r="AF60" s="75">
        <f t="shared" si="573"/>
        <v>248069.06345878987</v>
      </c>
      <c r="AG60" s="75">
        <f t="shared" si="573"/>
        <v>119880.59770324988</v>
      </c>
      <c r="AH60" s="75">
        <f t="shared" si="573"/>
        <v>191219.26357174822</v>
      </c>
      <c r="AI60" s="75">
        <f t="shared" si="573"/>
        <v>237553.20142911974</v>
      </c>
      <c r="AJ60" s="75">
        <f t="shared" si="573"/>
        <v>102244.36199574558</v>
      </c>
      <c r="AK60" s="75">
        <f t="shared" si="573"/>
        <v>162487.42384007465</v>
      </c>
      <c r="AL60" s="75">
        <f t="shared" si="573"/>
        <v>211152.48219467566</v>
      </c>
      <c r="AM60" s="75">
        <f t="shared" si="573"/>
        <v>261304.06452210341</v>
      </c>
      <c r="AN60" s="75">
        <f t="shared" si="573"/>
        <v>115115.65418148333</v>
      </c>
      <c r="AO60" s="75">
        <f t="shared" si="573"/>
        <v>204016.95418023507</v>
      </c>
      <c r="AP60" s="75">
        <f t="shared" si="573"/>
        <v>251801.89347592971</v>
      </c>
      <c r="AQ60" s="75">
        <f t="shared" si="573"/>
        <v>108206.23020776622</v>
      </c>
      <c r="AR60" s="75">
        <f t="shared" si="573"/>
        <v>159291.39778214347</v>
      </c>
      <c r="AS60" s="75">
        <f t="shared" si="573"/>
        <v>225071.75634438713</v>
      </c>
      <c r="AT60" s="75">
        <f t="shared" si="573"/>
        <v>276848.17480563029</v>
      </c>
      <c r="AU60" s="75">
        <f t="shared" si="573"/>
        <v>121740.09433574308</v>
      </c>
      <c r="AV60" s="75">
        <f t="shared" si="573"/>
        <v>202307.90960415581</v>
      </c>
      <c r="AW60" s="75">
        <f t="shared" si="573"/>
        <v>267884.80693028611</v>
      </c>
      <c r="AX60" s="75">
        <f t="shared" si="573"/>
        <v>116208.71761174728</v>
      </c>
      <c r="AY60" s="75">
        <f t="shared" si="573"/>
        <v>168144.58281603619</v>
      </c>
      <c r="AZ60" s="75">
        <f t="shared" si="573"/>
        <v>223796.48208960152</v>
      </c>
      <c r="BA60" s="75">
        <f t="shared" si="573"/>
        <v>294321.12950408278</v>
      </c>
      <c r="BB60" s="75">
        <f t="shared" si="573"/>
        <v>130538.20722410263</v>
      </c>
      <c r="BC60" s="75">
        <f t="shared" si="573"/>
        <v>213332.87581372896</v>
      </c>
      <c r="BD60" s="75">
        <f t="shared" si="573"/>
        <v>268100.26692853577</v>
      </c>
      <c r="BE60" s="75">
        <f t="shared" si="573"/>
        <v>125794.31298699755</v>
      </c>
      <c r="BF60" s="75">
        <f t="shared" si="573"/>
        <v>179387.79902028892</v>
      </c>
      <c r="BG60" s="75">
        <f t="shared" si="573"/>
        <v>235917.88028725586</v>
      </c>
      <c r="BH60" s="75">
        <f t="shared" si="573"/>
        <v>295175.99144094985</v>
      </c>
      <c r="BI60" s="75">
        <f t="shared" si="573"/>
        <v>140992.12129328703</v>
      </c>
      <c r="BJ60" s="75">
        <f t="shared" si="573"/>
        <v>226966.6295043389</v>
      </c>
      <c r="BK60" s="75">
        <f t="shared" si="573"/>
        <v>282459.95790013613</v>
      </c>
      <c r="BL60" s="75">
        <f t="shared" si="573"/>
        <v>117506.29919843389</v>
      </c>
      <c r="BM60" s="75">
        <f t="shared" si="573"/>
        <v>192443.62910326492</v>
      </c>
      <c r="BN60" s="75">
        <f t="shared" si="573"/>
        <v>250818.5631798383</v>
      </c>
      <c r="BO60" s="75">
        <f t="shared" si="573"/>
        <v>310913.72734677012</v>
      </c>
      <c r="BP60" s="75">
        <f t="shared" si="573"/>
        <v>132711.63627548283</v>
      </c>
      <c r="BQ60" s="75">
        <f t="shared" si="573"/>
        <v>242568.80935669871</v>
      </c>
      <c r="BR60" s="75">
        <f t="shared" si="573"/>
        <v>299832.30760057352</v>
      </c>
      <c r="BS60" s="75">
        <f t="shared" si="573"/>
        <v>124386.02213615773</v>
      </c>
      <c r="BT60" s="75">
        <f t="shared" si="573"/>
        <v>185945.73974917678</v>
      </c>
      <c r="BU60" s="75">
        <f t="shared" si="573"/>
        <v>267789.11837341357</v>
      </c>
      <c r="BV60" s="75">
        <f t="shared" si="573"/>
        <v>329860.55659311078</v>
      </c>
      <c r="BW60" s="75">
        <f t="shared" si="573"/>
        <v>140378.37129328979</v>
      </c>
      <c r="BX60" s="75">
        <f t="shared" si="573"/>
        <v>237747.70030216029</v>
      </c>
      <c r="BY60" s="75">
        <f t="shared" si="573"/>
        <v>319438.11760549794</v>
      </c>
      <c r="BZ60" s="75">
        <f t="shared" si="573"/>
        <v>134165.84674921777</v>
      </c>
      <c r="CA60" s="75">
        <f t="shared" si="573"/>
        <v>196302.2624282107</v>
      </c>
      <c r="CB60" s="75">
        <f t="shared" si="573"/>
        <v>263358.07212093275</v>
      </c>
      <c r="CC60" s="75">
        <f t="shared" si="573"/>
        <v>351161.57501749007</v>
      </c>
      <c r="CD60" s="75">
        <f t="shared" si="573"/>
        <v>151125.16302281909</v>
      </c>
      <c r="CE60" s="75">
        <f t="shared" si="573"/>
        <v>250723.8076207627</v>
      </c>
      <c r="CF60" s="75">
        <f t="shared" si="573"/>
        <v>316675.02103340439</v>
      </c>
      <c r="CG60" s="75">
        <f t="shared" si="573"/>
        <v>145885.6154497219</v>
      </c>
      <c r="CH60" s="75">
        <f t="shared" si="573"/>
        <v>210020.96585602916</v>
      </c>
      <c r="CI60" s="75">
        <f t="shared" si="573"/>
        <v>277645.65897298907</v>
      </c>
      <c r="CJ60" s="75">
        <f t="shared" si="573"/>
        <v>349024.42602071824</v>
      </c>
      <c r="CK60" s="75">
        <f t="shared" si="573"/>
        <v>163906.55759373866</v>
      </c>
      <c r="CL60" s="75">
        <f t="shared" si="573"/>
        <v>267348.09130682924</v>
      </c>
      <c r="CM60" s="75">
        <f t="shared" si="573"/>
        <v>333660.96432072547</v>
      </c>
      <c r="CN60" s="75">
        <f t="shared" si="573"/>
        <v>132476.43191452001</v>
      </c>
      <c r="CO60" s="77">
        <f t="shared" si="573"/>
        <v>225971.49362818152</v>
      </c>
    </row>
    <row r="61" spans="1:93" ht="12.75" customHeight="1">
      <c r="A61" s="35"/>
      <c r="B61" s="78" t="s">
        <v>161</v>
      </c>
      <c r="C61" s="427">
        <f t="shared" ref="C61:CO61" si="574">IF(ISERROR(C60/C27),0,C60/C27)</f>
        <v>0.60294199529227088</v>
      </c>
      <c r="D61" s="79">
        <f t="shared" si="574"/>
        <v>0</v>
      </c>
      <c r="E61" s="80">
        <f t="shared" si="574"/>
        <v>0</v>
      </c>
      <c r="F61" s="80">
        <f t="shared" si="574"/>
        <v>0</v>
      </c>
      <c r="G61" s="80">
        <f t="shared" si="574"/>
        <v>0</v>
      </c>
      <c r="H61" s="80">
        <f t="shared" si="574"/>
        <v>0</v>
      </c>
      <c r="I61" s="80">
        <f t="shared" si="574"/>
        <v>0</v>
      </c>
      <c r="J61" s="80">
        <f t="shared" si="574"/>
        <v>0</v>
      </c>
      <c r="K61" s="80">
        <f t="shared" si="574"/>
        <v>0</v>
      </c>
      <c r="L61" s="80">
        <f t="shared" si="574"/>
        <v>0</v>
      </c>
      <c r="M61" s="80">
        <f t="shared" si="574"/>
        <v>0</v>
      </c>
      <c r="N61" s="80">
        <f t="shared" si="574"/>
        <v>0</v>
      </c>
      <c r="O61" s="80">
        <f t="shared" si="574"/>
        <v>0</v>
      </c>
      <c r="P61" s="80">
        <f t="shared" si="574"/>
        <v>0</v>
      </c>
      <c r="Q61" s="80">
        <f t="shared" si="574"/>
        <v>0</v>
      </c>
      <c r="R61" s="80">
        <f t="shared" si="574"/>
        <v>0</v>
      </c>
      <c r="S61" s="80">
        <f t="shared" si="574"/>
        <v>0</v>
      </c>
      <c r="T61" s="80">
        <f t="shared" si="574"/>
        <v>0</v>
      </c>
      <c r="U61" s="80">
        <f t="shared" si="574"/>
        <v>0</v>
      </c>
      <c r="V61" s="80">
        <f t="shared" si="574"/>
        <v>0</v>
      </c>
      <c r="W61" s="80">
        <f t="shared" si="574"/>
        <v>0.62361684974451714</v>
      </c>
      <c r="X61" s="80">
        <f t="shared" si="574"/>
        <v>0.64582468262196024</v>
      </c>
      <c r="Y61" s="80">
        <f t="shared" si="574"/>
        <v>0.56744946092050741</v>
      </c>
      <c r="Z61" s="80">
        <f t="shared" si="574"/>
        <v>0.59278629054977994</v>
      </c>
      <c r="AA61" s="80">
        <f t="shared" si="574"/>
        <v>0.62281601777839135</v>
      </c>
      <c r="AB61" s="80">
        <f t="shared" si="574"/>
        <v>0.64513780275466626</v>
      </c>
      <c r="AC61" s="80">
        <f t="shared" si="574"/>
        <v>0.56606441213533698</v>
      </c>
      <c r="AD61" s="80">
        <f t="shared" si="574"/>
        <v>0.60519278347353611</v>
      </c>
      <c r="AE61" s="80">
        <f t="shared" si="574"/>
        <v>0.63329537749302922</v>
      </c>
      <c r="AF61" s="80">
        <f t="shared" si="574"/>
        <v>0.6543169054128416</v>
      </c>
      <c r="AG61" s="80">
        <f t="shared" si="574"/>
        <v>0.58044588224210369</v>
      </c>
      <c r="AH61" s="80">
        <f t="shared" si="574"/>
        <v>0.62996649754872569</v>
      </c>
      <c r="AI61" s="80">
        <f t="shared" si="574"/>
        <v>0.64735687482400806</v>
      </c>
      <c r="AJ61" s="80">
        <f t="shared" si="574"/>
        <v>0.51460470727697849</v>
      </c>
      <c r="AK61" s="80">
        <f t="shared" si="574"/>
        <v>0.6170321875735213</v>
      </c>
      <c r="AL61" s="80">
        <f t="shared" si="574"/>
        <v>0.6401723938465802</v>
      </c>
      <c r="AM61" s="80">
        <f t="shared" si="574"/>
        <v>0.65640578545810713</v>
      </c>
      <c r="AN61" s="80">
        <f t="shared" si="574"/>
        <v>0.53083301004657035</v>
      </c>
      <c r="AO61" s="80">
        <f t="shared" si="574"/>
        <v>0.64012202867614643</v>
      </c>
      <c r="AP61" s="80">
        <f t="shared" si="574"/>
        <v>0.65351049928105787</v>
      </c>
      <c r="AQ61" s="80">
        <f t="shared" si="574"/>
        <v>0.5186774333912475</v>
      </c>
      <c r="AR61" s="80">
        <f t="shared" si="574"/>
        <v>0.57609100013677172</v>
      </c>
      <c r="AS61" s="80">
        <f t="shared" si="574"/>
        <v>0.64987892274252601</v>
      </c>
      <c r="AT61" s="80">
        <f t="shared" si="574"/>
        <v>0.66233636561185016</v>
      </c>
      <c r="AU61" s="80">
        <f t="shared" si="574"/>
        <v>0.53464790675161034</v>
      </c>
      <c r="AV61" s="80">
        <f t="shared" si="574"/>
        <v>0.60453308908470926</v>
      </c>
      <c r="AW61" s="80">
        <f t="shared" si="574"/>
        <v>0.66214386885158094</v>
      </c>
      <c r="AX61" s="80">
        <f t="shared" si="574"/>
        <v>0.53051112520280264</v>
      </c>
      <c r="AY61" s="80">
        <f t="shared" si="574"/>
        <v>0.57915171716004932</v>
      </c>
      <c r="AZ61" s="80">
        <f t="shared" si="574"/>
        <v>0.61542538829225402</v>
      </c>
      <c r="BA61" s="80">
        <f t="shared" si="574"/>
        <v>0.67060853798767806</v>
      </c>
      <c r="BB61" s="80">
        <f t="shared" si="574"/>
        <v>0.54598735135805243</v>
      </c>
      <c r="BC61" s="80">
        <f t="shared" si="574"/>
        <v>0.60712162616893317</v>
      </c>
      <c r="BD61" s="80">
        <f t="shared" si="574"/>
        <v>0.63112041121750473</v>
      </c>
      <c r="BE61" s="80">
        <f t="shared" si="574"/>
        <v>0.54692464762130955</v>
      </c>
      <c r="BF61" s="80">
        <f t="shared" si="574"/>
        <v>0.58845474701534661</v>
      </c>
      <c r="BG61" s="80">
        <f t="shared" si="574"/>
        <v>0.61786516598526253</v>
      </c>
      <c r="BH61" s="80">
        <f t="shared" si="574"/>
        <v>0.6405298425236956</v>
      </c>
      <c r="BI61" s="80">
        <f t="shared" si="574"/>
        <v>0.56163023987021088</v>
      </c>
      <c r="BJ61" s="80">
        <f t="shared" si="574"/>
        <v>0.6151635924670964</v>
      </c>
      <c r="BK61" s="80">
        <f t="shared" si="574"/>
        <v>0.63326074952587019</v>
      </c>
      <c r="BL61" s="80">
        <f t="shared" si="574"/>
        <v>0.4865621676283603</v>
      </c>
      <c r="BM61" s="80">
        <f t="shared" si="574"/>
        <v>0.60122136934168191</v>
      </c>
      <c r="BN61" s="80">
        <f t="shared" si="574"/>
        <v>0.62560934937191015</v>
      </c>
      <c r="BO61" s="80">
        <f t="shared" si="574"/>
        <v>0.64255297111039866</v>
      </c>
      <c r="BP61" s="80">
        <f t="shared" si="574"/>
        <v>0.50347202403785174</v>
      </c>
      <c r="BQ61" s="80">
        <f t="shared" si="574"/>
        <v>0.62614407241152603</v>
      </c>
      <c r="BR61" s="80">
        <f t="shared" si="574"/>
        <v>0.64019873068619526</v>
      </c>
      <c r="BS61" s="80">
        <f t="shared" si="574"/>
        <v>0.49052310561897039</v>
      </c>
      <c r="BT61" s="80">
        <f t="shared" si="574"/>
        <v>0.55325812895460713</v>
      </c>
      <c r="BU61" s="80">
        <f t="shared" si="574"/>
        <v>0.63613190951575738</v>
      </c>
      <c r="BV61" s="80">
        <f t="shared" si="574"/>
        <v>0.6492472625606297</v>
      </c>
      <c r="BW61" s="80">
        <f t="shared" si="574"/>
        <v>0.50719765844840003</v>
      </c>
      <c r="BX61" s="80">
        <f t="shared" si="574"/>
        <v>0.58447554253618916</v>
      </c>
      <c r="BY61" s="80">
        <f t="shared" si="574"/>
        <v>0.64958175823388054</v>
      </c>
      <c r="BZ61" s="80">
        <f t="shared" si="574"/>
        <v>0.50389560074052908</v>
      </c>
      <c r="CA61" s="80">
        <f t="shared" si="574"/>
        <v>0.55625967408857624</v>
      </c>
      <c r="CB61" s="80">
        <f t="shared" si="574"/>
        <v>0.5958152171674691</v>
      </c>
      <c r="CC61" s="80">
        <f t="shared" si="574"/>
        <v>0.65825994460705362</v>
      </c>
      <c r="CD61" s="80">
        <f t="shared" si="574"/>
        <v>0.52002536065401173</v>
      </c>
      <c r="CE61" s="80">
        <f t="shared" si="574"/>
        <v>0.58702458951088587</v>
      </c>
      <c r="CF61" s="80">
        <f t="shared" si="574"/>
        <v>0.61329806072523463</v>
      </c>
      <c r="CG61" s="80">
        <f t="shared" si="574"/>
        <v>0.52182125344672836</v>
      </c>
      <c r="CH61" s="80">
        <f t="shared" si="574"/>
        <v>0.5667944961327035</v>
      </c>
      <c r="CI61" s="80">
        <f t="shared" si="574"/>
        <v>0.59822773669525009</v>
      </c>
      <c r="CJ61" s="80">
        <f t="shared" si="574"/>
        <v>0.62309886926515301</v>
      </c>
      <c r="CK61" s="80">
        <f t="shared" si="574"/>
        <v>0.53714900015168765</v>
      </c>
      <c r="CL61" s="80">
        <f t="shared" si="574"/>
        <v>0.59614033558883772</v>
      </c>
      <c r="CM61" s="80">
        <f t="shared" si="574"/>
        <v>0.61542322951183903</v>
      </c>
      <c r="CN61" s="80">
        <f t="shared" si="574"/>
        <v>0.45129301859236209</v>
      </c>
      <c r="CO61" s="81">
        <f t="shared" si="574"/>
        <v>0.58080096613346988</v>
      </c>
    </row>
    <row r="62" spans="1:93" ht="12" customHeight="1" outlineLevel="2">
      <c r="A62" s="35"/>
      <c r="B62" s="63" t="s">
        <v>55</v>
      </c>
      <c r="C62" s="35">
        <f t="shared" ref="C62:C64" si="575">SUM(D62:CN62)</f>
        <v>-1518806.3863636379</v>
      </c>
      <c r="D62" s="82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>
        <f>-'операционные  расходы 1 этап'!B42</f>
        <v>-21697.234090909089</v>
      </c>
      <c r="X62" s="83">
        <f>W62</f>
        <v>-21697.234090909089</v>
      </c>
      <c r="Y62" s="83">
        <f t="shared" ref="Y62:CJ62" si="576">X62</f>
        <v>-21697.234090909089</v>
      </c>
      <c r="Z62" s="83">
        <f t="shared" si="576"/>
        <v>-21697.234090909089</v>
      </c>
      <c r="AA62" s="83">
        <f t="shared" si="576"/>
        <v>-21697.234090909089</v>
      </c>
      <c r="AB62" s="83">
        <f t="shared" si="576"/>
        <v>-21697.234090909089</v>
      </c>
      <c r="AC62" s="83">
        <f t="shared" si="576"/>
        <v>-21697.234090909089</v>
      </c>
      <c r="AD62" s="83">
        <f t="shared" si="576"/>
        <v>-21697.234090909089</v>
      </c>
      <c r="AE62" s="83">
        <f t="shared" si="576"/>
        <v>-21697.234090909089</v>
      </c>
      <c r="AF62" s="83">
        <f t="shared" si="576"/>
        <v>-21697.234090909089</v>
      </c>
      <c r="AG62" s="83">
        <f t="shared" si="576"/>
        <v>-21697.234090909089</v>
      </c>
      <c r="AH62" s="83">
        <f t="shared" si="576"/>
        <v>-21697.234090909089</v>
      </c>
      <c r="AI62" s="83">
        <f t="shared" si="576"/>
        <v>-21697.234090909089</v>
      </c>
      <c r="AJ62" s="83">
        <f t="shared" si="576"/>
        <v>-21697.234090909089</v>
      </c>
      <c r="AK62" s="83">
        <f t="shared" si="576"/>
        <v>-21697.234090909089</v>
      </c>
      <c r="AL62" s="83">
        <f t="shared" si="576"/>
        <v>-21697.234090909089</v>
      </c>
      <c r="AM62" s="83">
        <f t="shared" si="576"/>
        <v>-21697.234090909089</v>
      </c>
      <c r="AN62" s="83">
        <f t="shared" si="576"/>
        <v>-21697.234090909089</v>
      </c>
      <c r="AO62" s="83">
        <f t="shared" si="576"/>
        <v>-21697.234090909089</v>
      </c>
      <c r="AP62" s="83">
        <f t="shared" si="576"/>
        <v>-21697.234090909089</v>
      </c>
      <c r="AQ62" s="83">
        <f t="shared" si="576"/>
        <v>-21697.234090909089</v>
      </c>
      <c r="AR62" s="83">
        <f t="shared" si="576"/>
        <v>-21697.234090909089</v>
      </c>
      <c r="AS62" s="83">
        <f t="shared" si="576"/>
        <v>-21697.234090909089</v>
      </c>
      <c r="AT62" s="83">
        <f t="shared" si="576"/>
        <v>-21697.234090909089</v>
      </c>
      <c r="AU62" s="83">
        <f t="shared" si="576"/>
        <v>-21697.234090909089</v>
      </c>
      <c r="AV62" s="83">
        <f t="shared" si="576"/>
        <v>-21697.234090909089</v>
      </c>
      <c r="AW62" s="83">
        <f t="shared" si="576"/>
        <v>-21697.234090909089</v>
      </c>
      <c r="AX62" s="83">
        <f t="shared" si="576"/>
        <v>-21697.234090909089</v>
      </c>
      <c r="AY62" s="83">
        <f t="shared" si="576"/>
        <v>-21697.234090909089</v>
      </c>
      <c r="AZ62" s="83">
        <f t="shared" si="576"/>
        <v>-21697.234090909089</v>
      </c>
      <c r="BA62" s="83">
        <f t="shared" si="576"/>
        <v>-21697.234090909089</v>
      </c>
      <c r="BB62" s="83">
        <f t="shared" si="576"/>
        <v>-21697.234090909089</v>
      </c>
      <c r="BC62" s="83">
        <f t="shared" si="576"/>
        <v>-21697.234090909089</v>
      </c>
      <c r="BD62" s="83">
        <f t="shared" si="576"/>
        <v>-21697.234090909089</v>
      </c>
      <c r="BE62" s="83">
        <f t="shared" si="576"/>
        <v>-21697.234090909089</v>
      </c>
      <c r="BF62" s="83">
        <f t="shared" si="576"/>
        <v>-21697.234090909089</v>
      </c>
      <c r="BG62" s="83">
        <f t="shared" si="576"/>
        <v>-21697.234090909089</v>
      </c>
      <c r="BH62" s="83">
        <f t="shared" si="576"/>
        <v>-21697.234090909089</v>
      </c>
      <c r="BI62" s="83">
        <f t="shared" si="576"/>
        <v>-21697.234090909089</v>
      </c>
      <c r="BJ62" s="83">
        <f t="shared" si="576"/>
        <v>-21697.234090909089</v>
      </c>
      <c r="BK62" s="83">
        <f t="shared" si="576"/>
        <v>-21697.234090909089</v>
      </c>
      <c r="BL62" s="83">
        <f t="shared" si="576"/>
        <v>-21697.234090909089</v>
      </c>
      <c r="BM62" s="83">
        <f t="shared" si="576"/>
        <v>-21697.234090909089</v>
      </c>
      <c r="BN62" s="83">
        <f t="shared" si="576"/>
        <v>-21697.234090909089</v>
      </c>
      <c r="BO62" s="83">
        <f t="shared" si="576"/>
        <v>-21697.234090909089</v>
      </c>
      <c r="BP62" s="83">
        <f t="shared" si="576"/>
        <v>-21697.234090909089</v>
      </c>
      <c r="BQ62" s="83">
        <f t="shared" si="576"/>
        <v>-21697.234090909089</v>
      </c>
      <c r="BR62" s="83">
        <f t="shared" si="576"/>
        <v>-21697.234090909089</v>
      </c>
      <c r="BS62" s="83">
        <f t="shared" si="576"/>
        <v>-21697.234090909089</v>
      </c>
      <c r="BT62" s="83">
        <f t="shared" si="576"/>
        <v>-21697.234090909089</v>
      </c>
      <c r="BU62" s="83">
        <f t="shared" si="576"/>
        <v>-21697.234090909089</v>
      </c>
      <c r="BV62" s="83">
        <f t="shared" si="576"/>
        <v>-21697.234090909089</v>
      </c>
      <c r="BW62" s="83">
        <f t="shared" si="576"/>
        <v>-21697.234090909089</v>
      </c>
      <c r="BX62" s="83">
        <f t="shared" si="576"/>
        <v>-21697.234090909089</v>
      </c>
      <c r="BY62" s="83">
        <f t="shared" si="576"/>
        <v>-21697.234090909089</v>
      </c>
      <c r="BZ62" s="83">
        <f t="shared" si="576"/>
        <v>-21697.234090909089</v>
      </c>
      <c r="CA62" s="83">
        <f t="shared" si="576"/>
        <v>-21697.234090909089</v>
      </c>
      <c r="CB62" s="83">
        <f t="shared" si="576"/>
        <v>-21697.234090909089</v>
      </c>
      <c r="CC62" s="83">
        <f t="shared" si="576"/>
        <v>-21697.234090909089</v>
      </c>
      <c r="CD62" s="83">
        <f t="shared" si="576"/>
        <v>-21697.234090909089</v>
      </c>
      <c r="CE62" s="83">
        <f t="shared" si="576"/>
        <v>-21697.234090909089</v>
      </c>
      <c r="CF62" s="83">
        <f t="shared" si="576"/>
        <v>-21697.234090909089</v>
      </c>
      <c r="CG62" s="83">
        <f t="shared" si="576"/>
        <v>-21697.234090909089</v>
      </c>
      <c r="CH62" s="83">
        <f t="shared" si="576"/>
        <v>-21697.234090909089</v>
      </c>
      <c r="CI62" s="83">
        <f t="shared" si="576"/>
        <v>-21697.234090909089</v>
      </c>
      <c r="CJ62" s="83">
        <f t="shared" si="576"/>
        <v>-21697.234090909089</v>
      </c>
      <c r="CK62" s="83">
        <f t="shared" ref="CK62:CO62" si="577">CJ62</f>
        <v>-21697.234090909089</v>
      </c>
      <c r="CL62" s="83">
        <f t="shared" si="577"/>
        <v>-21697.234090909089</v>
      </c>
      <c r="CM62" s="83">
        <f t="shared" si="577"/>
        <v>-21697.234090909089</v>
      </c>
      <c r="CN62" s="83">
        <f t="shared" si="577"/>
        <v>-21697.234090909089</v>
      </c>
      <c r="CO62" s="83">
        <f t="shared" si="577"/>
        <v>-21697.234090909089</v>
      </c>
    </row>
    <row r="63" spans="1:93" ht="12" customHeight="1" outlineLevel="2">
      <c r="A63" s="35"/>
      <c r="B63" s="63" t="s">
        <v>162</v>
      </c>
      <c r="C63" s="35">
        <f t="shared" si="575"/>
        <v>-1923705.6546557876</v>
      </c>
      <c r="D63" s="82">
        <f t="shared" ref="D63:CO63" si="578">D165</f>
        <v>0</v>
      </c>
      <c r="E63" s="83">
        <f t="shared" si="578"/>
        <v>0</v>
      </c>
      <c r="F63" s="83">
        <f t="shared" si="578"/>
        <v>0</v>
      </c>
      <c r="G63" s="83">
        <f t="shared" si="578"/>
        <v>0</v>
      </c>
      <c r="H63" s="83">
        <f t="shared" si="578"/>
        <v>0</v>
      </c>
      <c r="I63" s="83">
        <f t="shared" si="578"/>
        <v>0</v>
      </c>
      <c r="J63" s="83">
        <f t="shared" si="578"/>
        <v>0</v>
      </c>
      <c r="K63" s="83">
        <f t="shared" si="578"/>
        <v>0</v>
      </c>
      <c r="L63" s="83">
        <f t="shared" si="578"/>
        <v>0</v>
      </c>
      <c r="M63" s="83">
        <f t="shared" si="578"/>
        <v>0</v>
      </c>
      <c r="N63" s="83">
        <f t="shared" si="578"/>
        <v>-317.3077343749988</v>
      </c>
      <c r="O63" s="83">
        <f t="shared" si="578"/>
        <v>-7063.3892968749979</v>
      </c>
      <c r="P63" s="83">
        <f t="shared" si="578"/>
        <v>-15718.513242187495</v>
      </c>
      <c r="Q63" s="83">
        <f t="shared" si="578"/>
        <v>-24910.67</v>
      </c>
      <c r="R63" s="83">
        <f t="shared" si="578"/>
        <v>-34293.604374999995</v>
      </c>
      <c r="S63" s="83">
        <f t="shared" si="578"/>
        <v>-41578.361249999994</v>
      </c>
      <c r="T63" s="83">
        <f t="shared" si="578"/>
        <v>-50475.834500000004</v>
      </c>
      <c r="U63" s="83">
        <f t="shared" si="578"/>
        <v>-58177.438000000002</v>
      </c>
      <c r="V63" s="83">
        <f t="shared" si="578"/>
        <v>-65444.694374999999</v>
      </c>
      <c r="W63" s="83">
        <f t="shared" si="578"/>
        <v>-71600.872499999998</v>
      </c>
      <c r="X63" s="83">
        <f t="shared" si="578"/>
        <v>-70447.765583100714</v>
      </c>
      <c r="Y63" s="83">
        <f t="shared" si="578"/>
        <v>-68455.422241216729</v>
      </c>
      <c r="Z63" s="83">
        <f t="shared" si="578"/>
        <v>-67987.809338477935</v>
      </c>
      <c r="AA63" s="83">
        <f t="shared" si="578"/>
        <v>-67167.73772924162</v>
      </c>
      <c r="AB63" s="83">
        <f t="shared" si="578"/>
        <v>-65766.148168168656</v>
      </c>
      <c r="AC63" s="83">
        <f t="shared" si="578"/>
        <v>-63881.903289335605</v>
      </c>
      <c r="AD63" s="83">
        <f t="shared" si="578"/>
        <v>-63311.93295785143</v>
      </c>
      <c r="AE63" s="83">
        <f t="shared" si="578"/>
        <v>-62339.08795244887</v>
      </c>
      <c r="AF63" s="83">
        <f t="shared" si="578"/>
        <v>-60719.890556318962</v>
      </c>
      <c r="AG63" s="83">
        <f t="shared" si="578"/>
        <v>-58460.766568099061</v>
      </c>
      <c r="AH63" s="83">
        <f t="shared" si="578"/>
        <v>-57618.64225537295</v>
      </c>
      <c r="AI63" s="83">
        <f t="shared" si="578"/>
        <v>-56062.126031280226</v>
      </c>
      <c r="AJ63" s="83">
        <f t="shared" si="578"/>
        <v>-53870.297158680987</v>
      </c>
      <c r="AK63" s="83">
        <f t="shared" si="578"/>
        <v>-53184.897288893328</v>
      </c>
      <c r="AL63" s="83">
        <f t="shared" si="578"/>
        <v>-51901.279369758282</v>
      </c>
      <c r="AM63" s="83">
        <f t="shared" si="578"/>
        <v>-49957.833422609132</v>
      </c>
      <c r="AN63" s="83">
        <f t="shared" si="578"/>
        <v>-47362.879194243324</v>
      </c>
      <c r="AO63" s="83">
        <f t="shared" si="578"/>
        <v>-46385.197291364188</v>
      </c>
      <c r="AP63" s="83">
        <f t="shared" si="578"/>
        <v>-44471.136772389691</v>
      </c>
      <c r="AQ63" s="83">
        <f t="shared" si="578"/>
        <v>-41918.435554974239</v>
      </c>
      <c r="AR63" s="83">
        <f t="shared" si="578"/>
        <v>-40955.612306044255</v>
      </c>
      <c r="AS63" s="83">
        <f t="shared" si="578"/>
        <v>-39508.393322074939</v>
      </c>
      <c r="AT63" s="83">
        <f t="shared" si="578"/>
        <v>-37175.800214897223</v>
      </c>
      <c r="AU63" s="83">
        <f t="shared" si="578"/>
        <v>-34181.306305023427</v>
      </c>
      <c r="AV63" s="83">
        <f t="shared" si="578"/>
        <v>-32896.784443818207</v>
      </c>
      <c r="AW63" s="83">
        <f t="shared" si="578"/>
        <v>-30781.229124408826</v>
      </c>
      <c r="AX63" s="83">
        <f t="shared" si="578"/>
        <v>-27786.66056153028</v>
      </c>
      <c r="AY63" s="83">
        <f t="shared" si="578"/>
        <v>-26491.028032715309</v>
      </c>
      <c r="AZ63" s="83">
        <f t="shared" si="578"/>
        <v>-24700.513490102094</v>
      </c>
      <c r="BA63" s="83">
        <f t="shared" si="578"/>
        <v>-22136.94736648953</v>
      </c>
      <c r="BB63" s="83">
        <f t="shared" si="578"/>
        <v>-18660.176093225145</v>
      </c>
      <c r="BC63" s="83">
        <f t="shared" si="578"/>
        <v>-17069.810755585833</v>
      </c>
      <c r="BD63" s="83">
        <f t="shared" si="578"/>
        <v>-14687.763655552051</v>
      </c>
      <c r="BE63" s="83">
        <f t="shared" si="578"/>
        <v>-11584.126772309139</v>
      </c>
      <c r="BF63" s="83">
        <f t="shared" si="578"/>
        <v>-9947.5977615408574</v>
      </c>
      <c r="BG63" s="83">
        <f t="shared" si="578"/>
        <v>-7853.8859790815532</v>
      </c>
      <c r="BH63" s="83">
        <f t="shared" si="578"/>
        <v>-5011.113854205817</v>
      </c>
      <c r="BI63" s="83">
        <f t="shared" si="578"/>
        <v>-1425.0306199198976</v>
      </c>
      <c r="BJ63" s="83">
        <f t="shared" si="578"/>
        <v>0</v>
      </c>
      <c r="BK63" s="83">
        <f t="shared" si="578"/>
        <v>0</v>
      </c>
      <c r="BL63" s="83">
        <f t="shared" si="578"/>
        <v>0</v>
      </c>
      <c r="BM63" s="83">
        <f t="shared" si="578"/>
        <v>0</v>
      </c>
      <c r="BN63" s="83">
        <f t="shared" si="578"/>
        <v>0</v>
      </c>
      <c r="BO63" s="83">
        <f t="shared" si="578"/>
        <v>0</v>
      </c>
      <c r="BP63" s="83">
        <f t="shared" si="578"/>
        <v>0</v>
      </c>
      <c r="BQ63" s="83">
        <f t="shared" si="578"/>
        <v>0</v>
      </c>
      <c r="BR63" s="83">
        <f t="shared" si="578"/>
        <v>0</v>
      </c>
      <c r="BS63" s="83">
        <f t="shared" si="578"/>
        <v>0</v>
      </c>
      <c r="BT63" s="83">
        <f t="shared" si="578"/>
        <v>0</v>
      </c>
      <c r="BU63" s="83">
        <f t="shared" si="578"/>
        <v>0</v>
      </c>
      <c r="BV63" s="83">
        <f t="shared" si="578"/>
        <v>0</v>
      </c>
      <c r="BW63" s="83">
        <f t="shared" si="578"/>
        <v>0</v>
      </c>
      <c r="BX63" s="83">
        <f t="shared" si="578"/>
        <v>0</v>
      </c>
      <c r="BY63" s="83">
        <f t="shared" si="578"/>
        <v>0</v>
      </c>
      <c r="BZ63" s="83">
        <f t="shared" si="578"/>
        <v>0</v>
      </c>
      <c r="CA63" s="83">
        <f t="shared" si="578"/>
        <v>0</v>
      </c>
      <c r="CB63" s="83">
        <f t="shared" si="578"/>
        <v>0</v>
      </c>
      <c r="CC63" s="83">
        <f t="shared" si="578"/>
        <v>0</v>
      </c>
      <c r="CD63" s="83">
        <f t="shared" si="578"/>
        <v>0</v>
      </c>
      <c r="CE63" s="83">
        <f t="shared" si="578"/>
        <v>0</v>
      </c>
      <c r="CF63" s="83">
        <f t="shared" si="578"/>
        <v>0</v>
      </c>
      <c r="CG63" s="83">
        <f t="shared" si="578"/>
        <v>0</v>
      </c>
      <c r="CH63" s="83">
        <f t="shared" si="578"/>
        <v>0</v>
      </c>
      <c r="CI63" s="83">
        <f t="shared" si="578"/>
        <v>0</v>
      </c>
      <c r="CJ63" s="83">
        <f t="shared" si="578"/>
        <v>0</v>
      </c>
      <c r="CK63" s="83">
        <f t="shared" si="578"/>
        <v>0</v>
      </c>
      <c r="CL63" s="83">
        <f t="shared" si="578"/>
        <v>0</v>
      </c>
      <c r="CM63" s="83">
        <f t="shared" si="578"/>
        <v>0</v>
      </c>
      <c r="CN63" s="83">
        <f t="shared" si="578"/>
        <v>0</v>
      </c>
      <c r="CO63" s="84">
        <f t="shared" si="578"/>
        <v>0</v>
      </c>
    </row>
    <row r="64" spans="1:93" ht="12.75" customHeight="1">
      <c r="A64" s="37"/>
      <c r="B64" s="70" t="s">
        <v>163</v>
      </c>
      <c r="C64" s="70">
        <f t="shared" si="575"/>
        <v>11102755.440708857</v>
      </c>
      <c r="D64" s="71">
        <f t="shared" ref="D64:CO64" si="579">SUM(D60,D62:D63)</f>
        <v>0</v>
      </c>
      <c r="E64" s="70">
        <f t="shared" si="579"/>
        <v>0</v>
      </c>
      <c r="F64" s="70">
        <f t="shared" si="579"/>
        <v>0</v>
      </c>
      <c r="G64" s="70">
        <f t="shared" si="579"/>
        <v>0</v>
      </c>
      <c r="H64" s="70">
        <f t="shared" si="579"/>
        <v>-700</v>
      </c>
      <c r="I64" s="70">
        <f t="shared" si="579"/>
        <v>-700</v>
      </c>
      <c r="J64" s="70">
        <f t="shared" si="579"/>
        <v>-700</v>
      </c>
      <c r="K64" s="70">
        <f t="shared" si="579"/>
        <v>-700</v>
      </c>
      <c r="L64" s="70">
        <f t="shared" si="579"/>
        <v>-700</v>
      </c>
      <c r="M64" s="70">
        <f t="shared" si="579"/>
        <v>-700</v>
      </c>
      <c r="N64" s="70">
        <f t="shared" si="579"/>
        <v>-1017.3077343749987</v>
      </c>
      <c r="O64" s="70">
        <f t="shared" si="579"/>
        <v>-7763.3892968749979</v>
      </c>
      <c r="P64" s="70">
        <f t="shared" si="579"/>
        <v>-16418.513242187495</v>
      </c>
      <c r="Q64" s="70">
        <f t="shared" si="579"/>
        <v>-25610.67</v>
      </c>
      <c r="R64" s="70">
        <f t="shared" si="579"/>
        <v>-34993.604374999995</v>
      </c>
      <c r="S64" s="70">
        <f t="shared" si="579"/>
        <v>-42278.361249999994</v>
      </c>
      <c r="T64" s="70">
        <f t="shared" si="579"/>
        <v>-51175.834500000004</v>
      </c>
      <c r="U64" s="70">
        <f t="shared" si="579"/>
        <v>-58877.438000000002</v>
      </c>
      <c r="V64" s="70">
        <f t="shared" si="579"/>
        <v>-66144.694374999992</v>
      </c>
      <c r="W64" s="70">
        <f t="shared" si="579"/>
        <v>79686.847639058775</v>
      </c>
      <c r="X64" s="70">
        <f t="shared" si="579"/>
        <v>124266.8830757579</v>
      </c>
      <c r="Y64" s="70">
        <f t="shared" si="579"/>
        <v>13153.868698911363</v>
      </c>
      <c r="Z64" s="70">
        <f t="shared" si="579"/>
        <v>46882.672671407418</v>
      </c>
      <c r="AA64" s="70">
        <f t="shared" si="579"/>
        <v>91181.519274342994</v>
      </c>
      <c r="AB64" s="70">
        <f t="shared" si="579"/>
        <v>138002.23083619872</v>
      </c>
      <c r="AC64" s="70">
        <f t="shared" si="579"/>
        <v>21533.858837263251</v>
      </c>
      <c r="AD64" s="70">
        <f t="shared" si="579"/>
        <v>66771.471355558955</v>
      </c>
      <c r="AE64" s="70">
        <f t="shared" si="579"/>
        <v>114901.00023542249</v>
      </c>
      <c r="AF64" s="70">
        <f t="shared" si="579"/>
        <v>165651.93881156179</v>
      </c>
      <c r="AG64" s="70">
        <f t="shared" si="579"/>
        <v>39722.597044241731</v>
      </c>
      <c r="AH64" s="70">
        <f t="shared" si="579"/>
        <v>111903.38722546617</v>
      </c>
      <c r="AI64" s="70">
        <f t="shared" si="579"/>
        <v>159793.84130693041</v>
      </c>
      <c r="AJ64" s="70">
        <f t="shared" si="579"/>
        <v>26676.830746155509</v>
      </c>
      <c r="AK64" s="70">
        <f t="shared" si="579"/>
        <v>87605.292460272234</v>
      </c>
      <c r="AL64" s="70">
        <f t="shared" si="579"/>
        <v>137553.96873400826</v>
      </c>
      <c r="AM64" s="70">
        <f t="shared" si="579"/>
        <v>189648.99700858517</v>
      </c>
      <c r="AN64" s="70">
        <f t="shared" si="579"/>
        <v>46055.540896330924</v>
      </c>
      <c r="AO64" s="70">
        <f t="shared" si="579"/>
        <v>135934.52279796178</v>
      </c>
      <c r="AP64" s="70">
        <f t="shared" si="579"/>
        <v>185633.52261263091</v>
      </c>
      <c r="AQ64" s="70">
        <f t="shared" si="579"/>
        <v>44590.560561882892</v>
      </c>
      <c r="AR64" s="70">
        <f t="shared" si="579"/>
        <v>96638.551385190105</v>
      </c>
      <c r="AS64" s="70">
        <f t="shared" si="579"/>
        <v>163866.1289314031</v>
      </c>
      <c r="AT64" s="70">
        <f t="shared" si="579"/>
        <v>217975.14049982396</v>
      </c>
      <c r="AU64" s="70">
        <f t="shared" si="579"/>
        <v>65861.553939810576</v>
      </c>
      <c r="AV64" s="70">
        <f t="shared" si="579"/>
        <v>147713.8910694285</v>
      </c>
      <c r="AW64" s="70">
        <f t="shared" si="579"/>
        <v>215406.34371496818</v>
      </c>
      <c r="AX64" s="70">
        <f t="shared" si="579"/>
        <v>66724.822959307916</v>
      </c>
      <c r="AY64" s="70">
        <f t="shared" si="579"/>
        <v>119956.32069241177</v>
      </c>
      <c r="AZ64" s="70">
        <f t="shared" si="579"/>
        <v>177398.73450859031</v>
      </c>
      <c r="BA64" s="70">
        <f t="shared" si="579"/>
        <v>250486.94804668418</v>
      </c>
      <c r="BB64" s="70">
        <f t="shared" si="579"/>
        <v>90180.797039968398</v>
      </c>
      <c r="BC64" s="70">
        <f t="shared" si="579"/>
        <v>174565.83096723401</v>
      </c>
      <c r="BD64" s="70">
        <f t="shared" si="579"/>
        <v>231715.26918207461</v>
      </c>
      <c r="BE64" s="70">
        <f t="shared" si="579"/>
        <v>92512.952123779323</v>
      </c>
      <c r="BF64" s="70">
        <f t="shared" si="579"/>
        <v>147742.96716783897</v>
      </c>
      <c r="BG64" s="70">
        <f t="shared" si="579"/>
        <v>206366.7602172652</v>
      </c>
      <c r="BH64" s="70">
        <f t="shared" si="579"/>
        <v>268467.64349583496</v>
      </c>
      <c r="BI64" s="70">
        <f t="shared" si="579"/>
        <v>117869.85658245804</v>
      </c>
      <c r="BJ64" s="70">
        <f t="shared" si="579"/>
        <v>205269.3954134298</v>
      </c>
      <c r="BK64" s="70">
        <f t="shared" si="579"/>
        <v>260762.72380922703</v>
      </c>
      <c r="BL64" s="70">
        <f t="shared" si="579"/>
        <v>95809.065107524802</v>
      </c>
      <c r="BM64" s="70">
        <f t="shared" si="579"/>
        <v>170746.39501235582</v>
      </c>
      <c r="BN64" s="70">
        <f t="shared" si="579"/>
        <v>229121.3290889292</v>
      </c>
      <c r="BO64" s="70">
        <f t="shared" si="579"/>
        <v>289216.49325586105</v>
      </c>
      <c r="BP64" s="70">
        <f t="shared" si="579"/>
        <v>111014.40218457374</v>
      </c>
      <c r="BQ64" s="70">
        <f t="shared" si="579"/>
        <v>220871.57526578961</v>
      </c>
      <c r="BR64" s="70">
        <f t="shared" si="579"/>
        <v>278135.07350966445</v>
      </c>
      <c r="BS64" s="70">
        <f t="shared" si="579"/>
        <v>102688.78804524864</v>
      </c>
      <c r="BT64" s="70">
        <f t="shared" si="579"/>
        <v>164248.50565826768</v>
      </c>
      <c r="BU64" s="70">
        <f t="shared" si="579"/>
        <v>246091.88428250447</v>
      </c>
      <c r="BV64" s="70">
        <f t="shared" si="579"/>
        <v>308163.32250220171</v>
      </c>
      <c r="BW64" s="70">
        <f t="shared" si="579"/>
        <v>118681.13720238071</v>
      </c>
      <c r="BX64" s="70">
        <f t="shared" si="579"/>
        <v>216050.46621125119</v>
      </c>
      <c r="BY64" s="70">
        <f t="shared" si="579"/>
        <v>297740.88351458887</v>
      </c>
      <c r="BZ64" s="70">
        <f t="shared" si="579"/>
        <v>112468.61265830869</v>
      </c>
      <c r="CA64" s="70">
        <f t="shared" si="579"/>
        <v>174605.0283373016</v>
      </c>
      <c r="CB64" s="70">
        <f t="shared" si="579"/>
        <v>241660.83803002365</v>
      </c>
      <c r="CC64" s="70">
        <f t="shared" si="579"/>
        <v>329464.340926581</v>
      </c>
      <c r="CD64" s="70">
        <f t="shared" si="579"/>
        <v>129427.92893191001</v>
      </c>
      <c r="CE64" s="70">
        <f t="shared" si="579"/>
        <v>229026.5735298536</v>
      </c>
      <c r="CF64" s="70">
        <f t="shared" si="579"/>
        <v>294977.78694249532</v>
      </c>
      <c r="CG64" s="70">
        <f t="shared" si="579"/>
        <v>124188.38135881281</v>
      </c>
      <c r="CH64" s="70">
        <f t="shared" si="579"/>
        <v>188323.73176512006</v>
      </c>
      <c r="CI64" s="70">
        <f t="shared" si="579"/>
        <v>255948.42488207997</v>
      </c>
      <c r="CJ64" s="70">
        <f t="shared" si="579"/>
        <v>327327.19192980917</v>
      </c>
      <c r="CK64" s="70">
        <f t="shared" si="579"/>
        <v>142209.32350282956</v>
      </c>
      <c r="CL64" s="70">
        <f t="shared" si="579"/>
        <v>245650.85721592014</v>
      </c>
      <c r="CM64" s="70">
        <f t="shared" si="579"/>
        <v>311963.7302298164</v>
      </c>
      <c r="CN64" s="70">
        <f t="shared" si="579"/>
        <v>110779.19782361093</v>
      </c>
      <c r="CO64" s="72">
        <f t="shared" si="579"/>
        <v>204274.25953727242</v>
      </c>
    </row>
    <row r="65" spans="1:93" ht="12.75" customHeight="1">
      <c r="A65" s="35"/>
      <c r="B65" s="63" t="s">
        <v>164</v>
      </c>
      <c r="C65" s="74">
        <f>SUM(X65:CN65)</f>
        <v>-2074719.5892305851</v>
      </c>
      <c r="D65" s="60">
        <f t="shared" ref="D65:CO65" si="580">D139</f>
        <v>0</v>
      </c>
      <c r="E65" s="35">
        <f t="shared" si="580"/>
        <v>0</v>
      </c>
      <c r="F65" s="35">
        <f t="shared" si="580"/>
        <v>0</v>
      </c>
      <c r="G65" s="35">
        <f t="shared" si="580"/>
        <v>0</v>
      </c>
      <c r="H65" s="35">
        <f t="shared" si="580"/>
        <v>0</v>
      </c>
      <c r="I65" s="35">
        <f t="shared" si="580"/>
        <v>0</v>
      </c>
      <c r="J65" s="35">
        <f t="shared" si="580"/>
        <v>0</v>
      </c>
      <c r="K65" s="35">
        <f t="shared" si="580"/>
        <v>0</v>
      </c>
      <c r="L65" s="35">
        <f t="shared" si="580"/>
        <v>0</v>
      </c>
      <c r="M65" s="35">
        <f t="shared" si="580"/>
        <v>0</v>
      </c>
      <c r="N65" s="35">
        <f t="shared" si="580"/>
        <v>0</v>
      </c>
      <c r="O65" s="35">
        <f t="shared" si="580"/>
        <v>0</v>
      </c>
      <c r="P65" s="35">
        <f t="shared" si="580"/>
        <v>0</v>
      </c>
      <c r="Q65" s="35">
        <f t="shared" si="580"/>
        <v>0</v>
      </c>
      <c r="R65" s="35">
        <f t="shared" si="580"/>
        <v>0</v>
      </c>
      <c r="S65" s="35">
        <f t="shared" si="580"/>
        <v>0</v>
      </c>
      <c r="T65" s="35">
        <f t="shared" si="580"/>
        <v>0</v>
      </c>
      <c r="U65" s="35">
        <f t="shared" si="580"/>
        <v>0</v>
      </c>
      <c r="V65" s="35">
        <f t="shared" si="580"/>
        <v>0</v>
      </c>
      <c r="W65" s="35">
        <f t="shared" si="580"/>
        <v>0</v>
      </c>
      <c r="X65" s="35">
        <f t="shared" si="580"/>
        <v>0</v>
      </c>
      <c r="Y65" s="35">
        <f t="shared" si="580"/>
        <v>0</v>
      </c>
      <c r="Z65" s="35">
        <f t="shared" si="580"/>
        <v>0</v>
      </c>
      <c r="AA65" s="35">
        <f t="shared" si="580"/>
        <v>-7237.2566808363508</v>
      </c>
      <c r="AB65" s="35">
        <f t="shared" si="580"/>
        <v>-21390.345779610801</v>
      </c>
      <c r="AC65" s="35">
        <f t="shared" si="580"/>
        <v>-3337.7481197758038</v>
      </c>
      <c r="AD65" s="35">
        <f t="shared" si="580"/>
        <v>-10349.578060111638</v>
      </c>
      <c r="AE65" s="35">
        <f t="shared" si="580"/>
        <v>-17809.655036490483</v>
      </c>
      <c r="AF65" s="35">
        <f t="shared" si="580"/>
        <v>-25676.050515792078</v>
      </c>
      <c r="AG65" s="35">
        <f t="shared" si="580"/>
        <v>-6157.0025418574687</v>
      </c>
      <c r="AH65" s="35">
        <f t="shared" si="580"/>
        <v>-17345.025019947258</v>
      </c>
      <c r="AI65" s="35">
        <f t="shared" si="580"/>
        <v>-24768.045402574215</v>
      </c>
      <c r="AJ65" s="35">
        <f t="shared" si="580"/>
        <v>-4134.9087656541042</v>
      </c>
      <c r="AK65" s="35">
        <f t="shared" si="580"/>
        <v>-13578.820331342196</v>
      </c>
      <c r="AL65" s="35">
        <f t="shared" si="580"/>
        <v>-21320.865153771279</v>
      </c>
      <c r="AM65" s="35">
        <f t="shared" si="580"/>
        <v>-29395.5945363307</v>
      </c>
      <c r="AN65" s="35">
        <f t="shared" si="580"/>
        <v>-7138.6088389312936</v>
      </c>
      <c r="AO65" s="35">
        <f t="shared" si="580"/>
        <v>-21069.851033684074</v>
      </c>
      <c r="AP65" s="35">
        <f t="shared" si="580"/>
        <v>-28773.19600495779</v>
      </c>
      <c r="AQ65" s="35">
        <f t="shared" si="580"/>
        <v>-6911.5368870918483</v>
      </c>
      <c r="AR65" s="35">
        <f t="shared" si="580"/>
        <v>-14978.975464704467</v>
      </c>
      <c r="AS65" s="35">
        <f t="shared" si="580"/>
        <v>-25399.249984367481</v>
      </c>
      <c r="AT65" s="35">
        <f t="shared" si="580"/>
        <v>-33786.146777472713</v>
      </c>
      <c r="AU65" s="35">
        <f t="shared" si="580"/>
        <v>-10208.540860670639</v>
      </c>
      <c r="AV65" s="35">
        <f t="shared" si="580"/>
        <v>-22895.653115761419</v>
      </c>
      <c r="AW65" s="35">
        <f t="shared" si="580"/>
        <v>-33387.983275820072</v>
      </c>
      <c r="AX65" s="35">
        <f t="shared" si="580"/>
        <v>-10342.347558692727</v>
      </c>
      <c r="AY65" s="35">
        <f t="shared" si="580"/>
        <v>-18593.229707323822</v>
      </c>
      <c r="AZ65" s="35">
        <f t="shared" si="580"/>
        <v>-27496.803848831496</v>
      </c>
      <c r="BA65" s="35">
        <f t="shared" si="580"/>
        <v>-38825.476947236049</v>
      </c>
      <c r="BB65" s="35">
        <f t="shared" si="580"/>
        <v>-18036.15940799368</v>
      </c>
      <c r="BC65" s="35">
        <f t="shared" si="580"/>
        <v>-34913.166193446807</v>
      </c>
      <c r="BD65" s="35">
        <f t="shared" si="580"/>
        <v>-46343.053836414925</v>
      </c>
      <c r="BE65" s="35">
        <f t="shared" si="580"/>
        <v>-18502.590424755865</v>
      </c>
      <c r="BF65" s="35">
        <f t="shared" si="580"/>
        <v>-29548.593433567796</v>
      </c>
      <c r="BG65" s="35">
        <f t="shared" si="580"/>
        <v>-41273.352043453044</v>
      </c>
      <c r="BH65" s="35">
        <f t="shared" si="580"/>
        <v>-53693.528699166993</v>
      </c>
      <c r="BI65" s="35">
        <f t="shared" si="580"/>
        <v>-23573.97131649161</v>
      </c>
      <c r="BJ65" s="35">
        <f t="shared" si="580"/>
        <v>-41053.879082685962</v>
      </c>
      <c r="BK65" s="35">
        <f t="shared" si="580"/>
        <v>-52152.544761845405</v>
      </c>
      <c r="BL65" s="35">
        <f t="shared" si="580"/>
        <v>-19161.81302150496</v>
      </c>
      <c r="BM65" s="35">
        <f t="shared" si="580"/>
        <v>-34149.279002471165</v>
      </c>
      <c r="BN65" s="35">
        <f t="shared" si="580"/>
        <v>-45824.265817785839</v>
      </c>
      <c r="BO65" s="35">
        <f t="shared" si="580"/>
        <v>-57843.298651172212</v>
      </c>
      <c r="BP65" s="35">
        <f t="shared" si="580"/>
        <v>-22202.880436914751</v>
      </c>
      <c r="BQ65" s="35">
        <f t="shared" si="580"/>
        <v>-44174.315053157923</v>
      </c>
      <c r="BR65" s="35">
        <f t="shared" si="580"/>
        <v>-55627.014701932894</v>
      </c>
      <c r="BS65" s="35">
        <f t="shared" si="580"/>
        <v>-20537.757609049731</v>
      </c>
      <c r="BT65" s="35">
        <f t="shared" si="580"/>
        <v>-32849.701131653535</v>
      </c>
      <c r="BU65" s="35">
        <f t="shared" si="580"/>
        <v>-49218.376856500894</v>
      </c>
      <c r="BV65" s="35">
        <f t="shared" si="580"/>
        <v>-61632.664500440347</v>
      </c>
      <c r="BW65" s="35">
        <f t="shared" si="580"/>
        <v>-23736.227440476141</v>
      </c>
      <c r="BX65" s="35">
        <f t="shared" si="580"/>
        <v>-43210.093242250237</v>
      </c>
      <c r="BY65" s="35">
        <f t="shared" si="580"/>
        <v>-59548.176702917779</v>
      </c>
      <c r="BZ65" s="35">
        <f t="shared" si="580"/>
        <v>-22493.722531661741</v>
      </c>
      <c r="CA65" s="35">
        <f t="shared" si="580"/>
        <v>-34921.005667460318</v>
      </c>
      <c r="CB65" s="35">
        <f t="shared" si="580"/>
        <v>-48332.167606004732</v>
      </c>
      <c r="CC65" s="35">
        <f t="shared" si="580"/>
        <v>-65892.868185316198</v>
      </c>
      <c r="CD65" s="35">
        <f t="shared" si="580"/>
        <v>-25885.585786382002</v>
      </c>
      <c r="CE65" s="35">
        <f t="shared" si="580"/>
        <v>-45805.314705970726</v>
      </c>
      <c r="CF65" s="35">
        <f t="shared" si="580"/>
        <v>-58995.557388499066</v>
      </c>
      <c r="CG65" s="35">
        <f t="shared" si="580"/>
        <v>-24837.676271762564</v>
      </c>
      <c r="CH65" s="35">
        <f t="shared" si="580"/>
        <v>-37664.746353024013</v>
      </c>
      <c r="CI65" s="35">
        <f t="shared" si="580"/>
        <v>-51189.684976416</v>
      </c>
      <c r="CJ65" s="35">
        <f t="shared" si="580"/>
        <v>-65465.438385961839</v>
      </c>
      <c r="CK65" s="35">
        <f t="shared" si="580"/>
        <v>-28441.864700565915</v>
      </c>
      <c r="CL65" s="35">
        <f t="shared" si="580"/>
        <v>-49130.17144318403</v>
      </c>
      <c r="CM65" s="35">
        <f t="shared" si="580"/>
        <v>-62392.746045963286</v>
      </c>
      <c r="CN65" s="35">
        <f t="shared" si="580"/>
        <v>-22155.839564722188</v>
      </c>
      <c r="CO65" s="5">
        <f t="shared" si="580"/>
        <v>0</v>
      </c>
    </row>
    <row r="66" spans="1:93" ht="12.75" customHeight="1">
      <c r="A66" s="37"/>
      <c r="B66" s="70" t="s">
        <v>165</v>
      </c>
      <c r="C66" s="70">
        <f>SUM(D66:CN66)</f>
        <v>9028035.8514782693</v>
      </c>
      <c r="D66" s="71">
        <f t="shared" ref="D66:CO66" si="581">SUM(D64:D65)</f>
        <v>0</v>
      </c>
      <c r="E66" s="70">
        <f t="shared" si="581"/>
        <v>0</v>
      </c>
      <c r="F66" s="70">
        <f t="shared" si="581"/>
        <v>0</v>
      </c>
      <c r="G66" s="70">
        <f t="shared" si="581"/>
        <v>0</v>
      </c>
      <c r="H66" s="70">
        <f t="shared" si="581"/>
        <v>-700</v>
      </c>
      <c r="I66" s="70">
        <f t="shared" si="581"/>
        <v>-700</v>
      </c>
      <c r="J66" s="70">
        <f t="shared" si="581"/>
        <v>-700</v>
      </c>
      <c r="K66" s="70">
        <f t="shared" si="581"/>
        <v>-700</v>
      </c>
      <c r="L66" s="70">
        <f t="shared" si="581"/>
        <v>-700</v>
      </c>
      <c r="M66" s="70">
        <f t="shared" si="581"/>
        <v>-700</v>
      </c>
      <c r="N66" s="70">
        <f t="shared" si="581"/>
        <v>-1017.3077343749987</v>
      </c>
      <c r="O66" s="70">
        <f t="shared" si="581"/>
        <v>-7763.3892968749979</v>
      </c>
      <c r="P66" s="70">
        <f t="shared" si="581"/>
        <v>-16418.513242187495</v>
      </c>
      <c r="Q66" s="70">
        <f t="shared" si="581"/>
        <v>-25610.67</v>
      </c>
      <c r="R66" s="70">
        <f t="shared" si="581"/>
        <v>-34993.604374999995</v>
      </c>
      <c r="S66" s="70">
        <f t="shared" si="581"/>
        <v>-42278.361249999994</v>
      </c>
      <c r="T66" s="70">
        <f t="shared" si="581"/>
        <v>-51175.834500000004</v>
      </c>
      <c r="U66" s="70">
        <f t="shared" si="581"/>
        <v>-58877.438000000002</v>
      </c>
      <c r="V66" s="70">
        <f t="shared" si="581"/>
        <v>-66144.694374999992</v>
      </c>
      <c r="W66" s="70">
        <f t="shared" si="581"/>
        <v>79686.847639058775</v>
      </c>
      <c r="X66" s="70">
        <f t="shared" si="581"/>
        <v>124266.8830757579</v>
      </c>
      <c r="Y66" s="70">
        <f t="shared" si="581"/>
        <v>13153.868698911363</v>
      </c>
      <c r="Z66" s="70">
        <f t="shared" si="581"/>
        <v>46882.672671407418</v>
      </c>
      <c r="AA66" s="70">
        <f t="shared" si="581"/>
        <v>83944.262593506646</v>
      </c>
      <c r="AB66" s="70">
        <f t="shared" si="581"/>
        <v>116611.88505658793</v>
      </c>
      <c r="AC66" s="70">
        <f t="shared" si="581"/>
        <v>18196.110717487449</v>
      </c>
      <c r="AD66" s="70">
        <f t="shared" si="581"/>
        <v>56421.893295447313</v>
      </c>
      <c r="AE66" s="70">
        <f t="shared" si="581"/>
        <v>97091.345198932002</v>
      </c>
      <c r="AF66" s="70">
        <f t="shared" si="581"/>
        <v>139975.88829576972</v>
      </c>
      <c r="AG66" s="70">
        <f t="shared" si="581"/>
        <v>33565.594502384265</v>
      </c>
      <c r="AH66" s="70">
        <f t="shared" si="581"/>
        <v>94558.362205518904</v>
      </c>
      <c r="AI66" s="70">
        <f t="shared" si="581"/>
        <v>135025.7959043562</v>
      </c>
      <c r="AJ66" s="70">
        <f t="shared" si="581"/>
        <v>22541.921980501404</v>
      </c>
      <c r="AK66" s="70">
        <f t="shared" si="581"/>
        <v>74026.472128930036</v>
      </c>
      <c r="AL66" s="70">
        <f t="shared" si="581"/>
        <v>116233.10358023699</v>
      </c>
      <c r="AM66" s="70">
        <f t="shared" si="581"/>
        <v>160253.40247225447</v>
      </c>
      <c r="AN66" s="70">
        <f t="shared" si="581"/>
        <v>38916.93205739963</v>
      </c>
      <c r="AO66" s="70">
        <f t="shared" si="581"/>
        <v>114864.67176427771</v>
      </c>
      <c r="AP66" s="70">
        <f t="shared" si="581"/>
        <v>156860.32660767314</v>
      </c>
      <c r="AQ66" s="70">
        <f t="shared" si="581"/>
        <v>37679.023674791046</v>
      </c>
      <c r="AR66" s="70">
        <f t="shared" si="581"/>
        <v>81659.575920485644</v>
      </c>
      <c r="AS66" s="70">
        <f t="shared" si="581"/>
        <v>138466.87894703561</v>
      </c>
      <c r="AT66" s="70">
        <f t="shared" si="581"/>
        <v>184188.99372235124</v>
      </c>
      <c r="AU66" s="70">
        <f t="shared" si="581"/>
        <v>55653.013079139935</v>
      </c>
      <c r="AV66" s="70">
        <f t="shared" si="581"/>
        <v>124818.23795366708</v>
      </c>
      <c r="AW66" s="70">
        <f t="shared" si="581"/>
        <v>182018.36043914812</v>
      </c>
      <c r="AX66" s="70">
        <f t="shared" si="581"/>
        <v>56382.475400615192</v>
      </c>
      <c r="AY66" s="70">
        <f t="shared" si="581"/>
        <v>101363.09098508794</v>
      </c>
      <c r="AZ66" s="70">
        <f t="shared" si="581"/>
        <v>149901.9306597588</v>
      </c>
      <c r="BA66" s="70">
        <f t="shared" si="581"/>
        <v>211661.47109944813</v>
      </c>
      <c r="BB66" s="70">
        <f t="shared" si="581"/>
        <v>72144.637631974721</v>
      </c>
      <c r="BC66" s="70">
        <f t="shared" si="581"/>
        <v>139652.6647737872</v>
      </c>
      <c r="BD66" s="70">
        <f t="shared" si="581"/>
        <v>185372.2153456597</v>
      </c>
      <c r="BE66" s="70">
        <f t="shared" si="581"/>
        <v>74010.361699023459</v>
      </c>
      <c r="BF66" s="70">
        <f t="shared" si="581"/>
        <v>118194.37373427118</v>
      </c>
      <c r="BG66" s="70">
        <f t="shared" si="581"/>
        <v>165093.40817381215</v>
      </c>
      <c r="BH66" s="70">
        <f t="shared" si="581"/>
        <v>214774.11479666797</v>
      </c>
      <c r="BI66" s="70">
        <f t="shared" si="581"/>
        <v>94295.885265966441</v>
      </c>
      <c r="BJ66" s="70">
        <f t="shared" si="581"/>
        <v>164215.51633074385</v>
      </c>
      <c r="BK66" s="70">
        <f t="shared" si="581"/>
        <v>208610.17904738162</v>
      </c>
      <c r="BL66" s="70">
        <f t="shared" si="581"/>
        <v>76647.252086019842</v>
      </c>
      <c r="BM66" s="70">
        <f t="shared" si="581"/>
        <v>136597.11600988466</v>
      </c>
      <c r="BN66" s="70">
        <f t="shared" si="581"/>
        <v>183297.06327114336</v>
      </c>
      <c r="BO66" s="70">
        <f t="shared" si="581"/>
        <v>231373.19460468885</v>
      </c>
      <c r="BP66" s="70">
        <f t="shared" si="581"/>
        <v>88811.52174765899</v>
      </c>
      <c r="BQ66" s="70">
        <f t="shared" si="581"/>
        <v>176697.26021263169</v>
      </c>
      <c r="BR66" s="70">
        <f t="shared" si="581"/>
        <v>222508.05880773155</v>
      </c>
      <c r="BS66" s="70">
        <f t="shared" si="581"/>
        <v>82151.030436198911</v>
      </c>
      <c r="BT66" s="70">
        <f t="shared" si="581"/>
        <v>131398.80452661414</v>
      </c>
      <c r="BU66" s="70">
        <f t="shared" si="581"/>
        <v>196873.50742600358</v>
      </c>
      <c r="BV66" s="70">
        <f t="shared" si="581"/>
        <v>246530.65800176136</v>
      </c>
      <c r="BW66" s="70">
        <f t="shared" si="581"/>
        <v>94944.909761904564</v>
      </c>
      <c r="BX66" s="70">
        <f t="shared" si="581"/>
        <v>172840.37296900095</v>
      </c>
      <c r="BY66" s="70">
        <f t="shared" si="581"/>
        <v>238192.70681167109</v>
      </c>
      <c r="BZ66" s="70">
        <f t="shared" si="581"/>
        <v>89974.890126646947</v>
      </c>
      <c r="CA66" s="70">
        <f t="shared" si="581"/>
        <v>139684.02266984127</v>
      </c>
      <c r="CB66" s="70">
        <f t="shared" si="581"/>
        <v>193328.67042401893</v>
      </c>
      <c r="CC66" s="70">
        <f t="shared" si="581"/>
        <v>263571.47274126479</v>
      </c>
      <c r="CD66" s="70">
        <f t="shared" si="581"/>
        <v>103542.34314552801</v>
      </c>
      <c r="CE66" s="70">
        <f t="shared" si="581"/>
        <v>183221.25882388288</v>
      </c>
      <c r="CF66" s="70">
        <f t="shared" si="581"/>
        <v>235982.22955399627</v>
      </c>
      <c r="CG66" s="70">
        <f t="shared" si="581"/>
        <v>99350.705087050243</v>
      </c>
      <c r="CH66" s="70">
        <f t="shared" si="581"/>
        <v>150658.98541209605</v>
      </c>
      <c r="CI66" s="70">
        <f t="shared" si="581"/>
        <v>204758.73990566397</v>
      </c>
      <c r="CJ66" s="70">
        <f t="shared" si="581"/>
        <v>261861.75354384733</v>
      </c>
      <c r="CK66" s="70">
        <f t="shared" si="581"/>
        <v>113767.45880226365</v>
      </c>
      <c r="CL66" s="70">
        <f t="shared" si="581"/>
        <v>196520.68577273612</v>
      </c>
      <c r="CM66" s="70">
        <f t="shared" si="581"/>
        <v>249570.98418385311</v>
      </c>
      <c r="CN66" s="70">
        <f t="shared" si="581"/>
        <v>88623.358258888737</v>
      </c>
      <c r="CO66" s="72">
        <f t="shared" si="581"/>
        <v>204274.25953727242</v>
      </c>
    </row>
    <row r="67" spans="1:93" ht="12.75" customHeight="1">
      <c r="A67" s="35"/>
      <c r="B67" s="35"/>
      <c r="C67" s="35"/>
      <c r="D67" s="60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</row>
    <row r="68" spans="1:93" ht="12.75" customHeight="1">
      <c r="A68" s="35"/>
      <c r="B68" s="35"/>
      <c r="C68" s="35"/>
      <c r="D68" s="60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</row>
    <row r="69" spans="1:93" ht="12.75" customHeight="1">
      <c r="A69" s="35"/>
      <c r="B69" s="67" t="s">
        <v>166</v>
      </c>
      <c r="C69" s="68"/>
      <c r="D69" s="44" t="str">
        <f>D6</f>
        <v>0 период</v>
      </c>
      <c r="E69" s="45">
        <f>E6</f>
        <v>45200</v>
      </c>
      <c r="F69" s="45">
        <f>EOMONTH(E69,2)+1</f>
        <v>45292</v>
      </c>
      <c r="G69" s="45">
        <f t="shared" ref="G69:BR69" si="582">EOMONTH(F69,2)+1</f>
        <v>45383</v>
      </c>
      <c r="H69" s="45">
        <f t="shared" si="582"/>
        <v>45474</v>
      </c>
      <c r="I69" s="45">
        <f t="shared" si="582"/>
        <v>45566</v>
      </c>
      <c r="J69" s="45">
        <f t="shared" si="582"/>
        <v>45658</v>
      </c>
      <c r="K69" s="45">
        <f t="shared" si="582"/>
        <v>45748</v>
      </c>
      <c r="L69" s="45">
        <f t="shared" si="582"/>
        <v>45839</v>
      </c>
      <c r="M69" s="45">
        <f t="shared" si="582"/>
        <v>45931</v>
      </c>
      <c r="N69" s="45">
        <f t="shared" si="582"/>
        <v>46023</v>
      </c>
      <c r="O69" s="45">
        <f t="shared" si="582"/>
        <v>46113</v>
      </c>
      <c r="P69" s="45">
        <f t="shared" si="582"/>
        <v>46204</v>
      </c>
      <c r="Q69" s="45">
        <f t="shared" si="582"/>
        <v>46296</v>
      </c>
      <c r="R69" s="45">
        <f t="shared" si="582"/>
        <v>46388</v>
      </c>
      <c r="S69" s="45">
        <f t="shared" si="582"/>
        <v>46478</v>
      </c>
      <c r="T69" s="45">
        <f t="shared" si="582"/>
        <v>46569</v>
      </c>
      <c r="U69" s="45">
        <f t="shared" si="582"/>
        <v>46661</v>
      </c>
      <c r="V69" s="45">
        <f t="shared" si="582"/>
        <v>46753</v>
      </c>
      <c r="W69" s="45">
        <f t="shared" si="582"/>
        <v>46844</v>
      </c>
      <c r="X69" s="45">
        <f t="shared" si="582"/>
        <v>46935</v>
      </c>
      <c r="Y69" s="45">
        <f t="shared" si="582"/>
        <v>47027</v>
      </c>
      <c r="Z69" s="45">
        <f t="shared" si="582"/>
        <v>47119</v>
      </c>
      <c r="AA69" s="45">
        <f t="shared" si="582"/>
        <v>47209</v>
      </c>
      <c r="AB69" s="45">
        <f t="shared" si="582"/>
        <v>47300</v>
      </c>
      <c r="AC69" s="45">
        <f t="shared" si="582"/>
        <v>47392</v>
      </c>
      <c r="AD69" s="45">
        <f t="shared" si="582"/>
        <v>47484</v>
      </c>
      <c r="AE69" s="45">
        <f t="shared" si="582"/>
        <v>47574</v>
      </c>
      <c r="AF69" s="45">
        <f t="shared" si="582"/>
        <v>47665</v>
      </c>
      <c r="AG69" s="45">
        <f t="shared" si="582"/>
        <v>47757</v>
      </c>
      <c r="AH69" s="45">
        <f t="shared" si="582"/>
        <v>47849</v>
      </c>
      <c r="AI69" s="45">
        <f t="shared" si="582"/>
        <v>47939</v>
      </c>
      <c r="AJ69" s="45">
        <f t="shared" si="582"/>
        <v>48030</v>
      </c>
      <c r="AK69" s="45">
        <f t="shared" si="582"/>
        <v>48122</v>
      </c>
      <c r="AL69" s="45">
        <f t="shared" si="582"/>
        <v>48214</v>
      </c>
      <c r="AM69" s="45">
        <f t="shared" si="582"/>
        <v>48305</v>
      </c>
      <c r="AN69" s="45">
        <f t="shared" si="582"/>
        <v>48396</v>
      </c>
      <c r="AO69" s="45">
        <f t="shared" si="582"/>
        <v>48488</v>
      </c>
      <c r="AP69" s="45">
        <f t="shared" si="582"/>
        <v>48580</v>
      </c>
      <c r="AQ69" s="45">
        <f t="shared" si="582"/>
        <v>48670</v>
      </c>
      <c r="AR69" s="45">
        <f t="shared" si="582"/>
        <v>48761</v>
      </c>
      <c r="AS69" s="45">
        <f t="shared" si="582"/>
        <v>48853</v>
      </c>
      <c r="AT69" s="45">
        <f t="shared" si="582"/>
        <v>48945</v>
      </c>
      <c r="AU69" s="45">
        <f t="shared" si="582"/>
        <v>49035</v>
      </c>
      <c r="AV69" s="45">
        <f t="shared" si="582"/>
        <v>49126</v>
      </c>
      <c r="AW69" s="45">
        <f t="shared" si="582"/>
        <v>49218</v>
      </c>
      <c r="AX69" s="45">
        <f t="shared" si="582"/>
        <v>49310</v>
      </c>
      <c r="AY69" s="45">
        <f t="shared" si="582"/>
        <v>49400</v>
      </c>
      <c r="AZ69" s="45">
        <f t="shared" si="582"/>
        <v>49491</v>
      </c>
      <c r="BA69" s="45">
        <f t="shared" si="582"/>
        <v>49583</v>
      </c>
      <c r="BB69" s="45">
        <f t="shared" si="582"/>
        <v>49675</v>
      </c>
      <c r="BC69" s="45">
        <f t="shared" si="582"/>
        <v>49766</v>
      </c>
      <c r="BD69" s="45">
        <f t="shared" si="582"/>
        <v>49857</v>
      </c>
      <c r="BE69" s="45">
        <f t="shared" si="582"/>
        <v>49949</v>
      </c>
      <c r="BF69" s="45">
        <f t="shared" si="582"/>
        <v>50041</v>
      </c>
      <c r="BG69" s="45">
        <f t="shared" si="582"/>
        <v>50131</v>
      </c>
      <c r="BH69" s="45">
        <f t="shared" si="582"/>
        <v>50222</v>
      </c>
      <c r="BI69" s="45">
        <f t="shared" si="582"/>
        <v>50314</v>
      </c>
      <c r="BJ69" s="45">
        <f t="shared" si="582"/>
        <v>50406</v>
      </c>
      <c r="BK69" s="45">
        <f t="shared" si="582"/>
        <v>50496</v>
      </c>
      <c r="BL69" s="45">
        <f t="shared" si="582"/>
        <v>50587</v>
      </c>
      <c r="BM69" s="45">
        <f t="shared" si="582"/>
        <v>50679</v>
      </c>
      <c r="BN69" s="45">
        <f t="shared" si="582"/>
        <v>50771</v>
      </c>
      <c r="BO69" s="45">
        <f t="shared" si="582"/>
        <v>50861</v>
      </c>
      <c r="BP69" s="45">
        <f t="shared" si="582"/>
        <v>50952</v>
      </c>
      <c r="BQ69" s="45">
        <f t="shared" si="582"/>
        <v>51044</v>
      </c>
      <c r="BR69" s="45">
        <f t="shared" si="582"/>
        <v>51136</v>
      </c>
      <c r="BS69" s="45">
        <f t="shared" ref="BS69:CN69" si="583">EOMONTH(BR69,2)+1</f>
        <v>51227</v>
      </c>
      <c r="BT69" s="45">
        <f t="shared" si="583"/>
        <v>51318</v>
      </c>
      <c r="BU69" s="45">
        <f t="shared" si="583"/>
        <v>51410</v>
      </c>
      <c r="BV69" s="45">
        <f t="shared" si="583"/>
        <v>51502</v>
      </c>
      <c r="BW69" s="45">
        <f t="shared" si="583"/>
        <v>51592</v>
      </c>
      <c r="BX69" s="45">
        <f t="shared" si="583"/>
        <v>51683</v>
      </c>
      <c r="BY69" s="45">
        <f t="shared" si="583"/>
        <v>51775</v>
      </c>
      <c r="BZ69" s="45">
        <f t="shared" si="583"/>
        <v>51867</v>
      </c>
      <c r="CA69" s="45">
        <f t="shared" si="583"/>
        <v>51957</v>
      </c>
      <c r="CB69" s="45">
        <f t="shared" si="583"/>
        <v>52048</v>
      </c>
      <c r="CC69" s="45">
        <f t="shared" si="583"/>
        <v>52140</v>
      </c>
      <c r="CD69" s="45">
        <f t="shared" si="583"/>
        <v>52232</v>
      </c>
      <c r="CE69" s="45">
        <f t="shared" si="583"/>
        <v>52322</v>
      </c>
      <c r="CF69" s="45">
        <f t="shared" si="583"/>
        <v>52413</v>
      </c>
      <c r="CG69" s="45">
        <f t="shared" si="583"/>
        <v>52505</v>
      </c>
      <c r="CH69" s="45">
        <f t="shared" si="583"/>
        <v>52597</v>
      </c>
      <c r="CI69" s="45">
        <f t="shared" si="583"/>
        <v>52688</v>
      </c>
      <c r="CJ69" s="45">
        <f t="shared" si="583"/>
        <v>52779</v>
      </c>
      <c r="CK69" s="45">
        <f t="shared" si="583"/>
        <v>52871</v>
      </c>
      <c r="CL69" s="45">
        <f t="shared" si="583"/>
        <v>52963</v>
      </c>
      <c r="CM69" s="45">
        <f t="shared" si="583"/>
        <v>53053</v>
      </c>
      <c r="CN69" s="45">
        <f t="shared" si="583"/>
        <v>53144</v>
      </c>
      <c r="CO69" s="35"/>
    </row>
    <row r="70" spans="1:93" ht="12.75" customHeight="1">
      <c r="A70" s="35"/>
      <c r="B70" s="37" t="s">
        <v>167</v>
      </c>
      <c r="C70" s="35"/>
      <c r="D70" s="85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  <c r="BA70" s="86"/>
      <c r="BB70" s="86"/>
      <c r="BC70" s="86"/>
      <c r="BD70" s="86"/>
      <c r="BE70" s="86"/>
      <c r="BF70" s="86"/>
      <c r="BG70" s="86"/>
      <c r="BH70" s="86"/>
      <c r="BI70" s="86"/>
      <c r="BJ70" s="86"/>
      <c r="BK70" s="86"/>
      <c r="BL70" s="86"/>
      <c r="BM70" s="86"/>
      <c r="BN70" s="86"/>
      <c r="BO70" s="86"/>
      <c r="BP70" s="86"/>
      <c r="BQ70" s="86"/>
      <c r="BR70" s="86"/>
      <c r="BS70" s="86"/>
      <c r="BT70" s="86"/>
      <c r="BU70" s="86"/>
      <c r="BV70" s="86"/>
      <c r="BW70" s="86"/>
      <c r="BX70" s="86"/>
      <c r="BY70" s="86"/>
      <c r="BZ70" s="86"/>
      <c r="CA70" s="86"/>
      <c r="CB70" s="86"/>
      <c r="CC70" s="86"/>
      <c r="CD70" s="86"/>
      <c r="CE70" s="86"/>
      <c r="CF70" s="86"/>
      <c r="CG70" s="86"/>
      <c r="CH70" s="86"/>
      <c r="CI70" s="86"/>
      <c r="CJ70" s="86"/>
      <c r="CK70" s="86"/>
      <c r="CL70" s="86"/>
      <c r="CM70" s="86"/>
      <c r="CN70" s="86"/>
      <c r="CO70" s="35"/>
    </row>
    <row r="71" spans="1:93" ht="12.75" customHeight="1">
      <c r="A71" s="35"/>
      <c r="B71" s="63" t="s">
        <v>160</v>
      </c>
      <c r="C71" s="35">
        <f t="shared" ref="C71:C81" si="584">SUM(D71:CN71)</f>
        <v>14545267.481728278</v>
      </c>
      <c r="D71" s="60">
        <f t="shared" ref="D71:CN71" si="585">D60</f>
        <v>0</v>
      </c>
      <c r="E71" s="35">
        <f t="shared" si="585"/>
        <v>0</v>
      </c>
      <c r="F71" s="35">
        <f t="shared" si="585"/>
        <v>0</v>
      </c>
      <c r="G71" s="35">
        <f t="shared" si="585"/>
        <v>0</v>
      </c>
      <c r="H71" s="35">
        <f t="shared" si="585"/>
        <v>-700</v>
      </c>
      <c r="I71" s="35">
        <f t="shared" si="585"/>
        <v>-700</v>
      </c>
      <c r="J71" s="35">
        <f t="shared" si="585"/>
        <v>-700</v>
      </c>
      <c r="K71" s="35">
        <f t="shared" si="585"/>
        <v>-700</v>
      </c>
      <c r="L71" s="35">
        <f t="shared" si="585"/>
        <v>-700</v>
      </c>
      <c r="M71" s="35">
        <f t="shared" si="585"/>
        <v>-700</v>
      </c>
      <c r="N71" s="35">
        <f t="shared" si="585"/>
        <v>-700</v>
      </c>
      <c r="O71" s="35">
        <f t="shared" si="585"/>
        <v>-700</v>
      </c>
      <c r="P71" s="35">
        <f t="shared" si="585"/>
        <v>-700</v>
      </c>
      <c r="Q71" s="35">
        <f t="shared" si="585"/>
        <v>-700</v>
      </c>
      <c r="R71" s="35">
        <f t="shared" si="585"/>
        <v>-700</v>
      </c>
      <c r="S71" s="35">
        <f t="shared" si="585"/>
        <v>-700</v>
      </c>
      <c r="T71" s="35">
        <f t="shared" si="585"/>
        <v>-700</v>
      </c>
      <c r="U71" s="35">
        <f t="shared" si="585"/>
        <v>-700</v>
      </c>
      <c r="V71" s="35">
        <f t="shared" si="585"/>
        <v>-700</v>
      </c>
      <c r="W71" s="35">
        <f t="shared" si="585"/>
        <v>172984.95422996787</v>
      </c>
      <c r="X71" s="35">
        <f t="shared" si="585"/>
        <v>216411.88274976771</v>
      </c>
      <c r="Y71" s="35">
        <f t="shared" si="585"/>
        <v>103306.52503103718</v>
      </c>
      <c r="Z71" s="35">
        <f t="shared" si="585"/>
        <v>136567.71610079444</v>
      </c>
      <c r="AA71" s="35">
        <f t="shared" si="585"/>
        <v>180046.49109449371</v>
      </c>
      <c r="AB71" s="35">
        <f t="shared" si="585"/>
        <v>225465.61309527647</v>
      </c>
      <c r="AC71" s="35">
        <f t="shared" si="585"/>
        <v>107112.99621750794</v>
      </c>
      <c r="AD71" s="35">
        <f t="shared" si="585"/>
        <v>151780.63840431947</v>
      </c>
      <c r="AE71" s="35">
        <f t="shared" si="585"/>
        <v>198937.32227878046</v>
      </c>
      <c r="AF71" s="35">
        <f t="shared" si="585"/>
        <v>248069.06345878987</v>
      </c>
      <c r="AG71" s="35">
        <f t="shared" si="585"/>
        <v>119880.59770324988</v>
      </c>
      <c r="AH71" s="35">
        <f t="shared" si="585"/>
        <v>191219.26357174822</v>
      </c>
      <c r="AI71" s="35">
        <f t="shared" si="585"/>
        <v>237553.20142911974</v>
      </c>
      <c r="AJ71" s="35">
        <f t="shared" si="585"/>
        <v>102244.36199574558</v>
      </c>
      <c r="AK71" s="35">
        <f t="shared" si="585"/>
        <v>162487.42384007465</v>
      </c>
      <c r="AL71" s="35">
        <f t="shared" si="585"/>
        <v>211152.48219467566</v>
      </c>
      <c r="AM71" s="35">
        <f t="shared" si="585"/>
        <v>261304.06452210341</v>
      </c>
      <c r="AN71" s="35">
        <f t="shared" si="585"/>
        <v>115115.65418148333</v>
      </c>
      <c r="AO71" s="35">
        <f t="shared" si="585"/>
        <v>204016.95418023507</v>
      </c>
      <c r="AP71" s="35">
        <f t="shared" si="585"/>
        <v>251801.89347592971</v>
      </c>
      <c r="AQ71" s="35">
        <f t="shared" si="585"/>
        <v>108206.23020776622</v>
      </c>
      <c r="AR71" s="35">
        <f t="shared" si="585"/>
        <v>159291.39778214347</v>
      </c>
      <c r="AS71" s="35">
        <f t="shared" si="585"/>
        <v>225071.75634438713</v>
      </c>
      <c r="AT71" s="35">
        <f t="shared" si="585"/>
        <v>276848.17480563029</v>
      </c>
      <c r="AU71" s="35">
        <f t="shared" si="585"/>
        <v>121740.09433574308</v>
      </c>
      <c r="AV71" s="35">
        <f t="shared" si="585"/>
        <v>202307.90960415581</v>
      </c>
      <c r="AW71" s="35">
        <f t="shared" si="585"/>
        <v>267884.80693028611</v>
      </c>
      <c r="AX71" s="35">
        <f t="shared" si="585"/>
        <v>116208.71761174728</v>
      </c>
      <c r="AY71" s="35">
        <f t="shared" si="585"/>
        <v>168144.58281603619</v>
      </c>
      <c r="AZ71" s="35">
        <f t="shared" si="585"/>
        <v>223796.48208960152</v>
      </c>
      <c r="BA71" s="35">
        <f t="shared" si="585"/>
        <v>294321.12950408278</v>
      </c>
      <c r="BB71" s="35">
        <f t="shared" si="585"/>
        <v>130538.20722410263</v>
      </c>
      <c r="BC71" s="35">
        <f t="shared" si="585"/>
        <v>213332.87581372896</v>
      </c>
      <c r="BD71" s="35">
        <f t="shared" si="585"/>
        <v>268100.26692853577</v>
      </c>
      <c r="BE71" s="35">
        <f t="shared" si="585"/>
        <v>125794.31298699755</v>
      </c>
      <c r="BF71" s="35">
        <f t="shared" si="585"/>
        <v>179387.79902028892</v>
      </c>
      <c r="BG71" s="35">
        <f t="shared" si="585"/>
        <v>235917.88028725586</v>
      </c>
      <c r="BH71" s="35">
        <f t="shared" si="585"/>
        <v>295175.99144094985</v>
      </c>
      <c r="BI71" s="35">
        <f t="shared" si="585"/>
        <v>140992.12129328703</v>
      </c>
      <c r="BJ71" s="35">
        <f t="shared" si="585"/>
        <v>226966.6295043389</v>
      </c>
      <c r="BK71" s="35">
        <f t="shared" si="585"/>
        <v>282459.95790013613</v>
      </c>
      <c r="BL71" s="35">
        <f t="shared" si="585"/>
        <v>117506.29919843389</v>
      </c>
      <c r="BM71" s="35">
        <f t="shared" si="585"/>
        <v>192443.62910326492</v>
      </c>
      <c r="BN71" s="35">
        <f t="shared" si="585"/>
        <v>250818.5631798383</v>
      </c>
      <c r="BO71" s="35">
        <f t="shared" si="585"/>
        <v>310913.72734677012</v>
      </c>
      <c r="BP71" s="35">
        <f t="shared" si="585"/>
        <v>132711.63627548283</v>
      </c>
      <c r="BQ71" s="35">
        <f t="shared" si="585"/>
        <v>242568.80935669871</v>
      </c>
      <c r="BR71" s="35">
        <f t="shared" si="585"/>
        <v>299832.30760057352</v>
      </c>
      <c r="BS71" s="35">
        <f t="shared" si="585"/>
        <v>124386.02213615773</v>
      </c>
      <c r="BT71" s="35">
        <f t="shared" si="585"/>
        <v>185945.73974917678</v>
      </c>
      <c r="BU71" s="35">
        <f t="shared" si="585"/>
        <v>267789.11837341357</v>
      </c>
      <c r="BV71" s="35">
        <f t="shared" si="585"/>
        <v>329860.55659311078</v>
      </c>
      <c r="BW71" s="35">
        <f t="shared" si="585"/>
        <v>140378.37129328979</v>
      </c>
      <c r="BX71" s="35">
        <f t="shared" si="585"/>
        <v>237747.70030216029</v>
      </c>
      <c r="BY71" s="35">
        <f t="shared" si="585"/>
        <v>319438.11760549794</v>
      </c>
      <c r="BZ71" s="35">
        <f t="shared" si="585"/>
        <v>134165.84674921777</v>
      </c>
      <c r="CA71" s="35">
        <f t="shared" si="585"/>
        <v>196302.2624282107</v>
      </c>
      <c r="CB71" s="35">
        <f t="shared" si="585"/>
        <v>263358.07212093275</v>
      </c>
      <c r="CC71" s="35">
        <f t="shared" si="585"/>
        <v>351161.57501749007</v>
      </c>
      <c r="CD71" s="35">
        <f t="shared" si="585"/>
        <v>151125.16302281909</v>
      </c>
      <c r="CE71" s="35">
        <f t="shared" si="585"/>
        <v>250723.8076207627</v>
      </c>
      <c r="CF71" s="35">
        <f t="shared" si="585"/>
        <v>316675.02103340439</v>
      </c>
      <c r="CG71" s="35">
        <f t="shared" si="585"/>
        <v>145885.6154497219</v>
      </c>
      <c r="CH71" s="35">
        <f t="shared" si="585"/>
        <v>210020.96585602916</v>
      </c>
      <c r="CI71" s="35">
        <f t="shared" si="585"/>
        <v>277645.65897298907</v>
      </c>
      <c r="CJ71" s="35">
        <f t="shared" si="585"/>
        <v>349024.42602071824</v>
      </c>
      <c r="CK71" s="35">
        <f t="shared" si="585"/>
        <v>163906.55759373866</v>
      </c>
      <c r="CL71" s="35">
        <f t="shared" si="585"/>
        <v>267348.09130682924</v>
      </c>
      <c r="CM71" s="35">
        <f t="shared" si="585"/>
        <v>333660.96432072547</v>
      </c>
      <c r="CN71" s="35">
        <f t="shared" si="585"/>
        <v>132476.43191452001</v>
      </c>
      <c r="CO71" s="35"/>
    </row>
    <row r="72" spans="1:93" ht="12.75" customHeight="1">
      <c r="A72" s="35"/>
      <c r="B72" s="87" t="s">
        <v>168</v>
      </c>
      <c r="C72" s="35">
        <f t="shared" si="584"/>
        <v>-4663.5351842170267</v>
      </c>
      <c r="D72" s="60"/>
      <c r="E72" s="35">
        <f>(SUM(F32:F35,F37:F40,F43:F55)/F13*Assump!$E$57*Assump!$D$57-SUM(E32:E35,E37:E40,E43:E55)/E13*Assump!$E$57*Assump!$D$57)*(1+Assump!$D$25)</f>
        <v>0</v>
      </c>
      <c r="F72" s="35">
        <f>(SUM(G32:G35,G37:G40,G43:G55)/G13*Assump!$E$57*Assump!$D$57-SUM(F32:F35,F37:F40,F43:F55)/F13*Assump!$E$57*Assump!$D$57)*(1+Assump!$D$25)</f>
        <v>0</v>
      </c>
      <c r="G72" s="35">
        <f>(SUM(H32:H35,H37:H40,H43:H55)/H13*Assump!$E$57*Assump!$D$57-SUM(G32:G35,G37:G40,G43:G55)/G13*Assump!$E$57*Assump!$D$57)*(1+Assump!$D$25)</f>
        <v>0</v>
      </c>
      <c r="H72" s="35">
        <f>(SUM(I32:I35,I37:I40,I43:I55)/I13*Assump!$E$57*Assump!$D$57-SUM(H32:H35,H37:H40,H43:H55)/H13*Assump!$E$57*Assump!$D$57)*(1+Assump!$D$25)</f>
        <v>0</v>
      </c>
      <c r="I72" s="35">
        <f>(SUM(J32:J35,J37:J40,J43:J55)/J13*Assump!$E$57*Assump!$D$57-SUM(I32:I35,I37:I40,I43:I55)/I13*Assump!$E$57*Assump!$D$57)*(1+Assump!$D$25)</f>
        <v>0</v>
      </c>
      <c r="J72" s="35">
        <f>(SUM(K32:K35,K37:K40,K43:K55)/K13*Assump!$E$57*Assump!$D$57-SUM(J32:J35,J37:J40,J43:J55)/J13*Assump!$E$57*Assump!$D$57)*(1+Assump!$D$25)</f>
        <v>0</v>
      </c>
      <c r="K72" s="35">
        <f>(SUM(L32:L35,L37:L40,L43:L55)/L13*Assump!$E$57*Assump!$D$57-SUM(K32:K35,K37:K40,K43:K55)/K13*Assump!$E$57*Assump!$D$57)*(1+Assump!$D$25)</f>
        <v>0</v>
      </c>
      <c r="L72" s="35">
        <f>(SUM(M32:M35,M37:M40,M43:M55)/M13*Assump!$E$57*Assump!$D$57-SUM(L32:L35,L37:L40,L43:L55)/L13*Assump!$E$57*Assump!$D$57)*(1+Assump!$D$25)</f>
        <v>0</v>
      </c>
      <c r="M72" s="35">
        <f>(SUM(N32:N35,N37:N40,N43:N55)/N13*Assump!$E$57*Assump!$D$57-SUM(M32:M35,M37:M40,M43:M55)/M13*Assump!$E$57*Assump!$D$57)*(1+Assump!$D$25)</f>
        <v>0</v>
      </c>
      <c r="N72" s="35">
        <f>(SUM(O32:O35,O37:O40,O43:O55)/O13*Assump!$E$57*Assump!$D$57-SUM(N32:N35,N37:N40,N43:N55)/N13*Assump!$E$57*Assump!$D$57)*(1+Assump!$D$25)</f>
        <v>0</v>
      </c>
      <c r="O72" s="35">
        <f>(SUM(P32:P35,P37:P40,P43:P55)/P13*Assump!$E$57*Assump!$D$57-SUM(O32:O35,O37:O40,O43:O55)/O13*Assump!$E$57*Assump!$D$57)*(1+Assump!$D$25)</f>
        <v>0</v>
      </c>
      <c r="P72" s="35">
        <f>(SUM(Q32:Q35,Q37:Q40,Q43:Q55)/Q13*Assump!$E$57*Assump!$D$57-SUM(P32:P35,P37:P40,P43:P55)/P13*Assump!$E$57*Assump!$D$57)*(1+Assump!$D$25)</f>
        <v>0</v>
      </c>
      <c r="Q72" s="35">
        <f>(SUM(R32:R35,R37:R40,R43:R55)/R13*Assump!$E$57*Assump!$D$57-SUM(Q32:Q35,Q37:Q40,Q43:Q55)/Q13*Assump!$E$57*Assump!$D$57)*(1+Assump!$D$25)</f>
        <v>0</v>
      </c>
      <c r="R72" s="35">
        <f>(SUM(S32:S35,S37:S40,S43:S55)/S13*Assump!$E$57*Assump!$D$57-SUM(R32:R35,R37:R40,R43:R55)/R13*Assump!$E$57*Assump!$D$57)*(1+Assump!$D$25)</f>
        <v>0</v>
      </c>
      <c r="S72" s="35">
        <f>(SUM(T32:T35,T37:T40,T43:T55)/T13*Assump!$E$57*Assump!$D$57-SUM(S32:S35,S37:S40,S43:S55)/S13*Assump!$E$57*Assump!$D$57)*(1+Assump!$D$25)</f>
        <v>0</v>
      </c>
      <c r="T72" s="35">
        <f>(SUM(U32:U35,U37:U40,U43:U55)/U13*Assump!$E$57*Assump!$D$57-SUM(T32:T35,T37:T40,T43:T55)/T13*Assump!$E$57*Assump!$D$57)*(1+Assump!$D$25)</f>
        <v>0</v>
      </c>
      <c r="U72" s="35">
        <f>(SUM(V32:V35,V37:V40,V43:V55)/V13*Assump!$E$57*Assump!$D$57-SUM(U32:U35,U37:U40,U43:U55)/U13*Assump!$E$57*Assump!$D$57)*(1+Assump!$D$25)</f>
        <v>0</v>
      </c>
      <c r="V72" s="35">
        <f>(SUM(W32:W35,W37:W40,W43:W55)/W13*Assump!$E$57*Assump!$D$57-SUM(V32:V35,V37:V40,V43:V55)/V13*Assump!$E$57*Assump!$D$57)*(1+Assump!$D$25)</f>
        <v>-2776.9276812671096</v>
      </c>
      <c r="W72" s="35">
        <f>(SUM(X32:X35,X37:X40,X43:X55)/X13*Assump!$E$57*Assump!$D$57-SUM(W32:W35,W37:W40,W43:W55)/W13*Assump!$E$57*Assump!$D$57)*(1+Assump!$D$25)</f>
        <v>-284.32101260785436</v>
      </c>
      <c r="X72" s="35">
        <f>(SUM(Y32:Y35,Y37:Y40,Y43:Y55)/Y13*Assump!$E$57*Assump!$D$57-SUM(X32:X35,X37:X40,X43:X55)/X13*Assump!$E$57*Assump!$D$57)*(1+Assump!$D$25)</f>
        <v>917.66119233757865</v>
      </c>
      <c r="Y72" s="35">
        <f>(SUM(Z32:Z35,Z37:Z40,Z43:Z55)/Z13*Assump!$E$57*Assump!$D$57-SUM(Y32:Y35,Y37:Y40,Y43:Y55)/Y13*Assump!$E$57*Assump!$D$57)*(1+Assump!$D$25)</f>
        <v>-393.60333982542835</v>
      </c>
      <c r="Z72" s="35">
        <f>(SUM(AA32:AA35,AA37:AA40,AA43:AA55)/AA13*Assump!$E$57*Assump!$D$57-SUM(Z32:Z35,Z37:Z40,Z43:Z55)/Z13*Assump!$E$57*Assump!$D$57)*(1+Assump!$D$25)</f>
        <v>-376.1742844188733</v>
      </c>
      <c r="AA72" s="35">
        <f>(SUM(AB32:AB35,AB37:AB40,AB43:AB55)/AB13*Assump!$E$57*Assump!$D$57-SUM(AA32:AA35,AA37:AA40,AA43:AA55)/AA13*Assump!$E$57*Assump!$D$57)*(1+Assump!$D$25)</f>
        <v>-298.35574460080585</v>
      </c>
      <c r="AB72" s="35">
        <f>(SUM(AC32:AC35,AC37:AC40,AC43:AC55)/AC13*Assump!$E$57*Assump!$D$57-SUM(AB32:AB35,AB37:AB40,AB43:AB55)/AB13*Assump!$E$57*Assump!$D$57)*(1+Assump!$D$25)</f>
        <v>963.07167843274169</v>
      </c>
      <c r="AC72" s="35">
        <f>(SUM(AD32:AD35,AD37:AD40,AD43:AD55)/AD13*Assump!$E$57*Assump!$D$57-SUM(AC32:AC35,AC37:AC40,AC43:AC55)/AC13*Assump!$E$57*Assump!$D$57)*(1+Assump!$D$25)</f>
        <v>-445.85921227596543</v>
      </c>
      <c r="AD72" s="35">
        <f>(SUM(AE32:AE35,AE37:AE40,AE43:AE55)/AE13*Assump!$E$57*Assump!$D$57-SUM(AD32:AD35,AD37:AD40,AD43:AD55)/AD13*Assump!$E$57*Assump!$D$57)*(1+Assump!$D$25)</f>
        <v>-400.00264216597333</v>
      </c>
      <c r="AE72" s="35">
        <f>(SUM(AF32:AF35,AF37:AF40,AF43:AF55)/AF13*Assump!$E$57*Assump!$D$57-SUM(AE32:AE35,AE37:AE40,AE43:AE55)/AE13*Assump!$E$57*Assump!$D$57)*(1+Assump!$D$25)</f>
        <v>-316.55901555917131</v>
      </c>
      <c r="AF72" s="35">
        <f>(SUM(AG32:AG35,AG37:AG40,AG43:AG55)/AG13*Assump!$E$57*Assump!$D$57-SUM(AF32:AF35,AF37:AF40,AF43:AF55)/AF13*Assump!$E$57*Assump!$D$57)*(1+Assump!$D$25)</f>
        <v>1022.6013343089857</v>
      </c>
      <c r="AG72" s="35">
        <f>(SUM(AH32:AH35,AH37:AH40,AH43:AH55)/AH13*Assump!$E$57*Assump!$D$57-SUM(AG32:AG35,AG37:AG40,AG43:AG55)/AG13*Assump!$E$57*Assump!$D$57)*(1+Assump!$D$25)</f>
        <v>-646.10360620629501</v>
      </c>
      <c r="AH72" s="35">
        <f>(SUM(AI32:AI35,AI37:AI40,AI43:AI55)/AI13*Assump!$E$57*Assump!$D$57-SUM(AH32:AH35,AH37:AH40,AH43:AH55)/AH13*Assump!$E$57*Assump!$D$57)*(1+Assump!$D$25)</f>
        <v>-380.2709045651909</v>
      </c>
      <c r="AI72" s="35">
        <f>(SUM(AJ32:AJ35,AJ37:AJ40,AJ43:AJ55)/AJ13*Assump!$E$57*Assump!$D$57-SUM(AI32:AI35,AI37:AI40,AI43:AI55)/AI13*Assump!$E$57*Assump!$D$57)*(1+Assump!$D$25)</f>
        <v>708.56055433636459</v>
      </c>
      <c r="AJ72" s="35">
        <f>(SUM(AK32:AK35,AK37:AK40,AK43:AK55)/AK13*Assump!$E$57*Assump!$D$57-SUM(AJ32:AJ35,AJ37:AJ40,AJ43:AJ55)/AJ13*Assump!$E$57*Assump!$D$57)*(1+Assump!$D$25)</f>
        <v>13.857329379373004</v>
      </c>
      <c r="AK72" s="35">
        <f>(SUM(AL32:AL35,AL37:AL40,AL43:AL55)/AL13*Assump!$E$57*Assump!$D$57-SUM(AK32:AK35,AK37:AK40,AK43:AK55)/AK13*Assump!$E$57*Assump!$D$57)*(1+Assump!$D$25)</f>
        <v>-496.11284722013443</v>
      </c>
      <c r="AL72" s="35">
        <f>(SUM(AM32:AM35,AM37:AM40,AM43:AM55)/AM13*Assump!$E$57*Assump!$D$57-SUM(AL32:AL35,AL37:AL40,AL43:AL55)/AL13*Assump!$E$57*Assump!$D$57)*(1+Assump!$D$25)</f>
        <v>-438.19577096085447</v>
      </c>
      <c r="AM72" s="35">
        <f>(SUM(AN32:AN35,AN37:AN40,AN43:AN55)/AN13*Assump!$E$57*Assump!$D$57-SUM(AM32:AM35,AM37:AM40,AM43:AM55)/AM13*Assump!$E$57*Assump!$D$57)*(1+Assump!$D$25)</f>
        <v>756.38072469839801</v>
      </c>
      <c r="AN72" s="35">
        <f>(SUM(AO32:AO35,AO37:AO40,AO43:AO55)/AO13*Assump!$E$57*Assump!$D$57-SUM(AN32:AN35,AN37:AN40,AN43:AN55)/AN13*Assump!$E$57*Assump!$D$57)*(1+Assump!$D$25)</f>
        <v>-167.61173446267676</v>
      </c>
      <c r="AO72" s="35">
        <f>(SUM(AP32:AP35,AP37:AP40,AP43:AP55)/AP13*Assump!$E$57*Assump!$D$57-SUM(AO32:AO35,AO37:AO40,AO43:AO55)/AO13*Assump!$E$57*Assump!$D$57)*(1+Assump!$D$25)</f>
        <v>-523.01879087684483</v>
      </c>
      <c r="AP72" s="35">
        <f>(SUM(AQ32:AQ35,AQ37:AQ40,AQ43:AQ55)/AQ13*Assump!$E$57*Assump!$D$57-SUM(AP32:AP35,AP37:AP40,AP43:AP55)/AP13*Assump!$E$57*Assump!$D$57)*(1+Assump!$D$25)</f>
        <v>682.12111410530372</v>
      </c>
      <c r="AQ72" s="35">
        <f>(SUM(AR32:AR35,AR37:AR40,AR43:AR55)/AR13*Assump!$E$57*Assump!$D$57-SUM(AQ32:AQ35,AQ37:AQ40,AQ43:AQ55)/AQ13*Assump!$E$57*Assump!$D$57)*(1+Assump!$D$25)</f>
        <v>-328.76810138213057</v>
      </c>
      <c r="AR72" s="35">
        <f>(SUM(AS32:AS35,AS37:AS40,AS43:AS55)/AS13*Assump!$E$57*Assump!$D$57-SUM(AR32:AR35,AR37:AR40,AR43:AR55)/AR13*Assump!$E$57*Assump!$D$57)*(1+Assump!$D$25)</f>
        <v>-20.921442360614311</v>
      </c>
      <c r="AS72" s="35">
        <f>(SUM(AT32:AT35,AT37:AT40,AT43:AT55)/AT13*Assump!$E$57*Assump!$D$57-SUM(AS32:AS35,AS37:AS40,AS43:AS55)/AS13*Assump!$E$57*Assump!$D$57)*(1+Assump!$D$25)</f>
        <v>-554.16682689004358</v>
      </c>
      <c r="AT72" s="35">
        <f>(SUM(AU32:AU35,AU37:AU40,AU43:AU55)/AU13*Assump!$E$57*Assump!$D$57-SUM(AT32:AT35,AT37:AT40,AT43:AT55)/AT13*Assump!$E$57*Assump!$D$57)*(1+Assump!$D$25)</f>
        <v>729.38718130735208</v>
      </c>
      <c r="AU72" s="35">
        <f>(SUM(AV32:AV35,AV37:AV40,AV43:AV55)/AV13*Assump!$E$57*Assump!$D$57-SUM(AU32:AU35,AU37:AU40,AU43:AU55)/AU13*Assump!$E$57*Assump!$D$57)*(1+Assump!$D$25)</f>
        <v>-536.14472831742853</v>
      </c>
      <c r="AV72" s="35">
        <f>(SUM(AW32:AW35,AW37:AW40,AW43:AW55)/AW13*Assump!$E$57*Assump!$D$57-SUM(AV32:AV35,AV37:AV40,AV43:AV55)/AV13*Assump!$E$57*Assump!$D$57)*(1+Assump!$D$25)</f>
        <v>18.900023038877769</v>
      </c>
      <c r="AW72" s="35">
        <f>(SUM(AX32:AX35,AX37:AX40,AX43:AX55)/AX13*Assump!$E$57*Assump!$D$57-SUM(AW32:AW35,AW37:AW40,AW43:AW55)/AW13*Assump!$E$57*Assump!$D$57)*(1+Assump!$D$25)</f>
        <v>585.23074532361352</v>
      </c>
      <c r="AX72" s="35">
        <f>(SUM(AY32:AY35,AY37:AY40,AY43:AY55)/AY13*Assump!$E$57*Assump!$D$57-SUM(AX32:AX35,AX37:AX40,AX43:AX55)/AX13*Assump!$E$57*Assump!$D$57)*(1+Assump!$D$25)</f>
        <v>-426.33616577907594</v>
      </c>
      <c r="AY72" s="35">
        <f>(SUM(AZ32:AZ35,AZ37:AZ40,AZ43:AZ55)/AZ13*Assump!$E$57*Assump!$D$57-SUM(AY32:AY35,AY37:AY40,AY43:AY55)/AY13*Assump!$E$57*Assump!$D$57)*(1+Assump!$D$25)</f>
        <v>-397.89185138752708</v>
      </c>
      <c r="AZ72" s="35">
        <f>(SUM(BA32:BA35,BA37:BA40,BA43:BA55)/BA13*Assump!$E$57*Assump!$D$57-SUM(AZ32:AZ35,AZ37:AZ40,AZ43:AZ55)/AZ13*Assump!$E$57*Assump!$D$57)*(1+Assump!$D$25)</f>
        <v>15.595254881563777</v>
      </c>
      <c r="BA72" s="35">
        <f>(SUM(BB32:BB35,BB37:BB40,BB43:BB55)/BB13*Assump!$E$57*Assump!$D$57-SUM(BA32:BA35,BA37:BA40,BA43:BA55)/BA13*Assump!$E$57*Assump!$D$57)*(1+Assump!$D$25)</f>
        <v>661.75941047048229</v>
      </c>
      <c r="BB72" s="35">
        <f>(SUM(BC32:BC35,BC37:BC40,BC43:BC55)/BC13*Assump!$E$57*Assump!$D$57-SUM(BB32:BB35,BB37:BB40,BB43:BB55)/BB13*Assump!$E$57*Assump!$D$57)*(1+Assump!$D$25)</f>
        <v>-685.13976187655896</v>
      </c>
      <c r="BC72" s="35">
        <f>(SUM(BD32:BD35,BD37:BD40,BD43:BD55)/BD13*Assump!$E$57*Assump!$D$57-SUM(BC32:BC35,BC37:BC40,BC43:BC55)/BC13*Assump!$E$57*Assump!$D$57)*(1+Assump!$D$25)</f>
        <v>-372.32017250711016</v>
      </c>
      <c r="BD72" s="35">
        <f>(SUM(BE32:BE35,BE37:BE40,BE43:BE55)/BE13*Assump!$E$57*Assump!$D$57-SUM(BD32:BD35,BD37:BD40,BD43:BD55)/BD13*Assump!$E$57*Assump!$D$57)*(1+Assump!$D$25)</f>
        <v>1219.3180826987204</v>
      </c>
      <c r="BE72" s="35">
        <f>(SUM(BF32:BF35,BF37:BF40,BF43:BF55)/BF13*Assump!$E$57*Assump!$D$57-SUM(BE32:BE35,BE37:BE40,BE43:BE55)/BE13*Assump!$E$57*Assump!$D$57)*(1+Assump!$D$25)</f>
        <v>-573.37901439679638</v>
      </c>
      <c r="BF72" s="35">
        <f>(SUM(BG32:BG35,BG37:BG40,BG43:BG55)/BG13*Assump!$E$57*Assump!$D$57-SUM(BF32:BF35,BF37:BF40,BF43:BF55)/BF13*Assump!$E$57*Assump!$D$57)*(1+Assump!$D$25)</f>
        <v>-507.610164631587</v>
      </c>
      <c r="BG72" s="35">
        <f>(SUM(BH32:BH35,BH37:BH40,BH43:BH55)/BH13*Assump!$E$57*Assump!$D$57-SUM(BG32:BG35,BG37:BG40,BG43:BG55)/BG13*Assump!$E$57*Assump!$D$57)*(1+Assump!$D$25)</f>
        <v>-394.92970713851952</v>
      </c>
      <c r="BH72" s="35">
        <f>(SUM(BI32:BI35,BI37:BI40,BI43:BI55)/BI13*Assump!$E$57*Assump!$D$57-SUM(BH32:BH35,BH37:BH40,BH43:BH55)/BH13*Assump!$E$57*Assump!$D$57)*(1+Assump!$D$25)</f>
        <v>1294.1116733949318</v>
      </c>
      <c r="BI72" s="35">
        <f>(SUM(BJ32:BJ35,BJ37:BJ40,BJ43:BJ55)/BJ13*Assump!$E$57*Assump!$D$57-SUM(BI32:BI35,BI37:BI40,BI43:BI55)/BI13*Assump!$E$57*Assump!$D$57)*(1+Assump!$D$25)</f>
        <v>-818.34904450934266</v>
      </c>
      <c r="BJ72" s="35">
        <f>(SUM(BK32:BK35,BK37:BK40,BK43:BK55)/BK13*Assump!$E$57*Assump!$D$57-SUM(BJ32:BJ35,BJ37:BJ40,BJ43:BJ55)/BJ13*Assump!$E$57*Assump!$D$57)*(1+Assump!$D$25)</f>
        <v>-484.69633690759292</v>
      </c>
      <c r="BK72" s="35">
        <f>(SUM(BL32:BL35,BL37:BL40,BL43:BL55)/BL13*Assump!$E$57*Assump!$D$57-SUM(BK32:BK35,BK37:BK40,BK43:BK55)/BK13*Assump!$E$57*Assump!$D$57)*(1+Assump!$D$25)</f>
        <v>850.60202480519524</v>
      </c>
      <c r="BL72" s="35">
        <f>(SUM(BM32:BM35,BM37:BM40,BM43:BM55)/BM13*Assump!$E$57*Assump!$D$57-SUM(BL32:BL35,BL37:BL40,BL43:BL55)/BL13*Assump!$E$57*Assump!$D$57)*(1+Assump!$D$25)</f>
        <v>70.533698767157148</v>
      </c>
      <c r="BM72" s="35">
        <f>(SUM(BN32:BN35,BN37:BN40,BN43:BN55)/BN13*Assump!$E$57*Assump!$D$57-SUM(BM32:BM35,BM37:BM40,BM43:BM55)/BM13*Assump!$E$57*Assump!$D$57)*(1+Assump!$D$25)</f>
        <v>-680.74784442359726</v>
      </c>
      <c r="BN72" s="35">
        <f>(SUM(BO32:BO35,BO37:BO40,BO43:BO55)/BO13*Assump!$E$57*Assump!$D$57-SUM(BN32:BN35,BN37:BN40,BN43:BN55)/BN13*Assump!$E$57*Assump!$D$57)*(1+Assump!$D$25)</f>
        <v>-513.1649065744333</v>
      </c>
      <c r="BO72" s="35">
        <f>(SUM(BP32:BP35,BP37:BP40,BP43:BP55)/BP13*Assump!$E$57*Assump!$D$57-SUM(BO32:BO35,BO37:BO40,BO43:BO55)/BO13*Assump!$E$57*Assump!$D$57)*(1+Assump!$D$25)</f>
        <v>908.19485288160251</v>
      </c>
      <c r="BP72" s="35">
        <f>(SUM(BQ32:BQ35,BQ37:BQ40,BQ43:BQ55)/BQ13*Assump!$E$57*Assump!$D$57-SUM(BP32:BP35,BP37:BP40,BP43:BP55)/BP13*Assump!$E$57*Assump!$D$57)*(1+Assump!$D$25)</f>
        <v>-147.35858109959136</v>
      </c>
      <c r="BQ72" s="35">
        <f>(SUM(BR32:BR35,BR37:BR40,BR43:BR55)/BR13*Assump!$E$57*Assump!$D$57-SUM(BQ32:BQ35,BQ37:BQ40,BQ43:BQ55)/BQ13*Assump!$E$57*Assump!$D$57)*(1+Assump!$D$25)</f>
        <v>-621.14074790364259</v>
      </c>
      <c r="BR72" s="35">
        <f>(SUM(BS32:BS35,BS37:BS40,BS43:BS55)/BS13*Assump!$E$57*Assump!$D$57-SUM(BR32:BR35,BR37:BR40,BR43:BR55)/BR13*Assump!$E$57*Assump!$D$57)*(1+Assump!$D$25)</f>
        <v>753.36309069867218</v>
      </c>
      <c r="BS72" s="35">
        <f>(SUM(BT32:BT35,BT37:BT40,BT43:BT55)/BT13*Assump!$E$57*Assump!$D$57-SUM(BS32:BS35,BS37:BS40,BS43:BS55)/BS13*Assump!$E$57*Assump!$D$57)*(1+Assump!$D$25)</f>
        <v>-411.36985966788359</v>
      </c>
      <c r="BT72" s="35">
        <f>(SUM(BU32:BU35,BU37:BU40,BU43:BU55)/BU13*Assump!$E$57*Assump!$D$57-SUM(BT32:BT35,BT37:BT40,BT43:BT55)/BT13*Assump!$E$57*Assump!$D$57)*(1+Assump!$D$25)</f>
        <v>33.763112250447193</v>
      </c>
      <c r="BU72" s="35">
        <f>(SUM(BV32:BV35,BV37:BV40,BV43:BV55)/BV13*Assump!$E$57*Assump!$D$57-SUM(BU32:BU35,BU37:BU40,BU43:BU55)/BU13*Assump!$E$57*Assump!$D$57)*(1+Assump!$D$25)</f>
        <v>-711.80189690503812</v>
      </c>
      <c r="BV72" s="35">
        <f>(SUM(BW32:BW35,BW37:BW40,BW43:BW55)/BW13*Assump!$E$57*Assump!$D$57-SUM(BV32:BV35,BV37:BV40,BV43:BV55)/BV13*Assump!$E$57*Assump!$D$57)*(1+Assump!$D$25)</f>
        <v>860.5574310738748</v>
      </c>
      <c r="BW72" s="35">
        <f>(SUM(BX32:BX35,BX37:BX40,BX43:BX55)/BX13*Assump!$E$57*Assump!$D$57-SUM(BW32:BW35,BW37:BW40,BW43:BW55)/BW13*Assump!$E$57*Assump!$D$57)*(1+Assump!$D$25)</f>
        <v>-664.02495469352175</v>
      </c>
      <c r="BX72" s="35">
        <f>(SUM(BY32:BY35,BY37:BY40,BY43:BY55)/BY13*Assump!$E$57*Assump!$D$57-SUM(BX32:BX35,BX37:BX40,BX43:BX55)/BX13*Assump!$E$57*Assump!$D$57)*(1+Assump!$D$25)</f>
        <v>85.126015137628386</v>
      </c>
      <c r="BY72" s="35">
        <f>(SUM(BZ32:BZ35,BZ37:BZ40,BZ43:BZ55)/BZ13*Assump!$E$57*Assump!$D$57-SUM(BY32:BY35,BY37:BY40,BY43:BY55)/BY13*Assump!$E$57*Assump!$D$57)*(1+Assump!$D$25)</f>
        <v>671.23254059161354</v>
      </c>
      <c r="BZ72" s="35">
        <f>(SUM(CA32:CA35,CA37:CA40,CA43:CA55)/CA13*Assump!$E$57*Assump!$D$57-SUM(BZ32:BZ35,BZ37:BZ40,BZ43:BZ55)/BZ13*Assump!$E$57*Assump!$D$57)*(1+Assump!$D$25)</f>
        <v>-545.53238290435399</v>
      </c>
      <c r="CA72" s="35">
        <f>(SUM(CB32:CB35,CB37:CB40,CB43:CB55)/CB13*Assump!$E$57*Assump!$D$57-SUM(CA32:CA35,CA37:CA40,CA43:CA55)/CA13*Assump!$E$57*Assump!$D$57)*(1+Assump!$D$25)</f>
        <v>-496.59460303070426</v>
      </c>
      <c r="CB72" s="35">
        <f>(SUM(CC32:CC35,CC37:CC40,CC43:CC55)/CC13*Assump!$E$57*Assump!$D$57-SUM(CB32:CB35,CB37:CB40,CB43:CB55)/CB13*Assump!$E$57*Assump!$D$57)*(1+Assump!$D$25)</f>
        <v>84.216694738050137</v>
      </c>
      <c r="CC72" s="35">
        <f>(SUM(CD32:CD35,CD37:CD40,CD43:CD55)/CD13*Assump!$E$57*Assump!$D$57-SUM(CC32:CC35,CC37:CC40,CC43:CC55)/CC13*Assump!$E$57*Assump!$D$57)*(1+Assump!$D$25)</f>
        <v>719.94507958006557</v>
      </c>
      <c r="CD72" s="35">
        <f>(SUM(CE32:CE35,CE37:CE40,CE43:CE55)/CE13*Assump!$E$57*Assump!$D$57-SUM(CD32:CD35,CD37:CD40,CD43:CD55)/CD13*Assump!$E$57*Assump!$D$57)*(1+Assump!$D$25)</f>
        <v>-819.17309952360858</v>
      </c>
      <c r="CE72" s="35">
        <f>(SUM(CF32:CF35,CF37:CF40,CF43:CF55)/CF13*Assump!$E$57*Assump!$D$57-SUM(CE32:CE35,CE37:CE40,CE43:CE55)/CE13*Assump!$E$57*Assump!$D$57)*(1+Assump!$D$25)</f>
        <v>-466.15979607081533</v>
      </c>
      <c r="CF72" s="35">
        <f>(SUM(CG32:CG35,CG37:CG40,CG43:CG55)/CG13*Assump!$E$57*Assump!$D$57-SUM(CF32:CF35,CF37:CF40,CF43:CF55)/CF13*Assump!$E$57*Assump!$D$57)*(1+Assump!$D$25)</f>
        <v>1550.6123434654339</v>
      </c>
      <c r="CG72" s="35">
        <f>(SUM(CH32:CH35,CH37:CH40,CH43:CH55)/CH13*Assump!$E$57*Assump!$D$57-SUM(CG32:CG35,CG37:CG40,CG43:CG55)/CG13*Assump!$E$57*Assump!$D$57)*(1+Assump!$D$25)</f>
        <v>-689.69012001483782</v>
      </c>
      <c r="CH72" s="35">
        <f>(SUM(CI32:CI35,CI37:CI40,CI43:CI55)/CI13*Assump!$E$57*Assump!$D$57-SUM(CH32:CH35,CH37:CH40,CH43:CH55)/CH13*Assump!$E$57*Assump!$D$57)*(1+Assump!$D$25)</f>
        <v>-698.60849279290608</v>
      </c>
      <c r="CI72" s="35">
        <f>(SUM(CJ32:CJ35,CJ37:CJ40,CJ43:CJ55)/CJ13*Assump!$E$57*Assump!$D$57-SUM(CI32:CI35,CI37:CI40,CI43:CI55)/CI13*Assump!$E$57*Assump!$D$57)*(1+Assump!$D$25)</f>
        <v>-494.32194169425418</v>
      </c>
      <c r="CJ72" s="35">
        <f>(SUM(CK32:CK35,CK37:CK40,CK43:CK55)/CK13*Assump!$E$57*Assump!$D$57-SUM(CJ32:CJ35,CJ37:CJ40,CJ43:CJ55)/CJ13*Assump!$E$57*Assump!$D$57)*(1+Assump!$D$25)</f>
        <v>1644.9506000769791</v>
      </c>
      <c r="CK72" s="35">
        <f>(SUM(CL32:CL35,CL37:CL40,CL43:CL55)/CL13*Assump!$E$57*Assump!$D$57-SUM(CK32:CK35,CK37:CK40,CK43:CK55)/CK13*Assump!$E$57*Assump!$D$57)*(1+Assump!$D$25)</f>
        <v>-1041.1512375765583</v>
      </c>
      <c r="CL72" s="35">
        <f>(SUM(CM32:CM35,CM37:CM40,CM43:CM55)/CM13*Assump!$E$57*Assump!$D$57-SUM(CL32:CL35,CL37:CL40,CL43:CL55)/CL13*Assump!$E$57*Assump!$D$57)*(1+Assump!$D$25)</f>
        <v>-620.77555256155279</v>
      </c>
      <c r="CM72" s="35">
        <f>(SUM(CN32:CN35,CN37:CN40,CN43:CN55)/CN13*Assump!$E$57*Assump!$D$57-SUM(CM32:CM35,CM37:CM40,CM43:CM55)/CM13*Assump!$E$57*Assump!$D$57)*(1+Assump!$D$25)</f>
        <v>1018.9155423388215</v>
      </c>
      <c r="CN72" s="35">
        <f>(SUM(CO32:CO35,CO37:CO40,CO43:CO55)/CO13*Assump!$E$57*Assump!$D$57-SUM(CN32:CN35,CN37:CN40,CN43:CN55)/CN13*Assump!$E$57*Assump!$D$57)*(1+Assump!$D$25)</f>
        <v>161.28141319794921</v>
      </c>
      <c r="CO72" s="35"/>
    </row>
    <row r="73" spans="1:93" ht="12.75" customHeight="1">
      <c r="A73" s="35"/>
      <c r="B73" s="87" t="s">
        <v>169</v>
      </c>
      <c r="C73" s="35">
        <f t="shared" si="584"/>
        <v>10149.619014366712</v>
      </c>
      <c r="D73" s="60"/>
      <c r="E73" s="35">
        <f>(F$27/F$13*Assump!$D$59*Assump!$E$59-E$27/E$13*Assump!$D$59*Assump!$E$59)*(1+Assump!$D$25)</f>
        <v>0</v>
      </c>
      <c r="F73" s="35">
        <f>(G$27/G$13*Assump!$D$59*Assump!$E$59-F$27/F$13*Assump!$D$59*Assump!$E$59)*(1+Assump!$D$25)</f>
        <v>0</v>
      </c>
      <c r="G73" s="35">
        <f>(H$27/H$13*Assump!$D$59*Assump!$E$59-G$27/G$13*Assump!$D$59*Assump!$E$59)*(1+Assump!$D$25)</f>
        <v>0</v>
      </c>
      <c r="H73" s="35">
        <f>(I$27/I$13*Assump!$D$59*Assump!$E$59-H$27/H$13*Assump!$D$59*Assump!$E$59)*(1+Assump!$D$25)</f>
        <v>0</v>
      </c>
      <c r="I73" s="35">
        <f>(J$27/J$13*Assump!$D$59*Assump!$E$59-I$27/I$13*Assump!$D$59*Assump!$E$59)*(1+Assump!$D$25)</f>
        <v>0</v>
      </c>
      <c r="J73" s="35">
        <f>(K$27/K$13*Assump!$D$59*Assump!$E$59-J$27/J$13*Assump!$D$59*Assump!$E$59)*(1+Assump!$D$25)</f>
        <v>0</v>
      </c>
      <c r="K73" s="35">
        <f>(L$27/L$13*Assump!$D$59*Assump!$E$59-K$27/K$13*Assump!$D$59*Assump!$E$59)*(1+Assump!$D$25)</f>
        <v>0</v>
      </c>
      <c r="L73" s="35">
        <f>(M$27/M$13*Assump!$D$59*Assump!$E$59-L$27/L$13*Assump!$D$59*Assump!$E$59)*(1+Assump!$D$25)</f>
        <v>0</v>
      </c>
      <c r="M73" s="35">
        <f>(N$27/N$13*Assump!$D$59*Assump!$E$59-M$27/M$13*Assump!$D$59*Assump!$E$59)*(1+Assump!$D$25)</f>
        <v>0</v>
      </c>
      <c r="N73" s="35">
        <f>(O$27/O$13*Assump!$D$59*Assump!$E$59-N$27/N$13*Assump!$D$59*Assump!$E$59)*(1+Assump!$D$25)</f>
        <v>0</v>
      </c>
      <c r="O73" s="35">
        <f>(P$27/P$13*Assump!$D$59*Assump!$E$59-O$27/O$13*Assump!$D$59*Assump!$E$59)*(1+Assump!$D$25)</f>
        <v>0</v>
      </c>
      <c r="P73" s="35">
        <f>(Q$27/Q$13*Assump!$D$59*Assump!$E$59-P$27/P$13*Assump!$D$59*Assump!$E$59)*(1+Assump!$D$25)</f>
        <v>0</v>
      </c>
      <c r="Q73" s="35">
        <f>(R$27/R$13*Assump!$D$59*Assump!$E$59-Q$27/Q$13*Assump!$D$59*Assump!$E$59)*(1+Assump!$D$25)</f>
        <v>0</v>
      </c>
      <c r="R73" s="35">
        <f>(S$27/S$13*Assump!$D$59*Assump!$E$59-R$27/R$13*Assump!$D$59*Assump!$E$59)*(1+Assump!$D$25)</f>
        <v>0</v>
      </c>
      <c r="S73" s="35">
        <f>(T$27/T$13*Assump!$D$59*Assump!$E$59-S$27/S$13*Assump!$D$59*Assump!$E$59)*(1+Assump!$D$25)</f>
        <v>0</v>
      </c>
      <c r="T73" s="35">
        <f>(U$27/U$13*Assump!$D$59*Assump!$E$59-T$27/T$13*Assump!$D$59*Assump!$E$59)*(1+Assump!$D$25)</f>
        <v>0</v>
      </c>
      <c r="U73" s="35">
        <f>(V$27/V$13*Assump!$D$59*Assump!$E$59-U$27/U$13*Assump!$D$59*Assump!$E$59)*(1+Assump!$D$25)</f>
        <v>0</v>
      </c>
      <c r="V73" s="35">
        <f>(W$27/W$13*Assump!$D$59*Assump!$E$59-V$27/V$13*Assump!$D$59*Assump!$E$59)*(1+Assump!$D$25)</f>
        <v>7315.7749874607889</v>
      </c>
      <c r="W73" s="35">
        <f>(X$27/X$13*Assump!$D$59*Assump!$E$59-W$27/W$13*Assump!$D$59*Assump!$E$59)*(1+Assump!$D$25)</f>
        <v>1425.8038465361169</v>
      </c>
      <c r="X73" s="35">
        <f>(Y$27/Y$13*Assump!$D$59*Assump!$E$59-X$27/X$13*Assump!$D$59*Assump!$E$59)*(1+Assump!$D$25)</f>
        <v>-3992.3403334881323</v>
      </c>
      <c r="Y73" s="35">
        <f>(Z$27/Z$13*Assump!$D$59*Assump!$E$59-Y$27/Y$13*Assump!$D$59*Assump!$E$59)*(1+Assump!$D$25)</f>
        <v>1394.3006142542508</v>
      </c>
      <c r="Z73" s="35">
        <f>(AA$27/AA$13*Assump!$D$59*Assump!$E$59-Z$27/Z$13*Assump!$D$59*Assump!$E$59)*(1+Assump!$D$25)</f>
        <v>1480.6689185284627</v>
      </c>
      <c r="AA73" s="35">
        <f>(AB$27/AB$13*Assump!$D$59*Assump!$E$59-AA$27/AA$13*Assump!$D$59*Assump!$E$59)*(1+Assump!$D$25)</f>
        <v>1492.7769284476692</v>
      </c>
      <c r="AB73" s="35">
        <f>(AC$27/AC$13*Assump!$D$59*Assump!$E$59-AB$27/AB$13*Assump!$D$59*Assump!$E$59)*(1+Assump!$D$25)</f>
        <v>-4180.7055996455065</v>
      </c>
      <c r="AC73" s="35">
        <f>(AD$27/AD$13*Assump!$D$59*Assump!$E$59-AC$27/AC$13*Assump!$D$59*Assump!$E$59)*(1+Assump!$D$25)</f>
        <v>1751.6452155113652</v>
      </c>
      <c r="AD73" s="35">
        <f>(AE$27/AE$13*Assump!$D$59*Assump!$E$59-AD$27/AD$13*Assump!$D$59*Assump!$E$59)*(1+Assump!$D$25)</f>
        <v>1596.8328926293314</v>
      </c>
      <c r="AE73" s="35">
        <f>(AF$27/AF$13*Assump!$D$59*Assump!$E$59-AE$27/AE$13*Assump!$D$59*Assump!$E$59)*(1+Assump!$D$25)</f>
        <v>1605.506435991467</v>
      </c>
      <c r="AF73" s="35">
        <f>(AG$27/AG$13*Assump!$D$59*Assump!$E$59-AF$27/AF$13*Assump!$D$59*Assump!$E$59)*(1+Assump!$D$25)</f>
        <v>-4502.4749051137751</v>
      </c>
      <c r="AG73" s="35">
        <f>(AH$27/AH$13*Assump!$D$59*Assump!$E$59-AG$27/AG$13*Assump!$D$59*Assump!$E$59)*(1+Assump!$D$25)</f>
        <v>2706.578527565759</v>
      </c>
      <c r="AH73" s="35">
        <f>(AI$27/AI$13*Assump!$D$59*Assump!$E$59-AH$27/AH$13*Assump!$D$59*Assump!$E$59)*(1+Assump!$D$25)</f>
        <v>1583.6626614760746</v>
      </c>
      <c r="AI73" s="35">
        <f>(AJ$27/AJ$13*Assump!$D$59*Assump!$E$59-AI$27/AI$13*Assump!$D$59*Assump!$E$59)*(1+Assump!$D$25)</f>
        <v>-4494.9368599555401</v>
      </c>
      <c r="AJ73" s="35">
        <f>(AK$27/AK$13*Assump!$D$59*Assump!$E$59-AJ$27/AJ$13*Assump!$D$59*Assump!$E$59)*(1+Assump!$D$25)</f>
        <v>1686.5683283198632</v>
      </c>
      <c r="AK73" s="35">
        <f>(AL$27/AL$13*Assump!$D$59*Assump!$E$59-AK$27/AK$13*Assump!$D$59*Assump!$E$59)*(1+Assump!$D$25)</f>
        <v>1829.3336852278676</v>
      </c>
      <c r="AL73" s="35">
        <f>(AM$27/AM$13*Assump!$D$59*Assump!$E$59-AL$27/AL$13*Assump!$D$59*Assump!$E$59)*(1+Assump!$D$25)</f>
        <v>1799.9001874782632</v>
      </c>
      <c r="AM73" s="35">
        <f>(AN$27/AN$13*Assump!$D$59*Assump!$E$59-AM$27/AM$13*Assump!$D$59*Assump!$E$59)*(1+Assump!$D$25)</f>
        <v>-4841.7170800566855</v>
      </c>
      <c r="AN73" s="35">
        <f>(AO$27/AO$13*Assump!$D$59*Assump!$E$59-AN$27/AN$13*Assump!$D$59*Assump!$E$59)*(1+Assump!$D$25)</f>
        <v>2657.1447168764025</v>
      </c>
      <c r="AO73" s="35">
        <f>(AP$27/AP$13*Assump!$D$59*Assump!$E$59-AO$27/AO$13*Assump!$D$59*Assump!$E$59)*(1+Assump!$D$25)</f>
        <v>1960.5188838359859</v>
      </c>
      <c r="AP73" s="35">
        <f>(AQ$27/AQ$13*Assump!$D$59*Assump!$E$59-AP$27/AP$13*Assump!$D$59*Assump!$E$59)*(1+Assump!$D$25)</f>
        <v>-4772.7891321310299</v>
      </c>
      <c r="AQ73" s="35">
        <f>(AR$27/AR$13*Assump!$D$59*Assump!$E$59-AQ$27/AQ$13*Assump!$D$59*Assump!$E$59)*(1+Assump!$D$25)</f>
        <v>1711.0918216951056</v>
      </c>
      <c r="AR73" s="35">
        <f>(AS$27/AS$13*Assump!$D$59*Assump!$E$59-AR$27/AR$13*Assump!$D$59*Assump!$E$59)*(1+Assump!$D$25)</f>
        <v>1821.5183574138985</v>
      </c>
      <c r="AS73" s="35">
        <f>(AT$27/AT$13*Assump!$D$59*Assump!$E$59-AS$27/AS$13*Assump!$D$59*Assump!$E$59)*(1+Assump!$D$25)</f>
        <v>2111.6643234584894</v>
      </c>
      <c r="AT73" s="35">
        <f>(AU$27/AU$13*Assump!$D$59*Assump!$E$59-AT$27/AT$13*Assump!$D$59*Assump!$E$59)*(1+Assump!$D$25)</f>
        <v>-5141.0149126154593</v>
      </c>
      <c r="AU73" s="35">
        <f>(AV$27/AV$13*Assump!$D$59*Assump!$E$59-AU$27/AU$13*Assump!$D$59*Assump!$E$59)*(1+Assump!$D$25)</f>
        <v>2724.726816745213</v>
      </c>
      <c r="AV73" s="35">
        <f>(AW$27/AW$13*Assump!$D$59*Assump!$E$59-AV$27/AV$13*Assump!$D$59*Assump!$E$59)*(1+Assump!$D$25)</f>
        <v>1824.0103898870459</v>
      </c>
      <c r="AW73" s="35">
        <f>(AX$27/AX$13*Assump!$D$59*Assump!$E$59-AW$27/AW$13*Assump!$D$59*Assump!$E$59)*(1+Assump!$D$25)</f>
        <v>-4712.7035331997695</v>
      </c>
      <c r="AX73" s="35">
        <f>(AY$27/AY$13*Assump!$D$59*Assump!$E$59-AX$27/AX$13*Assump!$D$59*Assump!$E$59)*(1+Assump!$D$25)</f>
        <v>1815.6843885532974</v>
      </c>
      <c r="AY73" s="35">
        <f>(AZ$27/AZ$13*Assump!$D$59*Assump!$E$59-AY$27/AY$13*Assump!$D$59*Assump!$E$59)*(1+Assump!$D$25)</f>
        <v>1829.3656821140855</v>
      </c>
      <c r="AZ73" s="35">
        <f>(BA$27/BA$13*Assump!$D$59*Assump!$E$59-AZ$27/AZ$13*Assump!$D$59*Assump!$E$59)*(1+Assump!$D$25)</f>
        <v>1962.820500643752</v>
      </c>
      <c r="BA73" s="35">
        <f>(BB$27/BB$13*Assump!$D$59*Assump!$E$59-BA$27/BA$13*Assump!$D$59*Assump!$E$59)*(1+Assump!$D$25)</f>
        <v>-5143.6386192585715</v>
      </c>
      <c r="BB73" s="35">
        <f>(BC$27/BC$13*Assump!$D$59*Assump!$E$59-BB$27/BB$13*Assump!$D$59*Assump!$E$59)*(1+Assump!$D$25)</f>
        <v>2961.6943805799278</v>
      </c>
      <c r="BC73" s="35">
        <f>(BD$27/BD$13*Assump!$D$59*Assump!$E$59-BC$27/BC$13*Assump!$D$59*Assump!$E$59)*(1+Assump!$D$25)</f>
        <v>1814.4796863839431</v>
      </c>
      <c r="BD73" s="35">
        <f>(BE$27/BE$13*Assump!$D$59*Assump!$E$59-BD$27/BD$13*Assump!$D$59*Assump!$E$59)*(1+Assump!$D$25)</f>
        <v>-5081.6737857791113</v>
      </c>
      <c r="BE73" s="35">
        <f>(BF$27/BF$13*Assump!$D$59*Assump!$E$59-BE$27/BE$13*Assump!$D$59*Assump!$E$59)*(1+Assump!$D$25)</f>
        <v>2129.1357072366618</v>
      </c>
      <c r="BF73" s="35">
        <f>(BG$27/BG$13*Assump!$D$59*Assump!$E$59-BF$27/BF$13*Assump!$D$59*Assump!$E$59)*(1+Assump!$D$25)</f>
        <v>1940.9603611965299</v>
      </c>
      <c r="BG73" s="35">
        <f>(BH$27/BH$13*Assump!$D$59*Assump!$E$59-BG$27/BG$13*Assump!$D$59*Assump!$E$59)*(1+Assump!$D$25)</f>
        <v>1951.5031073628552</v>
      </c>
      <c r="BH73" s="35">
        <f>(BI$27/BI$13*Assump!$D$59*Assump!$E$59-BH$27/BH$13*Assump!$D$59*Assump!$E$59)*(1+Assump!$D$25)</f>
        <v>-5472.7863876339516</v>
      </c>
      <c r="BI73" s="35">
        <f>(BJ$27/BJ$13*Assump!$D$59*Assump!$E$59-BI$27/BI$13*Assump!$D$59*Assump!$E$59)*(1+Assump!$D$25)</f>
        <v>3289.8631163719815</v>
      </c>
      <c r="BJ73" s="35">
        <f>(BK$27/BK$13*Assump!$D$59*Assump!$E$59-BJ$27/BJ$13*Assump!$D$59*Assump!$E$59)*(1+Assump!$D$25)</f>
        <v>1924.951862915801</v>
      </c>
      <c r="BK73" s="35">
        <f>(BL$27/BL$13*Assump!$D$59*Assump!$E$59-BK$27/BK$13*Assump!$D$59*Assump!$E$59)*(1+Assump!$D$25)</f>
        <v>-5463.6238466313334</v>
      </c>
      <c r="BL73" s="35">
        <f>(BM$27/BM$13*Assump!$D$59*Assump!$E$59-BL$27/BL$13*Assump!$D$59*Assump!$E$59)*(1+Assump!$D$25)</f>
        <v>2050.0343441248451</v>
      </c>
      <c r="BM73" s="35">
        <f>(BN$27/BN$13*Assump!$D$59*Assump!$E$59-BM$27/BM$13*Assump!$D$59*Assump!$E$59)*(1+Assump!$D$25)</f>
        <v>2341.0518967193834</v>
      </c>
      <c r="BN73" s="35">
        <f>(BO$27/BO$13*Assump!$D$59*Assump!$E$59-BN$27/BN$13*Assump!$D$59*Assump!$E$59)*(1+Assump!$D$25)</f>
        <v>2070.3045582666227</v>
      </c>
      <c r="BO73" s="35">
        <f>(BP$27/BP$13*Assump!$D$59*Assump!$E$59-BO$27/BO$13*Assump!$D$59*Assump!$E$59)*(1+Assump!$D$25)</f>
        <v>-5885.1373715406526</v>
      </c>
      <c r="BP73" s="35">
        <f>(BQ$27/BQ$13*Assump!$D$59*Assump!$E$59-BP$27/BP$13*Assump!$D$59*Assump!$E$59)*(1+Assump!$D$25)</f>
        <v>3229.7760105177467</v>
      </c>
      <c r="BQ73" s="35">
        <f>(BR$27/BR$13*Assump!$D$59*Assump!$E$59-BQ$27/BQ$13*Assump!$D$59*Assump!$E$59)*(1+Assump!$D$25)</f>
        <v>2245.7797177344232</v>
      </c>
      <c r="BR73" s="35">
        <f>(BS$27/BS$13*Assump!$D$59*Assump!$E$59-BR$27/BR$13*Assump!$D$59*Assump!$E$59)*(1+Assump!$D$25)</f>
        <v>-5664.1117812260991</v>
      </c>
      <c r="BS73" s="35">
        <f>(BT$27/BT$13*Assump!$D$59*Assump!$E$59-BS$27/BS$13*Assump!$D$59*Assump!$E$59)*(1+Assump!$D$25)</f>
        <v>2079.8428035942857</v>
      </c>
      <c r="BT73" s="35">
        <f>(BU$27/BU$13*Assump!$D$59*Assump!$E$59-BT$27/BT$13*Assump!$D$59*Assump!$E$59)*(1+Assump!$D$25)</f>
        <v>2214.0669479263302</v>
      </c>
      <c r="BU73" s="35">
        <f>(BV$27/BV$13*Assump!$D$59*Assump!$E$59-BU$27/BU$13*Assump!$D$59*Assump!$E$59)*(1+Assump!$D$25)</f>
        <v>2566.7411830658129</v>
      </c>
      <c r="BV73" s="35">
        <f>(BW$27/BW$13*Assump!$D$59*Assump!$E$59-BV$27/BV$13*Assump!$D$59*Assump!$E$59)*(1+Assump!$D$25)</f>
        <v>-6248.9357576272942</v>
      </c>
      <c r="BW73" s="35">
        <f>(BX$27/BX$13*Assump!$D$59*Assump!$E$59-BW$27/BW$13*Assump!$D$59*Assump!$E$59)*(1+Assump!$D$25)</f>
        <v>3311.9224752964101</v>
      </c>
      <c r="BX73" s="35">
        <f>(BY$27/BY$13*Assump!$D$59*Assump!$E$59-BX$27/BX$13*Assump!$D$59*Assump!$E$59)*(1+Assump!$D$25)</f>
        <v>2217.0960289726418</v>
      </c>
      <c r="BY73" s="35">
        <f>(BZ$27/BZ$13*Assump!$D$59*Assump!$E$59-BY$27/BY$13*Assump!$D$59*Assump!$E$59)*(1+Assump!$D$25)</f>
        <v>-5728.3205990014039</v>
      </c>
      <c r="BZ73" s="35">
        <f>(CA$27/CA$13*Assump!$D$59*Assump!$E$59-BZ$27/BZ$13*Assump!$D$59*Assump!$E$59)*(1+Assump!$D$25)</f>
        <v>2206.9757223139641</v>
      </c>
      <c r="CA73" s="35">
        <f>(CB$27/CB$13*Assump!$D$59*Assump!$E$59-CA$27/CA$13*Assump!$D$59*Assump!$E$59)*(1+Assump!$D$25)</f>
        <v>2223.6054201451807</v>
      </c>
      <c r="CB73" s="35">
        <f>(CC$27/CC$13*Assump!$D$59*Assump!$E$59-CB$27/CB$13*Assump!$D$59*Assump!$E$59)*(1+Assump!$D$25)</f>
        <v>2385.820586160617</v>
      </c>
      <c r="CC73" s="35">
        <f>(CD$27/CD$13*Assump!$D$59*Assump!$E$59-CC$27/CC$13*Assump!$D$59*Assump!$E$59)*(1+Assump!$D$25)</f>
        <v>-6166.9641157481483</v>
      </c>
      <c r="CD73" s="35">
        <f>(CE$27/CE$13*Assump!$D$59*Assump!$E$59-CD$27/CD$13*Assump!$D$59*Assump!$E$59)*(1+Assump!$D$25)</f>
        <v>3514.7972564827592</v>
      </c>
      <c r="CE73" s="35">
        <f>(CF$27/CF$13*Assump!$D$59*Assump!$E$59-CE$27/CE$13*Assump!$D$59*Assump!$E$59)*(1+Assump!$D$25)</f>
        <v>2205.5113992977226</v>
      </c>
      <c r="CF73" s="35">
        <f>(CG$27/CG$13*Assump!$D$59*Assump!$E$59-CF$27/CF$13*Assump!$D$59*Assump!$E$59)*(1+Assump!$D$25)</f>
        <v>-6176.8062470756686</v>
      </c>
      <c r="CG73" s="35">
        <f>(CH$27/CH$13*Assump!$D$59*Assump!$E$59-CG$27/CG$13*Assump!$D$59*Assump!$E$59)*(1+Assump!$D$25)</f>
        <v>2479.3941265538565</v>
      </c>
      <c r="CH73" s="35">
        <f>(CI$27/CI$13*Assump!$D$59*Assump!$E$59-CH$27/CH$13*Assump!$D$59*Assump!$E$59)*(1+Assump!$D$25)</f>
        <v>2467.8330827271134</v>
      </c>
      <c r="CI73" s="35">
        <f>(CJ$27/CJ$13*Assump!$D$59*Assump!$E$59-CI$27/CI$13*Assump!$D$59*Assump!$E$59)*(1+Assump!$D$25)</f>
        <v>2372.0642238939718</v>
      </c>
      <c r="CJ73" s="35">
        <f>(CK$27/CK$13*Assump!$D$59*Assump!$E$59-CJ$27/CJ$13*Assump!$D$59*Assump!$E$59)*(1+Assump!$D$25)</f>
        <v>-6652.206059083991</v>
      </c>
      <c r="CK73" s="35">
        <f>(CL$27/CL$13*Assump!$D$59*Assump!$E$59-CK$27/CK$13*Assump!$D$59*Assump!$E$59)*(1+Assump!$D$25)</f>
        <v>3998.8491795946165</v>
      </c>
      <c r="CL73" s="35">
        <f>(CM$27/CM$13*Assump!$D$59*Assump!$E$59-CL$27/CL$13*Assump!$D$59*Assump!$E$59)*(1+Assump!$D$25)</f>
        <v>2339.7910203233046</v>
      </c>
      <c r="CM73" s="35">
        <f>(CN$27/CN$13*Assump!$D$59*Assump!$E$59-CM$27/CM$13*Assump!$D$59*Assump!$E$59)*(1+Assump!$D$25)</f>
        <v>-6641.0689332294305</v>
      </c>
      <c r="CN73" s="35">
        <f>(CO$27/CO$13*Assump!$D$59*Assump!$E$59-CN$27/CN$13*Assump!$D$59*Assump!$E$59)*(1+Assump!$D$25)</f>
        <v>2491.8295579984015</v>
      </c>
      <c r="CO73" s="35"/>
    </row>
    <row r="74" spans="1:93" ht="12.75" customHeight="1">
      <c r="A74" s="35"/>
      <c r="B74" s="87" t="s">
        <v>170</v>
      </c>
      <c r="C74" s="35">
        <f t="shared" si="584"/>
        <v>-17612.915749647109</v>
      </c>
      <c r="D74" s="60"/>
      <c r="E74" s="35">
        <f>IF(D13=0,0,(D$27/D$13*Assump!$D$60*Assump!$E$60+D$27/D$13*Assump!$D$61*Assump!$E$61-(E$27/E$13*Assump!$D$60*Assump!$E$60+E$27/E$13*Assump!$D$61*Assump!$E$61))*(1+Assump!$D$25))</f>
        <v>0</v>
      </c>
      <c r="F74" s="35">
        <f>IF(E13=0,0,(E$27/E$13*Assump!$D$60*Assump!$E$60+E$27/E$13*Assump!$D$61*Assump!$E$61-(F$27/F$13*Assump!$D$60*Assump!$E$60+F$27/F$13*Assump!$D$61*Assump!$E$61))*(1+Assump!$D$25))</f>
        <v>0</v>
      </c>
      <c r="G74" s="35">
        <f>IF(F13=0,0,(F$27/F$13*Assump!$D$60*Assump!$E$60+F$27/F$13*Assump!$D$61*Assump!$E$61-(G$27/G$13*Assump!$D$60*Assump!$E$60+G$27/G$13*Assump!$D$61*Assump!$E$61))*(1+Assump!$D$25))</f>
        <v>0</v>
      </c>
      <c r="H74" s="35">
        <f>IF(G13=0,0,(G$27/G$13*Assump!$D$60*Assump!$E$60+G$27/G$13*Assump!$D$61*Assump!$E$61-(H$27/H$13*Assump!$D$60*Assump!$E$60+H$27/H$13*Assump!$D$61*Assump!$E$61))*(1+Assump!$D$25))</f>
        <v>0</v>
      </c>
      <c r="I74" s="35">
        <f>IF(H13=0,0,(H$27/H$13*Assump!$D$60*Assump!$E$60+H$27/H$13*Assump!$D$61*Assump!$E$61-(I$27/I$13*Assump!$D$60*Assump!$E$60+I$27/I$13*Assump!$D$61*Assump!$E$61))*(1+Assump!$D$25))</f>
        <v>0</v>
      </c>
      <c r="J74" s="35">
        <f>IF(I13=0,0,(I$27/I$13*Assump!$D$60*Assump!$E$60+I$27/I$13*Assump!$D$61*Assump!$E$61-(J$27/J$13*Assump!$D$60*Assump!$E$60+J$27/J$13*Assump!$D$61*Assump!$E$61))*(1+Assump!$D$25))</f>
        <v>0</v>
      </c>
      <c r="K74" s="35">
        <f>IF(J13=0,0,(J$27/J$13*Assump!$D$60*Assump!$E$60+J$27/J$13*Assump!$D$61*Assump!$E$61-(K$27/K$13*Assump!$D$60*Assump!$E$60+K$27/K$13*Assump!$D$61*Assump!$E$61))*(1+Assump!$D$25))</f>
        <v>0</v>
      </c>
      <c r="L74" s="35">
        <f>IF(K13=0,0,(K$27/K$13*Assump!$D$60*Assump!$E$60+K$27/K$13*Assump!$D$61*Assump!$E$61-(L$27/L$13*Assump!$D$60*Assump!$E$60+L$27/L$13*Assump!$D$61*Assump!$E$61))*(1+Assump!$D$25))</f>
        <v>0</v>
      </c>
      <c r="M74" s="35">
        <f>IF(L13=0,0,(L$27/L$13*Assump!$D$60*Assump!$E$60+L$27/L$13*Assump!$D$61*Assump!$E$61-(M$27/M$13*Assump!$D$60*Assump!$E$60+M$27/M$13*Assump!$D$61*Assump!$E$61))*(1+Assump!$D$25))</f>
        <v>0</v>
      </c>
      <c r="N74" s="35">
        <f>IF(M13=0,0,(M$27/M$13*Assump!$D$60*Assump!$E$60+M$27/M$13*Assump!$D$61*Assump!$E$61-(N$27/N$13*Assump!$D$60*Assump!$E$60+N$27/N$13*Assump!$D$61*Assump!$E$61))*(1+Assump!$D$25))</f>
        <v>0</v>
      </c>
      <c r="O74" s="35">
        <f>IF(N13=0,0,(N$27/N$13*Assump!$D$60*Assump!$E$60+N$27/N$13*Assump!$D$61*Assump!$E$61-(O$27/O$13*Assump!$D$60*Assump!$E$60+O$27/O$13*Assump!$D$61*Assump!$E$61))*(1+Assump!$D$25))</f>
        <v>0</v>
      </c>
      <c r="P74" s="35">
        <f>IF(O13=0,0,(O$27/O$13*Assump!$D$60*Assump!$E$60+O$27/O$13*Assump!$D$61*Assump!$E$61-(P$27/P$13*Assump!$D$60*Assump!$E$60+P$27/P$13*Assump!$D$61*Assump!$E$61))*(1+Assump!$D$25))</f>
        <v>0</v>
      </c>
      <c r="Q74" s="35">
        <f>IF(P13=0,0,(P$27/P$13*Assump!$D$60*Assump!$E$60+P$27/P$13*Assump!$D$61*Assump!$E$61-(Q$27/Q$13*Assump!$D$60*Assump!$E$60+Q$27/Q$13*Assump!$D$61*Assump!$E$61))*(1+Assump!$D$25))</f>
        <v>0</v>
      </c>
      <c r="R74" s="35">
        <f>IF(Q13=0,0,(Q$27/Q$13*Assump!$D$60*Assump!$E$60+Q$27/Q$13*Assump!$D$61*Assump!$E$61-(R$27/R$13*Assump!$D$60*Assump!$E$60+R$27/R$13*Assump!$D$61*Assump!$E$61))*(1+Assump!$D$25))</f>
        <v>0</v>
      </c>
      <c r="S74" s="35">
        <f>IF(R13=0,0,(R$27/R$13*Assump!$D$60*Assump!$E$60+R$27/R$13*Assump!$D$61*Assump!$E$61-(S$27/S$13*Assump!$D$60*Assump!$E$60+S$27/S$13*Assump!$D$61*Assump!$E$61))*(1+Assump!$D$25))</f>
        <v>0</v>
      </c>
      <c r="T74" s="35">
        <f>IF(S13=0,0,(S$27/S$13*Assump!$D$60*Assump!$E$60+S$27/S$13*Assump!$D$61*Assump!$E$61-(T$27/T$13*Assump!$D$60*Assump!$E$60+T$27/T$13*Assump!$D$61*Assump!$E$61))*(1+Assump!$D$25))</f>
        <v>0</v>
      </c>
      <c r="U74" s="35">
        <f>IF(T13=0,0,(T$27/T$13*Assump!$D$60*Assump!$E$60+T$27/T$13*Assump!$D$61*Assump!$E$61-(U$27/U$13*Assump!$D$60*Assump!$E$60+U$27/U$13*Assump!$D$61*Assump!$E$61))*(1+Assump!$D$25))</f>
        <v>0</v>
      </c>
      <c r="V74" s="35">
        <f>IF(U13=0,0,(U$27/U$13*Assump!$D$60*Assump!$E$60+U$27/U$13*Assump!$D$61*Assump!$E$61-(V$27/V$13*Assump!$D$60*Assump!$E$60+V$27/V$13*Assump!$D$61*Assump!$E$61))*(1+Assump!$D$25))</f>
        <v>0</v>
      </c>
      <c r="W74" s="35">
        <f>IF(V13=0,0,(V$27/V$13*Assump!$D$60*Assump!$E$60+V$27/V$13*Assump!$D$61*Assump!$E$61-(W$27/W$13*Assump!$D$60*Assump!$E$60+W$27/W$13*Assump!$D$61*Assump!$E$61))*(1+Assump!$D$25))</f>
        <v>-16826.282471159815</v>
      </c>
      <c r="X74" s="35">
        <f>IF(W13=0,0,(W$27/W$13*Assump!$D$60*Assump!$E$60+W$27/W$13*Assump!$D$61*Assump!$E$61-(X$27/X$13*Assump!$D$60*Assump!$E$60+X$27/X$13*Assump!$D$61*Assump!$E$61))*(1+Assump!$D$25))</f>
        <v>-3279.3488470330644</v>
      </c>
      <c r="Y74" s="35">
        <f>IF(X13=0,0,(X$27/X$13*Assump!$D$60*Assump!$E$60+X$27/X$13*Assump!$D$61*Assump!$E$61-(Y$27/Y$13*Assump!$D$60*Assump!$E$60+Y$27/Y$13*Assump!$D$61*Assump!$E$61))*(1+Assump!$D$25))</f>
        <v>9182.382767022702</v>
      </c>
      <c r="Z74" s="35">
        <f>IF(Y13=0,0,(Y$27/Y$13*Assump!$D$60*Assump!$E$60+Y$27/Y$13*Assump!$D$61*Assump!$E$61-(Z$27/Z$13*Assump!$D$60*Assump!$E$60+Z$27/Z$13*Assump!$D$61*Assump!$E$61))*(1+Assump!$D$25))</f>
        <v>-3206.8914127847788</v>
      </c>
      <c r="AA74" s="35">
        <f>IF(Z13=0,0,(Z$27/Z$13*Assump!$D$60*Assump!$E$60+Z$27/Z$13*Assump!$D$61*Assump!$E$61-(AA$27/AA$13*Assump!$D$60*Assump!$E$60+AA$27/AA$13*Assump!$D$61*Assump!$E$61))*(1+Assump!$D$25))</f>
        <v>-3405.5385126154642</v>
      </c>
      <c r="AB74" s="35">
        <f>IF(AA13=0,0,(AA$27/AA$13*Assump!$D$60*Assump!$E$60+AA$27/AA$13*Assump!$D$61*Assump!$E$61-(AB$27/AB$13*Assump!$D$60*Assump!$E$60+AB$27/AB$13*Assump!$D$61*Assump!$E$61))*(1+Assump!$D$25))</f>
        <v>-3433.3869354296389</v>
      </c>
      <c r="AC74" s="35">
        <f>IF(AB13=0,0,(AB$27/AB$13*Assump!$D$60*Assump!$E$60+AB$27/AB$13*Assump!$D$61*Assump!$E$61-(AC$27/AC$13*Assump!$D$60*Assump!$E$60+AC$27/AC$13*Assump!$D$61*Assump!$E$61))*(1+Assump!$D$25))</f>
        <v>9615.6228791846643</v>
      </c>
      <c r="AD74" s="35">
        <f>IF(AC13=0,0,(AC$27/AC$13*Assump!$D$60*Assump!$E$60+AC$27/AC$13*Assump!$D$61*Assump!$E$61-(AD$27/AD$13*Assump!$D$60*Assump!$E$60+AD$27/AD$13*Assump!$D$61*Assump!$E$61))*(1+Assump!$D$25))</f>
        <v>-4028.7839956761381</v>
      </c>
      <c r="AE74" s="35">
        <f>IF(AD13=0,0,(AD$27/AD$13*Assump!$D$60*Assump!$E$60+AD$27/AD$13*Assump!$D$61*Assump!$E$61-(AE$27/AE$13*Assump!$D$60*Assump!$E$60+AE$27/AE$13*Assump!$D$61*Assump!$E$61))*(1+Assump!$D$25))</f>
        <v>-3672.7156530474604</v>
      </c>
      <c r="AF74" s="35">
        <f>IF(AE13=0,0,(AE$27/AE$13*Assump!$D$60*Assump!$E$60+AE$27/AE$13*Assump!$D$61*Assump!$E$61-(AF$27/AF$13*Assump!$D$60*Assump!$E$60+AF$27/AF$13*Assump!$D$61*Assump!$E$61))*(1+Assump!$D$25))</f>
        <v>-3692.664802780379</v>
      </c>
      <c r="AG74" s="35">
        <f>IF(AF13=0,0,(AF$27/AF$13*Assump!$D$60*Assump!$E$60+AF$27/AF$13*Assump!$D$61*Assump!$E$61-(AG$27/AG$13*Assump!$D$60*Assump!$E$60+AG$27/AG$13*Assump!$D$61*Assump!$E$61))*(1+Assump!$D$25))</f>
        <v>10355.692281761685</v>
      </c>
      <c r="AH74" s="35">
        <f>IF(AG13=0,0,(AG$27/AG$13*Assump!$D$60*Assump!$E$60+AG$27/AG$13*Assump!$D$61*Assump!$E$61-(AH$27/AH$13*Assump!$D$60*Assump!$E$60+AH$27/AH$13*Assump!$D$61*Assump!$E$61))*(1+Assump!$D$25))</f>
        <v>-6225.1306134012466</v>
      </c>
      <c r="AI74" s="35">
        <f>IF(AH13=0,0,(AH$27/AH$13*Assump!$D$60*Assump!$E$60+AH$27/AH$13*Assump!$D$61*Assump!$E$61-(AI$27/AI$13*Assump!$D$60*Assump!$E$60+AI$27/AI$13*Assump!$D$61*Assump!$E$61))*(1+Assump!$D$25))</f>
        <v>-3642.4241213949717</v>
      </c>
      <c r="AJ74" s="35">
        <f>IF(AI13=0,0,(AI$27/AI$13*Assump!$D$60*Assump!$E$60+AI$27/AI$13*Assump!$D$61*Assump!$E$61-(AJ$27/AJ$13*Assump!$D$60*Assump!$E$60+AJ$27/AJ$13*Assump!$D$61*Assump!$E$61))*(1+Assump!$D$25))</f>
        <v>10338.354777897744</v>
      </c>
      <c r="AK74" s="35">
        <f>IF(AJ13=0,0,(AJ$27/AJ$13*Assump!$D$60*Assump!$E$60+AJ$27/AJ$13*Assump!$D$61*Assump!$E$61-(AK$27/AK$13*Assump!$D$60*Assump!$E$60+AK$27/AK$13*Assump!$D$61*Assump!$E$61))*(1+Assump!$D$25))</f>
        <v>-3879.107155135684</v>
      </c>
      <c r="AL74" s="35">
        <f>IF(AK13=0,0,(AK$27/AK$13*Assump!$D$60*Assump!$E$60+AK$27/AK$13*Assump!$D$61*Assump!$E$61-(AL$27/AL$13*Assump!$D$60*Assump!$E$60+AL$27/AL$13*Assump!$D$61*Assump!$E$61))*(1+Assump!$D$25))</f>
        <v>-4207.4674760240932</v>
      </c>
      <c r="AM74" s="35">
        <f>IF(AL13=0,0,(AL$27/AL$13*Assump!$D$60*Assump!$E$60+AL$27/AL$13*Assump!$D$61*Assump!$E$61-(AM$27/AM$13*Assump!$D$60*Assump!$E$60+AM$27/AM$13*Assump!$D$61*Assump!$E$61))*(1+Assump!$D$25))</f>
        <v>-4139.7704312000114</v>
      </c>
      <c r="AN74" s="35">
        <f>IF(AM13=0,0,(AM$27/AM$13*Assump!$D$60*Assump!$E$60+AM$27/AM$13*Assump!$D$61*Assump!$E$61-(AN$27/AN$13*Assump!$D$60*Assump!$E$60+AN$27/AN$13*Assump!$D$61*Assump!$E$61))*(1+Assump!$D$25))</f>
        <v>11135.949284130378</v>
      </c>
      <c r="AO74" s="35">
        <f>IF(AN13=0,0,(AN$27/AN$13*Assump!$D$60*Assump!$E$60+AN$27/AN$13*Assump!$D$61*Assump!$E$61-(AO$27/AO$13*Assump!$D$60*Assump!$E$60+AO$27/AO$13*Assump!$D$61*Assump!$E$61))*(1+Assump!$D$25))</f>
        <v>-6111.4328488157225</v>
      </c>
      <c r="AP74" s="35">
        <f>IF(AO13=0,0,(AO$27/AO$13*Assump!$D$60*Assump!$E$60+AO$27/AO$13*Assump!$D$61*Assump!$E$61-(AP$27/AP$13*Assump!$D$60*Assump!$E$60+AP$27/AP$13*Assump!$D$61*Assump!$E$61))*(1+Assump!$D$25))</f>
        <v>-4509.193432822769</v>
      </c>
      <c r="AQ74" s="35">
        <f>IF(AP13=0,0,(AP$27/AP$13*Assump!$D$60*Assump!$E$60+AP$27/AP$13*Assump!$D$61*Assump!$E$61-(AQ$27/AQ$13*Assump!$D$60*Assump!$E$60+AQ$27/AQ$13*Assump!$D$61*Assump!$E$61))*(1+Assump!$D$25))</f>
        <v>10977.415003901369</v>
      </c>
      <c r="AR74" s="35">
        <f>IF(AQ13=0,0,(AQ$27/AQ$13*Assump!$D$60*Assump!$E$60+AQ$27/AQ$13*Assump!$D$61*Assump!$E$61-(AR$27/AR$13*Assump!$D$60*Assump!$E$60+AR$27/AR$13*Assump!$D$61*Assump!$E$61))*(1+Assump!$D$25))</f>
        <v>-3935.5111898987443</v>
      </c>
      <c r="AS74" s="35">
        <f>IF(AR13=0,0,(AR$27/AR$13*Assump!$D$60*Assump!$E$60+AR$27/AR$13*Assump!$D$61*Assump!$E$61-(AS$27/AS$13*Assump!$D$60*Assump!$E$60+AS$27/AS$13*Assump!$D$61*Assump!$E$61))*(1+Assump!$D$25))</f>
        <v>-4189.4922220519647</v>
      </c>
      <c r="AT74" s="35">
        <f>IF(AS13=0,0,(AS$27/AS$13*Assump!$D$60*Assump!$E$60+AS$27/AS$13*Assump!$D$61*Assump!$E$61-(AT$27/AT$13*Assump!$D$60*Assump!$E$60+AT$27/AT$13*Assump!$D$61*Assump!$E$61))*(1+Assump!$D$25))</f>
        <v>-4856.8279439545222</v>
      </c>
      <c r="AU74" s="35">
        <f>IF(AT13=0,0,(AT$27/AT$13*Assump!$D$60*Assump!$E$60+AT$27/AT$13*Assump!$D$61*Assump!$E$61-(AU$27/AU$13*Assump!$D$60*Assump!$E$60+AU$27/AU$13*Assump!$D$61*Assump!$E$61))*(1+Assump!$D$25))</f>
        <v>11824.334299015552</v>
      </c>
      <c r="AV74" s="35">
        <f>IF(AU13=0,0,(AU$27/AU$13*Assump!$D$60*Assump!$E$60+AU$27/AU$13*Assump!$D$61*Assump!$E$61-(AV$27/AV$13*Assump!$D$60*Assump!$E$60+AV$27/AV$13*Assump!$D$61*Assump!$E$61))*(1+Assump!$D$25))</f>
        <v>-6266.8716785139895</v>
      </c>
      <c r="AW74" s="35">
        <f>IF(AV13=0,0,(AV$27/AV$13*Assump!$D$60*Assump!$E$60+AV$27/AV$13*Assump!$D$61*Assump!$E$61-(AW$27/AW$13*Assump!$D$60*Assump!$E$60+AW$27/AW$13*Assump!$D$61*Assump!$E$61))*(1+Assump!$D$25))</f>
        <v>-4195.2238967402091</v>
      </c>
      <c r="AX74" s="35">
        <f>IF(AW13=0,0,(AW$27/AW$13*Assump!$D$60*Assump!$E$60+AW$27/AW$13*Assump!$D$61*Assump!$E$61-(AX$27/AX$13*Assump!$D$60*Assump!$E$60+AX$27/AX$13*Assump!$D$61*Assump!$E$61))*(1+Assump!$D$25))</f>
        <v>10839.218126359474</v>
      </c>
      <c r="AY74" s="35">
        <f>IF(AX13=0,0,(AX$27/AX$13*Assump!$D$60*Assump!$E$60+AX$27/AX$13*Assump!$D$61*Assump!$E$61-(AY$27/AY$13*Assump!$D$60*Assump!$E$60+AY$27/AY$13*Assump!$D$61*Assump!$E$61))*(1+Assump!$D$25))</f>
        <v>-4176.0740936725851</v>
      </c>
      <c r="AZ74" s="35">
        <f>IF(AY13=0,0,(AY$27/AY$13*Assump!$D$60*Assump!$E$60+AY$27/AY$13*Assump!$D$61*Assump!$E$61-(AZ$27/AZ$13*Assump!$D$60*Assump!$E$60+AZ$27/AZ$13*Assump!$D$61*Assump!$E$61))*(1+Assump!$D$25))</f>
        <v>-4207.5410688623915</v>
      </c>
      <c r="BA74" s="35">
        <f>IF(AZ13=0,0,(AZ$27/AZ$13*Assump!$D$60*Assump!$E$60+AZ$27/AZ$13*Assump!$D$61*Assump!$E$61-(BA$27/BA$13*Assump!$D$60*Assump!$E$60+BA$27/BA$13*Assump!$D$61*Assump!$E$61))*(1+Assump!$D$25))</f>
        <v>-4514.4871514806373</v>
      </c>
      <c r="BB74" s="35">
        <f>IF(BA13=0,0,(BA$27/BA$13*Assump!$D$60*Assump!$E$60+BA$27/BA$13*Assump!$D$61*Assump!$E$61-(BB$27/BB$13*Assump!$D$60*Assump!$E$60+BB$27/BB$13*Assump!$D$61*Assump!$E$61))*(1+Assump!$D$25))</f>
        <v>11830.368824294719</v>
      </c>
      <c r="BC74" s="35">
        <f>IF(BB13=0,0,(BB$27/BB$13*Assump!$D$60*Assump!$E$60+BB$27/BB$13*Assump!$D$61*Assump!$E$61-(BC$27/BC$13*Assump!$D$60*Assump!$E$60+BC$27/BC$13*Assump!$D$61*Assump!$E$61))*(1+Assump!$D$25))</f>
        <v>-6811.8970753338344</v>
      </c>
      <c r="BD74" s="35">
        <f>IF(BC13=0,0,(BC$27/BC$13*Assump!$D$60*Assump!$E$60+BC$27/BC$13*Assump!$D$61*Assump!$E$61-(BD$27/BD$13*Assump!$D$60*Assump!$E$60+BD$27/BD$13*Assump!$D$61*Assump!$E$61))*(1+Assump!$D$25))</f>
        <v>-4173.303278683069</v>
      </c>
      <c r="BE74" s="35">
        <f>IF(BD13=0,0,(BD$27/BD$13*Assump!$D$60*Assump!$E$60+BD$27/BD$13*Assump!$D$61*Assump!$E$61-(BE$27/BE$13*Assump!$D$60*Assump!$E$60+BE$27/BE$13*Assump!$D$61*Assump!$E$61))*(1+Assump!$D$25))</f>
        <v>11687.849707291958</v>
      </c>
      <c r="BF74" s="35">
        <f>IF(BE13=0,0,(BE$27/BE$13*Assump!$D$60*Assump!$E$60+BE$27/BE$13*Assump!$D$61*Assump!$E$61-(BF$27/BF$13*Assump!$D$60*Assump!$E$60+BF$27/BF$13*Assump!$D$61*Assump!$E$61))*(1+Assump!$D$25))</f>
        <v>-4897.0121266443239</v>
      </c>
      <c r="BG74" s="35">
        <f>IF(BF13=0,0,(BF$27/BF$13*Assump!$D$60*Assump!$E$60+BF$27/BF$13*Assump!$D$61*Assump!$E$61-(BG$27/BG$13*Assump!$D$60*Assump!$E$60+BG$27/BG$13*Assump!$D$61*Assump!$E$61))*(1+Assump!$D$25))</f>
        <v>-4464.208830752018</v>
      </c>
      <c r="BH74" s="35">
        <f>IF(BG13=0,0,(BG$27/BG$13*Assump!$D$60*Assump!$E$60+BG$27/BG$13*Assump!$D$61*Assump!$E$61-(BH$27/BH$13*Assump!$D$60*Assump!$E$60+BH$27/BH$13*Assump!$D$61*Assump!$E$61))*(1+Assump!$D$25))</f>
        <v>-4488.4571469345692</v>
      </c>
      <c r="BI74" s="35">
        <f>IF(BH13=0,0,(BH$27/BH$13*Assump!$D$60*Assump!$E$60+BH$27/BH$13*Assump!$D$61*Assump!$E$61-(BI$27/BI$13*Assump!$D$60*Assump!$E$60+BI$27/BI$13*Assump!$D$61*Assump!$E$61))*(1+Assump!$D$25))</f>
        <v>12587.408691558094</v>
      </c>
      <c r="BJ74" s="35">
        <f>IF(BI13=0,0,(BI$27/BI$13*Assump!$D$60*Assump!$E$60+BI$27/BI$13*Assump!$D$61*Assump!$E$61-(BJ$27/BJ$13*Assump!$D$60*Assump!$E$60+BJ$27/BJ$13*Assump!$D$61*Assump!$E$61))*(1+Assump!$D$25))</f>
        <v>-7566.6851676555534</v>
      </c>
      <c r="BK74" s="35">
        <f>IF(BJ13=0,0,(BJ$27/BJ$13*Assump!$D$60*Assump!$E$60+BJ$27/BJ$13*Assump!$D$61*Assump!$E$61-(BK$27/BK$13*Assump!$D$60*Assump!$E$60+BK$27/BK$13*Assump!$D$61*Assump!$E$61))*(1+Assump!$D$25))</f>
        <v>-4427.3892847063498</v>
      </c>
      <c r="BL74" s="35">
        <f>IF(BK13=0,0,(BK$27/BK$13*Assump!$D$60*Assump!$E$60+BK$27/BK$13*Assump!$D$61*Assump!$E$61-(BL$27/BL$13*Assump!$D$60*Assump!$E$60+BL$27/BL$13*Assump!$D$61*Assump!$E$61))*(1+Assump!$D$25))</f>
        <v>12566.33484725207</v>
      </c>
      <c r="BM74" s="35">
        <f>IF(BL13=0,0,(BL$27/BL$13*Assump!$D$60*Assump!$E$60+BL$27/BL$13*Assump!$D$61*Assump!$E$61-(BM$27/BM$13*Assump!$D$60*Assump!$E$60+BM$27/BM$13*Assump!$D$61*Assump!$E$61))*(1+Assump!$D$25))</f>
        <v>-4715.078991487143</v>
      </c>
      <c r="BN74" s="35">
        <f>IF(BM13=0,0,(BM$27/BM$13*Assump!$D$60*Assump!$E$60+BM$27/BM$13*Assump!$D$61*Assump!$E$61-(BN$27/BN$13*Assump!$D$60*Assump!$E$60+BN$27/BN$13*Assump!$D$61*Assump!$E$61))*(1+Assump!$D$25))</f>
        <v>-5384.4193624545869</v>
      </c>
      <c r="BO74" s="35">
        <f>IF(BN13=0,0,(BN$27/BN$13*Assump!$D$60*Assump!$E$60+BN$27/BN$13*Assump!$D$61*Assump!$E$61-(BO$27/BO$13*Assump!$D$60*Assump!$E$60+BO$27/BO$13*Assump!$D$61*Assump!$E$61))*(1+Assump!$D$25))</f>
        <v>-4761.7004840132331</v>
      </c>
      <c r="BP74" s="35">
        <f>IF(BO13=0,0,(BO$27/BO$13*Assump!$D$60*Assump!$E$60+BO$27/BO$13*Assump!$D$61*Assump!$E$61-(BP$27/BP$13*Assump!$D$60*Assump!$E$60+BP$27/BP$13*Assump!$D$61*Assump!$E$61))*(1+Assump!$D$25))</f>
        <v>13535.815954543505</v>
      </c>
      <c r="BQ74" s="35">
        <f>IF(BP13=0,0,(BP$27/BP$13*Assump!$D$60*Assump!$E$60+BP$27/BP$13*Assump!$D$61*Assump!$E$61-(BQ$27/BQ$13*Assump!$D$60*Assump!$E$60+BQ$27/BQ$13*Assump!$D$61*Assump!$E$61))*(1+Assump!$D$25))</f>
        <v>-7428.4848241908212</v>
      </c>
      <c r="BR74" s="35">
        <f>IF(BQ13=0,0,(BQ$27/BQ$13*Assump!$D$60*Assump!$E$60+BQ$27/BQ$13*Assump!$D$61*Assump!$E$61-(BR$27/BR$13*Assump!$D$60*Assump!$E$60+BR$27/BR$13*Assump!$D$61*Assump!$E$61))*(1+Assump!$D$25))</f>
        <v>-5165.2933507891721</v>
      </c>
      <c r="BS74" s="35">
        <f>IF(BR13=0,0,(BR$27/BR$13*Assump!$D$60*Assump!$E$60+BR$27/BR$13*Assump!$D$61*Assump!$E$61-(BS$27/BS$13*Assump!$D$60*Assump!$E$60+BS$27/BS$13*Assump!$D$61*Assump!$E$61))*(1+Assump!$D$25))</f>
        <v>13027.45709682003</v>
      </c>
      <c r="BT74" s="35">
        <f>IF(BS13=0,0,(BS$27/BS$13*Assump!$D$60*Assump!$E$60+BS$27/BS$13*Assump!$D$61*Assump!$E$61-(BT$27/BT$13*Assump!$D$60*Assump!$E$60+BT$27/BT$13*Assump!$D$61*Assump!$E$61))*(1+Assump!$D$25))</f>
        <v>-4783.6384482668554</v>
      </c>
      <c r="BU74" s="35">
        <f>IF(BT13=0,0,(BT$27/BT$13*Assump!$D$60*Assump!$E$60+BT$27/BT$13*Assump!$D$61*Assump!$E$61-(BU$27/BU$13*Assump!$D$60*Assump!$E$60+BU$27/BU$13*Assump!$D$61*Assump!$E$61))*(1+Assump!$D$25))</f>
        <v>-5092.3539802305613</v>
      </c>
      <c r="BV74" s="35">
        <f>IF(BU13=0,0,(BU$27/BU$13*Assump!$D$60*Assump!$E$60+BU$27/BU$13*Assump!$D$61*Assump!$E$61-(BV$27/BV$13*Assump!$D$60*Assump!$E$60+BV$27/BV$13*Assump!$D$61*Assump!$E$61))*(1+Assump!$D$25))</f>
        <v>-5903.5047210513731</v>
      </c>
      <c r="BW74" s="35">
        <f>IF(BV13=0,0,(BV$27/BV$13*Assump!$D$60*Assump!$E$60+BV$27/BV$13*Assump!$D$61*Assump!$E$61-(BW$27/BW$13*Assump!$D$60*Assump!$E$60+BW$27/BW$13*Assump!$D$61*Assump!$E$61))*(1+Assump!$D$25))</f>
        <v>14372.552242542779</v>
      </c>
      <c r="BX74" s="35">
        <f>IF(BW13=0,0,(BW$27/BW$13*Assump!$D$60*Assump!$E$60+BW$27/BW$13*Assump!$D$61*Assump!$E$61-(BX$27/BX$13*Assump!$D$60*Assump!$E$60+BX$27/BX$13*Assump!$D$61*Assump!$E$61))*(1+Assump!$D$25))</f>
        <v>-7617.4216931817427</v>
      </c>
      <c r="BY74" s="35">
        <f>IF(BX13=0,0,(BX$27/BX$13*Assump!$D$60*Assump!$E$60+BX$27/BX$13*Assump!$D$61*Assump!$E$61-(BY$27/BY$13*Assump!$D$60*Assump!$E$60+BY$27/BY$13*Assump!$D$61*Assump!$E$61))*(1+Assump!$D$25))</f>
        <v>-5099.3208666370747</v>
      </c>
      <c r="BZ74" s="35">
        <f>IF(BY13=0,0,(BY$27/BY$13*Assump!$D$60*Assump!$E$60+BY$27/BY$13*Assump!$D$61*Assump!$E$61-(BZ$27/BZ$13*Assump!$D$60*Assump!$E$60+BZ$27/BZ$13*Assump!$D$61*Assump!$E$61))*(1+Assump!$D$25))</f>
        <v>13175.13737770323</v>
      </c>
      <c r="CA74" s="35">
        <f>IF(BZ13=0,0,(BZ$27/BZ$13*Assump!$D$60*Assump!$E$60+BZ$27/BZ$13*Assump!$D$61*Assump!$E$61-(CA$27/CA$13*Assump!$D$60*Assump!$E$60+CA$27/CA$13*Assump!$D$61*Assump!$E$61))*(1+Assump!$D$25))</f>
        <v>-5076.0441613221201</v>
      </c>
      <c r="CB74" s="35">
        <f>IF(CA13=0,0,(CA$27/CA$13*Assump!$D$60*Assump!$E$60+CA$27/CA$13*Assump!$D$61*Assump!$E$61-(CB$27/CB$13*Assump!$D$60*Assump!$E$60+CB$27/CB$13*Assump!$D$61*Assump!$E$61))*(1+Assump!$D$25))</f>
        <v>-5114.2924663339145</v>
      </c>
      <c r="CC74" s="35">
        <f>IF(CB13=0,0,(CB$27/CB$13*Assump!$D$60*Assump!$E$60+CB$27/CB$13*Assump!$D$61*Assump!$E$61-(CC$27/CC$13*Assump!$D$60*Assump!$E$60+CC$27/CC$13*Assump!$D$61*Assump!$E$61))*(1+Assump!$D$25))</f>
        <v>-5487.3873481694172</v>
      </c>
      <c r="CD74" s="35">
        <f>IF(CC13=0,0,(CC$27/CC$13*Assump!$D$60*Assump!$E$60+CC$27/CC$13*Assump!$D$61*Assump!$E$61-(CD$27/CD$13*Assump!$D$60*Assump!$E$60+CD$27/CD$13*Assump!$D$61*Assump!$E$61))*(1+Assump!$D$25))</f>
        <v>14184.017466220736</v>
      </c>
      <c r="CE74" s="35">
        <f>IF(CD13=0,0,(CD$27/CD$13*Assump!$D$60*Assump!$E$60+CD$27/CD$13*Assump!$D$61*Assump!$E$61-(CE$27/CE$13*Assump!$D$60*Assump!$E$60+CE$27/CE$13*Assump!$D$61*Assump!$E$61))*(1+Assump!$D$25))</f>
        <v>-8084.0336899103459</v>
      </c>
      <c r="CF74" s="35">
        <f>IF(CE13=0,0,(CE$27/CE$13*Assump!$D$60*Assump!$E$60+CE$27/CE$13*Assump!$D$61*Assump!$E$61-(CF$27/CF$13*Assump!$D$60*Assump!$E$60+CF$27/CF$13*Assump!$D$61*Assump!$E$61))*(1+Assump!$D$25))</f>
        <v>-5072.6762183847586</v>
      </c>
      <c r="CG74" s="35">
        <f>IF(CF13=0,0,(CF$27/CF$13*Assump!$D$60*Assump!$E$60+CF$27/CF$13*Assump!$D$61*Assump!$E$61-(CG$27/CG$13*Assump!$D$60*Assump!$E$60+CG$27/CG$13*Assump!$D$61*Assump!$E$61))*(1+Assump!$D$25))</f>
        <v>14206.654368274039</v>
      </c>
      <c r="CH74" s="35">
        <f>IF(CG13=0,0,(CG$27/CG$13*Assump!$D$60*Assump!$E$60+CG$27/CG$13*Assump!$D$61*Assump!$E$61-(CH$27/CH$13*Assump!$D$60*Assump!$E$60+CH$27/CH$13*Assump!$D$61*Assump!$E$61))*(1+Assump!$D$25))</f>
        <v>-5702.6064910738687</v>
      </c>
      <c r="CI74" s="35">
        <f>IF(CH13=0,0,(CH$27/CH$13*Assump!$D$60*Assump!$E$60+CH$27/CH$13*Assump!$D$61*Assump!$E$61-(CI$27/CI$13*Assump!$D$60*Assump!$E$60+CI$27/CI$13*Assump!$D$61*Assump!$E$61))*(1+Assump!$D$25))</f>
        <v>-5676.0160902723628</v>
      </c>
      <c r="CJ74" s="35">
        <f>IF(CI13=0,0,(CI$27/CI$13*Assump!$D$60*Assump!$E$60+CI$27/CI$13*Assump!$D$61*Assump!$E$61-(CJ$27/CJ$13*Assump!$D$60*Assump!$E$60+CJ$27/CJ$13*Assump!$D$61*Assump!$E$61))*(1+Assump!$D$25))</f>
        <v>-5455.7477149561364</v>
      </c>
      <c r="CK74" s="35">
        <f>IF(CJ13=0,0,(CJ$27/CJ$13*Assump!$D$60*Assump!$E$60+CJ$27/CJ$13*Assump!$D$61*Assump!$E$61-(CK$27/CK$13*Assump!$D$60*Assump!$E$60+CK$27/CK$13*Assump!$D$61*Assump!$E$61))*(1+Assump!$D$25))</f>
        <v>15300.073935893179</v>
      </c>
      <c r="CL74" s="35">
        <f>IF(CK13=0,0,(CK$27/CK$13*Assump!$D$60*Assump!$E$60+CK$27/CK$13*Assump!$D$61*Assump!$E$61-(CL$27/CL$13*Assump!$D$60*Assump!$E$60+CL$27/CL$13*Assump!$D$61*Assump!$E$61))*(1+Assump!$D$25))</f>
        <v>-9197.3531130676165</v>
      </c>
      <c r="CM74" s="35">
        <f>IF(CL13=0,0,(CL$27/CL$13*Assump!$D$60*Assump!$E$60+CL$27/CL$13*Assump!$D$61*Assump!$E$61-(CM$27/CM$13*Assump!$D$60*Assump!$E$60+CM$27/CM$13*Assump!$D$61*Assump!$E$61))*(1+Assump!$D$25))</f>
        <v>-5381.5193467436011</v>
      </c>
      <c r="CN74" s="35">
        <f>IF(CM13=0,0,(CM$27/CM$13*Assump!$D$60*Assump!$E$60+CM$27/CM$13*Assump!$D$61*Assump!$E$61-(CN$27/CN$13*Assump!$D$60*Assump!$E$60+CN$27/CN$13*Assump!$D$61*Assump!$E$61))*(1+Assump!$D$25))</f>
        <v>15274.45854642769</v>
      </c>
      <c r="CO74" s="35"/>
    </row>
    <row r="75" spans="1:93" ht="12.75" customHeight="1">
      <c r="A75" s="35"/>
      <c r="B75" s="87" t="s">
        <v>171</v>
      </c>
      <c r="C75" s="35">
        <f t="shared" si="584"/>
        <v>-4819.5799102138453</v>
      </c>
      <c r="D75" s="60"/>
      <c r="E75" s="35">
        <f>((F32+F33+F34+F35+F38+F39+F40)*Assump!$D$62-(E32+E33+E34+E35+E38+E39+E40)*Assump!$D$62)</f>
        <v>0</v>
      </c>
      <c r="F75" s="35">
        <f>((G32+G33+G34+G35+G38+G39+G40)*Assump!$D$62-(F32+F33+F34+F35+F38+F39+F40)*Assump!$D$62)</f>
        <v>0</v>
      </c>
      <c r="G75" s="35">
        <f>((H32+H33+H34+H35+H38+H39+H40)*Assump!$D$62-(G32+G33+G34+G35+G38+G39+G40)*Assump!$D$62)</f>
        <v>0</v>
      </c>
      <c r="H75" s="35">
        <f>((I32+I33+I34+I35+I38+I39+I40)*Assump!$D$62-(H32+H33+H34+H35+H38+H39+H40)*Assump!$D$62)</f>
        <v>0</v>
      </c>
      <c r="I75" s="35">
        <f>((J32+J33+J34+J35+J38+J39+J40)*Assump!$D$62-(I32+I33+I34+I35+I38+I39+I40)*Assump!$D$62)</f>
        <v>0</v>
      </c>
      <c r="J75" s="35">
        <f>((K32+K33+K34+K35+K38+K39+K40)*Assump!$D$62-(J32+J33+J34+J35+J38+J39+J40)*Assump!$D$62)</f>
        <v>0</v>
      </c>
      <c r="K75" s="35">
        <f>((L32+L33+L34+L35+L38+L39+L40)*Assump!$D$62-(K32+K33+K34+K35+K38+K39+K40)*Assump!$D$62)</f>
        <v>0</v>
      </c>
      <c r="L75" s="35">
        <f>((M32+M33+M34+M35+M38+M39+M40)*Assump!$D$62-(L32+L33+L34+L35+L38+L39+L40)*Assump!$D$62)</f>
        <v>0</v>
      </c>
      <c r="M75" s="35">
        <f>((N32+N33+N34+N35+N38+N39+N40)*Assump!$D$62-(M32+M33+M34+M35+M38+M39+M40)*Assump!$D$62)</f>
        <v>0</v>
      </c>
      <c r="N75" s="35">
        <f>((O32+O33+O34+O35+O38+O39+O40)*Assump!$D$62-(N32+N33+N34+N35+N38+N39+N40)*Assump!$D$62)</f>
        <v>0</v>
      </c>
      <c r="O75" s="35">
        <f>((P32+P33+P34+P35+P38+P39+P40)*Assump!$D$62-(O32+O33+O34+O35+O38+O39+O40)*Assump!$D$62)</f>
        <v>0</v>
      </c>
      <c r="P75" s="35">
        <f>((Q32+Q33+Q34+Q35+Q38+Q39+Q40)*Assump!$D$62-(P32+P33+P34+P35+P38+P39+P40)*Assump!$D$62)</f>
        <v>0</v>
      </c>
      <c r="Q75" s="35">
        <f>((R32+R33+R34+R35+R38+R39+R40)*Assump!$D$62-(Q32+Q33+Q34+Q35+Q38+Q39+Q40)*Assump!$D$62)</f>
        <v>0</v>
      </c>
      <c r="R75" s="35">
        <f>((S32+S33+S34+S35+S38+S39+S40)*Assump!$D$62-(R32+R33+R34+R35+R38+R39+R40)*Assump!$D$62)</f>
        <v>0</v>
      </c>
      <c r="S75" s="35">
        <f>((T32+T33+T34+T35+T38+T39+T40)*Assump!$D$62-(S32+S33+S34+S35+S38+S39+S40)*Assump!$D$62)</f>
        <v>0</v>
      </c>
      <c r="T75" s="35">
        <f>((U32+U33+U34+U35+U38+U39+U40)*Assump!$D$62-(T32+T33+T34+T35+T38+T39+T40)*Assump!$D$62)</f>
        <v>0</v>
      </c>
      <c r="U75" s="35">
        <f>((V32+V33+V34+V35+V38+V39+V40)*Assump!$D$62-(U32+U33+U34+U35+U38+U39+U40)*Assump!$D$62)</f>
        <v>0</v>
      </c>
      <c r="V75" s="35">
        <f>((W32+W33+W34+W35+W38+W39+W40)*Assump!$D$62-(V32+V33+V34+V35+V38+V39+V40)*Assump!$D$62)</f>
        <v>-3410.9558088353497</v>
      </c>
      <c r="W75" s="35">
        <f>((X32+X33+X34+X35+X38+X39+X40)*Assump!$D$62-(W32+W33+W34+W35+W38+W39+W40)*Assump!$D$62)</f>
        <v>-613.95253173741185</v>
      </c>
      <c r="X75" s="35">
        <f>((Y32+Y33+Y34+Y35+Y38+Y39+Y40)*Assump!$D$62-(X32+X33+X34+X35+X38+X39+X40)*Assump!$D$62)</f>
        <v>1649.9874506693313</v>
      </c>
      <c r="Y75" s="35">
        <f>((Z32+Z33+Z34+Z35+Z38+Z39+Z40)*Assump!$D$62-(Y32+Y33+Y34+Y35+Y38+Y39+Y40)*Assump!$D$62)</f>
        <v>-515.59986254353043</v>
      </c>
      <c r="Z75" s="35">
        <f>((AA32+AA33+AA34+AA35+AA38+AA39+AA40)*Assump!$D$62-(Z32+Z33+Z34+Z35+Z38+Z39+Z40)*Assump!$D$62)</f>
        <v>-685.98095151706775</v>
      </c>
      <c r="AA75" s="35">
        <f>((AB32+AB33+AB34+AB35+AB38+AB39+AB40)*Assump!$D$62-(AA32+AA33+AA34+AA35+AA38+AA39+AA40)*Assump!$D$62)</f>
        <v>-644.21456720677588</v>
      </c>
      <c r="AB75" s="35">
        <f>((AC32+AC33+AC34+AC35+AC38+AC39+AC40)*Assump!$D$62-(AB32+AB33+AB34+AB35+AB38+AB39+AB40)*Assump!$D$62)</f>
        <v>1731.4947938655455</v>
      </c>
      <c r="AC75" s="35">
        <f>((AD32+AD33+AD34+AD35+AD38+AD39+AD40)*Assump!$D$62-(AC32+AC33+AC34+AC35+AC38+AC39+AC40)*Assump!$D$62)</f>
        <v>-617.52270524275582</v>
      </c>
      <c r="AD75" s="35">
        <f>((AE32+AE33+AE34+AE35+AE38+AE39+AE40)*Assump!$D$62-(AD32+AD33+AD34+AD35+AD38+AD39+AD40)*Assump!$D$62)</f>
        <v>-732.96645554827546</v>
      </c>
      <c r="AE75" s="35">
        <f>((AF32+AF33+AF34+AF35+AF38+AF39+AF40)*Assump!$D$62-(AE32+AE33+AE34+AE35+AE38+AE39+AE40)*Assump!$D$62)</f>
        <v>-685.01875580012847</v>
      </c>
      <c r="AF75" s="35">
        <f>((AG32+AG33+AG34+AG35+AG38+AG39+AG40)*Assump!$D$62-(AF32+AF33+AF34+AF35+AF38+AF39+AF40)*Assump!$D$62)</f>
        <v>1844.9809819543379</v>
      </c>
      <c r="AG75" s="35">
        <f>((AH32+AH33+AH34+AH35+AH38+AH39+AH40)*Assump!$D$62-(AG32+AG33+AG34+AG35+AG38+AG39+AG40)*Assump!$D$62)</f>
        <v>-1075.5783772201498</v>
      </c>
      <c r="AH75" s="35">
        <f>((AI32+AI33+AI34+AI35+AI38+AI39+AI40)*Assump!$D$62-(AH32+AH33+AH34+AH35+AH38+AH39+AH40)*Assump!$D$62)</f>
        <v>-676.42529556711406</v>
      </c>
      <c r="AI75" s="35">
        <f>((AJ32+AJ33+AJ34+AJ35+AJ38+AJ39+AJ40)*Assump!$D$62-(AI32+AI33+AI34+AI35+AI38+AI39+AI40)*Assump!$D$62)</f>
        <v>1818.0695335588225</v>
      </c>
      <c r="AJ75" s="35">
        <f>((AK32+AK33+AK34+AK35+AK38+AK39+AK40)*Assump!$D$62-(AJ32+AJ33+AJ34+AJ35+AJ38+AJ39+AJ40)*Assump!$D$62)</f>
        <v>-648.398840504894</v>
      </c>
      <c r="AK75" s="35">
        <f>((AL32+AL33+AL34+AL35+AL38+AL39+AL40)*Assump!$D$62-(AK32+AK33+AK34+AK35+AK38+AK39+AK40)*Assump!$D$62)</f>
        <v>-769.61477832568789</v>
      </c>
      <c r="AL75" s="35">
        <f>((AM32+AM33+AM34+AM35+AM38+AM39+AM40)*Assump!$D$62-(AL32+AL33+AL34+AL35+AL38+AL39+AL40)*Assump!$D$62)</f>
        <v>-719.26969359013628</v>
      </c>
      <c r="AM75" s="35">
        <f>((AN32+AN33+AN34+AN35+AN38+AN39+AN40)*Assump!$D$62-(AM32+AM33+AM34+AM35+AM38+AM39+AM40)*Assump!$D$62)</f>
        <v>1937.2300310520554</v>
      </c>
      <c r="AN75" s="35">
        <f>((AO32+AO33+AO34+AO35+AO38+AO39+AO40)*Assump!$D$62-(AN32+AN33+AN34+AN35+AN38+AN39+AN40)*Assump!$D$62)</f>
        <v>-1129.3572960811575</v>
      </c>
      <c r="AO75" s="35">
        <f>((AP32+AP33+AP34+AP35+AP38+AP39+AP40)*Assump!$D$62-(AO32+AO33+AO34+AO35+AO38+AO39+AO40)*Assump!$D$62)</f>
        <v>-710.24656034547115</v>
      </c>
      <c r="AP75" s="35">
        <f>((AQ32+AQ33+AQ34+AQ35+AQ38+AQ39+AQ40)*Assump!$D$62-(AP32+AP33+AP34+AP35+AP38+AP39+AP40)*Assump!$D$62)</f>
        <v>1908.9730102367653</v>
      </c>
      <c r="AQ75" s="35">
        <f>((AR32+AR33+AR34+AR35+AR38+AR39+AR40)*Assump!$D$62-(AQ32+AQ33+AQ34+AQ35+AQ38+AQ39+AQ40)*Assump!$D$62)</f>
        <v>-680.81878253013883</v>
      </c>
      <c r="AR75" s="35">
        <f>((AS32+AS33+AS34+AS35+AS38+AS39+AS40)*Assump!$D$62-(AR32+AR33+AR34+AR35+AR38+AR39+AR40)*Assump!$D$62)</f>
        <v>-808.09551724197354</v>
      </c>
      <c r="AS75" s="35">
        <f>((AT32+AT33+AT34+AT35+AT38+AT39+AT40)*Assump!$D$62-(AS32+AS33+AS34+AS35+AS38+AS39+AS40)*Assump!$D$62)</f>
        <v>-755.23317826964103</v>
      </c>
      <c r="AT75" s="35">
        <f>((AU32+AU33+AU34+AU35+AU38+AU39+AU40)*Assump!$D$62-(AT32+AT33+AT34+AT35+AT38+AT39+AT40)*Assump!$D$62)</f>
        <v>2034.0915326046575</v>
      </c>
      <c r="AU75" s="35">
        <f>((AV32+AV33+AV34+AV35+AV38+AV39+AV40)*Assump!$D$62-(AU32+AU33+AU34+AU35+AU38+AU39+AU40)*Assump!$D$62)</f>
        <v>-1185.8251608852156</v>
      </c>
      <c r="AV75" s="35">
        <f>((AW32+AW33+AW34+AW35+AW38+AW39+AW40)*Assump!$D$62-(AV32+AV33+AV34+AV35+AV38+AV39+AV40)*Assump!$D$62)</f>
        <v>-745.75888836274407</v>
      </c>
      <c r="AW75" s="35">
        <f>((AX32+AX33+AX34+AX35+AX38+AX39+AX40)*Assump!$D$62-(AW32+AW33+AW34+AW35+AW38+AW39+AW40)*Assump!$D$62)</f>
        <v>2004.4216607486023</v>
      </c>
      <c r="AX75" s="35">
        <f>((AY32+AY33+AY34+AY35+AY38+AY39+AY40)*Assump!$D$62-(AX32+AX33+AX34+AX35+AX38+AX39+AX40)*Assump!$D$62)</f>
        <v>-714.85972165664452</v>
      </c>
      <c r="AY75" s="35">
        <f>((AZ32+AZ33+AZ34+AZ35+AZ38+AZ39+AZ40)*Assump!$D$62-(AY32+AY33+AY34+AY35+AY38+AY39+AY40)*Assump!$D$62)</f>
        <v>-848.50029310407308</v>
      </c>
      <c r="AZ75" s="35">
        <f>((BA32+BA33+BA34+BA35+BA38+BA39+BA40)*Assump!$D$62-(AZ32+AZ33+AZ34+AZ35+AZ38+AZ39+AZ40)*Assump!$D$62)</f>
        <v>-792.99483718312331</v>
      </c>
      <c r="BA75" s="35">
        <f>((BB32+BB33+BB34+BB35+BB38+BB39+BB40)*Assump!$D$62-(BA32+BA33+BA34+BA35+BA38+BA39+BA40)*Assump!$D$62)</f>
        <v>2135.796109234891</v>
      </c>
      <c r="BB75" s="35">
        <f>((BC32+BC33+BC34+BC35+BC38+BC39+BC40)*Assump!$D$62-(BB32+BB33+BB34+BB35+BB38+BB39+BB40)*Assump!$D$62)</f>
        <v>-1245.1164189294755</v>
      </c>
      <c r="BC75" s="35">
        <f>((BD32+BD33+BD34+BD35+BD38+BD39+BD40)*Assump!$D$62-(BC32+BC33+BC34+BC35+BC38+BC39+BC40)*Assump!$D$62)</f>
        <v>-783.04683278088214</v>
      </c>
      <c r="BD75" s="35">
        <f>((BE32+BE33+BE34+BE35+BE38+BE39+BE40)*Assump!$D$62-(BD32+BD33+BD34+BD35+BD38+BD39+BD40)*Assump!$D$62)</f>
        <v>2104.642743786032</v>
      </c>
      <c r="BE75" s="35">
        <f>((BF32+BF33+BF34+BF35+BF38+BF39+BF40)*Assump!$D$62-(BE32+BE33+BE34+BE35+BE38+BE39+BE40)*Assump!$D$62)</f>
        <v>-750.60270773947605</v>
      </c>
      <c r="BF75" s="35">
        <f>((BG32+BG33+BG34+BG35+BG38+BG39+BG40)*Assump!$D$62-(BF32+BF33+BF34+BF35+BF38+BF39+BF40)*Assump!$D$62)</f>
        <v>-890.92530775927617</v>
      </c>
      <c r="BG75" s="35">
        <f>((BH32+BH33+BH34+BH35+BH38+BH39+BH40)*Assump!$D$62-(BG32+BG33+BG34+BG35+BG38+BG39+BG40)*Assump!$D$62)</f>
        <v>-832.64457904228038</v>
      </c>
      <c r="BH75" s="35">
        <f>((BI32+BI33+BI34+BI35+BI38+BI39+BI40)*Assump!$D$62-(BH32+BH33+BH34+BH35+BH38+BH39+BH40)*Assump!$D$62)</f>
        <v>2242.5859146966354</v>
      </c>
      <c r="BI75" s="35">
        <f>((BJ32+BJ33+BJ34+BJ35+BJ38+BJ39+BJ40)*Assump!$D$62-(BI32+BI33+BI34+BI35+BI38+BI39+BI40)*Assump!$D$62)</f>
        <v>-1307.3722398759496</v>
      </c>
      <c r="BJ75" s="35">
        <f>((BK32+BK33+BK34+BK35+BK38+BK39+BK40)*Assump!$D$62-(BJ32+BJ33+BJ34+BJ35+BJ38+BJ39+BJ40)*Assump!$D$62)</f>
        <v>-822.19917441992675</v>
      </c>
      <c r="BK75" s="35">
        <f>((BL32+BL33+BL34+BL35+BL38+BL39+BL40)*Assump!$D$62-(BK32+BK33+BK34+BK35+BK38+BK39+BK40)*Assump!$D$62)</f>
        <v>2209.8748809753351</v>
      </c>
      <c r="BL75" s="35">
        <f>((BM32+BM33+BM34+BM35+BM38+BM39+BM40)*Assump!$D$62-(BL32+BL33+BL34+BL35+BL38+BL39+BL40)*Assump!$D$62)</f>
        <v>-788.1328431264501</v>
      </c>
      <c r="BM75" s="35">
        <f>((BN32+BN33+BN34+BN35+BN38+BN39+BN40)*Assump!$D$62-(BM32+BM33+BM34+BM35+BM38+BM39+BM40)*Assump!$D$62)</f>
        <v>-935.47157314724063</v>
      </c>
      <c r="BN75" s="35">
        <f>((BO32+BO33+BO34+BO35+BO38+BO39+BO40)*Assump!$D$62-(BN32+BN33+BN34+BN35+BN38+BN39+BN40)*Assump!$D$62)</f>
        <v>-874.27680799439531</v>
      </c>
      <c r="BO75" s="35">
        <f>((BP32+BP33+BP34+BP35+BP38+BP39+BP40)*Assump!$D$62-(BO32+BO33+BO34+BO35+BO38+BO39+BO40)*Assump!$D$62)</f>
        <v>2354.7152104314682</v>
      </c>
      <c r="BP75" s="35">
        <f>((BQ32+BQ33+BQ34+BQ35+BQ38+BQ39+BQ40)*Assump!$D$62-(BP32+BP33+BP34+BP35+BP38+BP39+BP40)*Assump!$D$62)</f>
        <v>-1372.7408518697475</v>
      </c>
      <c r="BQ75" s="35">
        <f>((BR32+BR33+BR34+BR35+BR38+BR39+BR40)*Assump!$D$62-(BQ32+BQ33+BQ34+BQ35+BQ38+BQ39+BQ40)*Assump!$D$62)</f>
        <v>-863.3091331409214</v>
      </c>
      <c r="BR75" s="35">
        <f>((BS32+BS33+BS34+BS35+BS38+BS39+BS40)*Assump!$D$62-(BR32+BR33+BR34+BR35+BR38+BR39+BR40)*Assump!$D$62)</f>
        <v>2320.3686250241008</v>
      </c>
      <c r="BS75" s="35">
        <f>((BT32+BT33+BT34+BT35+BT38+BT39+BT40)*Assump!$D$62-(BS32+BS33+BS34+BS35+BS38+BS39+BS40)*Assump!$D$62)</f>
        <v>-827.53948528277397</v>
      </c>
      <c r="BT75" s="35">
        <f>((BU32+BU33+BU34+BU35+BU38+BU39+BU40)*Assump!$D$62-(BT32+BT33+BT34+BT35+BT38+BT39+BT40)*Assump!$D$62)</f>
        <v>-982.24515180460185</v>
      </c>
      <c r="BU75" s="35">
        <f>((BV32+BV33+BV34+BV35+BV38+BV39+BV40)*Assump!$D$62-(BU32+BU33+BU34+BU35+BU38+BU39+BU40)*Assump!$D$62)</f>
        <v>-917.99064839411312</v>
      </c>
      <c r="BV75" s="35">
        <f>((BW32+BW33+BW34+BW35+BW38+BW39+BW40)*Assump!$D$62-(BV32+BV33+BV34+BV35+BV38+BV39+BV40)*Assump!$D$62)</f>
        <v>2472.4509709530407</v>
      </c>
      <c r="BW75" s="35">
        <f>((BX32+BX33+BX34+BX35+BX38+BX39+BX40)*Assump!$D$62-(BW32+BW33+BW34+BW35+BW38+BW39+BW40)*Assump!$D$62)</f>
        <v>-1441.3778944632354</v>
      </c>
      <c r="BX75" s="35">
        <f>((BY32+BY33+BY34+BY35+BY38+BY39+BY40)*Assump!$D$62-(BX32+BX33+BX34+BX35+BX38+BX39+BX40)*Assump!$D$62)</f>
        <v>-906.47458979796829</v>
      </c>
      <c r="BY75" s="35">
        <f>((BZ32+BZ33+BZ34+BZ35+BZ38+BZ39+BZ40)*Assump!$D$62-(BY32+BY33+BY34+BY35+BY38+BY39+BY40)*Assump!$D$62)</f>
        <v>2436.3870562753073</v>
      </c>
      <c r="BZ75" s="35">
        <f>((CA32+CA33+CA34+CA35+CA38+CA39+CA40)*Assump!$D$62-(BZ32+BZ33+BZ34+BZ35+BZ38+BZ39+BZ40)*Assump!$D$62)</f>
        <v>-868.91645954691194</v>
      </c>
      <c r="CA75" s="35">
        <f>((CB32+CB33+CB34+CB35+CB38+CB39+CB40)*Assump!$D$62-(CA32+CA33+CA34+CA35+CA38+CA39+CA40)*Assump!$D$62)</f>
        <v>-1031.3574093948337</v>
      </c>
      <c r="CB75" s="35">
        <f>((CC32+CC33+CC34+CC35+CC38+CC39+CC40)*Assump!$D$62-(CB32+CB33+CB34+CB35+CB38+CB39+CB40)*Assump!$D$62)</f>
        <v>-963.89018081381892</v>
      </c>
      <c r="CC75" s="35">
        <f>((CD32+CD33+CD34+CD35+CD38+CD39+CD40)*Assump!$D$62-(CC32+CC33+CC34+CC35+CC38+CC39+CC40)*Assump!$D$62)</f>
        <v>2596.0735195006937</v>
      </c>
      <c r="CD75" s="35">
        <f>((CE32+CE33+CE34+CE35+CE38+CE39+CE40)*Assump!$D$62-(CD32+CD33+CD34+CD35+CD38+CD39+CD40)*Assump!$D$62)</f>
        <v>-1513.4467891863978</v>
      </c>
      <c r="CE75" s="35">
        <f>((CF32+CF33+CF34+CF35+CF38+CF39+CF40)*Assump!$D$62-(CE32+CE33+CE34+CE35+CE38+CE39+CE40)*Assump!$D$62)</f>
        <v>-951.79831928786552</v>
      </c>
      <c r="CF75" s="35">
        <f>((CG32+CG33+CG34+CG35+CG38+CG39+CG40)*Assump!$D$62-(CF32+CF33+CF34+CF35+CF38+CF39+CF40)*Assump!$D$62)</f>
        <v>2558.2064090890713</v>
      </c>
      <c r="CG75" s="35">
        <f>((CH32+CH33+CH34+CH35+CH38+CH39+CH40)*Assump!$D$62-(CG32+CG33+CG34+CG35+CG38+CG39+CG40)*Assump!$D$62)</f>
        <v>-912.3622825242569</v>
      </c>
      <c r="CH75" s="35">
        <f>((CI32+CI33+CI34+CI35+CI38+CI39+CI40)*Assump!$D$62-(CH32+CH33+CH34+CH35+CH38+CH39+CH40)*Assump!$D$62)</f>
        <v>-1082.9252798645757</v>
      </c>
      <c r="CI75" s="35">
        <f>((CJ32+CJ33+CJ34+CJ35+CJ38+CJ39+CJ40)*Assump!$D$62-(CI32+CI33+CI34+CI35+CI38+CI39+CI40)*Assump!$D$62)</f>
        <v>-1012.0846898545096</v>
      </c>
      <c r="CJ75" s="35">
        <f>((CK32+CK33+CK34+CK35+CK38+CK39+CK40)*Assump!$D$62-(CJ32+CJ33+CJ34+CJ35+CJ38+CJ39+CJ40)*Assump!$D$62)</f>
        <v>2725.8771954757281</v>
      </c>
      <c r="CK75" s="35">
        <f>((CL32+CL33+CL34+CL35+CL38+CL39+CL40)*Assump!$D$62-(CK32+CK33+CK34+CK35+CK38+CK39+CK40)*Assump!$D$62)</f>
        <v>-1589.1191286457183</v>
      </c>
      <c r="CL75" s="35">
        <f>((CM32+CM33+CM34+CM35+CM38+CM39+CM40)*Assump!$D$62-(CL32+CL33+CL34+CL35+CL38+CL39+CL40)*Assump!$D$62)</f>
        <v>-999.38823525225871</v>
      </c>
      <c r="CM75" s="35">
        <f>((CN32+CN33+CN34+CN35+CN38+CN39+CN40)*Assump!$D$62-(CM32+CM33+CM34+CM35+CM38+CM39+CM40)*Assump!$D$62)</f>
        <v>2686.1167295435257</v>
      </c>
      <c r="CN75" s="35">
        <f>((CO32+CO33+CO34+CO35+CO38+CO39+CO40)*Assump!$D$62-(CN32+CN33+CN34+CN35+CN38+CN39+CN40)*Assump!$D$62)</f>
        <v>-957.98039665047099</v>
      </c>
      <c r="CO75" s="35"/>
    </row>
    <row r="76" spans="1:93" ht="12.75" customHeight="1">
      <c r="A76" s="35"/>
      <c r="B76" s="87" t="s">
        <v>172</v>
      </c>
      <c r="C76" s="35">
        <f t="shared" si="584"/>
        <v>1733.3734944711671</v>
      </c>
      <c r="D76" s="60"/>
      <c r="E76" s="35">
        <f>(D29+D31/(1+Assump!$D$24)+D42/(1-'ФОТ 1 этап'!$I$330))/E13*Assump!$E$63*Assump!$D$63-(E29+E31/(1+Assump!$D$24)+E42/(1-'ФОТ 1 этап'!$I$330))/E13*Assump!$E$63*Assump!$D$63</f>
        <v>0</v>
      </c>
      <c r="F76" s="35">
        <f>(E29+E31/(1+Assump!$D$24)+E42/(1-'ФОТ 1 этап'!$I$330))/F13*Assump!$E$63*Assump!$D$63-(F29+F31/(1+Assump!$D$24)+F42/(1-'ФОТ 1 этап'!$I$330))/F13*Assump!$E$63*Assump!$D$63</f>
        <v>0</v>
      </c>
      <c r="G76" s="35">
        <f>(F29+F31/(1+Assump!$D$24)+F42/(1-'ФОТ 1 этап'!$I$330))/G13*Assump!$E$63*Assump!$D$63-(G29+G31/(1+Assump!$D$24)+G42/(1-'ФОТ 1 этап'!$I$330))/G13*Assump!$E$63*Assump!$D$63</f>
        <v>0</v>
      </c>
      <c r="H76" s="35">
        <f>(G29+G31/(1+Assump!$D$24)+G42/(1-'ФОТ 1 этап'!$I$330))/H13*Assump!$E$63*Assump!$D$63-(H29+H31/(1+Assump!$D$24)+H42/(1-'ФОТ 1 этап'!$I$330))/H13*Assump!$E$63*Assump!$D$63</f>
        <v>0</v>
      </c>
      <c r="I76" s="35">
        <f>(H29+H31/(1+Assump!$D$24)+H42/(1-'ФОТ 1 этап'!$I$330))/I13*Assump!$E$63*Assump!$D$63-(I29+I31/(1+Assump!$D$24)+I42/(1-'ФОТ 1 этап'!$I$330))/I13*Assump!$E$63*Assump!$D$63</f>
        <v>0</v>
      </c>
      <c r="J76" s="35">
        <f>(I29+I31/(1+Assump!$D$24)+I42/(1-'ФОТ 1 этап'!$I$330))/J13*Assump!$E$63*Assump!$D$63-(J29+J31/(1+Assump!$D$24)+J42/(1-'ФОТ 1 этап'!$I$330))/J13*Assump!$E$63*Assump!$D$63</f>
        <v>0</v>
      </c>
      <c r="K76" s="35">
        <f>(J29+J31/(1+Assump!$D$24)+J42/(1-'ФОТ 1 этап'!$I$330))/K13*Assump!$E$63*Assump!$D$63-(K29+K31/(1+Assump!$D$24)+K42/(1-'ФОТ 1 этап'!$I$330))/K13*Assump!$E$63*Assump!$D$63</f>
        <v>0</v>
      </c>
      <c r="L76" s="35">
        <f>(K29+K31/(1+Assump!$D$24)+K42/(1-'ФОТ 1 этап'!$I$330))/L13*Assump!$E$63*Assump!$D$63-(L29+L31/(1+Assump!$D$24)+L42/(1-'ФОТ 1 этап'!$I$330))/L13*Assump!$E$63*Assump!$D$63</f>
        <v>0</v>
      </c>
      <c r="M76" s="35">
        <f>(L29+L31/(1+Assump!$D$24)+L42/(1-'ФОТ 1 этап'!$I$330))/M13*Assump!$E$63*Assump!$D$63-(M29+M31/(1+Assump!$D$24)+M42/(1-'ФОТ 1 этап'!$I$330))/M13*Assump!$E$63*Assump!$D$63</f>
        <v>0</v>
      </c>
      <c r="N76" s="35">
        <f>(M29+M31/(1+Assump!$D$24)+M42/(1-'ФОТ 1 этап'!$I$330))/N13*Assump!$E$63*Assump!$D$63-(N29+N31/(1+Assump!$D$24)+N42/(1-'ФОТ 1 этап'!$I$330))/N13*Assump!$E$63*Assump!$D$63</f>
        <v>0</v>
      </c>
      <c r="O76" s="35">
        <f>(N29+N31/(1+Assump!$D$24)+N42/(1-'ФОТ 1 этап'!$I$330))/O13*Assump!$E$63*Assump!$D$63-(O29+O31/(1+Assump!$D$24)+O42/(1-'ФОТ 1 этап'!$I$330))/O13*Assump!$E$63*Assump!$D$63</f>
        <v>0</v>
      </c>
      <c r="P76" s="35">
        <f>(O29+O31/(1+Assump!$D$24)+O42/(1-'ФОТ 1 этап'!$I$330))/P13*Assump!$E$63*Assump!$D$63-(P29+P31/(1+Assump!$D$24)+P42/(1-'ФОТ 1 этап'!$I$330))/P13*Assump!$E$63*Assump!$D$63</f>
        <v>0</v>
      </c>
      <c r="Q76" s="35">
        <f>(P29+P31/(1+Assump!$D$24)+P42/(1-'ФОТ 1 этап'!$I$330))/Q13*Assump!$E$63*Assump!$D$63-(Q29+Q31/(1+Assump!$D$24)+Q42/(1-'ФОТ 1 этап'!$I$330))/Q13*Assump!$E$63*Assump!$D$63</f>
        <v>0</v>
      </c>
      <c r="R76" s="35">
        <f>(Q29+Q31/(1+Assump!$D$24)+Q42/(1-'ФОТ 1 этап'!$I$330))/R13*Assump!$E$63*Assump!$D$63-(R29+R31/(1+Assump!$D$24)+R42/(1-'ФОТ 1 этап'!$I$330))/R13*Assump!$E$63*Assump!$D$63</f>
        <v>0</v>
      </c>
      <c r="S76" s="35">
        <f>(R29+R31/(1+Assump!$D$24)+R42/(1-'ФОТ 1 этап'!$I$330))/S13*Assump!$E$63*Assump!$D$63-(S29+S31/(1+Assump!$D$24)+S42/(1-'ФОТ 1 этап'!$I$330))/S13*Assump!$E$63*Assump!$D$63</f>
        <v>0</v>
      </c>
      <c r="T76" s="35">
        <f>(S29+S31/(1+Assump!$D$24)+S42/(1-'ФОТ 1 этап'!$I$330))/T13*Assump!$E$63*Assump!$D$63-(T29+T31/(1+Assump!$D$24)+T42/(1-'ФОТ 1 этап'!$I$330))/T13*Assump!$E$63*Assump!$D$63</f>
        <v>0</v>
      </c>
      <c r="U76" s="35">
        <f>(T29+T31/(1+Assump!$D$24)+T42/(1-'ФОТ 1 этап'!$I$330))/U13*Assump!$E$63*Assump!$D$63-(U29+U31/(1+Assump!$D$24)+U42/(1-'ФОТ 1 этап'!$I$330))/U13*Assump!$E$63*Assump!$D$63</f>
        <v>0</v>
      </c>
      <c r="V76" s="35">
        <f>(U29+U31/(1+Assump!$D$24)+U42/(1-'ФОТ 1 этап'!$I$330))/V13*Assump!$E$63*Assump!$D$63-(V29+V31/(1+Assump!$D$24)+V42/(1-'ФОТ 1 этап'!$I$330))/V13*Assump!$E$63*Assump!$D$63</f>
        <v>0</v>
      </c>
      <c r="W76" s="35">
        <f>(V29+V31/(1+Assump!$D$24)+V42/(1-'ФОТ 1 этап'!$I$330))/W13*Assump!$E$63*Assump!$D$63-(W29+W31/(1+Assump!$D$24)+W42/(1-'ФОТ 1 этап'!$I$330))/W13*Assump!$E$63*Assump!$D$63</f>
        <v>1639.8192809861221</v>
      </c>
      <c r="X76" s="35">
        <f>(W29+W31/(1+Assump!$D$24)+W42/(1-'ФОТ 1 этап'!$I$330))/X13*Assump!$E$63*Assump!$D$63-(X29+X31/(1+Assump!$D$24)+X42/(1-'ФОТ 1 этап'!$I$330))/X13*Assump!$E$63*Assump!$D$63</f>
        <v>225.7984709817124</v>
      </c>
      <c r="Y76" s="35">
        <f>(X29+X31/(1+Assump!$D$24)+X42/(1-'ФОТ 1 этап'!$I$330))/Y13*Assump!$E$63*Assump!$D$63-(Y29+Y31/(1+Assump!$D$24)+Y42/(1-'ФОТ 1 этап'!$I$330))/Y13*Assump!$E$63*Assump!$D$63</f>
        <v>-598.85105002321984</v>
      </c>
      <c r="Z76" s="35">
        <f>(Y29+Y31/(1+Assump!$D$24)+Y42/(1-'ФОТ 1 этап'!$I$330))/Z13*Assump!$E$63*Assump!$D$63-(Z29+Z31/(1+Assump!$D$24)+Z42/(1-'ФОТ 1 этап'!$I$330))/Z13*Assump!$E$63*Assump!$D$63</f>
        <v>193.31429713644184</v>
      </c>
      <c r="AA76" s="35">
        <f>(Z29+Z31/(1+Assump!$D$24)+Z42/(1-'ФОТ 1 этап'!$I$330))/AA13*Assump!$E$63*Assump!$D$63-(AA29+AA31/(1+Assump!$D$24)+AA42/(1-'ФОТ 1 этап'!$I$330))/AA13*Assump!$E$63*Assump!$D$63</f>
        <v>232.22705060580211</v>
      </c>
      <c r="AB76" s="35">
        <f>(AA29+AA31/(1+Assump!$D$24)+AA42/(1-'ФОТ 1 этап'!$I$330))/AB13*Assump!$E$63*Assump!$D$63-(AB29+AB31/(1+Assump!$D$24)+AB42/(1-'ФОТ 1 этап'!$I$330))/AB13*Assump!$E$63*Assump!$D$63</f>
        <v>236.3473132344734</v>
      </c>
      <c r="AC76" s="35">
        <f>(AB29+AB31/(1+Assump!$D$24)+AB42/(1-'ФОТ 1 этап'!$I$330))/AC13*Assump!$E$63*Assump!$D$63-(AC29+AC31/(1+Assump!$D$24)+AC42/(1-'ФОТ 1 этап'!$I$330))/AC13*Assump!$E$63*Assump!$D$63</f>
        <v>-627.10583994682634</v>
      </c>
      <c r="AD76" s="35">
        <f>(AC29+AC31/(1+Assump!$D$24)+AC42/(1-'ФОТ 1 этап'!$I$330))/AD13*Assump!$E$63*Assump!$D$63-(AD29+AD31/(1+Assump!$D$24)+AD42/(1-'ФОТ 1 этап'!$I$330))/AD13*Assump!$E$63*Assump!$D$63</f>
        <v>246.29251778639286</v>
      </c>
      <c r="AE76" s="35">
        <f>(AD29+AD31/(1+Assump!$D$24)+AD42/(1-'ФОТ 1 этап'!$I$330))/AE13*Assump!$E$63*Assump!$D$63-(AE29+AE31/(1+Assump!$D$24)+AE42/(1-'ФОТ 1 этап'!$I$330))/AE13*Assump!$E$63*Assump!$D$63</f>
        <v>250.54898539594615</v>
      </c>
      <c r="AF76" s="35">
        <f>(AE29+AE31/(1+Assump!$D$24)+AE42/(1-'ФОТ 1 этап'!$I$330))/AF13*Assump!$E$63*Assump!$D$63-(AF29+AF31/(1+Assump!$D$24)+AF42/(1-'ФОТ 1 этап'!$I$330))/AF13*Assump!$E$63*Assump!$D$63</f>
        <v>254.3337221436675</v>
      </c>
      <c r="AG76" s="35">
        <f>(AF29+AF31/(1+Assump!$D$24)+AF42/(1-'ФОТ 1 этап'!$I$330))/AG13*Assump!$E$63*Assump!$D$63-(AG29+AG31/(1+Assump!$D$24)+AG42/(1-'ФОТ 1 этап'!$I$330))/AG13*Assump!$E$63*Assump!$D$63</f>
        <v>-675.37123576706631</v>
      </c>
      <c r="AH76" s="35">
        <f>(AG29+AG31/(1+Assump!$D$24)+AG42/(1-'ФОТ 1 этап'!$I$330))/AH13*Assump!$E$63*Assump!$D$63-(AH29+AH31/(1+Assump!$D$24)+AH42/(1-'ФОТ 1 этап'!$I$330))/AH13*Assump!$E$63*Assump!$D$63</f>
        <v>388.02748246449028</v>
      </c>
      <c r="AI76" s="35">
        <f>(AH29+AH31/(1+Assump!$D$24)+AH42/(1-'ФОТ 1 этап'!$I$330))/AI13*Assump!$E$63*Assump!$D$63-(AI29+AI31/(1+Assump!$D$24)+AI42/(1-'ФОТ 1 этап'!$I$330))/AI13*Assump!$E$63*Assump!$D$63</f>
        <v>250.89176327967107</v>
      </c>
      <c r="AJ76" s="35">
        <f>(AI29+AI31/(1+Assump!$D$24)+AI42/(1-'ФОТ 1 этап'!$I$330))/AJ13*Assump!$E$63*Assump!$D$63-(AJ29+AJ31/(1+Assump!$D$24)+AJ42/(1-'ФОТ 1 этап'!$I$330))/AJ13*Assump!$E$63*Assump!$D$63</f>
        <v>-658.46113194416694</v>
      </c>
      <c r="AK76" s="35">
        <f>(AJ29+AJ31/(1+Assump!$D$24)+AJ42/(1-'ФОТ 1 этап'!$I$330))/AK13*Assump!$E$63*Assump!$D$63-(AK29+AK31/(1+Assump!$D$24)+AK42/(1-'ФОТ 1 этап'!$I$330))/AK13*Assump!$E$63*Assump!$D$63</f>
        <v>252.98524924797948</v>
      </c>
      <c r="AL76" s="35">
        <f>(AK29+AK31/(1+Assump!$D$24)+AK42/(1-'ФОТ 1 этап'!$I$330))/AL13*Assump!$E$63*Assump!$D$63-(AL29+AL31/(1+Assump!$D$24)+AL42/(1-'ФОТ 1 этап'!$I$330))/AL13*Assump!$E$63*Assump!$D$63</f>
        <v>263.07643466574291</v>
      </c>
      <c r="AM76" s="35">
        <f>(AL29+AL31/(1+Assump!$D$24)+AL42/(1-'ФОТ 1 этап'!$I$330))/AM13*Assump!$E$63*Assump!$D$63-(AM29+AM31/(1+Assump!$D$24)+AM42/(1-'ФОТ 1 этап'!$I$330))/AM13*Assump!$E$63*Assump!$D$63</f>
        <v>269.98502812173979</v>
      </c>
      <c r="AN76" s="35">
        <f>(AM29+AM31/(1+Assump!$D$24)+AM42/(1-'ФОТ 1 этап'!$I$330))/AN13*Assump!$E$63*Assump!$D$63-(AN29+AN31/(1+Assump!$D$24)+AN42/(1-'ФОТ 1 этап'!$I$330))/AN13*Assump!$E$63*Assump!$D$63</f>
        <v>-709.13979755541982</v>
      </c>
      <c r="AO76" s="35">
        <f>(AN29+AN31/(1+Assump!$D$24)+AN42/(1-'ФОТ 1 этап'!$I$330))/AO13*Assump!$E$63*Assump!$D$63-(AO29+AO31/(1+Assump!$D$24)+AO42/(1-'ФОТ 1 этап'!$I$330))/AO13*Assump!$E$63*Assump!$D$63</f>
        <v>398.57170753146033</v>
      </c>
      <c r="AP76" s="35">
        <f>(AO29+AO31/(1+Assump!$D$24)+AO42/(1-'ФОТ 1 этап'!$I$330))/AP13*Assump!$E$63*Assump!$D$63-(AP29+AP31/(1+Assump!$D$24)+AP42/(1-'ФОТ 1 этап'!$I$330))/AP13*Assump!$E$63*Assump!$D$63</f>
        <v>266.36342201525099</v>
      </c>
      <c r="AQ76" s="35">
        <f>(AP29+AP31/(1+Assump!$D$24)+AP42/(1-'ФОТ 1 этап'!$I$330))/AQ13*Assump!$E$63*Assump!$D$63-(AQ29+AQ31/(1+Assump!$D$24)+AQ42/(1-'ФОТ 1 этап'!$I$330))/AQ13*Assump!$E$63*Assump!$D$63</f>
        <v>-698.98181698688518</v>
      </c>
      <c r="AR76" s="35">
        <f>(AQ29+AQ31/(1+Assump!$D$24)+AQ42/(1-'ФОТ 1 этап'!$I$330))/AR13*Assump!$E$63*Assump!$D$63-(AR29+AR31/(1+Assump!$D$24)+AR42/(1-'ФОТ 1 этап'!$I$330))/AR13*Assump!$E$63*Assump!$D$63</f>
        <v>265.63451171037832</v>
      </c>
      <c r="AS76" s="35">
        <f>(AR29+AR31/(1+Assump!$D$24)+AR42/(1-'ФОТ 1 этап'!$I$330))/AS13*Assump!$E$63*Assump!$D$63-(AS29+AS31/(1+Assump!$D$24)+AS42/(1-'ФОТ 1 этап'!$I$330))/AS13*Assump!$E$63*Assump!$D$63</f>
        <v>273.22775361208505</v>
      </c>
      <c r="AT76" s="35">
        <f>(AS29+AS31/(1+Assump!$D$24)+AS42/(1-'ФОТ 1 этап'!$I$330))/AT13*Assump!$E$63*Assump!$D$63-(AT29+AT31/(1+Assump!$D$24)+AT42/(1-'ФОТ 1 этап'!$I$330))/AT13*Assump!$E$63*Assump!$D$63</f>
        <v>286.63410485591362</v>
      </c>
      <c r="AU76" s="35">
        <f>(AT29+AT31/(1+Assump!$D$24)+AT42/(1-'ФОТ 1 этап'!$I$330))/AU13*Assump!$E$63*Assump!$D$63-(AU29+AU31/(1+Assump!$D$24)+AU42/(1-'ФОТ 1 этап'!$I$330))/AU13*Assump!$E$63*Assump!$D$63</f>
        <v>-752.77916971267632</v>
      </c>
      <c r="AV76" s="35">
        <f>(AU29+AU31/(1+Assump!$D$24)+AU42/(1-'ФОТ 1 этап'!$I$330))/AV13*Assump!$E$63*Assump!$D$63-(AV29+AV31/(1+Assump!$D$24)+AV42/(1-'ФОТ 1 этап'!$I$330))/AV13*Assump!$E$63*Assump!$D$63</f>
        <v>418.50029290803354</v>
      </c>
      <c r="AW76" s="35">
        <f>(AV29+AV31/(1+Assump!$D$24)+AV42/(1-'ФОТ 1 этап'!$I$330))/AW13*Assump!$E$63*Assump!$D$63-(AW29+AW31/(1+Assump!$D$24)+AW42/(1-'ФОТ 1 этап'!$I$330))/AW13*Assump!$E$63*Assump!$D$63</f>
        <v>273.60155848305681</v>
      </c>
      <c r="AX76" s="35">
        <f>(AW29+AW31/(1+Assump!$D$24)+AW42/(1-'ФОТ 1 этап'!$I$330))/AX13*Assump!$E$63*Assump!$D$63-(AX29+AX31/(1+Assump!$D$24)+AX42/(1-'ФОТ 1 этап'!$I$330))/AX13*Assump!$E$63*Assump!$D$63</f>
        <v>-742.08569570107625</v>
      </c>
      <c r="AY76" s="35">
        <f>(AX29+AX31/(1+Assump!$D$24)+AX42/(1-'ФОТ 1 этап'!$I$330))/AY13*Assump!$E$63*Assump!$D$63-(AY29+AY31/(1+Assump!$D$24)+AY42/(1-'ФОТ 1 этап'!$I$330))/AY13*Assump!$E$63*Assump!$D$63</f>
        <v>281.98125089255586</v>
      </c>
      <c r="AZ76" s="35">
        <f>(AY29+AY31/(1+Assump!$D$24)+AY42/(1-'ФОТ 1 этап'!$I$330))/AZ13*Assump!$E$63*Assump!$D$63-(AZ29+AZ31/(1+Assump!$D$24)+AZ42/(1-'ФОТ 1 этап'!$I$330))/AZ13*Assump!$E$63*Assump!$D$63</f>
        <v>286.88914129268869</v>
      </c>
      <c r="BA76" s="35">
        <f>(AZ29+AZ31/(1+Assump!$D$24)+AZ42/(1-'ФОТ 1 этап'!$I$330))/BA13*Assump!$E$63*Assump!$D$63-(BA29+BA31/(1+Assump!$D$24)+BA42/(1-'ФОТ 1 этап'!$I$330))/BA13*Assump!$E$63*Assump!$D$63</f>
        <v>294.42307509656325</v>
      </c>
      <c r="BB76" s="35">
        <f>(BA29+BA31/(1+Assump!$D$24)+BA42/(1-'ФОТ 1 этап'!$I$330))/BB13*Assump!$E$63*Assump!$D$63-(BB29+BB31/(1+Assump!$D$24)+BB42/(1-'ФОТ 1 этап'!$I$330))/BB13*Assump!$E$63*Assump!$D$63</f>
        <v>-790.41812819830989</v>
      </c>
      <c r="BC76" s="35">
        <f>(BB29+BB31/(1+Assump!$D$24)+BB42/(1-'ФОТ 1 этап'!$I$330))/BC13*Assump!$E$63*Assump!$D$63-(BC29+BC31/(1+Assump!$D$24)+BC42/(1-'ФОТ 1 этап'!$I$330))/BC13*Assump!$E$63*Assump!$D$63</f>
        <v>444.25415708698893</v>
      </c>
      <c r="BD76" s="35">
        <f>(BC29+BC31/(1+Assump!$D$24)+BC42/(1-'ФОТ 1 этап'!$I$330))/BD13*Assump!$E$63*Assump!$D$63-(BD29+BD31/(1+Assump!$D$24)+BD42/(1-'ФОТ 1 этап'!$I$330))/BD13*Assump!$E$63*Assump!$D$63</f>
        <v>287.28163640720982</v>
      </c>
      <c r="BE76" s="35">
        <f>(BD29+BD31/(1+Assump!$D$24)+BD42/(1-'ФОТ 1 этап'!$I$330))/BE13*Assump!$E$63*Assump!$D$63-(BE29+BE31/(1+Assump!$D$24)+BE42/(1-'ФОТ 1 этап'!$I$330))/BE13*Assump!$E$63*Assump!$D$63</f>
        <v>-762.25106786686638</v>
      </c>
      <c r="BF76" s="35">
        <f>(BE29+BE31/(1+Assump!$D$24)+BE42/(1-'ФОТ 1 этап'!$I$330))/BF13*Assump!$E$63*Assump!$D$63-(BF29+BF31/(1+Assump!$D$24)+BF42/(1-'ФОТ 1 этап'!$I$330))/BF13*Assump!$E$63*Assump!$D$63</f>
        <v>299.37009469759641</v>
      </c>
      <c r="BG76" s="35">
        <f>(BF29+BF31/(1+Assump!$D$24)+BF42/(1-'ФОТ 1 этап'!$I$330))/BG13*Assump!$E$63*Assump!$D$63-(BG29+BG31/(1+Assump!$D$24)+BG42/(1-'ФОТ 1 этап'!$I$330))/BG13*Assump!$E$63*Assump!$D$63</f>
        <v>304.54385767993131</v>
      </c>
      <c r="BH76" s="35">
        <f>(BG29+BG31/(1+Assump!$D$24)+BG42/(1-'ФОТ 1 этап'!$I$330))/BH13*Assump!$E$63*Assump!$D$63-(BH29+BH31/(1+Assump!$D$24)+BH42/(1-'ФОТ 1 этап'!$I$330))/BH13*Assump!$E$63*Assump!$D$63</f>
        <v>309.14422885139152</v>
      </c>
      <c r="BI76" s="35">
        <f>(BH29+BH31/(1+Assump!$D$24)+BH42/(1-'ФОТ 1 этап'!$I$330))/BI13*Assump!$E$63*Assump!$D$63-(BI29+BI31/(1+Assump!$D$24)+BI42/(1-'ФОТ 1 этап'!$I$330))/BI13*Assump!$E$63*Assump!$D$63</f>
        <v>-820.91795814509283</v>
      </c>
      <c r="BJ76" s="35">
        <f>(BI29+BI31/(1+Assump!$D$24)+BI42/(1-'ФОТ 1 этап'!$I$330))/BJ13*Assump!$E$63*Assump!$D$63-(BJ29+BJ31/(1+Assump!$D$24)+BJ42/(1-'ФОТ 1 этап'!$I$330))/BJ13*Assump!$E$63*Assump!$D$63</f>
        <v>471.64983010735386</v>
      </c>
      <c r="BK76" s="35">
        <f>(BJ29+BJ31/(1+Assump!$D$24)+BJ42/(1-'ФОТ 1 этап'!$I$330))/BK13*Assump!$E$63*Assump!$D$63-(BK29+BK31/(1+Assump!$D$24)+BK42/(1-'ФОТ 1 этап'!$I$330))/BK13*Assump!$E$63*Assump!$D$63</f>
        <v>304.96050633996106</v>
      </c>
      <c r="BL76" s="35">
        <f>(BK29+BK31/(1+Assump!$D$24)+BK42/(1-'ФОТ 1 этап'!$I$330))/BL13*Assump!$E$63*Assump!$D$63-(BL29+BL31/(1+Assump!$D$24)+BL42/(1-'ФОТ 1 этап'!$I$330))/BL13*Assump!$E$63*Assump!$D$63</f>
        <v>-800.36362126021027</v>
      </c>
      <c r="BM76" s="35">
        <f>(BL29+BL31/(1+Assump!$D$24)+BL42/(1-'ФОТ 1 этап'!$I$330))/BM13*Assump!$E$63*Assump!$D$63-(BM29+BM31/(1+Assump!$D$24)+BM42/(1-'ФОТ 1 этап'!$I$330))/BM13*Assump!$E$63*Assump!$D$63</f>
        <v>307.50515161872727</v>
      </c>
      <c r="BN76" s="35">
        <f>(BM29+BM31/(1+Assump!$D$24)+BM42/(1-'ФОТ 1 этап'!$I$330))/BN13*Assump!$E$63*Assump!$D$63-(BN29+BN31/(1+Assump!$D$24)+BN42/(1-'ФОТ 1 этап'!$I$330))/BN13*Assump!$E$63*Assump!$D$63</f>
        <v>323.3240622368603</v>
      </c>
      <c r="BO76" s="35">
        <f>(BN29+BN31/(1+Assump!$D$24)+BN42/(1-'ФОТ 1 этап'!$I$330))/BO13*Assump!$E$63*Assump!$D$63-(BO29+BO31/(1+Assump!$D$24)+BO42/(1-'ФОТ 1 этап'!$I$330))/BO13*Assump!$E$63*Assump!$D$63</f>
        <v>328.16848908840075</v>
      </c>
      <c r="BP76" s="35">
        <f>(BO29+BO31/(1+Assump!$D$24)+BO42/(1-'ФОТ 1 этап'!$I$330))/BP13*Assump!$E$63*Assump!$D$63-(BP29+BP31/(1+Assump!$D$24)+BP42/(1-'ФОТ 1 этап'!$I$330))/BP13*Assump!$E$63*Assump!$D$63</f>
        <v>-861.96385605234741</v>
      </c>
      <c r="BQ76" s="35">
        <f>(BP29+BP31/(1+Assump!$D$24)+BP42/(1-'ФОТ 1 этап'!$I$330))/BQ13*Assump!$E$63*Assump!$D$63-(BQ29+BQ31/(1+Assump!$D$24)+BQ42/(1-'ФОТ 1 этап'!$I$330))/BQ13*Assump!$E$63*Assump!$D$63</f>
        <v>484.46640157766183</v>
      </c>
      <c r="BR76" s="35">
        <f>(BQ29+BQ31/(1+Assump!$D$24)+BQ42/(1-'ФОТ 1 этап'!$I$330))/BR13*Assump!$E$63*Assump!$D$63-(BR29+BR31/(1+Assump!$D$24)+BR42/(1-'ФОТ 1 этап'!$I$330))/BR13*Assump!$E$63*Assump!$D$63</f>
        <v>320.20853165695917</v>
      </c>
      <c r="BS76" s="35">
        <f>(BR29+BR31/(1+Assump!$D$24)+BR42/(1-'ФОТ 1 этап'!$I$330))/BS13*Assump!$E$63*Assump!$D$63-(BS29+BS31/(1+Assump!$D$24)+BS42/(1-'ФОТ 1 этап'!$I$330))/BS13*Assump!$E$63*Assump!$D$63</f>
        <v>-849.61676718391482</v>
      </c>
      <c r="BT76" s="35">
        <f>(BS29+BS31/(1+Assump!$D$24)+BS42/(1-'ФОТ 1 этап'!$I$330))/BT13*Assump!$E$63*Assump!$D$63-(BT29+BT31/(1+Assump!$D$24)+BT42/(1-'ФОТ 1 этап'!$I$330))/BT13*Assump!$E$63*Assump!$D$63</f>
        <v>322.88040919966284</v>
      </c>
      <c r="BU76" s="35">
        <f>(BT29+BT31/(1+Assump!$D$24)+BT42/(1-'ФОТ 1 этап'!$I$330))/BU13*Assump!$E$63*Assump!$D$63-(BU29+BU31/(1+Assump!$D$24)+BU42/(1-'ФОТ 1 этап'!$I$330))/BU13*Assump!$E$63*Assump!$D$63</f>
        <v>332.11004218894982</v>
      </c>
      <c r="BV76" s="35">
        <f>(BU29+BU31/(1+Assump!$D$24)+BU42/(1-'ФОТ 1 этап'!$I$330))/BV13*Assump!$E$63*Assump!$D$63-(BV29+BV31/(1+Assump!$D$24)+BV42/(1-'ФОТ 1 этап'!$I$330))/BV13*Assump!$E$63*Assump!$D$63</f>
        <v>348.40554591551836</v>
      </c>
      <c r="BW76" s="35">
        <f>(BV29+BV31/(1+Assump!$D$24)+BV42/(1-'ФОТ 1 этап'!$I$330))/BW13*Assump!$E$63*Assump!$D$63-(BW29+BW31/(1+Assump!$D$24)+BW42/(1-'ФОТ 1 этап'!$I$330))/BW13*Assump!$E$63*Assump!$D$63</f>
        <v>-915.00778565556834</v>
      </c>
      <c r="BX76" s="35">
        <f>(BW29+BW31/(1+Assump!$D$24)+BW42/(1-'ФОТ 1 этап'!$I$330))/BX13*Assump!$E$63*Assump!$D$63-(BX29+BX31/(1+Assump!$D$24)+BX42/(1-'ФОТ 1 этап'!$I$330))/BX13*Assump!$E$63*Assump!$D$63</f>
        <v>508.68972165654509</v>
      </c>
      <c r="BY76" s="35">
        <f>(BX29+BX31/(1+Assump!$D$24)+BX42/(1-'ФОТ 1 этап'!$I$330))/BY13*Assump!$E$63*Assump!$D$63-(BY29+BY31/(1+Assump!$D$24)+BY42/(1-'ФОТ 1 этап'!$I$330))/BY13*Assump!$E$63*Assump!$D$63</f>
        <v>332.56440434589649</v>
      </c>
      <c r="BZ76" s="35">
        <f>(BY29+BY31/(1+Assump!$D$24)+BY42/(1-'ФОТ 1 этап'!$I$330))/BZ13*Assump!$E$63*Assump!$D$63-(BZ29+BZ31/(1+Assump!$D$24)+BZ42/(1-'ФОТ 1 этап'!$I$330))/BZ13*Assump!$E$63*Assump!$D$63</f>
        <v>-902.00980116025676</v>
      </c>
      <c r="CA76" s="35">
        <f>(BZ29+BZ31/(1+Assump!$D$24)+BZ42/(1-'ФОТ 1 этап'!$I$330))/CA13*Assump!$E$63*Assump!$D$63-(CA29+CA31/(1+Assump!$D$24)+CA42/(1-'ФОТ 1 этап'!$I$330))/CA13*Assump!$E$63*Assump!$D$63</f>
        <v>342.74997284271967</v>
      </c>
      <c r="CB76" s="35">
        <f>(CA29+CA31/(1+Assump!$D$24)+CA42/(1-'ФОТ 1 этап'!$I$330))/CB13*Assump!$E$63*Assump!$D$63-(CB29+CB31/(1+Assump!$D$24)+CB42/(1-'ФОТ 1 этап'!$I$330))/CB13*Assump!$E$63*Assump!$D$63</f>
        <v>348.71554429839694</v>
      </c>
      <c r="CC76" s="35">
        <f>(CB29+CB31/(1+Assump!$D$24)+CB42/(1-'ФОТ 1 этап'!$I$330))/CC13*Assump!$E$63*Assump!$D$63-(CC29+CC31/(1+Assump!$D$24)+CC42/(1-'ФОТ 1 этап'!$I$330))/CC13*Assump!$E$63*Assump!$D$63</f>
        <v>357.87308792409203</v>
      </c>
      <c r="CD76" s="35">
        <f>(CC29+CC31/(1+Assump!$D$24)+CC42/(1-'ФОТ 1 этап'!$I$330))/CD13*Assump!$E$63*Assump!$D$63-(CD29+CD31/(1+Assump!$D$24)+CD42/(1-'ФОТ 1 этап'!$I$330))/CD13*Assump!$E$63*Assump!$D$63</f>
        <v>-971.43326577099606</v>
      </c>
      <c r="CE76" s="35">
        <f>(CD29+CD31/(1+Assump!$D$24)+CD42/(1-'ФОТ 1 этап'!$I$330))/CE13*Assump!$E$63*Assump!$D$63-(CE29+CE31/(1+Assump!$D$24)+CE42/(1-'ФОТ 1 этап'!$I$330))/CE13*Assump!$E$63*Assump!$D$63</f>
        <v>539.99370452771745</v>
      </c>
      <c r="CF76" s="35">
        <f>(CE29+CE31/(1+Assump!$D$24)+CE42/(1-'ФОТ 1 этап'!$I$330))/CF13*Assump!$E$63*Assump!$D$63-(CF29+CF31/(1+Assump!$D$24)+CF42/(1-'ФОТ 1 этап'!$I$330))/CF13*Assump!$E$63*Assump!$D$63</f>
        <v>349.19262456319166</v>
      </c>
      <c r="CG76" s="35">
        <f>(CF29+CF31/(1+Assump!$D$24)+CF42/(1-'ФОТ 1 этап'!$I$330))/CG13*Assump!$E$63*Assump!$D$63-(CG29+CG31/(1+Assump!$D$24)+CG42/(1-'ФОТ 1 этап'!$I$330))/CG13*Assump!$E$63*Assump!$D$63</f>
        <v>-926.52093706135133</v>
      </c>
      <c r="CH76" s="35">
        <f>(CG29+CG31/(1+Assump!$D$24)+CG42/(1-'ФОТ 1 этап'!$I$330))/CH13*Assump!$E$63*Assump!$D$63-(CH29+CH31/(1+Assump!$D$24)+CH42/(1-'ФОТ 1 этап'!$I$330))/CH13*Assump!$E$63*Assump!$D$63</f>
        <v>359.8874714848555</v>
      </c>
      <c r="CI76" s="35">
        <f>(CH29+CH31/(1+Assump!$D$24)+CH42/(1-'ФОТ 1 этап'!$I$330))/CI13*Assump!$E$63*Assump!$D$63-(CI29+CI31/(1+Assump!$D$24)+CI42/(1-'ФОТ 1 этап'!$I$330))/CI13*Assump!$E$63*Assump!$D$63</f>
        <v>370.17496240906712</v>
      </c>
      <c r="CJ76" s="35">
        <f>(CI29+CI31/(1+Assump!$D$24)+CI42/(1-'ФОТ 1 этап'!$I$330))/CJ13*Assump!$E$63*Assump!$D$63-(CJ29+CJ31/(1+Assump!$D$24)+CJ42/(1-'ФОТ 1 этап'!$I$330))/CJ13*Assump!$E$63*Assump!$D$63</f>
        <v>375.766742320297</v>
      </c>
      <c r="CK76" s="35">
        <f>(CJ29+CJ31/(1+Assump!$D$24)+CJ42/(1-'ФОТ 1 этап'!$I$330))/CK13*Assump!$E$63*Assump!$D$63-(CK29+CK31/(1+Assump!$D$24)+CK42/(1-'ФОТ 1 этап'!$I$330))/CK13*Assump!$E$63*Assump!$D$63</f>
        <v>-997.83090886259947</v>
      </c>
      <c r="CL76" s="35">
        <f>(CK29+CK31/(1+Assump!$D$24)+CK42/(1-'ФОТ 1 этап'!$I$330))/CL13*Assump!$E$63*Assump!$D$63-(CL29+CL31/(1+Assump!$D$24)+CL42/(1-'ФОТ 1 этап'!$I$330))/CL13*Assump!$E$63*Assump!$D$63</f>
        <v>573.29331630692695</v>
      </c>
      <c r="CM76" s="35">
        <f>(CL29+CL31/(1+Assump!$D$24)+CL42/(1-'ФОТ 1 этап'!$I$330))/CM13*Assump!$E$63*Assump!$D$63-(CM29+CM31/(1+Assump!$D$24)+CM42/(1-'ФОТ 1 этап'!$I$330))/CM13*Assump!$E$63*Assump!$D$63</f>
        <v>370.68140145938742</v>
      </c>
      <c r="CN76" s="35">
        <f>(CM29+CM31/(1+Assump!$D$24)+CM42/(1-'ФОТ 1 этап'!$I$330))/CN13*Assump!$E$63*Assump!$D$63-(CN29+CN31/(1+Assump!$D$24)+CN42/(1-'ФОТ 1 этап'!$I$330))/CN13*Assump!$E$63*Assump!$D$63</f>
        <v>-972.84698391441793</v>
      </c>
      <c r="CO76" s="35"/>
    </row>
    <row r="77" spans="1:93" ht="12.75" customHeight="1">
      <c r="A77" s="35"/>
      <c r="B77" s="87" t="s">
        <v>173</v>
      </c>
      <c r="C77" s="35">
        <f t="shared" si="584"/>
        <v>872.46465888381874</v>
      </c>
      <c r="D77" s="60"/>
      <c r="E77" s="35">
        <f>(D30+D31/(1+Assump!$D$24)*Assump!$D$24+Model!D42*'ФОТ 1 этап'!$I$330)/E13*Assump!$E$64-(E30+E31/(1+Assump!$D$24)*Assump!$D$24+Model!E42*'ФОТ 1 этап'!$I$330)/E13*Assump!$E$64</f>
        <v>0</v>
      </c>
      <c r="F77" s="35">
        <f>(E30+E31/(1+Assump!$D$24)*Assump!$D$24+Model!E42*'ФОТ 1 этап'!$I$330)/F13*Assump!$E$64-(F30+F31/(1+Assump!$D$24)*Assump!$D$24+Model!F42*'ФОТ 1 этап'!$I$330)/F13*Assump!$E$64</f>
        <v>0</v>
      </c>
      <c r="G77" s="35">
        <f>(F30+F31/(1+Assump!$D$24)*Assump!$D$24+Model!F42*'ФОТ 1 этап'!$I$330)/G13*Assump!$E$64-(G30+G31/(1+Assump!$D$24)*Assump!$D$24+Model!G42*'ФОТ 1 этап'!$I$330)/G13*Assump!$E$64</f>
        <v>0</v>
      </c>
      <c r="H77" s="35">
        <f>(G30+G31/(1+Assump!$D$24)*Assump!$D$24+Model!G42*'ФОТ 1 этап'!$I$330)/H13*Assump!$E$64-(H30+H31/(1+Assump!$D$24)*Assump!$D$24+Model!H42*'ФОТ 1 этап'!$I$330)/H13*Assump!$E$64</f>
        <v>0</v>
      </c>
      <c r="I77" s="35">
        <f>(H30+H31/(1+Assump!$D$24)*Assump!$D$24+Model!H42*'ФОТ 1 этап'!$I$330)/I13*Assump!$E$64-(I30+I31/(1+Assump!$D$24)*Assump!$D$24+Model!I42*'ФОТ 1 этап'!$I$330)/I13*Assump!$E$64</f>
        <v>0</v>
      </c>
      <c r="J77" s="35">
        <f>(I30+I31/(1+Assump!$D$24)*Assump!$D$24+Model!I42*'ФОТ 1 этап'!$I$330)/J13*Assump!$E$64-(J30+J31/(1+Assump!$D$24)*Assump!$D$24+Model!J42*'ФОТ 1 этап'!$I$330)/J13*Assump!$E$64</f>
        <v>0</v>
      </c>
      <c r="K77" s="35">
        <f>(J30+J31/(1+Assump!$D$24)*Assump!$D$24+Model!J42*'ФОТ 1 этап'!$I$330)/K13*Assump!$E$64-(K30+K31/(1+Assump!$D$24)*Assump!$D$24+Model!K42*'ФОТ 1 этап'!$I$330)/K13*Assump!$E$64</f>
        <v>0</v>
      </c>
      <c r="L77" s="35">
        <f>(K30+K31/(1+Assump!$D$24)*Assump!$D$24+Model!K42*'ФОТ 1 этап'!$I$330)/L13*Assump!$E$64-(L30+L31/(1+Assump!$D$24)*Assump!$D$24+Model!L42*'ФОТ 1 этап'!$I$330)/L13*Assump!$E$64</f>
        <v>0</v>
      </c>
      <c r="M77" s="35">
        <f>(L30+L31/(1+Assump!$D$24)*Assump!$D$24+Model!L42*'ФОТ 1 этап'!$I$330)/M13*Assump!$E$64-(M30+M31/(1+Assump!$D$24)*Assump!$D$24+Model!M42*'ФОТ 1 этап'!$I$330)/M13*Assump!$E$64</f>
        <v>0</v>
      </c>
      <c r="N77" s="35">
        <f>(M30+M31/(1+Assump!$D$24)*Assump!$D$24+Model!M42*'ФОТ 1 этап'!$I$330)/N13*Assump!$E$64-(N30+N31/(1+Assump!$D$24)*Assump!$D$24+Model!N42*'ФОТ 1 этап'!$I$330)/N13*Assump!$E$64</f>
        <v>0</v>
      </c>
      <c r="O77" s="35">
        <f>(N30+N31/(1+Assump!$D$24)*Assump!$D$24+Model!N42*'ФОТ 1 этап'!$I$330)/O13*Assump!$E$64-(O30+O31/(1+Assump!$D$24)*Assump!$D$24+Model!O42*'ФОТ 1 этап'!$I$330)/O13*Assump!$E$64</f>
        <v>0</v>
      </c>
      <c r="P77" s="35">
        <f>(O30+O31/(1+Assump!$D$24)*Assump!$D$24+Model!O42*'ФОТ 1 этап'!$I$330)/P13*Assump!$E$64-(P30+P31/(1+Assump!$D$24)*Assump!$D$24+Model!P42*'ФОТ 1 этап'!$I$330)/P13*Assump!$E$64</f>
        <v>0</v>
      </c>
      <c r="Q77" s="35">
        <f>(P30+P31/(1+Assump!$D$24)*Assump!$D$24+Model!P42*'ФОТ 1 этап'!$I$330)/Q13*Assump!$E$64-(Q30+Q31/(1+Assump!$D$24)*Assump!$D$24+Model!Q42*'ФОТ 1 этап'!$I$330)/Q13*Assump!$E$64</f>
        <v>0</v>
      </c>
      <c r="R77" s="35">
        <f>(Q30+Q31/(1+Assump!$D$24)*Assump!$D$24+Model!Q42*'ФОТ 1 этап'!$I$330)/R13*Assump!$E$64-(R30+R31/(1+Assump!$D$24)*Assump!$D$24+Model!R42*'ФОТ 1 этап'!$I$330)/R13*Assump!$E$64</f>
        <v>0</v>
      </c>
      <c r="S77" s="35">
        <f>(R30+R31/(1+Assump!$D$24)*Assump!$D$24+Model!R42*'ФОТ 1 этап'!$I$330)/S13*Assump!$E$64-(S30+S31/(1+Assump!$D$24)*Assump!$D$24+Model!S42*'ФОТ 1 этап'!$I$330)/S13*Assump!$E$64</f>
        <v>0</v>
      </c>
      <c r="T77" s="35">
        <f>(S30+S31/(1+Assump!$D$24)*Assump!$D$24+Model!S42*'ФОТ 1 этап'!$I$330)/T13*Assump!$E$64-(T30+T31/(1+Assump!$D$24)*Assump!$D$24+Model!T42*'ФОТ 1 этап'!$I$330)/T13*Assump!$E$64</f>
        <v>0</v>
      </c>
      <c r="U77" s="35">
        <f>(T30+T31/(1+Assump!$D$24)*Assump!$D$24+Model!T42*'ФОТ 1 этап'!$I$330)/U13*Assump!$E$64-(U30+U31/(1+Assump!$D$24)*Assump!$D$24+Model!U42*'ФОТ 1 этап'!$I$330)/U13*Assump!$E$64</f>
        <v>0</v>
      </c>
      <c r="V77" s="35">
        <f>(U30+U31/(1+Assump!$D$24)*Assump!$D$24+Model!U42*'ФОТ 1 этап'!$I$330)/V13*Assump!$E$64-(V30+V31/(1+Assump!$D$24)*Assump!$D$24+Model!V42*'ФОТ 1 этап'!$I$330)/V13*Assump!$E$64</f>
        <v>0</v>
      </c>
      <c r="W77" s="35">
        <f>(V30+V31/(1+Assump!$D$24)*Assump!$D$24+Model!V42*'ФОТ 1 этап'!$I$330)/W13*Assump!$E$64-(W30+W31/(1+Assump!$D$24)*Assump!$D$24+Model!W42*'ФОТ 1 этап'!$I$330)/W13*Assump!$E$64</f>
        <v>825.37570476301471</v>
      </c>
      <c r="X77" s="35">
        <f>(W30+W31/(1+Assump!$D$24)*Assump!$D$24+Model!W42*'ФОТ 1 этап'!$I$330)/X13*Assump!$E$64-(X30+X31/(1+Assump!$D$24)*Assump!$D$24+Model!X42*'ФОТ 1 этап'!$I$330)/X13*Assump!$E$64</f>
        <v>113.65189706079502</v>
      </c>
      <c r="Y77" s="35">
        <f>(X30+X31/(1+Assump!$D$24)*Assump!$D$24+Model!X42*'ФОТ 1 этап'!$I$330)/Y13*Assump!$E$64-(Y30+Y31/(1+Assump!$D$24)*Assump!$D$24+Model!Y42*'ФОТ 1 этап'!$I$330)/Y13*Assump!$E$64</f>
        <v>-301.42169517835384</v>
      </c>
      <c r="Z77" s="35">
        <f>(Y30+Y31/(1+Assump!$D$24)*Assump!$D$24+Model!Y42*'ФОТ 1 этап'!$I$330)/Z13*Assump!$E$64-(Z30+Z31/(1+Assump!$D$24)*Assump!$D$24+Model!Z42*'ФОТ 1 этап'!$I$330)/Z13*Assump!$E$64</f>
        <v>97.301529558675725</v>
      </c>
      <c r="AA77" s="35">
        <f>(Z30+Z31/(1+Assump!$D$24)*Assump!$D$24+Model!Z42*'ФОТ 1 этап'!$I$330)/AA13*Assump!$E$64-(AA30+AA31/(1+Assump!$D$24)*Assump!$D$24+Model!AA42*'ФОТ 1 этап'!$I$330)/AA13*Assump!$E$64</f>
        <v>116.88761547158686</v>
      </c>
      <c r="AB77" s="35">
        <f>(AA30+AA31/(1+Assump!$D$24)*Assump!$D$24+Model!AA42*'ФОТ 1 этап'!$I$330)/AB13*Assump!$E$64-(AB30+AB31/(1+Assump!$D$24)*Assump!$D$24+Model!AB42*'ФОТ 1 этап'!$I$330)/AB13*Assump!$E$64</f>
        <v>118.96148099468485</v>
      </c>
      <c r="AC77" s="35">
        <f>(AB30+AB31/(1+Assump!$D$24)*Assump!$D$24+Model!AB42*'ФОТ 1 этап'!$I$330)/AC13*Assump!$E$64-(AC30+AC31/(1+Assump!$D$24)*Assump!$D$24+Model!AC42*'ФОТ 1 этап'!$I$330)/AC13*Assump!$E$64</f>
        <v>-315.64327277323582</v>
      </c>
      <c r="AD77" s="35">
        <f>(AC30+AC31/(1+Assump!$D$24)*Assump!$D$24+Model!AC42*'ФОТ 1 этап'!$I$330)/AD13*Assump!$E$64-(AD30+AD31/(1+Assump!$D$24)*Assump!$D$24+Model!AD42*'ФОТ 1 этап'!$I$330)/AD13*Assump!$E$64</f>
        <v>123.96723395248432</v>
      </c>
      <c r="AE77" s="35">
        <f>(AD30+AD31/(1+Assump!$D$24)*Assump!$D$24+Model!AD42*'ФОТ 1 этап'!$I$330)/AE13*Assump!$E$64-(AE30+AE31/(1+Assump!$D$24)*Assump!$D$24+Model!AE42*'ФОТ 1 этап'!$I$330)/AE13*Assump!$E$64</f>
        <v>126.10965598262624</v>
      </c>
      <c r="AF77" s="35">
        <f>(AE30+AE31/(1+Assump!$D$24)*Assump!$D$24+Model!AE42*'ФОТ 1 этап'!$I$330)/AF13*Assump!$E$64-(AF30+AF31/(1+Assump!$D$24)*Assump!$D$24+Model!AF42*'ФОТ 1 этап'!$I$330)/AF13*Assump!$E$64</f>
        <v>128.0146401456459</v>
      </c>
      <c r="AG77" s="35">
        <f>(AF30+AF31/(1+Assump!$D$24)*Assump!$D$24+Model!AF42*'ФОТ 1 этап'!$I$330)/AG13*Assump!$E$64-(AG30+AG31/(1+Assump!$D$24)*Assump!$D$24+Model!AG42*'ФОТ 1 этап'!$I$330)/AG13*Assump!$E$64</f>
        <v>-339.93685533609005</v>
      </c>
      <c r="AH77" s="35">
        <f>(AG30+AG31/(1+Assump!$D$24)*Assump!$D$24+Model!AG42*'ФОТ 1 этап'!$I$330)/AH13*Assump!$E$64-(AH30+AH31/(1+Assump!$D$24)*Assump!$D$24+Model!AH42*'ФОТ 1 этап'!$I$330)/AH13*Assump!$E$64</f>
        <v>195.30716617379358</v>
      </c>
      <c r="AI77" s="35">
        <f>(AH30+AH31/(1+Assump!$D$24)*Assump!$D$24+Model!AH42*'ФОТ 1 этап'!$I$330)/AI13*Assump!$E$64-(AI30+AI31/(1+Assump!$D$24)*Assump!$D$24+Model!AI42*'ФОТ 1 этап'!$I$330)/AI13*Assump!$E$64</f>
        <v>126.28218751743464</v>
      </c>
      <c r="AJ77" s="35">
        <f>(AI30+AI31/(1+Assump!$D$24)*Assump!$D$24+Model!AI42*'ФОТ 1 этап'!$I$330)/AJ13*Assump!$E$64-(AJ30+AJ31/(1+Assump!$D$24)*Assump!$D$24+Model!AJ42*'ФОТ 1 этап'!$I$330)/AJ13*Assump!$E$64</f>
        <v>-331.42543641189729</v>
      </c>
      <c r="AK77" s="35">
        <f>(AJ30+AJ31/(1+Assump!$D$24)*Assump!$D$24+Model!AJ42*'ФОТ 1 этап'!$I$330)/AK13*Assump!$E$64-(AK30+AK31/(1+Assump!$D$24)*Assump!$D$24+Model!AK42*'ФОТ 1 этап'!$I$330)/AK13*Assump!$E$64</f>
        <v>127.3359087881496</v>
      </c>
      <c r="AL77" s="35">
        <f>(AK30+AK31/(1+Assump!$D$24)*Assump!$D$24+Model!AK42*'ФОТ 1 этап'!$I$330)/AL13*Assump!$E$64-(AL30+AL31/(1+Assump!$D$24)*Assump!$D$24+Model!AL42*'ФОТ 1 этап'!$I$330)/AL13*Assump!$E$64</f>
        <v>132.41513878175738</v>
      </c>
      <c r="AM77" s="35">
        <f>(AL30+AL31/(1+Assump!$D$24)*Assump!$D$24+Model!AL42*'ФОТ 1 этап'!$I$330)/AM13*Assump!$E$64-(AM30+AM31/(1+Assump!$D$24)*Assump!$D$24+Model!AM42*'ФОТ 1 этап'!$I$330)/AM13*Assump!$E$64</f>
        <v>135.89246415460923</v>
      </c>
      <c r="AN77" s="35">
        <f>(AM30+AM31/(1+Assump!$D$24)*Assump!$D$24+Model!AM42*'ФОТ 1 этап'!$I$330)/AN13*Assump!$E$64-(AN30+AN31/(1+Assump!$D$24)*Assump!$D$24+Model!AN42*'ФОТ 1 этап'!$I$330)/AN13*Assump!$E$64</f>
        <v>-356.9336981028946</v>
      </c>
      <c r="AO77" s="35">
        <f>(AN30+AN31/(1+Assump!$D$24)*Assump!$D$24+Model!AN42*'ФОТ 1 этап'!$I$330)/AO13*Assump!$E$64-(AO30+AO31/(1+Assump!$D$24)*Assump!$D$24+Model!AO42*'ФОТ 1 этап'!$I$330)/AO13*Assump!$E$64</f>
        <v>200.61442612416829</v>
      </c>
      <c r="AP77" s="35">
        <f>(AO30+AO31/(1+Assump!$D$24)*Assump!$D$24+Model!AO42*'ФОТ 1 этап'!$I$330)/AP13*Assump!$E$64-(AP30+AP31/(1+Assump!$D$24)*Assump!$D$24+Model!AP42*'ФОТ 1 этап'!$I$330)/AP13*Assump!$E$64</f>
        <v>134.06958908100989</v>
      </c>
      <c r="AQ77" s="35">
        <f>(AP30+AP31/(1+Assump!$D$24)*Assump!$D$24+Model!AP42*'ФОТ 1 этап'!$I$330)/AQ13*Assump!$E$64-(AQ30+AQ31/(1+Assump!$D$24)*Assump!$D$24+Model!AQ42*'ФОТ 1 этап'!$I$330)/AQ13*Assump!$E$64</f>
        <v>-351.8208478833991</v>
      </c>
      <c r="AR77" s="35">
        <f>(AQ30+AQ31/(1+Assump!$D$24)*Assump!$D$24+Model!AQ42*'ФОТ 1 этап'!$I$330)/AR13*Assump!$E$64-(AR30+AR31/(1+Assump!$D$24)*Assump!$D$24+Model!AR42*'ФОТ 1 этап'!$I$330)/AR13*Assump!$E$64</f>
        <v>133.70270422755709</v>
      </c>
      <c r="AS77" s="35">
        <f>(AR30+AR31/(1+Assump!$D$24)*Assump!$D$24+Model!AR42*'ФОТ 1 этап'!$I$330)/AS13*Assump!$E$64-(AS30+AS31/(1+Assump!$D$24)*Assump!$D$24+Model!AS42*'ФОТ 1 этап'!$I$330)/AS13*Assump!$E$64</f>
        <v>137.52463598474947</v>
      </c>
      <c r="AT77" s="35">
        <f>(AS30+AS31/(1+Assump!$D$24)*Assump!$D$24+Model!AS42*'ФОТ 1 этап'!$I$330)/AT13*Assump!$E$64-(AT30+AT31/(1+Assump!$D$24)*Assump!$D$24+Model!AT42*'ФОТ 1 этап'!$I$330)/AT13*Assump!$E$64</f>
        <v>144.27249944414302</v>
      </c>
      <c r="AU77" s="35">
        <f>(AT30+AT31/(1+Assump!$D$24)*Assump!$D$24+Model!AT42*'ФОТ 1 этап'!$I$330)/AU13*Assump!$E$64-(AU30+AU31/(1+Assump!$D$24)*Assump!$D$24+Model!AU42*'ФОТ 1 этап'!$I$330)/AU13*Assump!$E$64</f>
        <v>-378.89884875538053</v>
      </c>
      <c r="AV77" s="35">
        <f>(AU30+AU31/(1+Assump!$D$24)*Assump!$D$24+Model!AU42*'ФОТ 1 этап'!$I$330)/AV13*Assump!$E$64-(AV30+AV31/(1+Assump!$D$24)*Assump!$D$24+Model!AV42*'ФОТ 1 этап'!$I$330)/AV13*Assump!$E$64</f>
        <v>210.64514743037671</v>
      </c>
      <c r="AW77" s="35">
        <f>(AV30+AV31/(1+Assump!$D$24)*Assump!$D$24+Model!AV42*'ФОТ 1 этап'!$I$330)/AW13*Assump!$E$64-(AW30+AW31/(1+Assump!$D$24)*Assump!$D$24+Model!AW42*'ФОТ 1 этап'!$I$330)/AW13*Assump!$E$64</f>
        <v>137.71278443647202</v>
      </c>
      <c r="AX77" s="35">
        <f>(AW30+AW31/(1+Assump!$D$24)*Assump!$D$24+Model!AW42*'ФОТ 1 этап'!$I$330)/AX13*Assump!$E$64-(AX30+AX31/(1+Assump!$D$24)*Assump!$D$24+Model!AX42*'ФОТ 1 этап'!$I$330)/AX13*Assump!$E$64</f>
        <v>-373.51646683620834</v>
      </c>
      <c r="AY77" s="35">
        <f>(AX30+AX31/(1+Assump!$D$24)*Assump!$D$24+Model!AX42*'ФОТ 1 этап'!$I$330)/AY13*Assump!$E$64-(AY30+AY31/(1+Assump!$D$24)*Assump!$D$24+Model!AY42*'ФОТ 1 этап'!$I$330)/AY13*Assump!$E$64</f>
        <v>141.93056294925293</v>
      </c>
      <c r="AZ77" s="35">
        <f>(AY30+AY31/(1+Assump!$D$24)*Assump!$D$24+Model!AY42*'ФОТ 1 этап'!$I$330)/AZ13*Assump!$E$64-(AZ30+AZ31/(1+Assump!$D$24)*Assump!$D$24+Model!AZ42*'ФОТ 1 этап'!$I$330)/AZ13*Assump!$E$64</f>
        <v>144.40086778398666</v>
      </c>
      <c r="BA77" s="35">
        <f>(AZ30+AZ31/(1+Assump!$D$24)*Assump!$D$24+Model!AZ42*'ФОТ 1 этап'!$I$330)/BA13*Assump!$E$64-(BA30+BA31/(1+Assump!$D$24)*Assump!$D$24+Model!BA42*'ФОТ 1 этап'!$I$330)/BA13*Assump!$E$64</f>
        <v>148.19294779860354</v>
      </c>
      <c r="BB77" s="35">
        <f>(BA30+BA31/(1+Assump!$D$24)*Assump!$D$24+Model!BA42*'ФОТ 1 этап'!$I$330)/BB13*Assump!$E$64-(BB30+BB31/(1+Assump!$D$24)*Assump!$D$24+Model!BB42*'ФОТ 1 этап'!$I$330)/BB13*Assump!$E$64</f>
        <v>-397.8437911931494</v>
      </c>
      <c r="BC77" s="35">
        <f>(BB30+BB31/(1+Assump!$D$24)*Assump!$D$24+Model!BB42*'ФОТ 1 этап'!$I$330)/BC13*Assump!$E$64-(BC30+BC31/(1+Assump!$D$24)*Assump!$D$24+Model!BC42*'ФОТ 1 этап'!$I$330)/BC13*Assump!$E$64</f>
        <v>223.60792573378444</v>
      </c>
      <c r="BD77" s="35">
        <f>(BC30+BC31/(1+Assump!$D$24)*Assump!$D$24+Model!BC42*'ФОТ 1 этап'!$I$330)/BD13*Assump!$E$64-(BD30+BD31/(1+Assump!$D$24)*Assump!$D$24+Model!BD42*'ФОТ 1 этап'!$I$330)/BD13*Assump!$E$64</f>
        <v>144.59842365829581</v>
      </c>
      <c r="BE77" s="35">
        <f>(BD30+BD31/(1+Assump!$D$24)*Assump!$D$24+Model!BD42*'ФОТ 1 этап'!$I$330)/BE13*Assump!$E$64-(BE30+BE31/(1+Assump!$D$24)*Assump!$D$24+Model!BE42*'ФОТ 1 этап'!$I$330)/BE13*Assump!$E$64</f>
        <v>-383.66637082632303</v>
      </c>
      <c r="BF77" s="35">
        <f>(BE30+BE31/(1+Assump!$D$24)*Assump!$D$24+Model!BE42*'ФОТ 1 этап'!$I$330)/BF13*Assump!$E$64-(BF30+BF31/(1+Assump!$D$24)*Assump!$D$24+Model!BF42*'ФОТ 1 этап'!$I$330)/BF13*Assump!$E$64</f>
        <v>150.68294766445683</v>
      </c>
      <c r="BG77" s="35">
        <f>(BF30+BF31/(1+Assump!$D$24)*Assump!$D$24+Model!BF42*'ФОТ 1 этап'!$I$330)/BG13*Assump!$E$64-(BG30+BG31/(1+Assump!$D$24)*Assump!$D$24+Model!BG42*'ФОТ 1 этап'!$I$330)/BG13*Assump!$E$64</f>
        <v>153.28707503223222</v>
      </c>
      <c r="BH77" s="35">
        <f>(BG30+BG31/(1+Assump!$D$24)*Assump!$D$24+Model!BG42*'ФОТ 1 этап'!$I$330)/BH13*Assump!$E$64-(BH30+BH31/(1+Assump!$D$24)*Assump!$D$24+Model!BH42*'ФОТ 1 этап'!$I$330)/BH13*Assump!$E$64</f>
        <v>155.60259518853377</v>
      </c>
      <c r="BI77" s="35">
        <f>(BH30+BH31/(1+Assump!$D$24)*Assump!$D$24+Model!BH42*'ФОТ 1 этап'!$I$330)/BI13*Assump!$E$64-(BI30+BI31/(1+Assump!$D$24)*Assump!$D$24+Model!BI42*'ФОТ 1 этап'!$I$330)/BI13*Assump!$E$64</f>
        <v>-413.19537226636362</v>
      </c>
      <c r="BJ77" s="35">
        <f>(BI30+BI31/(1+Assump!$D$24)*Assump!$D$24+Model!BI42*'ФОТ 1 этап'!$I$330)/BJ13*Assump!$E$64-(BJ30+BJ31/(1+Assump!$D$24)*Assump!$D$24+Model!BJ42*'ФОТ 1 этап'!$I$330)/BJ13*Assump!$E$64</f>
        <v>237.39708115403482</v>
      </c>
      <c r="BK77" s="35">
        <f>(BJ30+BJ31/(1+Assump!$D$24)*Assump!$D$24+Model!BJ42*'ФОТ 1 этап'!$I$330)/BK13*Assump!$E$64-(BK30+BK31/(1+Assump!$D$24)*Assump!$D$24+Model!BK42*'ФОТ 1 этап'!$I$330)/BK13*Assump!$E$64</f>
        <v>153.49678819111375</v>
      </c>
      <c r="BL77" s="35">
        <f>(BK30+BK31/(1+Assump!$D$24)*Assump!$D$24+Model!BK42*'ФОТ 1 этап'!$I$330)/BL13*Assump!$E$64-(BL30+BL31/(1+Assump!$D$24)*Assump!$D$24+Model!BL42*'ФОТ 1 этап'!$I$330)/BL13*Assump!$E$64</f>
        <v>-402.84968936763903</v>
      </c>
      <c r="BM77" s="35">
        <f>(BL30+BL31/(1+Assump!$D$24)*Assump!$D$24+Model!BL42*'ФОТ 1 этап'!$I$330)/BM13*Assump!$E$64-(BM30+BM31/(1+Assump!$D$24)*Assump!$D$24+Model!BM42*'ФОТ 1 этап'!$I$330)/BM13*Assump!$E$64</f>
        <v>154.77759298142587</v>
      </c>
      <c r="BN77" s="35">
        <f>(BM30+BM31/(1+Assump!$D$24)*Assump!$D$24+Model!BM42*'ФОТ 1 этап'!$I$330)/BN13*Assump!$E$64-(BN30+BN31/(1+Assump!$D$24)*Assump!$D$24+Model!BN42*'ФОТ 1 этап'!$I$330)/BN13*Assump!$E$64</f>
        <v>162.73977799255306</v>
      </c>
      <c r="BO77" s="35">
        <f>(BN30+BN31/(1+Assump!$D$24)*Assump!$D$24+Model!BN42*'ФОТ 1 этап'!$I$330)/BO13*Assump!$E$64-(BO30+BO31/(1+Assump!$D$24)*Assump!$D$24+Model!BO42*'ФОТ 1 этап'!$I$330)/BO13*Assump!$E$64</f>
        <v>165.17813950782806</v>
      </c>
      <c r="BP77" s="35">
        <f>(BO30+BO31/(1+Assump!$D$24)*Assump!$D$24+Model!BO42*'ФОТ 1 этап'!$I$330)/BP13*Assump!$E$64-(BP30+BP31/(1+Assump!$D$24)*Assump!$D$24+Model!BP42*'ФОТ 1 этап'!$I$330)/BP13*Assump!$E$64</f>
        <v>-433.85514087968147</v>
      </c>
      <c r="BQ77" s="35">
        <f>(BP30+BP31/(1+Assump!$D$24)*Assump!$D$24+Model!BP42*'ФОТ 1 этап'!$I$330)/BQ13*Assump!$E$64-(BQ30+BQ31/(1+Assump!$D$24)*Assump!$D$24+Model!BQ42*'ФОТ 1 этап'!$I$330)/BQ13*Assump!$E$64</f>
        <v>243.84808879409013</v>
      </c>
      <c r="BR77" s="35">
        <f>(BQ30+BQ31/(1+Assump!$D$24)*Assump!$D$24+Model!BQ42*'ФОТ 1 этап'!$I$330)/BR13*Assump!$E$64-(BR30+BR31/(1+Assump!$D$24)*Assump!$D$24+Model!BR42*'ФОТ 1 этап'!$I$330)/BR13*Assump!$E$64</f>
        <v>161.17162760066913</v>
      </c>
      <c r="BS77" s="35">
        <f>(BR30+BR31/(1+Assump!$D$24)*Assump!$D$24+Model!BR42*'ФОТ 1 этап'!$I$330)/BS13*Assump!$E$64-(BS30+BS31/(1+Assump!$D$24)*Assump!$D$24+Model!BS42*'ФОТ 1 этап'!$I$330)/BS13*Assump!$E$64</f>
        <v>-427.64043948257029</v>
      </c>
      <c r="BT77" s="35">
        <f>(BS30+BS31/(1+Assump!$D$24)*Assump!$D$24+Model!BS42*'ФОТ 1 этап'!$I$330)/BT13*Assump!$E$64-(BT30+BT31/(1+Assump!$D$24)*Assump!$D$24+Model!BT42*'ФОТ 1 этап'!$I$330)/BT13*Assump!$E$64</f>
        <v>162.51647263049688</v>
      </c>
      <c r="BU77" s="35">
        <f>(BT30+BT31/(1+Assump!$D$24)*Assump!$D$24+Model!BT42*'ФОТ 1 этап'!$I$330)/BU13*Assump!$E$64-(BU30+BU31/(1+Assump!$D$24)*Assump!$D$24+Model!BU42*'ФОТ 1 этап'!$I$330)/BU13*Assump!$E$64</f>
        <v>167.16205456843784</v>
      </c>
      <c r="BV77" s="35">
        <f>(BU30+BU31/(1+Assump!$D$24)*Assump!$D$24+Model!BU42*'ФОТ 1 этап'!$I$330)/BV13*Assump!$E$64-(BV30+BV31/(1+Assump!$D$24)*Assump!$D$24+Model!BV42*'ФОТ 1 этап'!$I$330)/BV13*Assump!$E$64</f>
        <v>175.36412477747717</v>
      </c>
      <c r="BW77" s="35">
        <f>(BV30+BV31/(1+Assump!$D$24)*Assump!$D$24+Model!BV42*'ФОТ 1 этап'!$I$330)/BW13*Assump!$E$64-(BW30+BW31/(1+Assump!$D$24)*Assump!$D$24+Model!BW42*'ФОТ 1 этап'!$I$330)/BW13*Assump!$E$64</f>
        <v>-460.55391877996976</v>
      </c>
      <c r="BX77" s="35">
        <f>(BW30+BW31/(1+Assump!$D$24)*Assump!$D$24+Model!BW42*'ФОТ 1 этап'!$I$330)/BX13*Assump!$E$64-(BX30+BX31/(1+Assump!$D$24)*Assump!$D$24+Model!BX42*'ФОТ 1 этап'!$I$330)/BX13*Assump!$E$64</f>
        <v>256.04049323379468</v>
      </c>
      <c r="BY77" s="35">
        <f>(BX30+BX31/(1+Assump!$D$24)*Assump!$D$24+Model!BX42*'ФОТ 1 этап'!$I$330)/BY13*Assump!$E$64-(BY30+BY31/(1+Assump!$D$24)*Assump!$D$24+Model!BY42*'ФОТ 1 этап'!$I$330)/BY13*Assump!$E$64</f>
        <v>167.39075018743438</v>
      </c>
      <c r="BZ77" s="35">
        <f>(BY30+BY31/(1+Assump!$D$24)*Assump!$D$24+Model!BY42*'ФОТ 1 этап'!$I$330)/BZ13*Assump!$E$64-(BZ30+BZ31/(1+Assump!$D$24)*Assump!$D$24+Model!BZ42*'ФОТ 1 этап'!$I$330)/BZ13*Assump!$E$64</f>
        <v>-454.01159991732948</v>
      </c>
      <c r="CA77" s="35">
        <f>(BZ30+BZ31/(1+Assump!$D$24)*Assump!$D$24+Model!BZ42*'ФОТ 1 этап'!$I$330)/CA13*Assump!$E$64-(CA30+CA31/(1+Assump!$D$24)*Assump!$D$24+Model!CA42*'ФОТ 1 этап'!$I$330)/CA13*Assump!$E$64</f>
        <v>172.5174863308356</v>
      </c>
      <c r="CB77" s="35">
        <f>(CA30+CA31/(1+Assump!$D$24)*Assump!$D$24+Model!CA42*'ФОТ 1 этап'!$I$330)/CB13*Assump!$E$64-(CB30+CB31/(1+Assump!$D$24)*Assump!$D$24+Model!CB42*'ФОТ 1 этап'!$I$330)/CB13*Assump!$E$64</f>
        <v>175.52015729685991</v>
      </c>
      <c r="CC77" s="35">
        <f>(CB30+CB31/(1+Assump!$D$24)*Assump!$D$24+Model!CB42*'ФОТ 1 этап'!$I$330)/CC13*Assump!$E$64-(CC30+CC31/(1+Assump!$D$24)*Assump!$D$24+Model!CC42*'ФОТ 1 этап'!$I$330)/CC13*Assump!$E$64</f>
        <v>180.12945425512635</v>
      </c>
      <c r="CD77" s="35">
        <f>(CC30+CC31/(1+Assump!$D$24)*Assump!$D$24+Model!CC42*'ФОТ 1 этап'!$I$330)/CD13*Assump!$E$64-(CD30+CD31/(1+Assump!$D$24)*Assump!$D$24+Model!CD42*'ФОТ 1 этап'!$I$330)/CD13*Assump!$E$64</f>
        <v>-488.95474377140147</v>
      </c>
      <c r="CE77" s="35">
        <f>(CD30+CD31/(1+Assump!$D$24)*Assump!$D$24+Model!CD42*'ФОТ 1 этап'!$I$330)/CE13*Assump!$E$64-(CE30+CE31/(1+Assump!$D$24)*Assump!$D$24+Model!CE42*'ФОТ 1 этап'!$I$330)/CE13*Assump!$E$64</f>
        <v>271.79683127895123</v>
      </c>
      <c r="CF77" s="35">
        <f>(CE30+CE31/(1+Assump!$D$24)*Assump!$D$24+Model!CE42*'ФОТ 1 этап'!$I$330)/CF13*Assump!$E$64-(CF30+CF31/(1+Assump!$D$24)*Assump!$D$24+Model!CF42*'ФОТ 1 этап'!$I$330)/CF13*Assump!$E$64</f>
        <v>175.76028769680624</v>
      </c>
      <c r="CG77" s="35">
        <f>(CF30+CF31/(1+Assump!$D$24)*Assump!$D$24+Model!CF42*'ФОТ 1 этап'!$I$330)/CG13*Assump!$E$64-(CG30+CG31/(1+Assump!$D$24)*Assump!$D$24+Model!CG42*'ФОТ 1 этап'!$I$330)/CG13*Assump!$E$64</f>
        <v>-466.34887165421321</v>
      </c>
      <c r="CH77" s="35">
        <f>(CG30+CG31/(1+Assump!$D$24)*Assump!$D$24+Model!CG42*'ФОТ 1 этап'!$I$330)/CH13*Assump!$E$64-(CH30+CH31/(1+Assump!$D$24)*Assump!$D$24+Model!CH42*'ФОТ 1 этап'!$I$330)/CH13*Assump!$E$64</f>
        <v>181.14336064737722</v>
      </c>
      <c r="CI77" s="35">
        <f>(CH30+CH31/(1+Assump!$D$24)*Assump!$D$24+Model!CH42*'ФОТ 1 этап'!$I$330)/CI13*Assump!$E$64-(CI30+CI31/(1+Assump!$D$24)*Assump!$D$24+Model!CI42*'ФОТ 1 этап'!$I$330)/CI13*Assump!$E$64</f>
        <v>186.321397745897</v>
      </c>
      <c r="CJ77" s="35">
        <f>(CI30+CI31/(1+Assump!$D$24)*Assump!$D$24+Model!CI42*'ФОТ 1 этап'!$I$330)/CJ13*Assump!$E$64-(CJ30+CJ31/(1+Assump!$D$24)*Assump!$D$24+Model!CJ42*'ФОТ 1 этап'!$I$330)/CJ13*Assump!$E$64</f>
        <v>189.1359269678826</v>
      </c>
      <c r="CK77" s="35">
        <f>(CJ30+CJ31/(1+Assump!$D$24)*Assump!$D$24+Model!CJ42*'ФОТ 1 этап'!$I$330)/CK13*Assump!$E$64-(CK30+CK31/(1+Assump!$D$24)*Assump!$D$24+Model!CK42*'ФОТ 1 этап'!$I$330)/CK13*Assump!$E$64</f>
        <v>-502.24155746084148</v>
      </c>
      <c r="CL77" s="35">
        <f>(CK30+CK31/(1+Assump!$D$24)*Assump!$D$24+Model!CK42*'ФОТ 1 этап'!$I$330)/CL13*Assump!$E$64-(CL30+CL31/(1+Assump!$D$24)*Assump!$D$24+Model!CL42*'ФОТ 1 этап'!$I$330)/CL13*Assump!$E$64</f>
        <v>288.55763587448655</v>
      </c>
      <c r="CM77" s="35">
        <f>(CL30+CL31/(1+Assump!$D$24)*Assump!$D$24+Model!CL42*'ФОТ 1 этап'!$I$330)/CM13*Assump!$E$64-(CM30+CM31/(1+Assump!$D$24)*Assump!$D$24+Model!CM42*'ФОТ 1 этап'!$I$330)/CM13*Assump!$E$64</f>
        <v>186.57630540122477</v>
      </c>
      <c r="CN77" s="35">
        <f>(CM30+CM31/(1+Assump!$D$24)*Assump!$D$24+Model!CM42*'ФОТ 1 этап'!$I$330)/CN13*Assump!$E$64-(CN30+CN31/(1+Assump!$D$24)*Assump!$D$24+Model!CN42*'ФОТ 1 этап'!$I$330)/CN13*Assump!$E$64</f>
        <v>-489.66631523692388</v>
      </c>
      <c r="CO77" s="35"/>
    </row>
    <row r="78" spans="1:93" ht="12.75" customHeight="1">
      <c r="A78" s="35"/>
      <c r="B78" s="63" t="s">
        <v>164</v>
      </c>
      <c r="C78" s="35">
        <f t="shared" si="584"/>
        <v>-2074719.5892305851</v>
      </c>
      <c r="D78" s="60">
        <f t="shared" ref="D78:AI78" si="586">D65</f>
        <v>0</v>
      </c>
      <c r="E78" s="35">
        <f t="shared" si="586"/>
        <v>0</v>
      </c>
      <c r="F78" s="35">
        <f t="shared" si="586"/>
        <v>0</v>
      </c>
      <c r="G78" s="35">
        <f t="shared" si="586"/>
        <v>0</v>
      </c>
      <c r="H78" s="35">
        <f t="shared" si="586"/>
        <v>0</v>
      </c>
      <c r="I78" s="35">
        <f t="shared" si="586"/>
        <v>0</v>
      </c>
      <c r="J78" s="35">
        <f t="shared" si="586"/>
        <v>0</v>
      </c>
      <c r="K78" s="35">
        <f t="shared" si="586"/>
        <v>0</v>
      </c>
      <c r="L78" s="35">
        <f t="shared" si="586"/>
        <v>0</v>
      </c>
      <c r="M78" s="35">
        <f t="shared" si="586"/>
        <v>0</v>
      </c>
      <c r="N78" s="35">
        <f t="shared" si="586"/>
        <v>0</v>
      </c>
      <c r="O78" s="35">
        <f t="shared" si="586"/>
        <v>0</v>
      </c>
      <c r="P78" s="35">
        <f t="shared" si="586"/>
        <v>0</v>
      </c>
      <c r="Q78" s="35">
        <f t="shared" si="586"/>
        <v>0</v>
      </c>
      <c r="R78" s="35">
        <f t="shared" si="586"/>
        <v>0</v>
      </c>
      <c r="S78" s="35">
        <f t="shared" si="586"/>
        <v>0</v>
      </c>
      <c r="T78" s="35">
        <f t="shared" si="586"/>
        <v>0</v>
      </c>
      <c r="U78" s="35">
        <f t="shared" si="586"/>
        <v>0</v>
      </c>
      <c r="V78" s="35">
        <f t="shared" si="586"/>
        <v>0</v>
      </c>
      <c r="W78" s="35">
        <f t="shared" si="586"/>
        <v>0</v>
      </c>
      <c r="X78" s="35">
        <f t="shared" si="586"/>
        <v>0</v>
      </c>
      <c r="Y78" s="35">
        <f t="shared" si="586"/>
        <v>0</v>
      </c>
      <c r="Z78" s="35">
        <f t="shared" si="586"/>
        <v>0</v>
      </c>
      <c r="AA78" s="35">
        <f t="shared" si="586"/>
        <v>-7237.2566808363508</v>
      </c>
      <c r="AB78" s="35">
        <f t="shared" si="586"/>
        <v>-21390.345779610801</v>
      </c>
      <c r="AC78" s="35">
        <f t="shared" si="586"/>
        <v>-3337.7481197758038</v>
      </c>
      <c r="AD78" s="35">
        <f t="shared" si="586"/>
        <v>-10349.578060111638</v>
      </c>
      <c r="AE78" s="35">
        <f t="shared" si="586"/>
        <v>-17809.655036490483</v>
      </c>
      <c r="AF78" s="35">
        <f t="shared" si="586"/>
        <v>-25676.050515792078</v>
      </c>
      <c r="AG78" s="35">
        <f t="shared" si="586"/>
        <v>-6157.0025418574687</v>
      </c>
      <c r="AH78" s="35">
        <f t="shared" si="586"/>
        <v>-17345.025019947258</v>
      </c>
      <c r="AI78" s="35">
        <f t="shared" si="586"/>
        <v>-24768.045402574215</v>
      </c>
      <c r="AJ78" s="35">
        <f t="shared" ref="AJ78:BO78" si="587">AJ65</f>
        <v>-4134.9087656541042</v>
      </c>
      <c r="AK78" s="35">
        <f t="shared" si="587"/>
        <v>-13578.820331342196</v>
      </c>
      <c r="AL78" s="35">
        <f t="shared" si="587"/>
        <v>-21320.865153771279</v>
      </c>
      <c r="AM78" s="35">
        <f t="shared" si="587"/>
        <v>-29395.5945363307</v>
      </c>
      <c r="AN78" s="35">
        <f t="shared" si="587"/>
        <v>-7138.6088389312936</v>
      </c>
      <c r="AO78" s="35">
        <f t="shared" si="587"/>
        <v>-21069.851033684074</v>
      </c>
      <c r="AP78" s="35">
        <f t="shared" si="587"/>
        <v>-28773.19600495779</v>
      </c>
      <c r="AQ78" s="35">
        <f t="shared" si="587"/>
        <v>-6911.5368870918483</v>
      </c>
      <c r="AR78" s="35">
        <f t="shared" si="587"/>
        <v>-14978.975464704467</v>
      </c>
      <c r="AS78" s="35">
        <f t="shared" si="587"/>
        <v>-25399.249984367481</v>
      </c>
      <c r="AT78" s="35">
        <f t="shared" si="587"/>
        <v>-33786.146777472713</v>
      </c>
      <c r="AU78" s="35">
        <f t="shared" si="587"/>
        <v>-10208.540860670639</v>
      </c>
      <c r="AV78" s="35">
        <f t="shared" si="587"/>
        <v>-22895.653115761419</v>
      </c>
      <c r="AW78" s="35">
        <f t="shared" si="587"/>
        <v>-33387.983275820072</v>
      </c>
      <c r="AX78" s="35">
        <f t="shared" si="587"/>
        <v>-10342.347558692727</v>
      </c>
      <c r="AY78" s="35">
        <f t="shared" si="587"/>
        <v>-18593.229707323822</v>
      </c>
      <c r="AZ78" s="35">
        <f t="shared" si="587"/>
        <v>-27496.803848831496</v>
      </c>
      <c r="BA78" s="35">
        <f t="shared" si="587"/>
        <v>-38825.476947236049</v>
      </c>
      <c r="BB78" s="35">
        <f t="shared" si="587"/>
        <v>-18036.15940799368</v>
      </c>
      <c r="BC78" s="35">
        <f t="shared" si="587"/>
        <v>-34913.166193446807</v>
      </c>
      <c r="BD78" s="35">
        <f t="shared" si="587"/>
        <v>-46343.053836414925</v>
      </c>
      <c r="BE78" s="35">
        <f t="shared" si="587"/>
        <v>-18502.590424755865</v>
      </c>
      <c r="BF78" s="35">
        <f t="shared" si="587"/>
        <v>-29548.593433567796</v>
      </c>
      <c r="BG78" s="35">
        <f t="shared" si="587"/>
        <v>-41273.352043453044</v>
      </c>
      <c r="BH78" s="35">
        <f t="shared" si="587"/>
        <v>-53693.528699166993</v>
      </c>
      <c r="BI78" s="35">
        <f t="shared" si="587"/>
        <v>-23573.97131649161</v>
      </c>
      <c r="BJ78" s="35">
        <f t="shared" si="587"/>
        <v>-41053.879082685962</v>
      </c>
      <c r="BK78" s="35">
        <f t="shared" si="587"/>
        <v>-52152.544761845405</v>
      </c>
      <c r="BL78" s="35">
        <f t="shared" si="587"/>
        <v>-19161.81302150496</v>
      </c>
      <c r="BM78" s="35">
        <f t="shared" si="587"/>
        <v>-34149.279002471165</v>
      </c>
      <c r="BN78" s="35">
        <f t="shared" si="587"/>
        <v>-45824.265817785839</v>
      </c>
      <c r="BO78" s="35">
        <f t="shared" si="587"/>
        <v>-57843.298651172212</v>
      </c>
      <c r="BP78" s="35">
        <f t="shared" ref="BP78:CN78" si="588">BP65</f>
        <v>-22202.880436914751</v>
      </c>
      <c r="BQ78" s="35">
        <f t="shared" si="588"/>
        <v>-44174.315053157923</v>
      </c>
      <c r="BR78" s="35">
        <f t="shared" si="588"/>
        <v>-55627.014701932894</v>
      </c>
      <c r="BS78" s="35">
        <f t="shared" si="588"/>
        <v>-20537.757609049731</v>
      </c>
      <c r="BT78" s="35">
        <f t="shared" si="588"/>
        <v>-32849.701131653535</v>
      </c>
      <c r="BU78" s="35">
        <f t="shared" si="588"/>
        <v>-49218.376856500894</v>
      </c>
      <c r="BV78" s="35">
        <f t="shared" si="588"/>
        <v>-61632.664500440347</v>
      </c>
      <c r="BW78" s="35">
        <f t="shared" si="588"/>
        <v>-23736.227440476141</v>
      </c>
      <c r="BX78" s="35">
        <f t="shared" si="588"/>
        <v>-43210.093242250237</v>
      </c>
      <c r="BY78" s="35">
        <f t="shared" si="588"/>
        <v>-59548.176702917779</v>
      </c>
      <c r="BZ78" s="35">
        <f t="shared" si="588"/>
        <v>-22493.722531661741</v>
      </c>
      <c r="CA78" s="35">
        <f t="shared" si="588"/>
        <v>-34921.005667460318</v>
      </c>
      <c r="CB78" s="35">
        <f t="shared" si="588"/>
        <v>-48332.167606004732</v>
      </c>
      <c r="CC78" s="35">
        <f t="shared" si="588"/>
        <v>-65892.868185316198</v>
      </c>
      <c r="CD78" s="35">
        <f t="shared" si="588"/>
        <v>-25885.585786382002</v>
      </c>
      <c r="CE78" s="35">
        <f t="shared" si="588"/>
        <v>-45805.314705970726</v>
      </c>
      <c r="CF78" s="35">
        <f t="shared" si="588"/>
        <v>-58995.557388499066</v>
      </c>
      <c r="CG78" s="35">
        <f t="shared" si="588"/>
        <v>-24837.676271762564</v>
      </c>
      <c r="CH78" s="35">
        <f t="shared" si="588"/>
        <v>-37664.746353024013</v>
      </c>
      <c r="CI78" s="35">
        <f t="shared" si="588"/>
        <v>-51189.684976416</v>
      </c>
      <c r="CJ78" s="35">
        <f t="shared" si="588"/>
        <v>-65465.438385961839</v>
      </c>
      <c r="CK78" s="35">
        <f t="shared" si="588"/>
        <v>-28441.864700565915</v>
      </c>
      <c r="CL78" s="35">
        <f t="shared" si="588"/>
        <v>-49130.17144318403</v>
      </c>
      <c r="CM78" s="35">
        <f t="shared" si="588"/>
        <v>-62392.746045963286</v>
      </c>
      <c r="CN78" s="35">
        <f t="shared" si="588"/>
        <v>-22155.839564722188</v>
      </c>
      <c r="CO78" s="35"/>
    </row>
    <row r="79" spans="1:93" ht="12.75" customHeight="1">
      <c r="A79" s="35"/>
      <c r="B79" s="63" t="s">
        <v>174</v>
      </c>
      <c r="C79" s="35">
        <f t="shared" si="584"/>
        <v>3475948.9891643743</v>
      </c>
      <c r="D79" s="60">
        <f t="shared" ref="D79:CN79" si="589">-D151-D150</f>
        <v>0</v>
      </c>
      <c r="E79" s="35">
        <f t="shared" si="589"/>
        <v>0</v>
      </c>
      <c r="F79" s="35">
        <f t="shared" si="589"/>
        <v>0</v>
      </c>
      <c r="G79" s="35">
        <f t="shared" si="589"/>
        <v>0</v>
      </c>
      <c r="H79" s="35">
        <f t="shared" si="589"/>
        <v>0</v>
      </c>
      <c r="I79" s="35">
        <f t="shared" si="589"/>
        <v>0</v>
      </c>
      <c r="J79" s="35">
        <f t="shared" si="589"/>
        <v>0</v>
      </c>
      <c r="K79" s="35">
        <f t="shared" si="589"/>
        <v>0</v>
      </c>
      <c r="L79" s="35">
        <f t="shared" si="589"/>
        <v>0</v>
      </c>
      <c r="M79" s="35">
        <f t="shared" si="589"/>
        <v>0</v>
      </c>
      <c r="N79" s="35">
        <f t="shared" si="589"/>
        <v>0</v>
      </c>
      <c r="O79" s="35">
        <f t="shared" si="589"/>
        <v>0</v>
      </c>
      <c r="P79" s="35">
        <f t="shared" si="589"/>
        <v>0</v>
      </c>
      <c r="Q79" s="35">
        <f t="shared" si="589"/>
        <v>0</v>
      </c>
      <c r="R79" s="35">
        <f t="shared" si="589"/>
        <v>0</v>
      </c>
      <c r="S79" s="35">
        <f t="shared" si="589"/>
        <v>0</v>
      </c>
      <c r="T79" s="35">
        <f t="shared" si="589"/>
        <v>0</v>
      </c>
      <c r="U79" s="35">
        <f t="shared" si="589"/>
        <v>0</v>
      </c>
      <c r="V79" s="35">
        <f t="shared" si="589"/>
        <v>-568.49263480589161</v>
      </c>
      <c r="W79" s="35">
        <f t="shared" si="589"/>
        <v>41336.722733215473</v>
      </c>
      <c r="X79" s="35">
        <f t="shared" si="589"/>
        <v>51647.386755949126</v>
      </c>
      <c r="Y79" s="35">
        <f t="shared" si="589"/>
        <v>25368.781296730034</v>
      </c>
      <c r="Z79" s="35">
        <f t="shared" si="589"/>
        <v>33276.258995322438</v>
      </c>
      <c r="AA79" s="35">
        <f t="shared" si="589"/>
        <v>42980.862577585227</v>
      </c>
      <c r="AB79" s="35">
        <f t="shared" si="589"/>
        <v>53770.004945911707</v>
      </c>
      <c r="AC79" s="35">
        <f t="shared" si="589"/>
        <v>26248.792121878789</v>
      </c>
      <c r="AD79" s="35">
        <f t="shared" si="589"/>
        <v>36564.73123498432</v>
      </c>
      <c r="AE79" s="35">
        <f t="shared" si="589"/>
        <v>47067.435177663559</v>
      </c>
      <c r="AF79" s="35">
        <f t="shared" si="589"/>
        <v>58698.495350308105</v>
      </c>
      <c r="AG79" s="35">
        <f t="shared" si="589"/>
        <v>28919.390226597126</v>
      </c>
      <c r="AH79" s="35">
        <f t="shared" si="589"/>
        <v>45422.157246581439</v>
      </c>
      <c r="AI79" s="35">
        <f t="shared" si="589"/>
        <v>56430.810825614666</v>
      </c>
      <c r="AJ79" s="35">
        <f t="shared" si="589"/>
        <v>25796.870895042852</v>
      </c>
      <c r="AK79" s="35">
        <f t="shared" si="589"/>
        <v>38777.851772686248</v>
      </c>
      <c r="AL79" s="35">
        <f t="shared" si="589"/>
        <v>49727.671053669495</v>
      </c>
      <c r="AM79" s="35">
        <f t="shared" si="589"/>
        <v>61604.341031851276</v>
      </c>
      <c r="AN79" s="35">
        <f t="shared" si="589"/>
        <v>28512.780863350607</v>
      </c>
      <c r="AO79" s="35">
        <f t="shared" si="589"/>
        <v>48097.393283660851</v>
      </c>
      <c r="AP79" s="35">
        <f t="shared" si="589"/>
        <v>59574.558689874328</v>
      </c>
      <c r="AQ79" s="35">
        <f t="shared" si="589"/>
        <v>27056.181399524139</v>
      </c>
      <c r="AR79" s="35">
        <f t="shared" si="589"/>
        <v>38771.536543015369</v>
      </c>
      <c r="AS79" s="35">
        <f t="shared" si="589"/>
        <v>52638.389189840833</v>
      </c>
      <c r="AT79" s="35">
        <f t="shared" si="589"/>
        <v>65022.875772571701</v>
      </c>
      <c r="AU79" s="35">
        <f t="shared" si="589"/>
        <v>29906.36021423374</v>
      </c>
      <c r="AV79" s="35">
        <f t="shared" si="589"/>
        <v>48459.794738623459</v>
      </c>
      <c r="AW79" s="35">
        <f t="shared" si="589"/>
        <v>62998.837937030301</v>
      </c>
      <c r="AX79" s="35">
        <f t="shared" si="589"/>
        <v>28764.224043084603</v>
      </c>
      <c r="AY79" s="35">
        <f t="shared" si="589"/>
        <v>40676.450693267521</v>
      </c>
      <c r="AZ79" s="35">
        <f t="shared" si="589"/>
        <v>53125.717029651423</v>
      </c>
      <c r="BA79" s="35">
        <f t="shared" si="589"/>
        <v>68741.848439495632</v>
      </c>
      <c r="BB79" s="35">
        <f t="shared" si="589"/>
        <v>31774.673477208893</v>
      </c>
      <c r="BC79" s="35">
        <f t="shared" si="589"/>
        <v>50847.438664811074</v>
      </c>
      <c r="BD79" s="35">
        <f t="shared" si="589"/>
        <v>63896.958633216287</v>
      </c>
      <c r="BE79" s="35">
        <f t="shared" si="589"/>
        <v>30693.655567448972</v>
      </c>
      <c r="BF79" s="35">
        <f t="shared" si="589"/>
        <v>43101.918242807544</v>
      </c>
      <c r="BG79" s="35">
        <f t="shared" si="589"/>
        <v>55744.889779853263</v>
      </c>
      <c r="BH79" s="35">
        <f t="shared" si="589"/>
        <v>69814.52860077162</v>
      </c>
      <c r="BI79" s="35">
        <f t="shared" si="589"/>
        <v>33879.188489389984</v>
      </c>
      <c r="BJ79" s="35">
        <f t="shared" si="589"/>
        <v>53801.037863672107</v>
      </c>
      <c r="BK79" s="35">
        <f t="shared" si="589"/>
        <v>67052.837808532335</v>
      </c>
      <c r="BL79" s="35">
        <f t="shared" si="589"/>
        <v>29745.705472087662</v>
      </c>
      <c r="BM79" s="35">
        <f t="shared" si="589"/>
        <v>45798.584560184594</v>
      </c>
      <c r="BN79" s="35">
        <f t="shared" si="589"/>
        <v>58963.922897747427</v>
      </c>
      <c r="BO79" s="35">
        <f t="shared" si="589"/>
        <v>73264.337836648192</v>
      </c>
      <c r="BP79" s="35">
        <f t="shared" si="589"/>
        <v>32966.383396439043</v>
      </c>
      <c r="BQ79" s="35">
        <f t="shared" si="589"/>
        <v>57059.738682354233</v>
      </c>
      <c r="BR79" s="35">
        <f t="shared" si="589"/>
        <v>70858.857759305509</v>
      </c>
      <c r="BS79" s="35">
        <f t="shared" si="589"/>
        <v>31190.027691821957</v>
      </c>
      <c r="BT79" s="35">
        <f t="shared" si="589"/>
        <v>45351.411044902372</v>
      </c>
      <c r="BU79" s="35">
        <f t="shared" si="589"/>
        <v>62509.20041440826</v>
      </c>
      <c r="BV79" s="35">
        <f t="shared" si="589"/>
        <v>77403.601691844524</v>
      </c>
      <c r="BW79" s="35">
        <f t="shared" si="589"/>
        <v>34569.591359697391</v>
      </c>
      <c r="BX79" s="35">
        <f t="shared" si="589"/>
        <v>57038.7677360159</v>
      </c>
      <c r="BY79" s="35">
        <f t="shared" si="589"/>
        <v>75028.736087632918</v>
      </c>
      <c r="BZ79" s="35">
        <f t="shared" si="589"/>
        <v>33249.378387945137</v>
      </c>
      <c r="CA79" s="35">
        <f t="shared" si="589"/>
        <v>47571.61483025569</v>
      </c>
      <c r="CB79" s="35">
        <f t="shared" si="589"/>
        <v>62617.004660649814</v>
      </c>
      <c r="CC79" s="35">
        <f t="shared" si="589"/>
        <v>81932.063988816968</v>
      </c>
      <c r="CD79" s="35">
        <f t="shared" si="589"/>
        <v>36822.91270479095</v>
      </c>
      <c r="CE79" s="35">
        <f t="shared" si="589"/>
        <v>59840.971017580319</v>
      </c>
      <c r="CF79" s="35">
        <f t="shared" si="589"/>
        <v>75611.634328811764</v>
      </c>
      <c r="CG79" s="35">
        <f t="shared" si="589"/>
        <v>35603.043630341635</v>
      </c>
      <c r="CH79" s="35">
        <f t="shared" si="589"/>
        <v>50501.279437732606</v>
      </c>
      <c r="CI79" s="35">
        <f t="shared" si="589"/>
        <v>65695.633033184102</v>
      </c>
      <c r="CJ79" s="35">
        <f t="shared" si="589"/>
        <v>82701.701696894859</v>
      </c>
      <c r="CK79" s="35">
        <f t="shared" si="589"/>
        <v>39389.814479179695</v>
      </c>
      <c r="CL79" s="35">
        <f t="shared" si="589"/>
        <v>63411.657627721666</v>
      </c>
      <c r="CM79" s="35">
        <f t="shared" si="589"/>
        <v>79337.383091729251</v>
      </c>
      <c r="CN79" s="35">
        <f t="shared" si="589"/>
        <v>33889.882045927632</v>
      </c>
      <c r="CO79" s="35"/>
    </row>
    <row r="80" spans="1:93" ht="12.75" customHeight="1">
      <c r="A80" s="88"/>
      <c r="B80" s="89" t="s">
        <v>175</v>
      </c>
      <c r="C80" s="88">
        <f t="shared" si="584"/>
        <v>-3475948.9891643743</v>
      </c>
      <c r="D80" s="60">
        <f t="shared" ref="D80:CN80" si="590">MIN(SUM(D149:D151),0)</f>
        <v>0</v>
      </c>
      <c r="E80" s="88">
        <f t="shared" si="590"/>
        <v>0</v>
      </c>
      <c r="F80" s="88">
        <f t="shared" si="590"/>
        <v>0</v>
      </c>
      <c r="G80" s="88">
        <f t="shared" si="590"/>
        <v>0</v>
      </c>
      <c r="H80" s="88">
        <f t="shared" si="590"/>
        <v>0</v>
      </c>
      <c r="I80" s="88">
        <f t="shared" si="590"/>
        <v>0</v>
      </c>
      <c r="J80" s="88">
        <f t="shared" si="590"/>
        <v>0</v>
      </c>
      <c r="K80" s="88">
        <f t="shared" si="590"/>
        <v>0</v>
      </c>
      <c r="L80" s="88">
        <f t="shared" si="590"/>
        <v>0</v>
      </c>
      <c r="M80" s="88">
        <f t="shared" si="590"/>
        <v>0</v>
      </c>
      <c r="N80" s="88">
        <f t="shared" si="590"/>
        <v>0</v>
      </c>
      <c r="O80" s="88">
        <f t="shared" si="590"/>
        <v>0</v>
      </c>
      <c r="P80" s="88">
        <f t="shared" si="590"/>
        <v>0</v>
      </c>
      <c r="Q80" s="88">
        <f t="shared" si="590"/>
        <v>0</v>
      </c>
      <c r="R80" s="88">
        <f t="shared" si="590"/>
        <v>0</v>
      </c>
      <c r="S80" s="88">
        <f t="shared" si="590"/>
        <v>0</v>
      </c>
      <c r="T80" s="88">
        <f t="shared" si="590"/>
        <v>0</v>
      </c>
      <c r="U80" s="88">
        <f t="shared" si="590"/>
        <v>0</v>
      </c>
      <c r="V80" s="88">
        <f t="shared" si="590"/>
        <v>0</v>
      </c>
      <c r="W80" s="88">
        <f t="shared" si="590"/>
        <v>-40768.230098409578</v>
      </c>
      <c r="X80" s="88">
        <f t="shared" si="590"/>
        <v>-51647.386755949126</v>
      </c>
      <c r="Y80" s="88">
        <f t="shared" si="590"/>
        <v>-25368.781296730034</v>
      </c>
      <c r="Z80" s="88">
        <f t="shared" si="590"/>
        <v>-33276.258995322438</v>
      </c>
      <c r="AA80" s="88">
        <f t="shared" si="590"/>
        <v>-42980.862577585227</v>
      </c>
      <c r="AB80" s="88">
        <f t="shared" si="590"/>
        <v>-53770.004945911707</v>
      </c>
      <c r="AC80" s="88">
        <f t="shared" si="590"/>
        <v>-26248.792121878789</v>
      </c>
      <c r="AD80" s="88">
        <f t="shared" si="590"/>
        <v>-36564.73123498432</v>
      </c>
      <c r="AE80" s="88">
        <f t="shared" si="590"/>
        <v>-47067.435177663559</v>
      </c>
      <c r="AF80" s="88">
        <f t="shared" si="590"/>
        <v>-58698.495350308105</v>
      </c>
      <c r="AG80" s="88">
        <f t="shared" si="590"/>
        <v>-28919.390226597126</v>
      </c>
      <c r="AH80" s="88">
        <f t="shared" si="590"/>
        <v>-45422.157246581439</v>
      </c>
      <c r="AI80" s="88">
        <f t="shared" si="590"/>
        <v>-56430.810825614666</v>
      </c>
      <c r="AJ80" s="88">
        <f t="shared" si="590"/>
        <v>-25796.870895042852</v>
      </c>
      <c r="AK80" s="35">
        <f t="shared" si="590"/>
        <v>-38777.851772686248</v>
      </c>
      <c r="AL80" s="88">
        <f t="shared" si="590"/>
        <v>-49727.671053669495</v>
      </c>
      <c r="AM80" s="88">
        <f t="shared" si="590"/>
        <v>-61604.341031851276</v>
      </c>
      <c r="AN80" s="88">
        <f t="shared" si="590"/>
        <v>-28512.780863350607</v>
      </c>
      <c r="AO80" s="88">
        <f t="shared" si="590"/>
        <v>-48097.393283660851</v>
      </c>
      <c r="AP80" s="88">
        <f t="shared" si="590"/>
        <v>-59574.558689874328</v>
      </c>
      <c r="AQ80" s="88">
        <f t="shared" si="590"/>
        <v>-27056.181399524139</v>
      </c>
      <c r="AR80" s="88">
        <f t="shared" si="590"/>
        <v>-38771.536543015369</v>
      </c>
      <c r="AS80" s="88">
        <f t="shared" si="590"/>
        <v>-52638.389189840833</v>
      </c>
      <c r="AT80" s="88">
        <f t="shared" si="590"/>
        <v>-65022.875772571701</v>
      </c>
      <c r="AU80" s="88">
        <f t="shared" si="590"/>
        <v>-29906.36021423374</v>
      </c>
      <c r="AV80" s="88">
        <f t="shared" si="590"/>
        <v>-48459.794738623459</v>
      </c>
      <c r="AW80" s="88">
        <f t="shared" si="590"/>
        <v>-62998.837937030301</v>
      </c>
      <c r="AX80" s="88">
        <f t="shared" si="590"/>
        <v>-28764.224043084603</v>
      </c>
      <c r="AY80" s="88">
        <f t="shared" si="590"/>
        <v>-40676.450693267521</v>
      </c>
      <c r="AZ80" s="88">
        <f t="shared" si="590"/>
        <v>-53125.717029651423</v>
      </c>
      <c r="BA80" s="88">
        <f t="shared" si="590"/>
        <v>-68741.848439495632</v>
      </c>
      <c r="BB80" s="88">
        <f t="shared" si="590"/>
        <v>-31774.673477208893</v>
      </c>
      <c r="BC80" s="88">
        <f t="shared" si="590"/>
        <v>-50847.438664811074</v>
      </c>
      <c r="BD80" s="88">
        <f t="shared" si="590"/>
        <v>-63896.958633216287</v>
      </c>
      <c r="BE80" s="88">
        <f t="shared" si="590"/>
        <v>-30693.655567448972</v>
      </c>
      <c r="BF80" s="88">
        <f t="shared" si="590"/>
        <v>-43101.918242807544</v>
      </c>
      <c r="BG80" s="88">
        <f t="shared" si="590"/>
        <v>-55744.889779853263</v>
      </c>
      <c r="BH80" s="88">
        <f t="shared" si="590"/>
        <v>-69814.52860077162</v>
      </c>
      <c r="BI80" s="88">
        <f t="shared" si="590"/>
        <v>-33879.188489389984</v>
      </c>
      <c r="BJ80" s="88">
        <f t="shared" si="590"/>
        <v>-53801.037863672107</v>
      </c>
      <c r="BK80" s="88">
        <f t="shared" si="590"/>
        <v>-67052.837808532335</v>
      </c>
      <c r="BL80" s="88">
        <f t="shared" si="590"/>
        <v>-29745.705472087662</v>
      </c>
      <c r="BM80" s="88">
        <f t="shared" si="590"/>
        <v>-45798.584560184594</v>
      </c>
      <c r="BN80" s="88">
        <f t="shared" si="590"/>
        <v>-58963.922897747427</v>
      </c>
      <c r="BO80" s="88">
        <f t="shared" si="590"/>
        <v>-73264.337836648192</v>
      </c>
      <c r="BP80" s="88">
        <f t="shared" si="590"/>
        <v>-32966.383396439043</v>
      </c>
      <c r="BQ80" s="88">
        <f t="shared" si="590"/>
        <v>-57059.738682354233</v>
      </c>
      <c r="BR80" s="88">
        <f t="shared" si="590"/>
        <v>-70858.857759305509</v>
      </c>
      <c r="BS80" s="88">
        <f t="shared" si="590"/>
        <v>-31190.027691821957</v>
      </c>
      <c r="BT80" s="88">
        <f t="shared" si="590"/>
        <v>-45351.411044902372</v>
      </c>
      <c r="BU80" s="88">
        <f t="shared" si="590"/>
        <v>-62509.20041440826</v>
      </c>
      <c r="BV80" s="88">
        <f t="shared" si="590"/>
        <v>-77403.601691844524</v>
      </c>
      <c r="BW80" s="88">
        <f t="shared" si="590"/>
        <v>-34569.591359697391</v>
      </c>
      <c r="BX80" s="88">
        <f t="shared" si="590"/>
        <v>-57038.7677360159</v>
      </c>
      <c r="BY80" s="88">
        <f t="shared" si="590"/>
        <v>-75028.736087632918</v>
      </c>
      <c r="BZ80" s="88">
        <f t="shared" si="590"/>
        <v>-33249.378387945137</v>
      </c>
      <c r="CA80" s="88">
        <f t="shared" si="590"/>
        <v>-47571.61483025569</v>
      </c>
      <c r="CB80" s="88">
        <f t="shared" si="590"/>
        <v>-62617.004660649814</v>
      </c>
      <c r="CC80" s="88">
        <f t="shared" si="590"/>
        <v>-81932.063988816968</v>
      </c>
      <c r="CD80" s="88">
        <f t="shared" si="590"/>
        <v>-36822.91270479095</v>
      </c>
      <c r="CE80" s="88">
        <f t="shared" si="590"/>
        <v>-59840.971017580319</v>
      </c>
      <c r="CF80" s="88">
        <f t="shared" si="590"/>
        <v>-75611.634328811764</v>
      </c>
      <c r="CG80" s="88">
        <f t="shared" si="590"/>
        <v>-35603.043630341635</v>
      </c>
      <c r="CH80" s="88">
        <f t="shared" si="590"/>
        <v>-50501.279437732606</v>
      </c>
      <c r="CI80" s="88">
        <f t="shared" si="590"/>
        <v>-65695.633033184102</v>
      </c>
      <c r="CJ80" s="88">
        <f t="shared" si="590"/>
        <v>-82701.701696894859</v>
      </c>
      <c r="CK80" s="88">
        <f t="shared" si="590"/>
        <v>-39389.814479179695</v>
      </c>
      <c r="CL80" s="88">
        <f t="shared" si="590"/>
        <v>-63411.657627721666</v>
      </c>
      <c r="CM80" s="88">
        <f t="shared" si="590"/>
        <v>-79337.383091729251</v>
      </c>
      <c r="CN80" s="88">
        <f t="shared" si="590"/>
        <v>-33889.882045927632</v>
      </c>
      <c r="CO80" s="88"/>
    </row>
    <row r="81" spans="1:93" ht="12.75" customHeight="1">
      <c r="A81" s="37"/>
      <c r="B81" s="70" t="s">
        <v>176</v>
      </c>
      <c r="C81" s="70">
        <f t="shared" si="584"/>
        <v>12456207.318821337</v>
      </c>
      <c r="D81" s="71">
        <f t="shared" ref="D81:AI81" si="591">SUM(D71:D80)</f>
        <v>0</v>
      </c>
      <c r="E81" s="70">
        <f t="shared" si="591"/>
        <v>0</v>
      </c>
      <c r="F81" s="70">
        <f t="shared" si="591"/>
        <v>0</v>
      </c>
      <c r="G81" s="70">
        <f t="shared" si="591"/>
        <v>0</v>
      </c>
      <c r="H81" s="70">
        <f t="shared" si="591"/>
        <v>-700</v>
      </c>
      <c r="I81" s="70">
        <f t="shared" si="591"/>
        <v>-700</v>
      </c>
      <c r="J81" s="70">
        <f t="shared" si="591"/>
        <v>-700</v>
      </c>
      <c r="K81" s="70">
        <f t="shared" si="591"/>
        <v>-700</v>
      </c>
      <c r="L81" s="70">
        <f t="shared" si="591"/>
        <v>-700</v>
      </c>
      <c r="M81" s="70">
        <f t="shared" si="591"/>
        <v>-700</v>
      </c>
      <c r="N81" s="70">
        <f t="shared" si="591"/>
        <v>-700</v>
      </c>
      <c r="O81" s="70">
        <f t="shared" si="591"/>
        <v>-700</v>
      </c>
      <c r="P81" s="70">
        <f t="shared" si="591"/>
        <v>-700</v>
      </c>
      <c r="Q81" s="70">
        <f t="shared" si="591"/>
        <v>-700</v>
      </c>
      <c r="R81" s="70">
        <f t="shared" si="591"/>
        <v>-700</v>
      </c>
      <c r="S81" s="70">
        <f t="shared" si="591"/>
        <v>-700</v>
      </c>
      <c r="T81" s="70">
        <f t="shared" si="591"/>
        <v>-700</v>
      </c>
      <c r="U81" s="70">
        <f t="shared" si="591"/>
        <v>-700</v>
      </c>
      <c r="V81" s="70">
        <f t="shared" si="591"/>
        <v>-140.601137447562</v>
      </c>
      <c r="W81" s="70">
        <f t="shared" si="591"/>
        <v>159719.88968155393</v>
      </c>
      <c r="X81" s="70">
        <f t="shared" si="591"/>
        <v>212047.29258029594</v>
      </c>
      <c r="Y81" s="70">
        <f t="shared" si="591"/>
        <v>112073.7324647436</v>
      </c>
      <c r="Z81" s="70">
        <f t="shared" si="591"/>
        <v>134069.95419729728</v>
      </c>
      <c r="AA81" s="70">
        <f t="shared" si="591"/>
        <v>170303.01718375942</v>
      </c>
      <c r="AB81" s="70">
        <f t="shared" si="591"/>
        <v>199511.05004711795</v>
      </c>
      <c r="AC81" s="70">
        <f t="shared" si="591"/>
        <v>113136.3851621894</v>
      </c>
      <c r="AD81" s="70">
        <f t="shared" si="591"/>
        <v>138236.3998951856</v>
      </c>
      <c r="AE81" s="70">
        <f t="shared" si="591"/>
        <v>178435.53889525327</v>
      </c>
      <c r="AF81" s="70">
        <f t="shared" si="591"/>
        <v>217447.8039136563</v>
      </c>
      <c r="AG81" s="70">
        <f t="shared" si="591"/>
        <v>124048.87589619025</v>
      </c>
      <c r="AH81" s="70">
        <f t="shared" si="591"/>
        <v>168759.40904838173</v>
      </c>
      <c r="AI81" s="70">
        <f t="shared" si="591"/>
        <v>207551.59908388735</v>
      </c>
      <c r="AJ81" s="70">
        <f t="shared" ref="AJ81:BO81" si="592">SUM(AJ71:AJ80)</f>
        <v>108509.9482568275</v>
      </c>
      <c r="AK81" s="70">
        <f t="shared" si="592"/>
        <v>145973.42357131495</v>
      </c>
      <c r="AL81" s="70">
        <f t="shared" si="592"/>
        <v>186662.07586125506</v>
      </c>
      <c r="AM81" s="70">
        <f t="shared" si="592"/>
        <v>226026.47072254281</v>
      </c>
      <c r="AN81" s="70">
        <f t="shared" si="592"/>
        <v>119407.09681735665</v>
      </c>
      <c r="AO81" s="70">
        <f t="shared" si="592"/>
        <v>178162.1099640046</v>
      </c>
      <c r="AP81" s="70">
        <f t="shared" si="592"/>
        <v>216738.24204145643</v>
      </c>
      <c r="AQ81" s="70">
        <f t="shared" si="592"/>
        <v>111922.81059748832</v>
      </c>
      <c r="AR81" s="70">
        <f t="shared" si="592"/>
        <v>141768.7497412895</v>
      </c>
      <c r="AS81" s="70">
        <f t="shared" si="592"/>
        <v>196696.03084586334</v>
      </c>
      <c r="AT81" s="70">
        <f t="shared" si="592"/>
        <v>236258.57048979966</v>
      </c>
      <c r="AU81" s="70">
        <f t="shared" si="592"/>
        <v>123226.96668316249</v>
      </c>
      <c r="AV81" s="70">
        <f t="shared" si="592"/>
        <v>174871.68177478202</v>
      </c>
      <c r="AW81" s="70">
        <f t="shared" si="592"/>
        <v>228589.8629735178</v>
      </c>
      <c r="AX81" s="70">
        <f t="shared" si="592"/>
        <v>116264.47451799433</v>
      </c>
      <c r="AY81" s="70">
        <f t="shared" si="592"/>
        <v>146382.16436650406</v>
      </c>
      <c r="AZ81" s="70">
        <f t="shared" si="592"/>
        <v>193708.84809932648</v>
      </c>
      <c r="BA81" s="70">
        <f t="shared" si="592"/>
        <v>249077.69832870809</v>
      </c>
      <c r="BB81" s="70">
        <f t="shared" si="592"/>
        <v>124175.5929207861</v>
      </c>
      <c r="BC81" s="70">
        <f t="shared" si="592"/>
        <v>172934.78730886502</v>
      </c>
      <c r="BD81" s="70">
        <f t="shared" si="592"/>
        <v>216258.07691420888</v>
      </c>
      <c r="BE81" s="70">
        <f t="shared" si="592"/>
        <v>118638.80881594087</v>
      </c>
      <c r="BF81" s="70">
        <f t="shared" si="592"/>
        <v>145934.67139124451</v>
      </c>
      <c r="BG81" s="70">
        <f t="shared" si="592"/>
        <v>191362.07916694501</v>
      </c>
      <c r="BH81" s="70">
        <f t="shared" si="592"/>
        <v>235522.66361934581</v>
      </c>
      <c r="BI81" s="70">
        <f t="shared" si="592"/>
        <v>129935.58716992871</v>
      </c>
      <c r="BJ81" s="70">
        <f t="shared" si="592"/>
        <v>179673.16851684701</v>
      </c>
      <c r="BK81" s="70">
        <f t="shared" si="592"/>
        <v>223935.33420726465</v>
      </c>
      <c r="BL81" s="70">
        <f t="shared" si="592"/>
        <v>111040.0429133187</v>
      </c>
      <c r="BM81" s="70">
        <f t="shared" si="592"/>
        <v>154766.3863330553</v>
      </c>
      <c r="BN81" s="70">
        <f t="shared" si="592"/>
        <v>200778.80468352506</v>
      </c>
      <c r="BO81" s="70">
        <f t="shared" si="592"/>
        <v>246179.84753195339</v>
      </c>
      <c r="BP81" s="70">
        <f t="shared" ref="BP81:CN81" si="593">SUM(BP71:BP80)</f>
        <v>124458.42937372794</v>
      </c>
      <c r="BQ81" s="70">
        <f t="shared" si="593"/>
        <v>192455.6538064116</v>
      </c>
      <c r="BR81" s="70">
        <f t="shared" si="593"/>
        <v>236930.99964160571</v>
      </c>
      <c r="BS81" s="70">
        <f t="shared" si="593"/>
        <v>116439.39787590517</v>
      </c>
      <c r="BT81" s="70">
        <f t="shared" si="593"/>
        <v>150063.3819594587</v>
      </c>
      <c r="BU81" s="70">
        <f t="shared" si="593"/>
        <v>214914.60827120612</v>
      </c>
      <c r="BV81" s="70">
        <f t="shared" si="593"/>
        <v>259932.22968671168</v>
      </c>
      <c r="BW81" s="70">
        <f t="shared" si="593"/>
        <v>130845.65401706059</v>
      </c>
      <c r="BX81" s="70">
        <f t="shared" si="593"/>
        <v>189080.66303593098</v>
      </c>
      <c r="BY81" s="70">
        <f t="shared" si="593"/>
        <v>252669.87418834193</v>
      </c>
      <c r="BZ81" s="70">
        <f t="shared" si="593"/>
        <v>124283.76707404437</v>
      </c>
      <c r="CA81" s="70">
        <f t="shared" si="593"/>
        <v>157516.13346632145</v>
      </c>
      <c r="CB81" s="70">
        <f t="shared" si="593"/>
        <v>211941.99485027423</v>
      </c>
      <c r="CC81" s="70">
        <f t="shared" si="593"/>
        <v>277468.37650951627</v>
      </c>
      <c r="CD81" s="70">
        <f t="shared" si="593"/>
        <v>139145.3840608882</v>
      </c>
      <c r="CE81" s="70">
        <f t="shared" si="593"/>
        <v>198433.80304462736</v>
      </c>
      <c r="CF81" s="70">
        <f t="shared" si="593"/>
        <v>251063.75284425938</v>
      </c>
      <c r="CG81" s="70">
        <f t="shared" si="593"/>
        <v>134739.06546153256</v>
      </c>
      <c r="CH81" s="70">
        <f t="shared" si="593"/>
        <v>167880.94315413316</v>
      </c>
      <c r="CI81" s="70">
        <f t="shared" si="593"/>
        <v>222202.11185880093</v>
      </c>
      <c r="CJ81" s="70">
        <f t="shared" si="593"/>
        <v>276386.76432555728</v>
      </c>
      <c r="CK81" s="70">
        <f t="shared" si="593"/>
        <v>150633.27317611483</v>
      </c>
      <c r="CL81" s="70">
        <f t="shared" si="593"/>
        <v>210602.04493526847</v>
      </c>
      <c r="CM81" s="70">
        <f t="shared" si="593"/>
        <v>263507.91997353209</v>
      </c>
      <c r="CN81" s="70">
        <f t="shared" si="593"/>
        <v>125827.66817162005</v>
      </c>
      <c r="CO81" s="37"/>
    </row>
    <row r="82" spans="1:93" ht="12.75" customHeight="1">
      <c r="A82" s="35"/>
      <c r="B82" s="37" t="s">
        <v>177</v>
      </c>
      <c r="C82" s="35"/>
      <c r="D82" s="60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</row>
    <row r="83" spans="1:93" ht="12.75" customHeight="1">
      <c r="A83" s="35"/>
      <c r="B83" s="63" t="s">
        <v>178</v>
      </c>
      <c r="C83" s="35">
        <f t="shared" ref="C83:C84" si="594">SUM(D83:CN83)</f>
        <v>-4773391.5</v>
      </c>
      <c r="D83" s="60">
        <f>-(Финансирование!C4-'график квартальный'!C32)/10000</f>
        <v>0</v>
      </c>
      <c r="E83" s="35">
        <f>-'график квартальный'!E32/1000</f>
        <v>-3490</v>
      </c>
      <c r="F83" s="35">
        <f>-'график квартальный'!F32/1000</f>
        <v>0</v>
      </c>
      <c r="G83" s="35">
        <f>-'график квартальный'!G32/1000</f>
        <v>-23750</v>
      </c>
      <c r="H83" s="35">
        <f>-'график квартальный'!H32/1000</f>
        <v>-23750</v>
      </c>
      <c r="I83" s="35">
        <f>-'график квартальный'!I32/1000</f>
        <v>-23750</v>
      </c>
      <c r="J83" s="35">
        <f>-'график квартальный'!J32/1000</f>
        <v>-28846.666666666664</v>
      </c>
      <c r="K83" s="35">
        <f>-'график квартальный'!K32/1000</f>
        <v>-269514.9291666667</v>
      </c>
      <c r="L83" s="35">
        <f>-'график квартальный'!L32/1000</f>
        <v>-285029.32916666666</v>
      </c>
      <c r="M83" s="35">
        <f>-'график квартальный'!M32/1000</f>
        <v>-313470.45416666666</v>
      </c>
      <c r="N83" s="35">
        <f>-'график квартальный'!N32/1000</f>
        <v>-359791.01666666666</v>
      </c>
      <c r="O83" s="35">
        <f>-'график квартальный'!O32/1000</f>
        <v>-461606.61041666666</v>
      </c>
      <c r="P83" s="35">
        <f>-'график квартальный'!P32/1000</f>
        <v>-490248.36041666666</v>
      </c>
      <c r="Q83" s="35">
        <f>-'график квартальный'!Q32/1000</f>
        <v>-500423.16666666669</v>
      </c>
      <c r="R83" s="35">
        <f>-'график квартальный'!R32/1000</f>
        <v>-388520.3666666667</v>
      </c>
      <c r="S83" s="35">
        <f>-'график квартальный'!S32/1000</f>
        <v>-474531.90666666668</v>
      </c>
      <c r="T83" s="35">
        <f>-'график квартальный'!T32/1000</f>
        <v>-410752.1866666667</v>
      </c>
      <c r="U83" s="35">
        <f>-'график квартальный'!U32/1000</f>
        <v>-387587.00666666671</v>
      </c>
      <c r="V83" s="35">
        <f>-'график квартальный'!V32/1000</f>
        <v>-328329.5</v>
      </c>
      <c r="W83" s="35">
        <f>-'график квартальный'!W32/1000</f>
        <v>0</v>
      </c>
      <c r="X83" s="35">
        <f>-'график квартальный'!X32/1000</f>
        <v>0</v>
      </c>
      <c r="Y83" s="35">
        <f>-'график квартальный'!Y32/1000</f>
        <v>0</v>
      </c>
      <c r="Z83" s="35">
        <f>-'график квартальный'!Z32/1000</f>
        <v>0</v>
      </c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</row>
    <row r="84" spans="1:93" ht="12.75" customHeight="1">
      <c r="A84" s="35"/>
      <c r="B84" s="63" t="s">
        <v>179</v>
      </c>
      <c r="C84" s="35">
        <f t="shared" si="594"/>
        <v>795565.25000000012</v>
      </c>
      <c r="D84" s="60">
        <f>IF(D9-2&lt;0,0,-B83/(1+Assump!$D$25)*Assump!$D$25)</f>
        <v>0</v>
      </c>
      <c r="E84" s="35">
        <f>IF(E9-2&lt;0,0,-C83/(1+Assump!$D$25)*Assump!$D$25)</f>
        <v>0</v>
      </c>
      <c r="F84" s="35">
        <f>IF(F9-2&lt;0,0,-D83/(1+Assump!$D$25)*Assump!$D$25)</f>
        <v>0</v>
      </c>
      <c r="G84" s="35">
        <f>IF(G9-2&lt;0,0,-E83/(1+Assump!$D$25)*Assump!$D$25)</f>
        <v>581.66666666666674</v>
      </c>
      <c r="H84" s="35">
        <f>IF(H9-2&lt;0,0,-F83/(1+Assump!$D$25)*Assump!$D$25)</f>
        <v>0</v>
      </c>
      <c r="I84" s="35">
        <f>IF(I9-2&lt;0,0,-G83/(1+Assump!$D$25)*Assump!$D$25)</f>
        <v>3958.3333333333339</v>
      </c>
      <c r="J84" s="35">
        <f>IF(J9-2&lt;0,0,-H83/(1+Assump!$D$25)*Assump!$D$25)</f>
        <v>3958.3333333333339</v>
      </c>
      <c r="K84" s="35">
        <f>IF(K9-2&lt;0,0,-I83/(1+Assump!$D$25)*Assump!$D$25)</f>
        <v>3958.3333333333339</v>
      </c>
      <c r="L84" s="35">
        <f>IF(L9-2&lt;0,0,-J83/(1+Assump!$D$25)*Assump!$D$25)</f>
        <v>4807.7777777777774</v>
      </c>
      <c r="M84" s="35">
        <f>IF(M9-2&lt;0,0,-K83/(1+Assump!$D$25)*Assump!$D$25)</f>
        <v>44919.154861111121</v>
      </c>
      <c r="N84" s="35">
        <f>IF(N9-2&lt;0,0,-L83/(1+Assump!$D$25)*Assump!$D$25)</f>
        <v>47504.888194444444</v>
      </c>
      <c r="O84" s="35">
        <f>IF(O9-2&lt;0,0,-M83/(1+Assump!$D$25)*Assump!$D$25)</f>
        <v>52245.075694444444</v>
      </c>
      <c r="P84" s="35">
        <f>IF(P9-2&lt;0,0,-N83/(1+Assump!$D$25)*Assump!$D$25)</f>
        <v>59965.169444444451</v>
      </c>
      <c r="Q84" s="35">
        <f>IF(Q9-2&lt;0,0,-O83/(1+Assump!$D$25)*Assump!$D$25)</f>
        <v>76934.435069444458</v>
      </c>
      <c r="R84" s="35">
        <f>IF(R9-2&lt;0,0,-P83/(1+Assump!$D$25)*Assump!$D$25)</f>
        <v>81708.060069444458</v>
      </c>
      <c r="S84" s="35">
        <f>IF(S9-2&lt;0,0,-Q83/(1+Assump!$D$25)*Assump!$D$25)</f>
        <v>83403.861111111124</v>
      </c>
      <c r="T84" s="35">
        <f>IF(T9-2&lt;0,0,-R83/(1+Assump!$D$25)*Assump!$D$25)</f>
        <v>64753.39444444445</v>
      </c>
      <c r="U84" s="35">
        <f>IF(U9-2&lt;0,0,-S83/(1+Assump!$D$25)*Assump!$D$25)</f>
        <v>79088.651111111118</v>
      </c>
      <c r="V84" s="35">
        <f>IF(V9-2&lt;0,0,-T83/(1+Assump!$D$25)*Assump!$D$25)</f>
        <v>68458.697777777779</v>
      </c>
      <c r="W84" s="35">
        <f>IF(W9-2&lt;0,0,-U83/(1+Assump!$D$25)*Assump!$D$25)</f>
        <v>64597.834444444452</v>
      </c>
      <c r="X84" s="35">
        <f>IF(X9-2&lt;0,0,-V83/(1+Assump!$D$25)*Assump!$D$25)</f>
        <v>54721.583333333343</v>
      </c>
      <c r="Y84" s="35">
        <f>IF(Y9-2&lt;0,0,-W83/(1+Assump!$D$25)*Assump!$D$25)</f>
        <v>0</v>
      </c>
      <c r="Z84" s="35">
        <f>IF(Z9-2&lt;0,0,-X83/(1+Assump!$D$25)*Assump!$D$25)</f>
        <v>0</v>
      </c>
      <c r="AA84" s="35">
        <f>IF(AA9-2&lt;0,0,-Y83/(1+Assump!$D$25)*Assump!$D$25)</f>
        <v>0</v>
      </c>
      <c r="AB84" s="35">
        <f>IF(AB9-2&lt;0,0,-Z83/(1+Assump!$D$25)*Assump!$D$25)</f>
        <v>0</v>
      </c>
      <c r="AC84" s="35">
        <f>IF(AC9-2&lt;0,0,-AA83/(1+Assump!$D$25)*Assump!$D$25)</f>
        <v>0</v>
      </c>
      <c r="AD84" s="35">
        <f>IF(AD9-2&lt;0,0,-AB83/(1+Assump!$D$25)*Assump!$D$25)</f>
        <v>0</v>
      </c>
      <c r="AE84" s="35">
        <f>IF(AE9-2&lt;0,0,-AC83/(1+Assump!$D$25)*Assump!$D$25)</f>
        <v>0</v>
      </c>
      <c r="AF84" s="35">
        <f>IF(AF9-2&lt;0,0,-AD83/(1+Assump!$D$25)*Assump!$D$25)</f>
        <v>0</v>
      </c>
      <c r="AG84" s="35">
        <f>IF(AG9-2&lt;0,0,-AE83/(1+Assump!$D$25)*Assump!$D$25)</f>
        <v>0</v>
      </c>
      <c r="AH84" s="35">
        <f>IF(AH9-2&lt;0,0,-AF83/(1+Assump!$D$25)*Assump!$D$25)</f>
        <v>0</v>
      </c>
      <c r="AI84" s="35">
        <f>IF(AI9-2&lt;0,0,-AG83/(1+Assump!$D$25)*Assump!$D$25)</f>
        <v>0</v>
      </c>
      <c r="AJ84" s="35">
        <f>IF(AJ9-2&lt;0,0,-AH83/(1+Assump!$D$25)*Assump!$D$25)</f>
        <v>0</v>
      </c>
      <c r="AK84" s="35">
        <f>IF(AK9-2&lt;0,0,-AI83/(1+Assump!$D$25)*Assump!$D$25)</f>
        <v>0</v>
      </c>
      <c r="AL84" s="35">
        <f>IF(AL9-2&lt;0,0,-AJ83/(1+Assump!$D$25)*Assump!$D$25)</f>
        <v>0</v>
      </c>
      <c r="AM84" s="35">
        <f>IF(AM9-2&lt;0,0,-AK83/(1+Assump!$D$25)*Assump!$D$25)</f>
        <v>0</v>
      </c>
      <c r="AN84" s="35">
        <f>IF(AN9-2&lt;0,0,-AL83/(1+Assump!$D$25)*Assump!$D$25)</f>
        <v>0</v>
      </c>
      <c r="AO84" s="35">
        <f>IF(AO9-2&lt;0,0,-AM83/(1+Assump!$D$25)*Assump!$D$25)</f>
        <v>0</v>
      </c>
      <c r="AP84" s="35">
        <f>IF(AP9-2&lt;0,0,-AN83/(1+Assump!$D$25)*Assump!$D$25)</f>
        <v>0</v>
      </c>
      <c r="AQ84" s="35">
        <f>IF(AQ9-2&lt;0,0,-AO83/(1+Assump!$D$25)*Assump!$D$25)</f>
        <v>0</v>
      </c>
      <c r="AR84" s="35">
        <f>IF(AR9-2&lt;0,0,-AP83/(1+Assump!$D$25)*Assump!$D$25)</f>
        <v>0</v>
      </c>
      <c r="AS84" s="35">
        <f>IF(AS9-2&lt;0,0,-AQ83/(1+Assump!$D$25)*Assump!$D$25)</f>
        <v>0</v>
      </c>
      <c r="AT84" s="35">
        <f>IF(AT9-2&lt;0,0,-AR83/(1+Assump!$D$25)*Assump!$D$25)</f>
        <v>0</v>
      </c>
      <c r="AU84" s="35">
        <f>IF(AU9-2&lt;0,0,-AS83/(1+Assump!$D$25)*Assump!$D$25)</f>
        <v>0</v>
      </c>
      <c r="AV84" s="35">
        <f>IF(AV9-2&lt;0,0,-AT83/(1+Assump!$D$25)*Assump!$D$25)</f>
        <v>0</v>
      </c>
      <c r="AW84" s="35">
        <f>IF(AW9-2&lt;0,0,-AU83/(1+Assump!$D$25)*Assump!$D$25)</f>
        <v>0</v>
      </c>
      <c r="AX84" s="35">
        <f>IF(AX9-2&lt;0,0,-AV83/(1+Assump!$D$25)*Assump!$D$25)</f>
        <v>0</v>
      </c>
      <c r="AY84" s="35">
        <f>IF(AY9-2&lt;0,0,-AW83/(1+Assump!$D$25)*Assump!$D$25)</f>
        <v>0</v>
      </c>
      <c r="AZ84" s="35">
        <f>IF(AZ9-2&lt;0,0,-AX83/(1+Assump!$D$25)*Assump!$D$25)</f>
        <v>0</v>
      </c>
      <c r="BA84" s="35">
        <f>IF(BA9-2&lt;0,0,-AY83/(1+Assump!$D$25)*Assump!$D$25)</f>
        <v>0</v>
      </c>
      <c r="BB84" s="35">
        <f>IF(BB9-2&lt;0,0,-AZ83/(1+Assump!$D$25)*Assump!$D$25)</f>
        <v>0</v>
      </c>
      <c r="BC84" s="35">
        <f>IF(BC9-2&lt;0,0,-BA83/(1+Assump!$D$25)*Assump!$D$25)</f>
        <v>0</v>
      </c>
      <c r="BD84" s="35">
        <f>IF(BD9-2&lt;0,0,-BB83/(1+Assump!$D$25)*Assump!$D$25)</f>
        <v>0</v>
      </c>
      <c r="BE84" s="35">
        <f>IF(BE9-2&lt;0,0,-BC83/(1+Assump!$D$25)*Assump!$D$25)</f>
        <v>0</v>
      </c>
      <c r="BF84" s="35">
        <f>IF(BF9-2&lt;0,0,-BD83/(1+Assump!$D$25)*Assump!$D$25)</f>
        <v>0</v>
      </c>
      <c r="BG84" s="35">
        <f>IF(BG9-2&lt;0,0,-BE83/(1+Assump!$D$25)*Assump!$D$25)</f>
        <v>0</v>
      </c>
      <c r="BH84" s="35">
        <f>IF(BH9-2&lt;0,0,-BF83/(1+Assump!$D$25)*Assump!$D$25)</f>
        <v>0</v>
      </c>
      <c r="BI84" s="35">
        <f>IF(BI9-2&lt;0,0,-BG83/(1+Assump!$D$25)*Assump!$D$25)</f>
        <v>0</v>
      </c>
      <c r="BJ84" s="35">
        <f>IF(BJ9-2&lt;0,0,-BH83/(1+Assump!$D$25)*Assump!$D$25)</f>
        <v>0</v>
      </c>
      <c r="BK84" s="35">
        <f>IF(BK9-2&lt;0,0,-BI83/(1+Assump!$D$25)*Assump!$D$25)</f>
        <v>0</v>
      </c>
      <c r="BL84" s="35">
        <f>IF(BL9-2&lt;0,0,-BJ83/(1+Assump!$D$25)*Assump!$D$25)</f>
        <v>0</v>
      </c>
      <c r="BM84" s="35">
        <f>IF(BM9-2&lt;0,0,-BK83/(1+Assump!$D$25)*Assump!$D$25)</f>
        <v>0</v>
      </c>
      <c r="BN84" s="35">
        <f>IF(BN9-2&lt;0,0,-BL83/(1+Assump!$D$25)*Assump!$D$25)</f>
        <v>0</v>
      </c>
      <c r="BO84" s="35">
        <f>IF(BO9-2&lt;0,0,-BM83/(1+Assump!$D$25)*Assump!$D$25)</f>
        <v>0</v>
      </c>
      <c r="BP84" s="35">
        <f>IF(BP9-2&lt;0,0,-BN83/(1+Assump!$D$25)*Assump!$D$25)</f>
        <v>0</v>
      </c>
      <c r="BQ84" s="35">
        <f>IF(BQ9-2&lt;0,0,-BO83/(1+Assump!$D$25)*Assump!$D$25)</f>
        <v>0</v>
      </c>
      <c r="BR84" s="35">
        <f>IF(BR9-2&lt;0,0,-BP83/(1+Assump!$D$25)*Assump!$D$25)</f>
        <v>0</v>
      </c>
      <c r="BS84" s="35">
        <f>IF(BS9-2&lt;0,0,-BQ83/(1+Assump!$D$25)*Assump!$D$25)</f>
        <v>0</v>
      </c>
      <c r="BT84" s="35">
        <f>IF(BT9-2&lt;0,0,-BR83/(1+Assump!$D$25)*Assump!$D$25)</f>
        <v>0</v>
      </c>
      <c r="BU84" s="35">
        <f>IF(BU9-2&lt;0,0,-BS83/(1+Assump!$D$25)*Assump!$D$25)</f>
        <v>0</v>
      </c>
      <c r="BV84" s="35">
        <f>IF(BV9-2&lt;0,0,-BT83/(1+Assump!$D$25)*Assump!$D$25)</f>
        <v>0</v>
      </c>
      <c r="BW84" s="35">
        <f>IF(BW9-2&lt;0,0,-BU83/(1+Assump!$D$25)*Assump!$D$25)</f>
        <v>0</v>
      </c>
      <c r="BX84" s="35">
        <f>IF(BX9-2&lt;0,0,-BV83/(1+Assump!$D$25)*Assump!$D$25)</f>
        <v>0</v>
      </c>
      <c r="BY84" s="35">
        <f>IF(BY9-2&lt;0,0,-BW83/(1+Assump!$D$25)*Assump!$D$25)</f>
        <v>0</v>
      </c>
      <c r="BZ84" s="35">
        <f>IF(BZ9-2&lt;0,0,-BX83/(1+Assump!$D$25)*Assump!$D$25)</f>
        <v>0</v>
      </c>
      <c r="CA84" s="35">
        <f>IF(CA9-2&lt;0,0,-BY83/(1+Assump!$D$25)*Assump!$D$25)</f>
        <v>0</v>
      </c>
      <c r="CB84" s="35">
        <f>IF(CB9-2&lt;0,0,-BZ83/(1+Assump!$D$25)*Assump!$D$25)</f>
        <v>0</v>
      </c>
      <c r="CC84" s="35">
        <f>IF(CC9-2&lt;0,0,-CA83/(1+Assump!$D$25)*Assump!$D$25)</f>
        <v>0</v>
      </c>
      <c r="CD84" s="35">
        <f>IF(CD9-2&lt;0,0,-CB83/(1+Assump!$D$25)*Assump!$D$25)</f>
        <v>0</v>
      </c>
      <c r="CE84" s="35">
        <f>IF(CE9-2&lt;0,0,-CC83/(1+Assump!$D$25)*Assump!$D$25)</f>
        <v>0</v>
      </c>
      <c r="CF84" s="35">
        <f>IF(CF9-2&lt;0,0,-CD83/(1+Assump!$D$25)*Assump!$D$25)</f>
        <v>0</v>
      </c>
      <c r="CG84" s="35">
        <f>IF(CG9-2&lt;0,0,-CE83/(1+Assump!$D$25)*Assump!$D$25)</f>
        <v>0</v>
      </c>
      <c r="CH84" s="35">
        <f>IF(CH9-2&lt;0,0,-CF83/(1+Assump!$D$25)*Assump!$D$25)</f>
        <v>0</v>
      </c>
      <c r="CI84" s="35">
        <f>IF(CI9-2&lt;0,0,-CG83/(1+Assump!$D$25)*Assump!$D$25)</f>
        <v>0</v>
      </c>
      <c r="CJ84" s="35">
        <f>IF(CJ9-2&lt;0,0,-CH83/(1+Assump!$D$25)*Assump!$D$25)</f>
        <v>0</v>
      </c>
      <c r="CK84" s="35">
        <f>IF(CK9-2&lt;0,0,-CI83/(1+Assump!$D$25)*Assump!$D$25)</f>
        <v>0</v>
      </c>
      <c r="CL84" s="35">
        <f>IF(CL9-2&lt;0,0,-CJ83/(1+Assump!$D$25)*Assump!$D$25)</f>
        <v>0</v>
      </c>
      <c r="CM84" s="35">
        <f>IF(CM9-2&lt;0,0,-CK83/(1+Assump!$D$25)*Assump!$D$25)</f>
        <v>0</v>
      </c>
      <c r="CN84" s="35">
        <f>IF(CN9-2&lt;0,0,-CL83/(1+Assump!$D$25)*Assump!$D$25)</f>
        <v>0</v>
      </c>
      <c r="CO84" s="35"/>
    </row>
    <row r="85" spans="1:93" ht="12.75" customHeight="1">
      <c r="A85" s="90"/>
      <c r="B85" s="91" t="s">
        <v>180</v>
      </c>
      <c r="C85" s="91">
        <f t="shared" ref="C85:CN85" si="595">SUM(C83:C84)</f>
        <v>-3977826.25</v>
      </c>
      <c r="D85" s="71">
        <f t="shared" si="595"/>
        <v>0</v>
      </c>
      <c r="E85" s="91">
        <f t="shared" si="595"/>
        <v>-3490</v>
      </c>
      <c r="F85" s="91">
        <f t="shared" si="595"/>
        <v>0</v>
      </c>
      <c r="G85" s="91">
        <f t="shared" si="595"/>
        <v>-23168.333333333332</v>
      </c>
      <c r="H85" s="91">
        <f t="shared" si="595"/>
        <v>-23750</v>
      </c>
      <c r="I85" s="91">
        <f t="shared" si="595"/>
        <v>-19791.666666666664</v>
      </c>
      <c r="J85" s="91">
        <f t="shared" si="595"/>
        <v>-24888.333333333328</v>
      </c>
      <c r="K85" s="91">
        <f t="shared" si="595"/>
        <v>-265556.59583333338</v>
      </c>
      <c r="L85" s="91">
        <f t="shared" si="595"/>
        <v>-280221.55138888891</v>
      </c>
      <c r="M85" s="91">
        <f t="shared" si="595"/>
        <v>-268551.29930555553</v>
      </c>
      <c r="N85" s="91">
        <f t="shared" si="595"/>
        <v>-312286.12847222225</v>
      </c>
      <c r="O85" s="91">
        <f t="shared" si="595"/>
        <v>-409361.53472222225</v>
      </c>
      <c r="P85" s="91">
        <f t="shared" si="595"/>
        <v>-430283.19097222219</v>
      </c>
      <c r="Q85" s="91">
        <f t="shared" si="595"/>
        <v>-423488.73159722221</v>
      </c>
      <c r="R85" s="91">
        <f t="shared" si="595"/>
        <v>-306812.30659722222</v>
      </c>
      <c r="S85" s="91">
        <f t="shared" si="595"/>
        <v>-391128.04555555555</v>
      </c>
      <c r="T85" s="91">
        <f t="shared" si="595"/>
        <v>-345998.79222222226</v>
      </c>
      <c r="U85" s="91">
        <f t="shared" si="595"/>
        <v>-308498.35555555561</v>
      </c>
      <c r="V85" s="91">
        <f t="shared" si="595"/>
        <v>-259870.80222222221</v>
      </c>
      <c r="W85" s="91">
        <f t="shared" si="595"/>
        <v>64597.834444444452</v>
      </c>
      <c r="X85" s="91">
        <f t="shared" si="595"/>
        <v>54721.583333333343</v>
      </c>
      <c r="Y85" s="91">
        <f t="shared" si="595"/>
        <v>0</v>
      </c>
      <c r="Z85" s="91">
        <f t="shared" si="595"/>
        <v>0</v>
      </c>
      <c r="AA85" s="91">
        <f t="shared" si="595"/>
        <v>0</v>
      </c>
      <c r="AB85" s="91">
        <f t="shared" si="595"/>
        <v>0</v>
      </c>
      <c r="AC85" s="91">
        <f t="shared" si="595"/>
        <v>0</v>
      </c>
      <c r="AD85" s="91">
        <f t="shared" si="595"/>
        <v>0</v>
      </c>
      <c r="AE85" s="91">
        <f t="shared" si="595"/>
        <v>0</v>
      </c>
      <c r="AF85" s="91">
        <f t="shared" si="595"/>
        <v>0</v>
      </c>
      <c r="AG85" s="91">
        <f t="shared" si="595"/>
        <v>0</v>
      </c>
      <c r="AH85" s="91">
        <f t="shared" si="595"/>
        <v>0</v>
      </c>
      <c r="AI85" s="91">
        <f t="shared" si="595"/>
        <v>0</v>
      </c>
      <c r="AJ85" s="91">
        <f t="shared" si="595"/>
        <v>0</v>
      </c>
      <c r="AK85" s="70">
        <f t="shared" si="595"/>
        <v>0</v>
      </c>
      <c r="AL85" s="91">
        <f t="shared" si="595"/>
        <v>0</v>
      </c>
      <c r="AM85" s="91">
        <f t="shared" si="595"/>
        <v>0</v>
      </c>
      <c r="AN85" s="91">
        <f t="shared" si="595"/>
        <v>0</v>
      </c>
      <c r="AO85" s="91">
        <f t="shared" si="595"/>
        <v>0</v>
      </c>
      <c r="AP85" s="91">
        <f t="shared" si="595"/>
        <v>0</v>
      </c>
      <c r="AQ85" s="91">
        <f t="shared" si="595"/>
        <v>0</v>
      </c>
      <c r="AR85" s="91">
        <f t="shared" si="595"/>
        <v>0</v>
      </c>
      <c r="AS85" s="91">
        <f t="shared" si="595"/>
        <v>0</v>
      </c>
      <c r="AT85" s="91">
        <f t="shared" si="595"/>
        <v>0</v>
      </c>
      <c r="AU85" s="91">
        <f t="shared" si="595"/>
        <v>0</v>
      </c>
      <c r="AV85" s="91">
        <f t="shared" si="595"/>
        <v>0</v>
      </c>
      <c r="AW85" s="91">
        <f t="shared" si="595"/>
        <v>0</v>
      </c>
      <c r="AX85" s="91">
        <f t="shared" si="595"/>
        <v>0</v>
      </c>
      <c r="AY85" s="91">
        <f t="shared" si="595"/>
        <v>0</v>
      </c>
      <c r="AZ85" s="91">
        <f t="shared" si="595"/>
        <v>0</v>
      </c>
      <c r="BA85" s="91">
        <f t="shared" si="595"/>
        <v>0</v>
      </c>
      <c r="BB85" s="91">
        <f t="shared" si="595"/>
        <v>0</v>
      </c>
      <c r="BC85" s="91">
        <f t="shared" si="595"/>
        <v>0</v>
      </c>
      <c r="BD85" s="91">
        <f t="shared" si="595"/>
        <v>0</v>
      </c>
      <c r="BE85" s="91">
        <f t="shared" si="595"/>
        <v>0</v>
      </c>
      <c r="BF85" s="91">
        <f t="shared" si="595"/>
        <v>0</v>
      </c>
      <c r="BG85" s="91">
        <f t="shared" si="595"/>
        <v>0</v>
      </c>
      <c r="BH85" s="91">
        <f t="shared" si="595"/>
        <v>0</v>
      </c>
      <c r="BI85" s="91">
        <f t="shared" si="595"/>
        <v>0</v>
      </c>
      <c r="BJ85" s="91">
        <f t="shared" si="595"/>
        <v>0</v>
      </c>
      <c r="BK85" s="91">
        <f t="shared" si="595"/>
        <v>0</v>
      </c>
      <c r="BL85" s="91">
        <f t="shared" si="595"/>
        <v>0</v>
      </c>
      <c r="BM85" s="91">
        <f t="shared" si="595"/>
        <v>0</v>
      </c>
      <c r="BN85" s="91">
        <f t="shared" si="595"/>
        <v>0</v>
      </c>
      <c r="BO85" s="91">
        <f t="shared" si="595"/>
        <v>0</v>
      </c>
      <c r="BP85" s="91">
        <f t="shared" si="595"/>
        <v>0</v>
      </c>
      <c r="BQ85" s="91">
        <f t="shared" si="595"/>
        <v>0</v>
      </c>
      <c r="BR85" s="91">
        <f t="shared" si="595"/>
        <v>0</v>
      </c>
      <c r="BS85" s="91">
        <f t="shared" si="595"/>
        <v>0</v>
      </c>
      <c r="BT85" s="91">
        <f t="shared" si="595"/>
        <v>0</v>
      </c>
      <c r="BU85" s="91">
        <f t="shared" si="595"/>
        <v>0</v>
      </c>
      <c r="BV85" s="91">
        <f t="shared" si="595"/>
        <v>0</v>
      </c>
      <c r="BW85" s="91">
        <f t="shared" si="595"/>
        <v>0</v>
      </c>
      <c r="BX85" s="91">
        <f t="shared" si="595"/>
        <v>0</v>
      </c>
      <c r="BY85" s="91">
        <f t="shared" si="595"/>
        <v>0</v>
      </c>
      <c r="BZ85" s="91">
        <f t="shared" si="595"/>
        <v>0</v>
      </c>
      <c r="CA85" s="91">
        <f t="shared" si="595"/>
        <v>0</v>
      </c>
      <c r="CB85" s="91">
        <f t="shared" si="595"/>
        <v>0</v>
      </c>
      <c r="CC85" s="91">
        <f t="shared" si="595"/>
        <v>0</v>
      </c>
      <c r="CD85" s="91">
        <f t="shared" si="595"/>
        <v>0</v>
      </c>
      <c r="CE85" s="91">
        <f t="shared" si="595"/>
        <v>0</v>
      </c>
      <c r="CF85" s="91">
        <f t="shared" si="595"/>
        <v>0</v>
      </c>
      <c r="CG85" s="91">
        <f t="shared" si="595"/>
        <v>0</v>
      </c>
      <c r="CH85" s="91">
        <f t="shared" si="595"/>
        <v>0</v>
      </c>
      <c r="CI85" s="91">
        <f t="shared" si="595"/>
        <v>0</v>
      </c>
      <c r="CJ85" s="91">
        <f t="shared" si="595"/>
        <v>0</v>
      </c>
      <c r="CK85" s="91">
        <f t="shared" si="595"/>
        <v>0</v>
      </c>
      <c r="CL85" s="91">
        <f t="shared" si="595"/>
        <v>0</v>
      </c>
      <c r="CM85" s="91">
        <f t="shared" si="595"/>
        <v>0</v>
      </c>
      <c r="CN85" s="91">
        <f t="shared" si="595"/>
        <v>0</v>
      </c>
      <c r="CO85" s="90"/>
    </row>
    <row r="86" spans="1:93" ht="12.75" customHeight="1">
      <c r="A86" s="90"/>
      <c r="B86" s="90" t="s">
        <v>181</v>
      </c>
      <c r="C86" s="90"/>
      <c r="D86" s="92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37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</row>
    <row r="87" spans="1:93" ht="12.75" customHeight="1">
      <c r="A87" s="35"/>
      <c r="B87" s="63" t="s">
        <v>182</v>
      </c>
      <c r="C87" s="35">
        <f t="shared" ref="C87:C94" si="596">SUM(D87:CN87)</f>
        <v>954678.3</v>
      </c>
      <c r="D87" s="60">
        <f>Финансирование!C5/1000</f>
        <v>954678.3</v>
      </c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</row>
    <row r="88" spans="1:93" ht="12.75" customHeight="1">
      <c r="A88" s="35"/>
      <c r="B88" s="63" t="s">
        <v>183</v>
      </c>
      <c r="C88" s="35">
        <f t="shared" si="596"/>
        <v>-5397816.059714484</v>
      </c>
      <c r="D88" s="60">
        <f>IF(C185&lt;0,0,IF((D81+D85+D87+D89+D90+D91+C95)&lt;Assump!$D$65,0,IF(D66&gt;0,MAX(-D66,(Assump!$D$65-D81-D85-D87-D89-D90-D91-C95)),0)))</f>
        <v>0</v>
      </c>
      <c r="E88" s="35">
        <f>IF(D185&lt;0,0,IF((E81+E85+E87+E89+E90+E91+D95)&lt;Assump!$D$65,0,IF(E66&gt;0,MAX(-E66,(Assump!$D$65-E81-E85-E87-E89-E90-E91-D95)),0)))</f>
        <v>0</v>
      </c>
      <c r="F88" s="35">
        <f>IF(E185&lt;0,0,IF((F81+F85+F87+F89+F90+F91+E95)&lt;Assump!$D$65,0,IF(F66&gt;0,MAX(-F66,(Assump!$D$65-F81-F85-F87-F89-F90-F91-E95)),0)))</f>
        <v>0</v>
      </c>
      <c r="G88" s="35">
        <f>IF(F185&lt;0,0,IF((G81+G85+G87+G89+G90+G91+F95)&lt;Assump!$D$65,0,IF(G66&gt;0,MAX(-G66,(Assump!$D$65-G81-G85-G87-G89-G90-G91-F95)),0)))</f>
        <v>0</v>
      </c>
      <c r="H88" s="35">
        <f>IF(G185&lt;0,0,IF((H81+H85+H87+H89+H90+H91+G95)&lt;Assump!$D$65,0,IF(H66&gt;0,MAX(-H66,(Assump!$D$65-H81-H85-H87-H89-H90-H91-G95)),0)))</f>
        <v>0</v>
      </c>
      <c r="I88" s="35">
        <f>IF(H185&lt;0,0,IF((I81+I85+I87+I89+I90+I91+H95)&lt;Assump!$D$65,0,IF(I66&gt;0,MAX(-I66,(Assump!$D$65-I81-I85-I87-I89-I90-I91-H95)),0)))</f>
        <v>0</v>
      </c>
      <c r="J88" s="35">
        <f>IF(I185&lt;0,0,IF((J81+J85+J87+J89+J90+J91+I95)&lt;Assump!$D$65,0,IF(J66&gt;0,MAX(-J66,(Assump!$D$65-J81-J85-J87-J89-J90-J91-I95)),0)))</f>
        <v>0</v>
      </c>
      <c r="K88" s="35">
        <f>IF(J185&lt;0,0,IF((K81+K85+K87+K89+K90+K91+J95)&lt;Assump!$D$65,0,IF(K66&gt;0,MAX(-K66,(Assump!$D$65-K81-K85-K87-K89-K90-K91-J95)),0)))</f>
        <v>0</v>
      </c>
      <c r="L88" s="35">
        <f>IF(K185&lt;0,0,IF((L81+L85+L87+L89+L90+L91+K95)&lt;Assump!$D$65,0,IF(L66&gt;0,MAX(-L66,(Assump!$D$65-L81-L85-L87-L89-L90-L91-K95)),0)))</f>
        <v>0</v>
      </c>
      <c r="M88" s="35">
        <f>IF(L185&lt;0,0,IF((M81+M85+M87+M89+M90+M91+L95)&lt;Assump!$D$65,0,IF(M66&gt;0,MAX(-M66,(Assump!$D$65-M81-M85-M87-M89-M90-M91-L95)),0)))</f>
        <v>0</v>
      </c>
      <c r="N88" s="35">
        <f>IF(M185&lt;0,0,IF((N81+N85+N87+N89+N90+N91+M95)&lt;Assump!$D$65,0,IF(N66&gt;0,MAX(-N66,(Assump!$D$65-N81-N85-N87-N89-N90-N91-M95)),0)))</f>
        <v>0</v>
      </c>
      <c r="O88" s="35">
        <f>IF(N185&lt;0,0,IF((O81+O85+O87+O89+O90+O91+N95)&lt;Assump!$D$65,0,IF(O66&gt;0,MAX(-O66,(Assump!$D$65-O81-O85-O87-O89-O90-O91-N95)),0)))</f>
        <v>0</v>
      </c>
      <c r="P88" s="35">
        <f>IF(O185&lt;0,0,IF((P81+P85+P87+P89+P90+P91+O95)&lt;Assump!$D$65,0,IF(P66&gt;0,MAX(-P66,(Assump!$D$65-P81-P85-P87-P89-P90-P91-O95)),0)))</f>
        <v>0</v>
      </c>
      <c r="Q88" s="35">
        <f>IF(P185&lt;0,0,IF((Q81+Q85+Q87+Q89+Q90+Q91+P95)&lt;Assump!$D$65,0,IF(Q66&gt;0,MAX(-Q66,(Assump!$D$65-Q81-Q85-Q87-Q89-Q90-Q91-P95)),0)))</f>
        <v>0</v>
      </c>
      <c r="R88" s="35">
        <f>IF(Q185&lt;0,0,IF((R81+R85+R87+R89+R90+R91+Q95)&lt;Assump!$D$65,0,IF(R66&gt;0,MAX(-R66,(Assump!$D$65-R81-R85-R87-R89-R90-R91-Q95)),0)))</f>
        <v>0</v>
      </c>
      <c r="S88" s="35">
        <f>IF(R185&lt;0,0,IF((S81+S85+S87+S89+S90+S91+R95)&lt;Assump!$D$65,0,IF(S66&gt;0,MAX(-S66,(Assump!$D$65-S81-S85-S87-S89-S90-S91-R95)),0)))</f>
        <v>0</v>
      </c>
      <c r="T88" s="35">
        <f>IF(S185&lt;0,0,IF((T81+T85+T87+T89+T90+T91+S95)&lt;Assump!$D$65,0,IF(T66&gt;0,MAX(-T66,(Assump!$D$65-T81-T85-T87-T89-T90-T91-S95)),0)))</f>
        <v>0</v>
      </c>
      <c r="U88" s="35">
        <f>IF(T185&lt;0,0,IF((U81+U85+U87+U89+U90+U91+T95)&lt;Assump!$D$65,0,IF(U66&gt;0,MAX(-U66,(Assump!$D$65-U81-U85-U87-U89-U90-U91-T95)),0)))</f>
        <v>0</v>
      </c>
      <c r="V88" s="35">
        <f>IF(U185&lt;0,0,IF((V81+V85+V87+V89+V90+V91+U95)&lt;Assump!$D$65,0,IF(V66&gt;0,MAX(-V66,(Assump!$D$65-V81-V85-V87-V89-V90-V91-U95)),0)))</f>
        <v>0</v>
      </c>
      <c r="W88" s="35">
        <f>IF(V185&lt;0,0,IF((W81+W85+W87+W89+W90+W91+V95)&lt;Assump!$D$65,0,IF(W66&gt;0,MAX(-W66,(Assump!$D$65-W81-W85-W87-W89-W90-W91-V95)),0)))</f>
        <v>0</v>
      </c>
      <c r="X88" s="35">
        <f>IF(W185&lt;0,0,IF((X81+X85+X87+X89+X90+X91+W95)&lt;Assump!$D$65,0,IF(X66&gt;0,MAX(-X66,(Assump!$D$65-X81-X85-X87-X89-X90-X91-W95)),0)))</f>
        <v>0</v>
      </c>
      <c r="Y88" s="35">
        <f>IF(X185&lt;0,0,IF((Y81+Y85+Y87+Y89+Y90+Y91+X95)&lt;Assump!$D$65,0,IF(Y66&gt;0,MAX(-Y66,(Assump!$D$65-Y81-Y85-Y87-Y89-Y90-Y91-X95)),0)))</f>
        <v>0</v>
      </c>
      <c r="Z88" s="35">
        <f>IF(Y185&lt;0,0,IF((Z81+Z85+Z87+Z89+Z90+Z91+Y95)&lt;Assump!$D$65,0,IF(Z66&gt;0,MAX(-Z66,(Assump!$D$65-Z81-Z85-Z87-Z89-Z90-Z91-Y95)),0)))</f>
        <v>0</v>
      </c>
      <c r="AA88" s="35">
        <f>IF(Z185&lt;0,0,IF((AA81+AA85+AA87+AA89+AA90+AA91+Z95)&lt;Assump!$D$65,0,IF(AA66&gt;0,MAX(-AA66,(Assump!$D$65-AA81-AA85-AA87-AA89-AA90-AA91-Z95)),0)))</f>
        <v>0</v>
      </c>
      <c r="AB88" s="35">
        <f>IF(AA185&lt;0,0,IF((AB81+AB85+AB87+AB89+AB90+AB91+AA95)&lt;Assump!$D$65,0,IF(AB66&gt;0,MAX(-AB66,(Assump!$D$65-AB81-AB85-AB87-AB89-AB90-AB91-AA95)),0)))</f>
        <v>0</v>
      </c>
      <c r="AC88" s="35">
        <f>IF(AB185&lt;0,0,IF((AC81+AC85+AC87+AC89+AC90+AC91+AB95)&lt;Assump!$D$65,0,IF(AC66&gt;0,MAX(-AC66,(Assump!$D$65-AC81-AC85-AC87-AC89-AC90-AC91-AB95)),0)))</f>
        <v>-18196.110717487449</v>
      </c>
      <c r="AD88" s="35">
        <f>IF(AC185&lt;0,0,IF((AD81+AD85+AD87+AD89+AD90+AD91+AC95)&lt;Assump!$D$65,0,IF(AD66&gt;0,MAX(-AD66,(Assump!$D$65-AD81-AD85-AD87-AD89-AD90-AD91-AC95)),0)))</f>
        <v>-56421.893295447313</v>
      </c>
      <c r="AE88" s="35">
        <f>IF(AD185&lt;0,0,IF((AE81+AE85+AE87+AE89+AE90+AE91+AD95)&lt;Assump!$D$65,0,IF(AE66&gt;0,MAX(-AE66,(Assump!$D$65-AE81-AE85-AE87-AE89-AE90-AE91-AD95)),0)))</f>
        <v>-97091.345198932002</v>
      </c>
      <c r="AF88" s="35">
        <f>IF(AF90&lt;0,0,IF(AE185&lt;0,0,IF((AF81+AF85+AF87+AF89+AF90+AF91+AE95)&lt;Assump!$D$65,0,IF(AF66&gt;0,MAX(-AF66,(Assump!$D$65-AF81-AF85-AF87-AF89-AF90-AF91-AE95)),0))))</f>
        <v>0</v>
      </c>
      <c r="AG88" s="35">
        <f>IF(AG90&lt;0,0,IF(AF185&lt;0,0,IF((AG81+AG85+AG87+AG89+AG90+AG91+AF95)&lt;Assump!$D$65,0,IF(AG66&gt;0,MAX(-AG66,(Assump!$D$65-AG81-AG85-AG87-AG89-AG90-AG91-AF95)),0))))</f>
        <v>0</v>
      </c>
      <c r="AH88" s="35">
        <f>IF(AH90&lt;0,0,IF(AG185&lt;0,0,IF((AH81+AH85+AH87+AH89+AH90+AH91+AG95)&lt;Assump!$D$65,0,IF(AH66&gt;0,MAX(-AH66,(Assump!$D$65-AH81-AH85-AH87-AH89-AH90-AH91-AG95)),0))))</f>
        <v>0</v>
      </c>
      <c r="AI88" s="35">
        <f>IF(AI90&lt;0,0,IF(AH185&lt;0,0,IF((AI81+AI85+AI87+AI89+AI90+AI91+AH95)&lt;Assump!$D$65,0,IF(AI66&gt;0,MAX(-AI66,(Assump!$D$65-AI81-AI85-AI87-AI89-AI90-AI91-AH95)),0))))</f>
        <v>0</v>
      </c>
      <c r="AJ88" s="35">
        <f>IF(AJ90&lt;0,0,IF(AI185&lt;0,0,IF((AJ81+AJ85+AJ87+AJ89+AJ90+AJ91+AI95)&lt;Assump!$D$65,0,IF(AJ66&gt;0,MAX(-AJ66,(Assump!$D$65-AJ81-AJ85-AJ87-AJ89-AJ90-AJ91-AI95)),0))))</f>
        <v>0</v>
      </c>
      <c r="AK88" s="35">
        <f>IF(AK90&lt;0,0,IF(AJ185&lt;0,0,IF((AK81+AK85+AK87+AK89+AK90+AK91+AJ95)&lt;Assump!$D$65,0,IF(AK66&gt;0,MAX(-AK66,(Assump!$D$65-AK81-AK85-AK87-AK89-AK90-AK91-AJ95)),0))))</f>
        <v>0</v>
      </c>
      <c r="AL88" s="35">
        <f>IF(AL90&lt;0,0,IF(AK185&lt;0,0,IF((AL81+AL85+AL87+AL89+AL90+AL91+AK95)&lt;Assump!$D$65,0,IF(AL66&gt;0,MAX(-AL66,(Assump!$D$65-AL81-AL85-AL87-AL89-AL90-AL91-AK95)),0))))</f>
        <v>0</v>
      </c>
      <c r="AM88" s="35">
        <f>IF(AM90&lt;0,0,IF(AL185&lt;0,0,IF((AM81+AM85+AM87+AM89+AM90+AM91+AL95)&lt;Assump!$D$65,0,IF(AM66&gt;0,MAX(-AM66,(Assump!$D$65-AM81-AM85-AM87-AM89-AM90-AM91-AL95)),0))))</f>
        <v>0</v>
      </c>
      <c r="AN88" s="35">
        <f>IF(AN90&lt;0,0,IF(AM185&lt;0,0,IF((AN81+AN85+AN87+AN89+AN90+AN91+AM95)&lt;Assump!$D$65,0,IF(AN66&gt;0,MAX(-AN66,(Assump!$D$65-AN81-AN85-AN87-AN89-AN90-AN91-AM95)),0))))</f>
        <v>0</v>
      </c>
      <c r="AO88" s="35">
        <f>IF(AO90&lt;0,0,IF(AN185&lt;0,0,IF((AO81+AO85+AO87+AO89+AO90+AO91+AN95)&lt;Assump!$D$65,0,IF(AO66&gt;0,MAX(-AO66,(Assump!$D$65-AO81-AO85-AO87-AO89-AO90-AO91-AN95)),0))))</f>
        <v>0</v>
      </c>
      <c r="AP88" s="35">
        <f>IF(AP90&lt;0,0,IF(AO185&lt;0,0,IF((AP81+AP85+AP87+AP89+AP90+AP91+AO95)&lt;Assump!$D$65,0,IF(AP66&gt;0,MAX(-AP66,(Assump!$D$65-AP81-AP85-AP87-AP89-AP90-AP91-AO95)),0))))</f>
        <v>0</v>
      </c>
      <c r="AQ88" s="35">
        <f>IF(AQ90&lt;0,0,IF(AP185&lt;0,0,IF((AQ81+AQ85+AQ87+AQ89+AQ90+AQ91+AP95)&lt;Assump!$D$65,0,IF(AQ66&gt;0,MAX(-AQ66,(Assump!$D$65-AQ81-AQ85-AQ87-AQ89-AQ90-AQ91-AP95)),0))))</f>
        <v>0</v>
      </c>
      <c r="AR88" s="35">
        <f>IF(AR90&lt;0,0,IF(AQ185&lt;0,0,IF((AR81+AR85+AR87+AR89+AR90+AR91+AQ95)&lt;Assump!$D$65,0,IF(AR66&gt;0,MAX(-AR66,(Assump!$D$65-AR81-AR85-AR87-AR89-AR90-AR91-AQ95)),0))))</f>
        <v>0</v>
      </c>
      <c r="AS88" s="35">
        <f>IF(AS90&lt;0,0,IF(AR185&lt;0,0,IF((AS81+AS85+AS87+AS89+AS90+AS91+AR95)&lt;Assump!$D$65,0,IF(AS66&gt;0,MAX(-AS66,(Assump!$D$65-AS81-AS85-AS87-AS89-AS90-AS91-AR95)),0))))</f>
        <v>0</v>
      </c>
      <c r="AT88" s="35">
        <f>IF(AT90&lt;0,0,IF(AS185&lt;0,0,IF((AT81+AT85+AT87+AT89+AT90+AT91+AS95)&lt;Assump!$D$65,0,IF(AT66&gt;0,MAX(-AT66,(Assump!$D$65-AT81-AT85-AT87-AT89-AT90-AT91-AS95)),0))))</f>
        <v>0</v>
      </c>
      <c r="AU88" s="35">
        <f>IF(AU90&lt;0,0,IF(AT185&lt;0,0,IF((AU81+AU85+AU87+AU89+AU90+AU91+AT95)&lt;Assump!$D$65,0,IF(AU66&gt;0,MAX(-AU66,(Assump!$D$65-AU81-AU85-AU87-AU89-AU90-AU91-AT95)),0))))</f>
        <v>0</v>
      </c>
      <c r="AV88" s="35">
        <f>IF(AV90&lt;0,0,IF(AU185&lt;0,0,IF((AV81+AV85+AV87+AV89+AV90+AV91+AU95)&lt;Assump!$D$65,0,IF(AV66&gt;0,MAX(-AV66,(Assump!$D$65-AV81-AV85-AV87-AV89-AV90-AV91-AU95)),0))))</f>
        <v>0</v>
      </c>
      <c r="AW88" s="35">
        <f>IF(AW90&lt;0,0,IF(AV185&lt;0,0,IF((AW81+AW85+AW87+AW89+AW90+AW91+AV95)&lt;Assump!$D$65,0,IF(AW66&gt;0,MAX(-AW66,(Assump!$D$65-AW81-AW85-AW87-AW89-AW90-AW91-AV95)),0))))</f>
        <v>0</v>
      </c>
      <c r="AX88" s="35">
        <f>IF(AX90&lt;0,0,IF(AW185&lt;0,0,IF((AX81+AX85+AX87+AX89+AX90+AX91+AW95)&lt;Assump!$D$65,0,IF(AX66&gt;0,MAX(-AX66,(Assump!$D$65-AX81-AX85-AX87-AX89-AX90-AX91-AW95)),0))))</f>
        <v>0</v>
      </c>
      <c r="AY88" s="35">
        <f>IF(AY90&lt;0,0,IF(AX185&lt;0,0,IF((AY81+AY85+AY87+AY89+AY90+AY91+AX95)&lt;Assump!$D$65,0,IF(AY66&gt;0,MAX(-AY66,(Assump!$D$65-AY81-AY85-AY87-AY89-AY90-AY91-AX95)),0))))</f>
        <v>0</v>
      </c>
      <c r="AZ88" s="35">
        <f>IF(AZ90&lt;0,0,IF(AY185&lt;0,0,IF((AZ81+AZ85+AZ87+AZ89+AZ90+AZ91+AY95)&lt;Assump!$D$65,0,IF(AZ66&gt;0,MAX(-AZ66,(Assump!$D$65-AZ81-AZ85-AZ87-AZ89-AZ90-AZ91-AY95)),0))))</f>
        <v>0</v>
      </c>
      <c r="BA88" s="35">
        <f>IF(BA90&lt;0,0,IF(AZ185&lt;0,0,IF((BA81+BA85+BA87+BA89+BA90+BA91+AZ95)&lt;Assump!$D$65,0,IF(BA66&gt;0,MAX(-BA66,(Assump!$D$65-BA81-BA85-BA87-BA89-BA90-BA91-AZ95)),0))))</f>
        <v>0</v>
      </c>
      <c r="BB88" s="35">
        <f>IF(BB90&lt;0,0,IF(BA185&lt;0,0,IF((BB81+BB85+BB87+BB89+BB90+BB91+BA95)&lt;Assump!$D$65,0,IF(BB66&gt;0,MAX(-BB66,(Assump!$D$65-BB81-BB85-BB87-BB89-BB90-BB91-BA95)),0))))</f>
        <v>0</v>
      </c>
      <c r="BC88" s="35">
        <f>IF(BC90&lt;0,0,IF(BB185&lt;0,0,IF((BC81+BC85+BC87+BC89+BC90+BC91+BB95)&lt;Assump!$D$65,0,IF(BC66&gt;0,MAX(-BC66,(Assump!$D$65-BC81-BC85-BC87-BC89-BC90-BC91-BB95)),0))))</f>
        <v>0</v>
      </c>
      <c r="BD88" s="35">
        <f>IF(BD90&lt;0,0,IF(BC185&lt;0,0,IF((BD81+BD85+BD87+BD89+BD90+BD91+BC95)&lt;Assump!$D$65,0,IF(BD66&gt;0,MAX(-BD66,(Assump!$D$65-BD81-BD85-BD87-BD89-BD90-BD91-BC95)),0))))</f>
        <v>0</v>
      </c>
      <c r="BE88" s="35">
        <f>IF(BE90&lt;0,0,IF(BD185&lt;0,0,IF((BE81+BE85+BE87+BE89+BE90+BE91+BD95)&lt;Assump!$D$65,0,IF(BE66&gt;0,MAX(-BE66,(Assump!$D$65-BE81-BE85-BE87-BE89-BE90-BE91-BD95)),0))))</f>
        <v>0</v>
      </c>
      <c r="BF88" s="35">
        <f>IF(BF90&lt;0,0,IF(BE185&lt;0,0,IF((BF81+BF85+BF87+BF89+BF90+BF91+BE95)&lt;Assump!$D$65,0,IF(BF66&gt;0,MAX(-BF66,(Assump!$D$65-BF81-BF85-BF87-BF89-BF90-BF91-BE95)),0))))</f>
        <v>0</v>
      </c>
      <c r="BG88" s="35">
        <f>IF(BG90&lt;0,0,IF(BF185&lt;0,0,IF((BG81+BG85+BG87+BG89+BG90+BG91+BF95)&lt;Assump!$D$65,0,IF(BG66&gt;0,MAX(-BG66,(Assump!$D$65-BG81-BG85-BG87-BG89-BG90-BG91-BF95)),0))))</f>
        <v>0</v>
      </c>
      <c r="BH88" s="35">
        <f>IF(BH90&lt;0,0,IF(BG185&lt;0,0,IF((BH81+BH85+BH87+BH89+BH90+BH91+BG95)&lt;Assump!$D$65,0,IF(BH66&gt;0,MAX(-BH66,(Assump!$D$65-BH81-BH85-BH87-BH89-BH90-BH91-BG95)),0))))</f>
        <v>0</v>
      </c>
      <c r="BI88" s="35">
        <f>IF(BI90&lt;0,0,IF(BH185&lt;0,0,IF((BI81+BI85+BI87+BI89+BI90+BI91+BH95)&lt;Assump!$D$65,0,IF(BI66&gt;0,MAX(-BI66,(Assump!$D$65-BI81-BI85-BI87-BI89-BI90-BI91-BH95)),0))))</f>
        <v>0</v>
      </c>
      <c r="BJ88" s="35">
        <f>IF(BJ90&lt;0,0,IF(BI185&lt;0,0,IF((BJ81+BJ85+BJ87+BJ89+BJ90+BJ91+BI95)&lt;Assump!$D$65,0,IF(BJ66&gt;0,MAX(-BJ66,(Assump!$D$65-BJ81-BJ85-BJ87-BJ89-BJ90-BJ91-BI95)),0))))</f>
        <v>-164215.51633074385</v>
      </c>
      <c r="BK88" s="35">
        <f>IF(BK90&lt;0,0,IF(BJ185&lt;0,0,IF((BK81+BK85+BK87+BK89+BK90+BK91+BJ95)&lt;Assump!$D$65,0,IF(BK66&gt;0,MAX(-BK66,(Assump!$D$65-BK81-BK85-BK87-BK89-BK90-BK91-BJ95)),0))))</f>
        <v>-208610.17904738162</v>
      </c>
      <c r="BL88" s="35">
        <f>IF(BL90&lt;0,0,IF(BK185&lt;0,0,IF((BL81+BL85+BL87+BL89+BL90+BL91+BK95)&lt;Assump!$D$65,0,IF(BL66&gt;0,MAX(-BL66,(Assump!$D$65-BL81-BL85-BL87-BL89-BL90-BL91-BK95)),0))))</f>
        <v>-76647.252086019842</v>
      </c>
      <c r="BM88" s="35">
        <f>IF(BM90&lt;0,0,IF(BL185&lt;0,0,IF((BM81+BM85+BM87+BM89+BM90+BM91+BL95)&lt;Assump!$D$65,0,IF(BM66&gt;0,MAX(-BM66,(Assump!$D$65-BM81-BM85-BM87-BM89-BM90-BM91-BL95)),0))))</f>
        <v>-136597.11600988466</v>
      </c>
      <c r="BN88" s="35">
        <f>IF(BN90&lt;0,0,IF(BM185&lt;0,0,IF((BN81+BN85+BN87+BN89+BN90+BN91+BM95)&lt;Assump!$D$65,0,IF(BN66&gt;0,MAX(-BN66,(Assump!$D$65-BN81-BN85-BN87-BN89-BN90-BN91-BM95)),0))))</f>
        <v>-183297.06327114336</v>
      </c>
      <c r="BO88" s="35">
        <f>IF(BO90&lt;0,0,IF(BN185&lt;0,0,IF((BO81+BO85+BO87+BO89+BO90+BO91+BN95)&lt;Assump!$D$65,0,IF(BO66&gt;0,MAX(-BO66,(Assump!$D$65-BO81-BO85-BO87-BO89-BO90-BO91-BN95)),0))))</f>
        <v>-231373.19460468885</v>
      </c>
      <c r="BP88" s="35">
        <f>IF(BP90&lt;0,0,IF(BO185&lt;0,0,IF((BP81+BP85+BP87+BP89+BP90+BP91+BO95)&lt;Assump!$D$65,0,IF(BP66&gt;0,MAX(-BP66,(Assump!$D$65-BP81-BP85-BP87-BP89-BP90-BP91-BO95)),0))))</f>
        <v>-88811.52174765899</v>
      </c>
      <c r="BQ88" s="35">
        <f>IF(BQ90&lt;0,0,IF(BP185&lt;0,0,IF((BQ81+BQ85+BQ87+BQ89+BQ90+BQ91+BP95)&lt;Assump!$D$65,0,IF(BQ66&gt;0,MAX(-BQ66,(Assump!$D$65-BQ81-BQ85-BQ87-BQ89-BQ90-BQ91-BP95)),0))))</f>
        <v>-176697.26021263169</v>
      </c>
      <c r="BR88" s="35">
        <f>IF(BR90&lt;0,0,IF(BQ185&lt;0,0,IF((BR81+BR85+BR87+BR89+BR90+BR91+BQ95)&lt;Assump!$D$65,0,IF(BR66&gt;0,MAX(-BR66,(Assump!$D$65-BR81-BR85-BR87-BR89-BR90-BR91-BQ95)),0))))</f>
        <v>-222508.05880773155</v>
      </c>
      <c r="BS88" s="35">
        <f>IF(BS90&lt;0,0,IF(BR185&lt;0,0,IF((BS81+BS85+BS87+BS89+BS90+BS91+BR95)&lt;Assump!$D$65,0,IF(BS66&gt;0,MAX(-BS66,(Assump!$D$65-BS81-BS85-BS87-BS89-BS90-BS91-BR95)),0))))</f>
        <v>-82151.030436198911</v>
      </c>
      <c r="BT88" s="35">
        <f>IF(BT90&lt;0,0,IF(BS185&lt;0,0,IF((BT81+BT85+BT87+BT89+BT90+BT91+BS95)&lt;Assump!$D$65,0,IF(BT66&gt;0,MAX(-BT66,(Assump!$D$65-BT81-BT85-BT87-BT89-BT90-BT91-BS95)),0))))</f>
        <v>-131398.80452661414</v>
      </c>
      <c r="BU88" s="35">
        <f>IF(BU90&lt;0,0,IF(BT185&lt;0,0,IF((BU81+BU85+BU87+BU89+BU90+BU91+BT95)&lt;Assump!$D$65,0,IF(BU66&gt;0,MAX(-BU66,(Assump!$D$65-BU81-BU85-BU87-BU89-BU90-BU91-BT95)),0))))</f>
        <v>-196873.50742600358</v>
      </c>
      <c r="BV88" s="35">
        <f>IF(BV918&gt;0,"0",IF(BU185&lt;0,0,IF((BV81+BV85+BV87+BV89+BV90+BV91+BU95)&lt;Assump!$D$65,0,IF(BV66&gt;0,MAX(-BV66,(Assump!$D$65-BV81-BV85-BV87-BV89-BV90-BV91-BU95)),0))))</f>
        <v>-246530.65800176136</v>
      </c>
      <c r="BW88" s="35">
        <f>IF(BW918&gt;0,"0",IF(BV185&lt;0,0,IF((BW81+BW85+BW87+BW89+BW90+BW91+BV95)&lt;Assump!$D$65,0,IF(BW66&gt;0,MAX(-BW66,(Assump!$D$65-BW81-BW85-BW87-BW89-BW90-BW91-BV95)),0))))</f>
        <v>-94944.909761904564</v>
      </c>
      <c r="BX88" s="35">
        <f>IF(BX918&gt;0,"0",IF(BW185&lt;0,0,IF((BX81+BX85+BX87+BX89+BX90+BX91+BW95)&lt;Assump!$D$65,0,IF(BX66&gt;0,MAX(-BX66,(Assump!$D$65-BX81-BX85-BX87-BX89-BX90-BX91-BW95)),0))))</f>
        <v>-172840.37296900095</v>
      </c>
      <c r="BY88" s="35">
        <f>IF(BY918&gt;0,"0",IF(BX185&lt;0,0,IF((BY81+BY85+BY87+BY89+BY90+BY91+BX95)&lt;Assump!$D$65,0,IF(BY66&gt;0,MAX(-BY66,(Assump!$D$65-BY81-BY85-BY87-BY89-BY90-BY91-BX95)),0))))</f>
        <v>-238192.70681167109</v>
      </c>
      <c r="BZ88" s="35">
        <f>IF(BZ918&gt;0,"0",IF(BY185&lt;0,0,IF((BZ81+BZ85+BZ87+BZ89+BZ90+BZ91+BY95)&lt;Assump!$D$65,0,IF(BZ66&gt;0,MAX(-BZ66,(Assump!$D$65-BZ81-BZ85-BZ87-BZ89-BZ90-BZ91-BY95)),0))))</f>
        <v>-89974.890126646947</v>
      </c>
      <c r="CA88" s="35">
        <f>IF(BZ185&lt;0,0,IF((CA81+CA85+CA87+CA89+CA90+CA91+BZ95)&lt;Assump!$D$65,0,IF(CA66&gt;0,MAX(-CA66,(Assump!$D$65-CA81-CA85-CA87-CA89-CA90-CA91-BZ95)),0)))</f>
        <v>-139684.02266984127</v>
      </c>
      <c r="CB88" s="35">
        <f>IF(CA185&lt;0,0,IF((CB81+CB85+CB87+CB89+CB90+CB91+CA95)&lt;Assump!$D$65,0,IF(CB66&gt;0,MAX(-CB66,(Assump!$D$65-CB81-CB85-CB87-CB89-CB90-CB91-CA95)),0)))</f>
        <v>-193328.67042401893</v>
      </c>
      <c r="CC88" s="35">
        <f>IF(CB185&lt;0,0,IF((CC81+CC85+CC87+CC89+CC90+CC91+CB95)&lt;Assump!$D$65,0,IF(CC66&gt;0,MAX(-CC66,(Assump!$D$65-CC81-CC85-CC87-CC89-CC90-CC91-CB95)),0)))</f>
        <v>-263571.47274126479</v>
      </c>
      <c r="CD88" s="35">
        <f>IF(CC185&lt;0,0,IF((CD81+CD85+CD87+CD89+CD90+CD91+CC95)&lt;Assump!$D$65,0,IF(CD66&gt;0,MAX(-CD66,(Assump!$D$65-CD81-CD85-CD87-CD89-CD90-CD91-CC95)),0)))</f>
        <v>-103542.34314552801</v>
      </c>
      <c r="CE88" s="35">
        <f>IF(CD185&lt;0,0,IF((CE81+CE85+CE87+CE89+CE90+CE91+CD95)&lt;Assump!$D$65,0,IF(CE66&gt;0,MAX(-CE66,(Assump!$D$65-CE81-CE85-CE87-CE89-CE90-CE91-CD95)),0)))</f>
        <v>-183221.25882388288</v>
      </c>
      <c r="CF88" s="35">
        <f>IF(CE185&lt;0,0,IF((CF81+CF85+CF87+CF89+CF90+CF91+CE95)&lt;Assump!$D$65,0,IF(CF66&gt;0,MAX(-CF66,(Assump!$D$65-CF81-CF85-CF87-CF89-CF90-CF91-CE95)),0)))</f>
        <v>-235982.22955399627</v>
      </c>
      <c r="CG88" s="35">
        <f>IF(CF185&lt;0,0,IF((CG81+CG85+CG87+CG89+CG90+CG91+CF95)&lt;Assump!$D$65,0,IF(CG66&gt;0,MAX(-CG66,(Assump!$D$65-CG81-CG85-CG87-CG89-CG90-CG91-CF95)),0)))</f>
        <v>-99350.705087050243</v>
      </c>
      <c r="CH88" s="35">
        <f>IF(CG185&lt;0,0,IF((CH81+CH85+CH87+CH89+CH90+CH91+CG95)&lt;Assump!$D$65,0,IF(CH66&gt;0,MAX(-CH66,(Assump!$D$65-CH81-CH85-CH87-CH89-CH90-CH91-CG95)),0)))</f>
        <v>-150658.98541209605</v>
      </c>
      <c r="CI88" s="35">
        <f>IF(CH185&lt;0,0,IF((CI81+CI85+CI87+CI89+CI90+CI91+CH95)&lt;Assump!$D$65,0,IF(CI66&gt;0,MAX(-CI66,(Assump!$D$65-CI81-CI85-CI87-CI89-CI90-CI91-CH95)),0)))</f>
        <v>-204758.73990566397</v>
      </c>
      <c r="CJ88" s="35">
        <f>IF(CI185&lt;0,0,IF((CJ81+CJ85+CJ87+CJ89+CJ90+CJ91+CI95)&lt;Assump!$D$65,0,IF(CJ66&gt;0,MAX(-CJ66,(Assump!$D$65-CJ81-CJ85-CJ87-CJ89-CJ90-CJ91-CI95)),0)))</f>
        <v>-261861.75354384733</v>
      </c>
      <c r="CK88" s="35">
        <f>IF(CJ185&lt;0,0,IF((CK81+CK85+CK87+CK89+CK90+CK91+CJ95)&lt;Assump!$D$65,0,IF(CK66&gt;0,MAX(-CK66,(Assump!$D$65-CK81-CK85-CK87-CK89-CK90-CK91-CJ95)),0)))</f>
        <v>-113767.45880226365</v>
      </c>
      <c r="CL88" s="35">
        <f>IF(CK185&lt;0,0,IF((CL81+CL85+CL87+CL89+CL90+CL91+CK95)&lt;Assump!$D$65,0,IF(CL66&gt;0,MAX(-CL66,(Assump!$D$65-CL81-CL85-CL87-CL89-CL90-CL91-CK95)),0)))</f>
        <v>-196520.68577273612</v>
      </c>
      <c r="CM88" s="35">
        <f>IF(CL185&lt;0,0,IF((CM81+CM85+CM87+CM89+CM90+CM91+CL95)&lt;Assump!$D$65,0,IF(CM66&gt;0,MAX(-CM66,(Assump!$D$65-CM81-CM85-CM87-CM89-CM90-CM91-CL95)),0)))</f>
        <v>-249570.98418385311</v>
      </c>
      <c r="CN88" s="35">
        <f>IF(CM185&lt;0,0,IF((CN81+CN85+CN87+CN89+CN90+CN91+CM95)&lt;Assump!$D$65,0,IF(CN66&gt;0,MAX(-CN66,(Assump!$D$65-CN81-CN85-CN87-CN89-CN90-CN91-CM95)),0)))</f>
        <v>-88623.358258888737</v>
      </c>
      <c r="CO88" s="35"/>
    </row>
    <row r="89" spans="1:93" ht="12.75" customHeight="1">
      <c r="A89" s="35"/>
      <c r="B89" s="63" t="s">
        <v>184</v>
      </c>
      <c r="C89" s="35">
        <f t="shared" si="596"/>
        <v>3818713.2</v>
      </c>
      <c r="D89" s="60"/>
      <c r="E89" s="35">
        <f>IF(($D$87+SUM($D$83:E83))&gt;0,0,-($D$87+SUM($D$83:E83)+SUM(D$89:$E89)))</f>
        <v>0</v>
      </c>
      <c r="F89" s="35">
        <f>IF(($D$87+SUM($D$83:F83))&gt;0,0,-($D$87+SUM($D$83:F83)+SUM($E$89:E89)))</f>
        <v>0</v>
      </c>
      <c r="G89" s="35">
        <f>IF(($D$87+SUM($D$83:G83))&gt;0,0,-($D$87+SUM($D$83:G83)+SUM($E$89:F89)))</f>
        <v>0</v>
      </c>
      <c r="H89" s="35">
        <f>IF(($D$87+SUM($D$83:H83))&gt;0,0,-($D$87+SUM($D$83:H83)+SUM($E$89:G89)))</f>
        <v>0</v>
      </c>
      <c r="I89" s="35">
        <f>IF(($D$87+SUM($D$83:I83))&gt;0,0,-($D$87+SUM($D$83:I83)+SUM($E$89:H89)))</f>
        <v>0</v>
      </c>
      <c r="J89" s="35">
        <f>IF(($D$87+SUM($D$83:J83))&gt;0,0,-($D$87+SUM($D$83:J83)+SUM($E$89:I89)))</f>
        <v>0</v>
      </c>
      <c r="K89" s="35">
        <f>IF(($D$87+SUM($D$83:K83))&gt;0,0,-($D$87+SUM($D$83:K83)+SUM($E$89:J89)))</f>
        <v>0</v>
      </c>
      <c r="L89" s="35">
        <f>IF(($D$87+SUM($D$83:L83))&gt;0,0,-($D$87+SUM($D$83:L83)+SUM($E$89:K89)))</f>
        <v>0</v>
      </c>
      <c r="M89" s="35">
        <f>IF(($D$87+SUM($D$83:M83))&gt;0,0,-($D$87+SUM($D$83:M83)+SUM($E$89:L89)))</f>
        <v>16923.079166666605</v>
      </c>
      <c r="N89" s="35">
        <f>IF(($D$87+SUM($D$83:N83))&gt;0,0,-($D$87+SUM($D$83:N83)+SUM($E$89:M89)))</f>
        <v>359791.0166666666</v>
      </c>
      <c r="O89" s="35">
        <f>IF(($D$87+SUM($D$83:O83))&gt;0,0,-($D$87+SUM($D$83:O83)+SUM($E$89:N89)))</f>
        <v>461606.6104166666</v>
      </c>
      <c r="P89" s="35">
        <f>IF(($D$87+SUM($D$83:P83))&gt;0,0,-($D$87+SUM($D$83:P83)+SUM($E$89:O89)))</f>
        <v>490248.36041666684</v>
      </c>
      <c r="Q89" s="35">
        <f>IF(($D$87+SUM($D$83:Q83))&gt;0,0,-($D$87+SUM($D$83:Q83)+SUM($E$89:P89)))</f>
        <v>500423.16666666651</v>
      </c>
      <c r="R89" s="35">
        <f>IF(($D$87+SUM($D$83:R83))&gt;0,0,-($D$87+SUM($D$83:R83)+SUM($E$89:Q89)))</f>
        <v>388520.36666666646</v>
      </c>
      <c r="S89" s="35">
        <f>IF(($D$87+SUM($D$83:S83))&gt;0,0,-($D$87+SUM($D$83:S83)+SUM($E$89:R89)))</f>
        <v>474531.9066666672</v>
      </c>
      <c r="T89" s="35">
        <f>IF(($D$87+SUM($D$83:T83))&gt;0,0,-($D$87+SUM($D$83:T83)+SUM($E$89:S89)))</f>
        <v>410752.18666666653</v>
      </c>
      <c r="U89" s="35">
        <f>IF(($D$87+SUM($D$83:U83))&gt;0,0,-($D$87+SUM($D$83:U83)+SUM($E$89:T89)))</f>
        <v>387587.00666666683</v>
      </c>
      <c r="V89" s="35">
        <f>IF(($D$87+SUM($D$83:V83))&gt;0,0,-($D$87+SUM($D$83:V83)+SUM($E$89:U89)))</f>
        <v>328329.5</v>
      </c>
      <c r="W89" s="35">
        <f>IF(($D$87+SUM($D$83:W83))&gt;0,0,-($D$87+SUM($D$83:W83)+SUM($E$89:V89)))</f>
        <v>0</v>
      </c>
      <c r="X89" s="35">
        <f>IF(($D$87+SUM($D$83:X83))&gt;0,0,-($D$87+SUM($D$83:X83)+SUM($E$89:W89)))</f>
        <v>0</v>
      </c>
      <c r="Y89" s="35">
        <f>IF(($D$87+SUM($D$83:Y83))&gt;0,0,-($D$87+SUM($D$83:Y83)+SUM($E$89:X89)))</f>
        <v>0</v>
      </c>
      <c r="Z89" s="35">
        <f>IF(($D$87+SUM($D$83:Z83))&gt;0,0,-($D$87+SUM($D$83:Z83)+SUM($E$89:Y89)))</f>
        <v>0</v>
      </c>
      <c r="AA89" s="35">
        <f>IF(($D$87+SUM($D$83:AA83))&gt;0,0,-($D$87+SUM($D$83:AA83)+SUM($E$89:Z89)))</f>
        <v>0</v>
      </c>
      <c r="AB89" s="35">
        <f>IF(($D$87+SUM($D$83:AB83))&gt;0,0,-($D$87+SUM($D$83:AB83)+SUM($E$89:AA89)))</f>
        <v>0</v>
      </c>
      <c r="AC89" s="35">
        <f>IF(($D$87+SUM($D$83:AC83))&gt;0,0,-($D$87+SUM($D$83:AC83)+SUM($E$89:AB89)))</f>
        <v>0</v>
      </c>
      <c r="AD89" s="35">
        <f>IF(($D$87+SUM($D$83:AD83))&gt;0,0,-($D$87+SUM($D$83:AD83)+SUM($E$89:AC89)))</f>
        <v>0</v>
      </c>
      <c r="AE89" s="35">
        <f>IF(($D$87+SUM($D$83:AE83))&gt;0,0,-($D$87+SUM($D$83:AE83)+SUM($E$89:AD89)))</f>
        <v>0</v>
      </c>
      <c r="AF89" s="35">
        <f>IF(($D$87+SUM($D$83:AF83))&gt;0,0,-($D$87+SUM($D$83:AF83)+SUM($E$89:AE89)))</f>
        <v>0</v>
      </c>
      <c r="AG89" s="35">
        <f>IF(($D$87+SUM($D$83:AG83))&gt;0,0,-($D$87+SUM($D$83:AG83)+SUM($E$89:AF89)))</f>
        <v>0</v>
      </c>
      <c r="AH89" s="35">
        <f>IF(($D$87+SUM($D$83:AH83))&gt;0,0,-($D$87+SUM($D$83:AH83)+SUM($E$89:AG89)))</f>
        <v>0</v>
      </c>
      <c r="AI89" s="35">
        <f>IF(($D$87+SUM($D$83:AI83))&gt;0,0,-($D$87+SUM($D$83:AI83)+SUM($E$89:AH89)))</f>
        <v>0</v>
      </c>
      <c r="AJ89" s="35">
        <f>IF(($D$87+SUM($D$83:AJ83))&gt;0,0,-($D$87+SUM($D$83:AJ83)+SUM($E$89:AI89)))</f>
        <v>0</v>
      </c>
      <c r="AK89" s="35">
        <f>IF(($D$87+SUM($D$83:AK83))&gt;0,0,-($D$87+SUM($D$83:AK83)+SUM($E$89:AJ89)))</f>
        <v>0</v>
      </c>
      <c r="AL89" s="35">
        <f>IF(($D$87+SUM($D$83:AL83))&gt;0,0,-($D$87+SUM($D$83:AL83)+SUM($E$89:AK89)))</f>
        <v>0</v>
      </c>
      <c r="AM89" s="35">
        <f>IF(($D$87+SUM($D$83:AM83))&gt;0,0,-($D$87+SUM($D$83:AM83)+SUM($E$89:AL89)))</f>
        <v>0</v>
      </c>
      <c r="AN89" s="35">
        <f>IF(($D$87+SUM($D$83:AN83))&gt;0,0,-($D$87+SUM($D$83:AN83)+SUM($E$89:AM89)))</f>
        <v>0</v>
      </c>
      <c r="AO89" s="35">
        <f>IF(($D$87+SUM($D$83:AO83))&gt;0,0,-($D$87+SUM($D$83:AO83)+SUM($E$89:AN89)))</f>
        <v>0</v>
      </c>
      <c r="AP89" s="35">
        <f>IF(($D$87+SUM($D$83:AP83))&gt;0,0,-($D$87+SUM($D$83:AP83)+SUM($E$89:AO89)))</f>
        <v>0</v>
      </c>
      <c r="AQ89" s="35">
        <f>IF(($D$87+SUM($D$83:AQ83))&gt;0,0,-($D$87+SUM($D$83:AQ83)+SUM($E$89:AP89)))</f>
        <v>0</v>
      </c>
      <c r="AR89" s="35">
        <f>IF(($D$87+SUM($D$83:AR83))&gt;0,0,-($D$87+SUM($D$83:AR83)+SUM($E$89:AQ89)))</f>
        <v>0</v>
      </c>
      <c r="AS89" s="35">
        <f>IF(($D$87+SUM($D$83:AS83))&gt;0,0,-($D$87+SUM($D$83:AS83)+SUM($E$89:AR89)))</f>
        <v>0</v>
      </c>
      <c r="AT89" s="35">
        <f>IF(($D$87+SUM($D$83:AT83))&gt;0,0,-($D$87+SUM($D$83:AT83)+SUM($E$89:AS89)))</f>
        <v>0</v>
      </c>
      <c r="AU89" s="35">
        <f>IF(($D$87+SUM($D$83:AU83))&gt;0,0,-($D$87+SUM($D$83:AU83)+SUM($E$89:AT89)))</f>
        <v>0</v>
      </c>
      <c r="AV89" s="35">
        <f>IF(($D$87+SUM($D$83:AV83))&gt;0,0,-($D$87+SUM($D$83:AV83)+SUM($E$89:AU89)))</f>
        <v>0</v>
      </c>
      <c r="AW89" s="35">
        <f>IF(($D$87+SUM($D$83:AW83))&gt;0,0,-($D$87+SUM($D$83:AW83)+SUM($E$89:AV89)))</f>
        <v>0</v>
      </c>
      <c r="AX89" s="35">
        <f>IF(($D$87+SUM($D$83:AX83))&gt;0,0,-($D$87+SUM($D$83:AX83)+SUM($E$89:AW89)))</f>
        <v>0</v>
      </c>
      <c r="AY89" s="35">
        <f>IF(($D$87+SUM($D$83:AY83))&gt;0,0,-($D$87+SUM($D$83:AY83)+SUM($E$89:AX89)))</f>
        <v>0</v>
      </c>
      <c r="AZ89" s="35">
        <f>IF(($D$87+SUM($D$83:AZ83))&gt;0,0,-($D$87+SUM($D$83:AZ83)+SUM($E$89:AY89)))</f>
        <v>0</v>
      </c>
      <c r="BA89" s="35">
        <f>IF(($D$87+SUM($D$83:BA83))&gt;0,0,-($D$87+SUM($D$83:BA83)+SUM($E$89:AZ89)))</f>
        <v>0</v>
      </c>
      <c r="BB89" s="35">
        <f>IF(($D$87+SUM($D$83:BB83))&gt;0,0,-($D$87+SUM($D$83:BB83)+SUM($E$89:BA89)))</f>
        <v>0</v>
      </c>
      <c r="BC89" s="35">
        <f>IF(($D$87+SUM($D$83:BC83))&gt;0,0,-($D$87+SUM($D$83:BC83)+SUM($E$89:BB89)))</f>
        <v>0</v>
      </c>
      <c r="BD89" s="35">
        <f>IF(($D$87+SUM($D$83:BD83))&gt;0,0,-($D$87+SUM($D$83:BD83)+SUM($E$89:BC89)))</f>
        <v>0</v>
      </c>
      <c r="BE89" s="35">
        <f>IF(($D$87+SUM($D$83:BE83))&gt;0,0,-($D$87+SUM($D$83:BE83)+SUM($E$89:BD89)))</f>
        <v>0</v>
      </c>
      <c r="BF89" s="35">
        <f>IF(($D$87+SUM($D$83:BF83))&gt;0,0,-($D$87+SUM($D$83:BF83)+SUM($E$89:BE89)))</f>
        <v>0</v>
      </c>
      <c r="BG89" s="35">
        <f>IF(($D$87+SUM($D$83:BG83))&gt;0,0,-($D$87+SUM($D$83:BG83)+SUM($E$89:BF89)))</f>
        <v>0</v>
      </c>
      <c r="BH89" s="35">
        <f>IF(($D$87+SUM($D$83:BH83))&gt;0,0,-($D$87+SUM($D$83:BH83)+SUM($E$89:BG89)))</f>
        <v>0</v>
      </c>
      <c r="BI89" s="35">
        <f>IF(($D$87+SUM($D$83:BI83))&gt;0,0,-($D$87+SUM($D$83:BI83)+SUM($E$89:BH89)))</f>
        <v>0</v>
      </c>
      <c r="BJ89" s="35">
        <f>IF(($D$87+SUM($D$83:BJ83))&gt;0,0,-($D$87+SUM($D$83:BJ83)+SUM($E$89:BI89)))</f>
        <v>0</v>
      </c>
      <c r="BK89" s="35">
        <f>IF(($D$87+SUM($D$83:BK83))&gt;0,0,-($D$87+SUM($D$83:BK83)+SUM($E$89:BJ89)))</f>
        <v>0</v>
      </c>
      <c r="BL89" s="35">
        <f>IF(($D$87+SUM($D$83:BL83))&gt;0,0,-($D$87+SUM($D$83:BL83)+SUM($E$89:BK89)))</f>
        <v>0</v>
      </c>
      <c r="BM89" s="35">
        <f>IF(($D$87+SUM($D$83:BM83))&gt;0,0,-($D$87+SUM($D$83:BM83)+SUM($E$89:BL89)))</f>
        <v>0</v>
      </c>
      <c r="BN89" s="35">
        <f>IF(($D$87+SUM($D$83:BN83))&gt;0,0,-($D$87+SUM($D$83:BN83)+SUM($E$89:BM89)))</f>
        <v>0</v>
      </c>
      <c r="BO89" s="35">
        <f>IF(($D$87+SUM($D$83:BO83))&gt;0,0,-($D$87+SUM($D$83:BO83)+SUM($E$89:BN89)))</f>
        <v>0</v>
      </c>
      <c r="BP89" s="35">
        <f>IF(($D$87+SUM($D$83:BP83))&gt;0,0,-($D$87+SUM($D$83:BP83)+SUM($E$89:BO89)))</f>
        <v>0</v>
      </c>
      <c r="BQ89" s="35">
        <f>IF(($D$87+SUM($D$83:BQ83))&gt;0,0,-($D$87+SUM($D$83:BQ83)+SUM($E$89:BP89)))</f>
        <v>0</v>
      </c>
      <c r="BR89" s="35">
        <f>IF(($D$87+SUM($D$83:BR83))&gt;0,0,-($D$87+SUM($D$83:BR83)+SUM($E$89:BQ89)))</f>
        <v>0</v>
      </c>
      <c r="BS89" s="35">
        <f>IF(($D$87+SUM($D$83:BS83))&gt;0,0,-($D$87+SUM($D$83:BS83)+SUM($E$89:BR89)))</f>
        <v>0</v>
      </c>
      <c r="BT89" s="35">
        <f>IF(($D$87+SUM($D$83:BT83))&gt;0,0,-($D$87+SUM($D$83:BT83)+SUM($E$89:BS89)))</f>
        <v>0</v>
      </c>
      <c r="BU89" s="35">
        <f>IF(($D$87+SUM($D$83:BU83))&gt;0,0,-($D$87+SUM($D$83:BU83)+SUM($E$89:BT89)))</f>
        <v>0</v>
      </c>
      <c r="BV89" s="35">
        <f>IF(($D$87+SUM($D$83:BV83))&gt;0,0,-($D$87+SUM($D$83:BV83)+SUM($E$89:BU89)))</f>
        <v>0</v>
      </c>
      <c r="BW89" s="35">
        <f>IF(($D$87+SUM($D$83:BW83))&gt;0,0,-($D$87+SUM($D$83:BW83)+SUM($E$89:BV89)))</f>
        <v>0</v>
      </c>
      <c r="BX89" s="35">
        <f>IF(($D$87+SUM($D$83:BX83))&gt;0,0,-($D$87+SUM($D$83:BX83)+SUM($E$89:BW89)))</f>
        <v>0</v>
      </c>
      <c r="BY89" s="35">
        <f>IF(($D$87+SUM($D$83:BY83))&gt;0,0,-($D$87+SUM($D$83:BY83)+SUM($E$89:BX89)))</f>
        <v>0</v>
      </c>
      <c r="BZ89" s="35">
        <f>IF(($D$87+SUM($D$83:BZ83))&gt;0,0,-($D$87+SUM($D$83:BZ83)+SUM($E$89:BY89)))</f>
        <v>0</v>
      </c>
      <c r="CA89" s="35">
        <f>IF(($D$87+SUM($D$83:CA83))&gt;0,0,-($D$87+SUM($D$83:CA83)+SUM($E$89:BZ89)))</f>
        <v>0</v>
      </c>
      <c r="CB89" s="35">
        <f>IF(($D$87+SUM($D$83:CB83))&gt;0,0,-($D$87+SUM($D$83:CB83)+SUM($E$89:CA89)))</f>
        <v>0</v>
      </c>
      <c r="CC89" s="35">
        <f>IF(($D$87+SUM($D$83:CC83))&gt;0,0,-($D$87+SUM($D$83:CC83)+SUM($E$89:CB89)))</f>
        <v>0</v>
      </c>
      <c r="CD89" s="35">
        <f>IF(($D$87+SUM($D$83:CD83))&gt;0,0,-($D$87+SUM($D$83:CD83)+SUM($E$89:CC89)))</f>
        <v>0</v>
      </c>
      <c r="CE89" s="35">
        <f>IF(($D$87+SUM($D$83:CE83))&gt;0,0,-($D$87+SUM($D$83:CE83)+SUM($E$89:CD89)))</f>
        <v>0</v>
      </c>
      <c r="CF89" s="35">
        <f>IF(($D$87+SUM($D$83:CF83))&gt;0,0,-($D$87+SUM($D$83:CF83)+SUM($E$89:CE89)))</f>
        <v>0</v>
      </c>
      <c r="CG89" s="35">
        <f>IF(($D$87+SUM($D$83:CG83))&gt;0,0,-($D$87+SUM($D$83:CG83)+SUM($E$89:CF89)))</f>
        <v>0</v>
      </c>
      <c r="CH89" s="35">
        <f>IF(($D$87+SUM($D$83:CH83))&gt;0,0,-($D$87+SUM($D$83:CH83)+SUM($E$89:CG89)))</f>
        <v>0</v>
      </c>
      <c r="CI89" s="35">
        <f>IF(($D$87+SUM($D$83:CI83))&gt;0,0,-($D$87+SUM($D$83:CI83)+SUM($E$89:CH89)))</f>
        <v>0</v>
      </c>
      <c r="CJ89" s="35">
        <f>IF(($D$87+SUM($D$83:CJ83))&gt;0,0,-($D$87+SUM($D$83:CJ83)+SUM($E$89:CI89)))</f>
        <v>0</v>
      </c>
      <c r="CK89" s="35">
        <f>IF(($D$87+SUM($D$83:CK83))&gt;0,0,-($D$87+SUM($D$83:CK83)+SUM($E$89:CJ89)))</f>
        <v>0</v>
      </c>
      <c r="CL89" s="35">
        <f>IF(($D$87+SUM($D$83:CL83))&gt;0,0,-($D$87+SUM($D$83:CL83)+SUM($E$89:CK89)))</f>
        <v>0</v>
      </c>
      <c r="CM89" s="35">
        <f>IF(($D$87+SUM($D$83:CM83))&gt;0,0,-($D$87+SUM($D$83:CM83)+SUM($E$89:CL89)))</f>
        <v>0</v>
      </c>
      <c r="CN89" s="35">
        <f>IF(($D$87+SUM($D$83:CN83))&gt;0,0,-($D$87+SUM($D$83:CN83)+SUM($E$89:CM89)))</f>
        <v>0</v>
      </c>
      <c r="CO89" s="35"/>
    </row>
    <row r="90" spans="1:93" ht="12.75" customHeight="1">
      <c r="A90" s="35"/>
      <c r="B90" s="63" t="s">
        <v>185</v>
      </c>
      <c r="C90" s="35">
        <f t="shared" si="596"/>
        <v>-3818713.1999999983</v>
      </c>
      <c r="D90" s="60">
        <f t="shared" ref="D90:CN90" si="597">D163</f>
        <v>0</v>
      </c>
      <c r="E90" s="35">
        <f t="shared" si="597"/>
        <v>0</v>
      </c>
      <c r="F90" s="35">
        <f t="shared" si="597"/>
        <v>0</v>
      </c>
      <c r="G90" s="35">
        <f t="shared" si="597"/>
        <v>0</v>
      </c>
      <c r="H90" s="35">
        <f t="shared" si="597"/>
        <v>0</v>
      </c>
      <c r="I90" s="35">
        <f t="shared" si="597"/>
        <v>0</v>
      </c>
      <c r="J90" s="35">
        <f t="shared" si="597"/>
        <v>0</v>
      </c>
      <c r="K90" s="35">
        <f t="shared" si="597"/>
        <v>0</v>
      </c>
      <c r="L90" s="35">
        <f t="shared" si="597"/>
        <v>0</v>
      </c>
      <c r="M90" s="35">
        <f t="shared" si="597"/>
        <v>0</v>
      </c>
      <c r="N90" s="35">
        <f t="shared" si="597"/>
        <v>0</v>
      </c>
      <c r="O90" s="35">
        <f t="shared" si="597"/>
        <v>0</v>
      </c>
      <c r="P90" s="35">
        <f t="shared" si="597"/>
        <v>0</v>
      </c>
      <c r="Q90" s="35">
        <f t="shared" si="597"/>
        <v>0</v>
      </c>
      <c r="R90" s="35">
        <f t="shared" si="597"/>
        <v>0</v>
      </c>
      <c r="S90" s="35">
        <f t="shared" si="597"/>
        <v>0</v>
      </c>
      <c r="T90" s="35">
        <f t="shared" si="597"/>
        <v>0</v>
      </c>
      <c r="U90" s="35">
        <f t="shared" si="597"/>
        <v>0</v>
      </c>
      <c r="V90" s="35">
        <f t="shared" si="597"/>
        <v>0</v>
      </c>
      <c r="W90" s="35">
        <f t="shared" si="597"/>
        <v>-61499.035567961633</v>
      </c>
      <c r="X90" s="35">
        <f t="shared" si="597"/>
        <v>-106258.31156714591</v>
      </c>
      <c r="Y90" s="35">
        <f t="shared" si="597"/>
        <v>-24939.354812736274</v>
      </c>
      <c r="Z90" s="35">
        <f t="shared" si="597"/>
        <v>-43737.152492603142</v>
      </c>
      <c r="AA90" s="35">
        <f t="shared" si="597"/>
        <v>-74751.443257224586</v>
      </c>
      <c r="AB90" s="35">
        <f>AB163</f>
        <v>-100493.06020442965</v>
      </c>
      <c r="AC90" s="35">
        <f t="shared" si="597"/>
        <v>-30398.417679155566</v>
      </c>
      <c r="AD90" s="35">
        <f t="shared" si="597"/>
        <v>-51885.066954803246</v>
      </c>
      <c r="AE90" s="35">
        <f t="shared" si="597"/>
        <v>-86357.194460262195</v>
      </c>
      <c r="AF90" s="35">
        <f t="shared" si="597"/>
        <v>-120486.61270506128</v>
      </c>
      <c r="AG90" s="35">
        <f t="shared" si="597"/>
        <v>-44913.296678726154</v>
      </c>
      <c r="AH90" s="35">
        <f t="shared" si="597"/>
        <v>-83014.198618278489</v>
      </c>
      <c r="AI90" s="35">
        <f t="shared" si="597"/>
        <v>-116897.53987195925</v>
      </c>
      <c r="AJ90" s="35">
        <f t="shared" si="597"/>
        <v>-36554.659722008597</v>
      </c>
      <c r="AK90" s="35">
        <f t="shared" si="597"/>
        <v>-68459.622353869141</v>
      </c>
      <c r="AL90" s="35">
        <f t="shared" si="597"/>
        <v>-103650.45051462094</v>
      </c>
      <c r="AM90" s="35">
        <f t="shared" si="597"/>
        <v>-138397.55884617654</v>
      </c>
      <c r="AN90" s="35">
        <f t="shared" si="597"/>
        <v>-52143.034820220557</v>
      </c>
      <c r="AO90" s="35">
        <f t="shared" si="597"/>
        <v>-102083.22767863964</v>
      </c>
      <c r="AP90" s="35">
        <f t="shared" si="597"/>
        <v>-136144.06492882399</v>
      </c>
      <c r="AQ90" s="35">
        <f t="shared" si="597"/>
        <v>-51350.573276266026</v>
      </c>
      <c r="AR90" s="35">
        <f t="shared" si="597"/>
        <v>-77185.012478363671</v>
      </c>
      <c r="AS90" s="35">
        <f t="shared" si="597"/>
        <v>-124404.96571614454</v>
      </c>
      <c r="AT90" s="35">
        <f t="shared" si="597"/>
        <v>-159706.34185993584</v>
      </c>
      <c r="AU90" s="35">
        <f t="shared" si="597"/>
        <v>-68507.832597611996</v>
      </c>
      <c r="AV90" s="35">
        <f t="shared" si="597"/>
        <v>-112829.61703516683</v>
      </c>
      <c r="AW90" s="35">
        <f t="shared" si="597"/>
        <v>-159710.32335352269</v>
      </c>
      <c r="AX90" s="35">
        <f t="shared" si="597"/>
        <v>-69100.401536798323</v>
      </c>
      <c r="AY90" s="35">
        <f t="shared" si="597"/>
        <v>-95494.108939371421</v>
      </c>
      <c r="AZ90" s="35">
        <f t="shared" si="597"/>
        <v>-136723.52659267001</v>
      </c>
      <c r="BA90" s="35">
        <f t="shared" si="597"/>
        <v>-185427.80124076721</v>
      </c>
      <c r="BB90" s="35">
        <f t="shared" si="597"/>
        <v>-84819.484674096602</v>
      </c>
      <c r="BC90" s="35">
        <f t="shared" si="597"/>
        <v>-127042.5120018017</v>
      </c>
      <c r="BD90" s="35">
        <f t="shared" si="597"/>
        <v>-165527.30043962202</v>
      </c>
      <c r="BE90" s="35">
        <f t="shared" si="597"/>
        <v>-87281.54724097492</v>
      </c>
      <c r="BF90" s="35">
        <f t="shared" si="597"/>
        <v>-111664.62839782957</v>
      </c>
      <c r="BG90" s="35">
        <f t="shared" si="597"/>
        <v>-151614.51332670596</v>
      </c>
      <c r="BH90" s="35">
        <f t="shared" si="597"/>
        <v>-191257.77249524902</v>
      </c>
      <c r="BI90" s="35">
        <f t="shared" si="597"/>
        <v>-76001.63306239454</v>
      </c>
      <c r="BJ90" s="35">
        <f t="shared" si="597"/>
        <v>0</v>
      </c>
      <c r="BK90" s="35">
        <f t="shared" si="597"/>
        <v>0</v>
      </c>
      <c r="BL90" s="35">
        <f t="shared" si="597"/>
        <v>0</v>
      </c>
      <c r="BM90" s="35">
        <f t="shared" si="597"/>
        <v>0</v>
      </c>
      <c r="BN90" s="35">
        <f t="shared" si="597"/>
        <v>0</v>
      </c>
      <c r="BO90" s="35">
        <f t="shared" si="597"/>
        <v>0</v>
      </c>
      <c r="BP90" s="35">
        <f t="shared" si="597"/>
        <v>0</v>
      </c>
      <c r="BQ90" s="35">
        <f t="shared" si="597"/>
        <v>0</v>
      </c>
      <c r="BR90" s="35">
        <f t="shared" si="597"/>
        <v>0</v>
      </c>
      <c r="BS90" s="35">
        <f t="shared" si="597"/>
        <v>0</v>
      </c>
      <c r="BT90" s="35">
        <f t="shared" si="597"/>
        <v>0</v>
      </c>
      <c r="BU90" s="35">
        <f t="shared" si="597"/>
        <v>0</v>
      </c>
      <c r="BV90" s="35">
        <f t="shared" si="597"/>
        <v>0</v>
      </c>
      <c r="BW90" s="35">
        <f t="shared" si="597"/>
        <v>0</v>
      </c>
      <c r="BX90" s="35">
        <f t="shared" si="597"/>
        <v>0</v>
      </c>
      <c r="BY90" s="35">
        <f t="shared" si="597"/>
        <v>0</v>
      </c>
      <c r="BZ90" s="35">
        <f t="shared" si="597"/>
        <v>0</v>
      </c>
      <c r="CA90" s="35">
        <f t="shared" si="597"/>
        <v>0</v>
      </c>
      <c r="CB90" s="35">
        <f t="shared" si="597"/>
        <v>0</v>
      </c>
      <c r="CC90" s="35">
        <f t="shared" si="597"/>
        <v>0</v>
      </c>
      <c r="CD90" s="35">
        <f t="shared" si="597"/>
        <v>0</v>
      </c>
      <c r="CE90" s="35">
        <f t="shared" si="597"/>
        <v>0</v>
      </c>
      <c r="CF90" s="35">
        <f t="shared" si="597"/>
        <v>0</v>
      </c>
      <c r="CG90" s="35">
        <f t="shared" si="597"/>
        <v>0</v>
      </c>
      <c r="CH90" s="35">
        <f t="shared" si="597"/>
        <v>0</v>
      </c>
      <c r="CI90" s="35">
        <f t="shared" si="597"/>
        <v>0</v>
      </c>
      <c r="CJ90" s="35">
        <f t="shared" si="597"/>
        <v>0</v>
      </c>
      <c r="CK90" s="35">
        <f t="shared" si="597"/>
        <v>0</v>
      </c>
      <c r="CL90" s="35">
        <f t="shared" si="597"/>
        <v>0</v>
      </c>
      <c r="CM90" s="35">
        <f t="shared" si="597"/>
        <v>0</v>
      </c>
      <c r="CN90" s="35">
        <f t="shared" si="597"/>
        <v>0</v>
      </c>
      <c r="CO90" s="35"/>
    </row>
    <row r="91" spans="1:93" ht="12.75" customHeight="1">
      <c r="A91" s="35"/>
      <c r="B91" s="63" t="s">
        <v>186</v>
      </c>
      <c r="C91" s="35">
        <f t="shared" si="596"/>
        <v>-1923705.6546557876</v>
      </c>
      <c r="D91" s="60">
        <f t="shared" ref="D91:CN91" si="598">D165</f>
        <v>0</v>
      </c>
      <c r="E91" s="35">
        <f t="shared" si="598"/>
        <v>0</v>
      </c>
      <c r="F91" s="35">
        <f t="shared" si="598"/>
        <v>0</v>
      </c>
      <c r="G91" s="35">
        <f t="shared" si="598"/>
        <v>0</v>
      </c>
      <c r="H91" s="35">
        <f t="shared" si="598"/>
        <v>0</v>
      </c>
      <c r="I91" s="35">
        <f t="shared" si="598"/>
        <v>0</v>
      </c>
      <c r="J91" s="35">
        <f t="shared" si="598"/>
        <v>0</v>
      </c>
      <c r="K91" s="35">
        <f t="shared" si="598"/>
        <v>0</v>
      </c>
      <c r="L91" s="35">
        <f t="shared" si="598"/>
        <v>0</v>
      </c>
      <c r="M91" s="35">
        <f t="shared" si="598"/>
        <v>0</v>
      </c>
      <c r="N91" s="35">
        <f t="shared" si="598"/>
        <v>-317.3077343749988</v>
      </c>
      <c r="O91" s="35">
        <f t="shared" si="598"/>
        <v>-7063.3892968749979</v>
      </c>
      <c r="P91" s="35">
        <f t="shared" si="598"/>
        <v>-15718.513242187495</v>
      </c>
      <c r="Q91" s="35">
        <f t="shared" si="598"/>
        <v>-24910.67</v>
      </c>
      <c r="R91" s="35">
        <f t="shared" si="598"/>
        <v>-34293.604374999995</v>
      </c>
      <c r="S91" s="35">
        <f t="shared" si="598"/>
        <v>-41578.361249999994</v>
      </c>
      <c r="T91" s="35">
        <f t="shared" si="598"/>
        <v>-50475.834500000004</v>
      </c>
      <c r="U91" s="35">
        <f t="shared" si="598"/>
        <v>-58177.438000000002</v>
      </c>
      <c r="V91" s="35">
        <f t="shared" si="598"/>
        <v>-65444.694374999999</v>
      </c>
      <c r="W91" s="35">
        <f t="shared" si="598"/>
        <v>-71600.872499999998</v>
      </c>
      <c r="X91" s="35">
        <f t="shared" si="598"/>
        <v>-70447.765583100714</v>
      </c>
      <c r="Y91" s="35">
        <f t="shared" si="598"/>
        <v>-68455.422241216729</v>
      </c>
      <c r="Z91" s="35">
        <f t="shared" si="598"/>
        <v>-67987.809338477935</v>
      </c>
      <c r="AA91" s="35">
        <f t="shared" si="598"/>
        <v>-67167.73772924162</v>
      </c>
      <c r="AB91" s="35">
        <f t="shared" si="598"/>
        <v>-65766.148168168656</v>
      </c>
      <c r="AC91" s="35">
        <f t="shared" si="598"/>
        <v>-63881.903289335605</v>
      </c>
      <c r="AD91" s="35">
        <f t="shared" si="598"/>
        <v>-63311.93295785143</v>
      </c>
      <c r="AE91" s="35">
        <f t="shared" si="598"/>
        <v>-62339.08795244887</v>
      </c>
      <c r="AF91" s="35">
        <f t="shared" si="598"/>
        <v>-60719.890556318962</v>
      </c>
      <c r="AG91" s="35">
        <f t="shared" si="598"/>
        <v>-58460.766568099061</v>
      </c>
      <c r="AH91" s="35">
        <f t="shared" si="598"/>
        <v>-57618.64225537295</v>
      </c>
      <c r="AI91" s="35">
        <f t="shared" si="598"/>
        <v>-56062.126031280226</v>
      </c>
      <c r="AJ91" s="35">
        <f t="shared" si="598"/>
        <v>-53870.297158680987</v>
      </c>
      <c r="AK91" s="35">
        <f t="shared" si="598"/>
        <v>-53184.897288893328</v>
      </c>
      <c r="AL91" s="35">
        <f t="shared" si="598"/>
        <v>-51901.279369758282</v>
      </c>
      <c r="AM91" s="35">
        <f t="shared" si="598"/>
        <v>-49957.833422609132</v>
      </c>
      <c r="AN91" s="35">
        <f t="shared" si="598"/>
        <v>-47362.879194243324</v>
      </c>
      <c r="AO91" s="35">
        <f t="shared" si="598"/>
        <v>-46385.197291364188</v>
      </c>
      <c r="AP91" s="35">
        <f t="shared" si="598"/>
        <v>-44471.136772389691</v>
      </c>
      <c r="AQ91" s="35">
        <f t="shared" si="598"/>
        <v>-41918.435554974239</v>
      </c>
      <c r="AR91" s="35">
        <f t="shared" si="598"/>
        <v>-40955.612306044255</v>
      </c>
      <c r="AS91" s="35">
        <f t="shared" si="598"/>
        <v>-39508.393322074939</v>
      </c>
      <c r="AT91" s="35">
        <f t="shared" si="598"/>
        <v>-37175.800214897223</v>
      </c>
      <c r="AU91" s="35">
        <f t="shared" si="598"/>
        <v>-34181.306305023427</v>
      </c>
      <c r="AV91" s="35">
        <f t="shared" si="598"/>
        <v>-32896.784443818207</v>
      </c>
      <c r="AW91" s="35">
        <f t="shared" si="598"/>
        <v>-30781.229124408826</v>
      </c>
      <c r="AX91" s="35">
        <f t="shared" si="598"/>
        <v>-27786.66056153028</v>
      </c>
      <c r="AY91" s="35">
        <f t="shared" si="598"/>
        <v>-26491.028032715309</v>
      </c>
      <c r="AZ91" s="35">
        <f t="shared" si="598"/>
        <v>-24700.513490102094</v>
      </c>
      <c r="BA91" s="35">
        <f t="shared" si="598"/>
        <v>-22136.94736648953</v>
      </c>
      <c r="BB91" s="35">
        <f t="shared" si="598"/>
        <v>-18660.176093225145</v>
      </c>
      <c r="BC91" s="35">
        <f t="shared" si="598"/>
        <v>-17069.810755585833</v>
      </c>
      <c r="BD91" s="35">
        <f t="shared" si="598"/>
        <v>-14687.763655552051</v>
      </c>
      <c r="BE91" s="35">
        <f t="shared" si="598"/>
        <v>-11584.126772309139</v>
      </c>
      <c r="BF91" s="35">
        <f t="shared" si="598"/>
        <v>-9947.5977615408574</v>
      </c>
      <c r="BG91" s="35">
        <f t="shared" si="598"/>
        <v>-7853.8859790815532</v>
      </c>
      <c r="BH91" s="35">
        <f t="shared" si="598"/>
        <v>-5011.113854205817</v>
      </c>
      <c r="BI91" s="35">
        <f t="shared" si="598"/>
        <v>-1425.0306199198976</v>
      </c>
      <c r="BJ91" s="35">
        <f t="shared" si="598"/>
        <v>0</v>
      </c>
      <c r="BK91" s="35">
        <f t="shared" si="598"/>
        <v>0</v>
      </c>
      <c r="BL91" s="35">
        <f t="shared" si="598"/>
        <v>0</v>
      </c>
      <c r="BM91" s="35">
        <f t="shared" si="598"/>
        <v>0</v>
      </c>
      <c r="BN91" s="35">
        <f t="shared" si="598"/>
        <v>0</v>
      </c>
      <c r="BO91" s="35">
        <f t="shared" si="598"/>
        <v>0</v>
      </c>
      <c r="BP91" s="35">
        <f t="shared" si="598"/>
        <v>0</v>
      </c>
      <c r="BQ91" s="35">
        <f t="shared" si="598"/>
        <v>0</v>
      </c>
      <c r="BR91" s="35">
        <f t="shared" si="598"/>
        <v>0</v>
      </c>
      <c r="BS91" s="35">
        <f t="shared" si="598"/>
        <v>0</v>
      </c>
      <c r="BT91" s="35">
        <f t="shared" si="598"/>
        <v>0</v>
      </c>
      <c r="BU91" s="35">
        <f t="shared" si="598"/>
        <v>0</v>
      </c>
      <c r="BV91" s="35">
        <f t="shared" si="598"/>
        <v>0</v>
      </c>
      <c r="BW91" s="35">
        <f t="shared" si="598"/>
        <v>0</v>
      </c>
      <c r="BX91" s="35">
        <f t="shared" si="598"/>
        <v>0</v>
      </c>
      <c r="BY91" s="35">
        <f t="shared" si="598"/>
        <v>0</v>
      </c>
      <c r="BZ91" s="35">
        <f t="shared" si="598"/>
        <v>0</v>
      </c>
      <c r="CA91" s="35">
        <f t="shared" si="598"/>
        <v>0</v>
      </c>
      <c r="CB91" s="35">
        <f t="shared" si="598"/>
        <v>0</v>
      </c>
      <c r="CC91" s="35">
        <f t="shared" si="598"/>
        <v>0</v>
      </c>
      <c r="CD91" s="35">
        <f t="shared" si="598"/>
        <v>0</v>
      </c>
      <c r="CE91" s="35">
        <f t="shared" si="598"/>
        <v>0</v>
      </c>
      <c r="CF91" s="35">
        <f t="shared" si="598"/>
        <v>0</v>
      </c>
      <c r="CG91" s="35">
        <f t="shared" si="598"/>
        <v>0</v>
      </c>
      <c r="CH91" s="35">
        <f t="shared" si="598"/>
        <v>0</v>
      </c>
      <c r="CI91" s="35">
        <f t="shared" si="598"/>
        <v>0</v>
      </c>
      <c r="CJ91" s="35">
        <f t="shared" si="598"/>
        <v>0</v>
      </c>
      <c r="CK91" s="35">
        <f t="shared" si="598"/>
        <v>0</v>
      </c>
      <c r="CL91" s="35">
        <f t="shared" si="598"/>
        <v>0</v>
      </c>
      <c r="CM91" s="35">
        <f t="shared" si="598"/>
        <v>0</v>
      </c>
      <c r="CN91" s="35">
        <f t="shared" si="598"/>
        <v>0</v>
      </c>
      <c r="CO91" s="35"/>
    </row>
    <row r="92" spans="1:93" ht="12.75" customHeight="1">
      <c r="A92" s="90"/>
      <c r="B92" s="91" t="s">
        <v>187</v>
      </c>
      <c r="C92" s="91">
        <f t="shared" si="596"/>
        <v>-6366843.4143702714</v>
      </c>
      <c r="D92" s="71">
        <f t="shared" ref="D92:CN92" si="599">SUM(D87:D91)</f>
        <v>954678.3</v>
      </c>
      <c r="E92" s="91">
        <f t="shared" si="599"/>
        <v>0</v>
      </c>
      <c r="F92" s="91">
        <f t="shared" si="599"/>
        <v>0</v>
      </c>
      <c r="G92" s="91">
        <f t="shared" si="599"/>
        <v>0</v>
      </c>
      <c r="H92" s="91">
        <f t="shared" si="599"/>
        <v>0</v>
      </c>
      <c r="I92" s="91">
        <f t="shared" si="599"/>
        <v>0</v>
      </c>
      <c r="J92" s="91">
        <f t="shared" si="599"/>
        <v>0</v>
      </c>
      <c r="K92" s="91">
        <f t="shared" si="599"/>
        <v>0</v>
      </c>
      <c r="L92" s="91">
        <f t="shared" si="599"/>
        <v>0</v>
      </c>
      <c r="M92" s="91">
        <f t="shared" si="599"/>
        <v>16923.079166666605</v>
      </c>
      <c r="N92" s="91">
        <f t="shared" si="599"/>
        <v>359473.7089322916</v>
      </c>
      <c r="O92" s="91">
        <f t="shared" si="599"/>
        <v>454543.22111979162</v>
      </c>
      <c r="P92" s="91">
        <f t="shared" si="599"/>
        <v>474529.84717447934</v>
      </c>
      <c r="Q92" s="91">
        <f t="shared" si="599"/>
        <v>475512.49666666653</v>
      </c>
      <c r="R92" s="91">
        <f t="shared" si="599"/>
        <v>354226.76229166647</v>
      </c>
      <c r="S92" s="91">
        <f t="shared" si="599"/>
        <v>432953.54541666718</v>
      </c>
      <c r="T92" s="91">
        <f t="shared" si="599"/>
        <v>360276.35216666653</v>
      </c>
      <c r="U92" s="91">
        <f t="shared" si="599"/>
        <v>329409.5686666668</v>
      </c>
      <c r="V92" s="91">
        <f t="shared" si="599"/>
        <v>262884.80562499998</v>
      </c>
      <c r="W92" s="91">
        <f t="shared" si="599"/>
        <v>-133099.90806796163</v>
      </c>
      <c r="X92" s="91">
        <f t="shared" si="599"/>
        <v>-176706.07715024662</v>
      </c>
      <c r="Y92" s="91">
        <f t="shared" si="599"/>
        <v>-93394.777053953003</v>
      </c>
      <c r="Z92" s="91">
        <f t="shared" si="599"/>
        <v>-111724.96183108108</v>
      </c>
      <c r="AA92" s="91">
        <f t="shared" si="599"/>
        <v>-141919.18098646621</v>
      </c>
      <c r="AB92" s="91">
        <f t="shared" si="599"/>
        <v>-166259.20837259831</v>
      </c>
      <c r="AC92" s="91">
        <f t="shared" si="599"/>
        <v>-112476.43168597862</v>
      </c>
      <c r="AD92" s="91">
        <f t="shared" si="599"/>
        <v>-171618.89320810197</v>
      </c>
      <c r="AE92" s="91">
        <f t="shared" si="599"/>
        <v>-245787.62761164305</v>
      </c>
      <c r="AF92" s="91">
        <f t="shared" si="599"/>
        <v>-181206.50326138025</v>
      </c>
      <c r="AG92" s="91">
        <f t="shared" si="599"/>
        <v>-103374.06324682522</v>
      </c>
      <c r="AH92" s="91">
        <f t="shared" si="599"/>
        <v>-140632.84087365144</v>
      </c>
      <c r="AI92" s="91">
        <f t="shared" si="599"/>
        <v>-172959.66590323948</v>
      </c>
      <c r="AJ92" s="91">
        <f t="shared" si="599"/>
        <v>-90424.956880689584</v>
      </c>
      <c r="AK92" s="70">
        <f t="shared" si="599"/>
        <v>-121644.51964276246</v>
      </c>
      <c r="AL92" s="91">
        <f t="shared" si="599"/>
        <v>-155551.72988437922</v>
      </c>
      <c r="AM92" s="91">
        <f t="shared" si="599"/>
        <v>-188355.39226878568</v>
      </c>
      <c r="AN92" s="91">
        <f t="shared" si="599"/>
        <v>-99505.91401446388</v>
      </c>
      <c r="AO92" s="91">
        <f t="shared" si="599"/>
        <v>-148468.42497000383</v>
      </c>
      <c r="AP92" s="91">
        <f t="shared" si="599"/>
        <v>-180615.20170121369</v>
      </c>
      <c r="AQ92" s="91">
        <f t="shared" si="599"/>
        <v>-93269.008831240266</v>
      </c>
      <c r="AR92" s="91">
        <f t="shared" si="599"/>
        <v>-118140.62478440793</v>
      </c>
      <c r="AS92" s="91">
        <f t="shared" si="599"/>
        <v>-163913.35903821947</v>
      </c>
      <c r="AT92" s="91">
        <f t="shared" si="599"/>
        <v>-196882.14207483307</v>
      </c>
      <c r="AU92" s="91">
        <f t="shared" si="599"/>
        <v>-102689.13890263543</v>
      </c>
      <c r="AV92" s="91">
        <f t="shared" si="599"/>
        <v>-145726.40147898503</v>
      </c>
      <c r="AW92" s="91">
        <f t="shared" si="599"/>
        <v>-190491.55247793152</v>
      </c>
      <c r="AX92" s="91">
        <f t="shared" si="599"/>
        <v>-96887.062098328606</v>
      </c>
      <c r="AY92" s="91">
        <f t="shared" si="599"/>
        <v>-121985.13697208674</v>
      </c>
      <c r="AZ92" s="91">
        <f t="shared" si="599"/>
        <v>-161424.04008277209</v>
      </c>
      <c r="BA92" s="91">
        <f t="shared" si="599"/>
        <v>-207564.74860725674</v>
      </c>
      <c r="BB92" s="91">
        <f t="shared" si="599"/>
        <v>-103479.66076732175</v>
      </c>
      <c r="BC92" s="91">
        <f t="shared" si="599"/>
        <v>-144112.32275738753</v>
      </c>
      <c r="BD92" s="91">
        <f t="shared" si="599"/>
        <v>-180215.06409517408</v>
      </c>
      <c r="BE92" s="91">
        <f t="shared" si="599"/>
        <v>-98865.674013284064</v>
      </c>
      <c r="BF92" s="91">
        <f t="shared" si="599"/>
        <v>-121612.22615937043</v>
      </c>
      <c r="BG92" s="91">
        <f t="shared" si="599"/>
        <v>-159468.39930578752</v>
      </c>
      <c r="BH92" s="91">
        <f t="shared" si="599"/>
        <v>-196268.88634945484</v>
      </c>
      <c r="BI92" s="91">
        <f t="shared" si="599"/>
        <v>-77426.663682314436</v>
      </c>
      <c r="BJ92" s="91">
        <f t="shared" si="599"/>
        <v>-164215.51633074385</v>
      </c>
      <c r="BK92" s="91">
        <f t="shared" si="599"/>
        <v>-208610.17904738162</v>
      </c>
      <c r="BL92" s="91">
        <f t="shared" si="599"/>
        <v>-76647.252086019842</v>
      </c>
      <c r="BM92" s="91">
        <f t="shared" si="599"/>
        <v>-136597.11600988466</v>
      </c>
      <c r="BN92" s="91">
        <f t="shared" si="599"/>
        <v>-183297.06327114336</v>
      </c>
      <c r="BO92" s="91">
        <f t="shared" si="599"/>
        <v>-231373.19460468885</v>
      </c>
      <c r="BP92" s="91">
        <f t="shared" si="599"/>
        <v>-88811.52174765899</v>
      </c>
      <c r="BQ92" s="91">
        <f t="shared" si="599"/>
        <v>-176697.26021263169</v>
      </c>
      <c r="BR92" s="91">
        <f t="shared" si="599"/>
        <v>-222508.05880773155</v>
      </c>
      <c r="BS92" s="91">
        <f t="shared" si="599"/>
        <v>-82151.030436198911</v>
      </c>
      <c r="BT92" s="91">
        <f t="shared" si="599"/>
        <v>-131398.80452661414</v>
      </c>
      <c r="BU92" s="91">
        <f t="shared" si="599"/>
        <v>-196873.50742600358</v>
      </c>
      <c r="BV92" s="91">
        <f t="shared" si="599"/>
        <v>-246530.65800176136</v>
      </c>
      <c r="BW92" s="91">
        <f t="shared" si="599"/>
        <v>-94944.909761904564</v>
      </c>
      <c r="BX92" s="91">
        <f t="shared" si="599"/>
        <v>-172840.37296900095</v>
      </c>
      <c r="BY92" s="91">
        <f t="shared" si="599"/>
        <v>-238192.70681167109</v>
      </c>
      <c r="BZ92" s="91">
        <f t="shared" si="599"/>
        <v>-89974.890126646947</v>
      </c>
      <c r="CA92" s="91">
        <f t="shared" si="599"/>
        <v>-139684.02266984127</v>
      </c>
      <c r="CB92" s="91">
        <f t="shared" si="599"/>
        <v>-193328.67042401893</v>
      </c>
      <c r="CC92" s="91">
        <f t="shared" si="599"/>
        <v>-263571.47274126479</v>
      </c>
      <c r="CD92" s="91">
        <f t="shared" si="599"/>
        <v>-103542.34314552801</v>
      </c>
      <c r="CE92" s="91">
        <f t="shared" si="599"/>
        <v>-183221.25882388288</v>
      </c>
      <c r="CF92" s="91">
        <f t="shared" si="599"/>
        <v>-235982.22955399627</v>
      </c>
      <c r="CG92" s="91">
        <f t="shared" si="599"/>
        <v>-99350.705087050243</v>
      </c>
      <c r="CH92" s="91">
        <f t="shared" si="599"/>
        <v>-150658.98541209605</v>
      </c>
      <c r="CI92" s="91">
        <f t="shared" si="599"/>
        <v>-204758.73990566397</v>
      </c>
      <c r="CJ92" s="91">
        <f t="shared" si="599"/>
        <v>-261861.75354384733</v>
      </c>
      <c r="CK92" s="91">
        <f t="shared" si="599"/>
        <v>-113767.45880226365</v>
      </c>
      <c r="CL92" s="91">
        <f t="shared" si="599"/>
        <v>-196520.68577273612</v>
      </c>
      <c r="CM92" s="91">
        <f t="shared" si="599"/>
        <v>-249570.98418385311</v>
      </c>
      <c r="CN92" s="91">
        <f t="shared" si="599"/>
        <v>-88623.358258888737</v>
      </c>
      <c r="CO92" s="90"/>
    </row>
    <row r="93" spans="1:93" ht="12.75" customHeight="1">
      <c r="A93" s="90"/>
      <c r="B93" s="93" t="s">
        <v>188</v>
      </c>
      <c r="C93" s="90"/>
      <c r="D93" s="92">
        <v>0</v>
      </c>
      <c r="E93" s="90">
        <f t="shared" ref="E93:CN93" si="600">D95</f>
        <v>954678.3</v>
      </c>
      <c r="F93" s="90">
        <f t="shared" si="600"/>
        <v>951188.3</v>
      </c>
      <c r="G93" s="90">
        <f t="shared" si="600"/>
        <v>951188.3</v>
      </c>
      <c r="H93" s="90">
        <f t="shared" si="600"/>
        <v>928019.96666666667</v>
      </c>
      <c r="I93" s="90">
        <f t="shared" si="600"/>
        <v>903569.96666666667</v>
      </c>
      <c r="J93" s="90">
        <f t="shared" si="600"/>
        <v>883078.3</v>
      </c>
      <c r="K93" s="90">
        <f t="shared" si="600"/>
        <v>857489.96666666667</v>
      </c>
      <c r="L93" s="90">
        <f t="shared" si="600"/>
        <v>591233.37083333335</v>
      </c>
      <c r="M93" s="90">
        <f t="shared" si="600"/>
        <v>310311.81944444444</v>
      </c>
      <c r="N93" s="90">
        <f t="shared" si="600"/>
        <v>57983.599305555515</v>
      </c>
      <c r="O93" s="90">
        <f t="shared" si="600"/>
        <v>104471.17976562487</v>
      </c>
      <c r="P93" s="90">
        <f t="shared" si="600"/>
        <v>148952.86616319424</v>
      </c>
      <c r="Q93" s="90">
        <f t="shared" si="600"/>
        <v>192499.52236545138</v>
      </c>
      <c r="R93" s="90">
        <f t="shared" si="600"/>
        <v>243823.2874348957</v>
      </c>
      <c r="S93" s="90">
        <f t="shared" si="600"/>
        <v>290537.74312933994</v>
      </c>
      <c r="T93" s="90">
        <f t="shared" si="600"/>
        <v>331663.24299045157</v>
      </c>
      <c r="U93" s="90">
        <f t="shared" si="600"/>
        <v>345240.80293489585</v>
      </c>
      <c r="V93" s="90">
        <f t="shared" si="600"/>
        <v>365452.01604600705</v>
      </c>
      <c r="W93" s="90">
        <f t="shared" si="600"/>
        <v>368325.41831133724</v>
      </c>
      <c r="X93" s="90">
        <f t="shared" si="600"/>
        <v>459543.234369374</v>
      </c>
      <c r="Y93" s="90">
        <f t="shared" si="600"/>
        <v>549606.03313275671</v>
      </c>
      <c r="Z93" s="90">
        <f t="shared" si="600"/>
        <v>568284.98854354734</v>
      </c>
      <c r="AA93" s="90">
        <f t="shared" si="600"/>
        <v>590629.9809097636</v>
      </c>
      <c r="AB93" s="90">
        <f t="shared" si="600"/>
        <v>619013.81710705685</v>
      </c>
      <c r="AC93" s="90">
        <f t="shared" si="600"/>
        <v>652265.65878157644</v>
      </c>
      <c r="AD93" s="90">
        <f t="shared" si="600"/>
        <v>652925.61225778726</v>
      </c>
      <c r="AE93" s="90">
        <f t="shared" si="600"/>
        <v>619543.11894487089</v>
      </c>
      <c r="AF93" s="90">
        <f t="shared" si="600"/>
        <v>552191.03022848116</v>
      </c>
      <c r="AG93" s="90">
        <f t="shared" si="600"/>
        <v>588432.33088075719</v>
      </c>
      <c r="AH93" s="90">
        <f t="shared" si="600"/>
        <v>609107.14353012224</v>
      </c>
      <c r="AI93" s="90">
        <f t="shared" si="600"/>
        <v>637233.71170485253</v>
      </c>
      <c r="AJ93" s="90">
        <f t="shared" si="600"/>
        <v>671825.64488550043</v>
      </c>
      <c r="AK93" s="37">
        <f t="shared" si="600"/>
        <v>689910.63626163837</v>
      </c>
      <c r="AL93" s="90">
        <f t="shared" si="600"/>
        <v>714239.54019019089</v>
      </c>
      <c r="AM93" s="90">
        <f t="shared" si="600"/>
        <v>745349.88616706675</v>
      </c>
      <c r="AN93" s="90">
        <f t="shared" si="600"/>
        <v>783020.96462082386</v>
      </c>
      <c r="AO93" s="90">
        <f t="shared" si="600"/>
        <v>802922.14742371661</v>
      </c>
      <c r="AP93" s="90">
        <f t="shared" si="600"/>
        <v>832615.83241771744</v>
      </c>
      <c r="AQ93" s="90">
        <f t="shared" si="600"/>
        <v>868738.87275796011</v>
      </c>
      <c r="AR93" s="90">
        <f t="shared" si="600"/>
        <v>887392.67452420818</v>
      </c>
      <c r="AS93" s="90">
        <f t="shared" si="600"/>
        <v>911020.79948108969</v>
      </c>
      <c r="AT93" s="90">
        <f t="shared" si="600"/>
        <v>943803.47128873353</v>
      </c>
      <c r="AU93" s="90">
        <f t="shared" si="600"/>
        <v>983179.8997037001</v>
      </c>
      <c r="AV93" s="90">
        <f t="shared" si="600"/>
        <v>1003717.7274842272</v>
      </c>
      <c r="AW93" s="90">
        <f t="shared" si="600"/>
        <v>1032863.0077800241</v>
      </c>
      <c r="AX93" s="90">
        <f t="shared" si="600"/>
        <v>1070961.3182756105</v>
      </c>
      <c r="AY93" s="90">
        <f t="shared" si="600"/>
        <v>1090338.7306952761</v>
      </c>
      <c r="AZ93" s="90">
        <f t="shared" si="600"/>
        <v>1114735.7580896933</v>
      </c>
      <c r="BA93" s="90">
        <f t="shared" si="600"/>
        <v>1147020.5661062477</v>
      </c>
      <c r="BB93" s="90">
        <f t="shared" si="600"/>
        <v>1188533.5158276991</v>
      </c>
      <c r="BC93" s="90">
        <f t="shared" si="600"/>
        <v>1209229.4479811634</v>
      </c>
      <c r="BD93" s="90">
        <f t="shared" si="600"/>
        <v>1238051.9125326409</v>
      </c>
      <c r="BE93" s="90">
        <f t="shared" si="600"/>
        <v>1274094.9253516756</v>
      </c>
      <c r="BF93" s="90">
        <f t="shared" si="600"/>
        <v>1293868.0601543323</v>
      </c>
      <c r="BG93" s="90">
        <f t="shared" si="600"/>
        <v>1318190.5053862063</v>
      </c>
      <c r="BH93" s="90">
        <f t="shared" si="600"/>
        <v>1350084.1852473638</v>
      </c>
      <c r="BI93" s="90">
        <f t="shared" si="600"/>
        <v>1389337.9625172548</v>
      </c>
      <c r="BJ93" s="90">
        <f t="shared" si="600"/>
        <v>1441846.8860048691</v>
      </c>
      <c r="BK93" s="90">
        <f t="shared" si="600"/>
        <v>1457304.5381909723</v>
      </c>
      <c r="BL93" s="90">
        <f t="shared" si="600"/>
        <v>1472629.6933508553</v>
      </c>
      <c r="BM93" s="90">
        <f t="shared" si="600"/>
        <v>1507022.484178154</v>
      </c>
      <c r="BN93" s="90">
        <f t="shared" si="600"/>
        <v>1525191.7545013246</v>
      </c>
      <c r="BO93" s="90">
        <f t="shared" si="600"/>
        <v>1542673.4959137063</v>
      </c>
      <c r="BP93" s="90">
        <f t="shared" si="600"/>
        <v>1557480.1488409708</v>
      </c>
      <c r="BQ93" s="90">
        <f t="shared" si="600"/>
        <v>1593127.0564670397</v>
      </c>
      <c r="BR93" s="90">
        <f t="shared" si="600"/>
        <v>1608885.4500608197</v>
      </c>
      <c r="BS93" s="90">
        <f t="shared" si="600"/>
        <v>1623308.3908946938</v>
      </c>
      <c r="BT93" s="90">
        <f t="shared" si="600"/>
        <v>1657596.7583344001</v>
      </c>
      <c r="BU93" s="90">
        <f t="shared" si="600"/>
        <v>1676261.3357672447</v>
      </c>
      <c r="BV93" s="90">
        <f t="shared" si="600"/>
        <v>1694302.4366124473</v>
      </c>
      <c r="BW93" s="90">
        <f t="shared" si="600"/>
        <v>1707704.0082973975</v>
      </c>
      <c r="BX93" s="90">
        <f t="shared" si="600"/>
        <v>1743604.7525525535</v>
      </c>
      <c r="BY93" s="90">
        <f t="shared" si="600"/>
        <v>1759845.0426194835</v>
      </c>
      <c r="BZ93" s="90">
        <f t="shared" si="600"/>
        <v>1774322.2099961543</v>
      </c>
      <c r="CA93" s="90">
        <f t="shared" si="600"/>
        <v>1808631.0869435517</v>
      </c>
      <c r="CB93" s="90">
        <f t="shared" si="600"/>
        <v>1826463.1977400319</v>
      </c>
      <c r="CC93" s="90">
        <f t="shared" si="600"/>
        <v>1845076.5221662871</v>
      </c>
      <c r="CD93" s="90">
        <f t="shared" si="600"/>
        <v>1858973.4259345385</v>
      </c>
      <c r="CE93" s="90">
        <f t="shared" si="600"/>
        <v>1894576.4668498987</v>
      </c>
      <c r="CF93" s="90">
        <f t="shared" si="600"/>
        <v>1909789.0110706431</v>
      </c>
      <c r="CG93" s="90">
        <f t="shared" si="600"/>
        <v>1924870.5343609061</v>
      </c>
      <c r="CH93" s="90">
        <f t="shared" si="600"/>
        <v>1960258.8947353885</v>
      </c>
      <c r="CI93" s="90">
        <f t="shared" si="600"/>
        <v>1977480.8524774255</v>
      </c>
      <c r="CJ93" s="90">
        <f t="shared" si="600"/>
        <v>1994924.2244305625</v>
      </c>
      <c r="CK93" s="90">
        <f t="shared" si="600"/>
        <v>2009449.2352122725</v>
      </c>
      <c r="CL93" s="90">
        <f t="shared" si="600"/>
        <v>2046315.0495861238</v>
      </c>
      <c r="CM93" s="90">
        <f t="shared" si="600"/>
        <v>2060396.408748656</v>
      </c>
      <c r="CN93" s="90">
        <f t="shared" si="600"/>
        <v>2074333.344538335</v>
      </c>
      <c r="CO93" s="90"/>
    </row>
    <row r="94" spans="1:93" ht="12.75" customHeight="1">
      <c r="A94" s="90"/>
      <c r="B94" s="93" t="s">
        <v>189</v>
      </c>
      <c r="C94" s="90">
        <f t="shared" si="596"/>
        <v>2111537.6544510662</v>
      </c>
      <c r="D94" s="92">
        <f t="shared" ref="D94:CN94" si="601">SUM(D81,D85,D92)</f>
        <v>954678.3</v>
      </c>
      <c r="E94" s="90">
        <f t="shared" si="601"/>
        <v>-3490</v>
      </c>
      <c r="F94" s="90">
        <f t="shared" si="601"/>
        <v>0</v>
      </c>
      <c r="G94" s="90">
        <f t="shared" si="601"/>
        <v>-23168.333333333332</v>
      </c>
      <c r="H94" s="90">
        <f t="shared" si="601"/>
        <v>-24450</v>
      </c>
      <c r="I94" s="90">
        <f t="shared" si="601"/>
        <v>-20491.666666666664</v>
      </c>
      <c r="J94" s="90">
        <f t="shared" si="601"/>
        <v>-25588.333333333328</v>
      </c>
      <c r="K94" s="90">
        <f t="shared" si="601"/>
        <v>-266256.59583333338</v>
      </c>
      <c r="L94" s="90">
        <f t="shared" si="601"/>
        <v>-280921.55138888891</v>
      </c>
      <c r="M94" s="90">
        <f t="shared" si="601"/>
        <v>-252328.22013888892</v>
      </c>
      <c r="N94" s="90">
        <f t="shared" si="601"/>
        <v>46487.580460069352</v>
      </c>
      <c r="O94" s="90">
        <f t="shared" si="601"/>
        <v>44481.68639756937</v>
      </c>
      <c r="P94" s="90">
        <f t="shared" si="601"/>
        <v>43546.656202257145</v>
      </c>
      <c r="Q94" s="90">
        <f t="shared" si="601"/>
        <v>51323.765069444315</v>
      </c>
      <c r="R94" s="90">
        <f t="shared" si="601"/>
        <v>46714.455694444245</v>
      </c>
      <c r="S94" s="90">
        <f t="shared" si="601"/>
        <v>41125.499861111632</v>
      </c>
      <c r="T94" s="90">
        <f t="shared" si="601"/>
        <v>13577.559944444278</v>
      </c>
      <c r="U94" s="90">
        <f t="shared" si="601"/>
        <v>20211.213111111196</v>
      </c>
      <c r="V94" s="90">
        <f t="shared" si="601"/>
        <v>2873.4022653302236</v>
      </c>
      <c r="W94" s="90">
        <f t="shared" si="601"/>
        <v>91217.816058036755</v>
      </c>
      <c r="X94" s="90">
        <f t="shared" si="601"/>
        <v>90062.798763382685</v>
      </c>
      <c r="Y94" s="90">
        <f t="shared" si="601"/>
        <v>18678.955410790601</v>
      </c>
      <c r="Z94" s="90">
        <f t="shared" si="601"/>
        <v>22344.992366216204</v>
      </c>
      <c r="AA94" s="90">
        <f t="shared" si="601"/>
        <v>28383.836197293218</v>
      </c>
      <c r="AB94" s="90">
        <f t="shared" si="601"/>
        <v>33251.841674519645</v>
      </c>
      <c r="AC94" s="90">
        <f t="shared" si="601"/>
        <v>659.95347621077963</v>
      </c>
      <c r="AD94" s="90">
        <f t="shared" si="601"/>
        <v>-33382.493312916369</v>
      </c>
      <c r="AE94" s="90">
        <f t="shared" si="601"/>
        <v>-67352.088716389786</v>
      </c>
      <c r="AF94" s="90">
        <f t="shared" si="601"/>
        <v>36241.300652276055</v>
      </c>
      <c r="AG94" s="90">
        <f t="shared" si="601"/>
        <v>20674.812649365034</v>
      </c>
      <c r="AH94" s="90">
        <f t="shared" si="601"/>
        <v>28126.568174730288</v>
      </c>
      <c r="AI94" s="90">
        <f t="shared" si="601"/>
        <v>34591.933180647873</v>
      </c>
      <c r="AJ94" s="90">
        <f t="shared" si="601"/>
        <v>18084.991376137914</v>
      </c>
      <c r="AK94" s="37">
        <f t="shared" si="601"/>
        <v>24328.903928552492</v>
      </c>
      <c r="AL94" s="90">
        <f t="shared" si="601"/>
        <v>31110.345976875833</v>
      </c>
      <c r="AM94" s="90">
        <f t="shared" si="601"/>
        <v>37671.078453757131</v>
      </c>
      <c r="AN94" s="90">
        <f t="shared" si="601"/>
        <v>19901.18280289277</v>
      </c>
      <c r="AO94" s="90">
        <f t="shared" si="601"/>
        <v>29693.684994000767</v>
      </c>
      <c r="AP94" s="90">
        <f t="shared" si="601"/>
        <v>36123.040340242733</v>
      </c>
      <c r="AQ94" s="90">
        <f t="shared" si="601"/>
        <v>18653.801766248056</v>
      </c>
      <c r="AR94" s="90">
        <f t="shared" si="601"/>
        <v>23628.124956881569</v>
      </c>
      <c r="AS94" s="90">
        <f t="shared" si="601"/>
        <v>32782.67180764387</v>
      </c>
      <c r="AT94" s="90">
        <f t="shared" si="601"/>
        <v>39376.428414966591</v>
      </c>
      <c r="AU94" s="90">
        <f t="shared" si="601"/>
        <v>20537.827780527063</v>
      </c>
      <c r="AV94" s="90">
        <f t="shared" si="601"/>
        <v>29145.280295796983</v>
      </c>
      <c r="AW94" s="90">
        <f t="shared" si="601"/>
        <v>38098.31049558628</v>
      </c>
      <c r="AX94" s="90">
        <f t="shared" si="601"/>
        <v>19377.412419665721</v>
      </c>
      <c r="AY94" s="90">
        <f t="shared" si="601"/>
        <v>24397.027394417324</v>
      </c>
      <c r="AZ94" s="90">
        <f t="shared" si="601"/>
        <v>32284.808016554394</v>
      </c>
      <c r="BA94" s="90">
        <f t="shared" si="601"/>
        <v>41512.949721451354</v>
      </c>
      <c r="BB94" s="90">
        <f t="shared" si="601"/>
        <v>20695.932153464353</v>
      </c>
      <c r="BC94" s="90">
        <f t="shared" si="601"/>
        <v>28822.464551477489</v>
      </c>
      <c r="BD94" s="90">
        <f t="shared" si="601"/>
        <v>36043.012819034804</v>
      </c>
      <c r="BE94" s="90">
        <f t="shared" si="601"/>
        <v>19773.134802656801</v>
      </c>
      <c r="BF94" s="90">
        <f t="shared" si="601"/>
        <v>24322.44523187408</v>
      </c>
      <c r="BG94" s="90">
        <f t="shared" si="601"/>
        <v>31893.679861157492</v>
      </c>
      <c r="BH94" s="90">
        <f t="shared" si="601"/>
        <v>39253.777269890968</v>
      </c>
      <c r="BI94" s="90">
        <f t="shared" si="601"/>
        <v>52508.923487614273</v>
      </c>
      <c r="BJ94" s="90">
        <f t="shared" si="601"/>
        <v>15457.652186103165</v>
      </c>
      <c r="BK94" s="90">
        <f t="shared" si="601"/>
        <v>15325.155159883026</v>
      </c>
      <c r="BL94" s="90">
        <f t="shared" si="601"/>
        <v>34392.790827298857</v>
      </c>
      <c r="BM94" s="90">
        <f t="shared" si="601"/>
        <v>18169.27032317064</v>
      </c>
      <c r="BN94" s="90">
        <f t="shared" si="601"/>
        <v>17481.7414123817</v>
      </c>
      <c r="BO94" s="90">
        <f t="shared" si="601"/>
        <v>14806.652927264542</v>
      </c>
      <c r="BP94" s="90">
        <f t="shared" si="601"/>
        <v>35646.907626068947</v>
      </c>
      <c r="BQ94" s="90">
        <f t="shared" si="601"/>
        <v>15758.393593779911</v>
      </c>
      <c r="BR94" s="90">
        <f t="shared" si="601"/>
        <v>14422.940833874163</v>
      </c>
      <c r="BS94" s="90">
        <f t="shared" si="601"/>
        <v>34288.367439706257</v>
      </c>
      <c r="BT94" s="90">
        <f t="shared" si="601"/>
        <v>18664.577432844555</v>
      </c>
      <c r="BU94" s="90">
        <f t="shared" si="601"/>
        <v>18041.100845202542</v>
      </c>
      <c r="BV94" s="90">
        <f t="shared" si="601"/>
        <v>13401.571684950322</v>
      </c>
      <c r="BW94" s="90">
        <f t="shared" si="601"/>
        <v>35900.744255156023</v>
      </c>
      <c r="BX94" s="90">
        <f t="shared" si="601"/>
        <v>16240.290066930029</v>
      </c>
      <c r="BY94" s="90">
        <f t="shared" si="601"/>
        <v>14477.167376670841</v>
      </c>
      <c r="BZ94" s="90">
        <f t="shared" si="601"/>
        <v>34308.876947397424</v>
      </c>
      <c r="CA94" s="90">
        <f t="shared" si="601"/>
        <v>17832.110796480178</v>
      </c>
      <c r="CB94" s="90">
        <f t="shared" si="601"/>
        <v>18613.324426255305</v>
      </c>
      <c r="CC94" s="90">
        <f t="shared" si="601"/>
        <v>13896.903768251475</v>
      </c>
      <c r="CD94" s="90">
        <f t="shared" si="601"/>
        <v>35603.040915360194</v>
      </c>
      <c r="CE94" s="90">
        <f t="shared" si="601"/>
        <v>15212.544220744487</v>
      </c>
      <c r="CF94" s="90">
        <f t="shared" si="601"/>
        <v>15081.523290263111</v>
      </c>
      <c r="CG94" s="90">
        <f t="shared" si="601"/>
        <v>35388.360374482319</v>
      </c>
      <c r="CH94" s="90">
        <f t="shared" si="601"/>
        <v>17221.957742037106</v>
      </c>
      <c r="CI94" s="90">
        <f t="shared" si="601"/>
        <v>17443.371953136957</v>
      </c>
      <c r="CJ94" s="90">
        <f t="shared" si="601"/>
        <v>14525.010781709949</v>
      </c>
      <c r="CK94" s="90">
        <f t="shared" si="601"/>
        <v>36865.814373851186</v>
      </c>
      <c r="CL94" s="90">
        <f t="shared" si="601"/>
        <v>14081.359162532346</v>
      </c>
      <c r="CM94" s="90">
        <f t="shared" si="601"/>
        <v>13936.935789678973</v>
      </c>
      <c r="CN94" s="90">
        <f t="shared" si="601"/>
        <v>37204.309912731318</v>
      </c>
      <c r="CO94" s="90"/>
    </row>
    <row r="95" spans="1:93" ht="12.75" customHeight="1">
      <c r="A95" s="90"/>
      <c r="B95" s="94" t="s">
        <v>190</v>
      </c>
      <c r="C95" s="95"/>
      <c r="D95" s="76">
        <f t="shared" ref="D95:CN95" si="602">SUM(D93:D94)</f>
        <v>954678.3</v>
      </c>
      <c r="E95" s="95">
        <f t="shared" si="602"/>
        <v>951188.3</v>
      </c>
      <c r="F95" s="95">
        <f t="shared" si="602"/>
        <v>951188.3</v>
      </c>
      <c r="G95" s="95">
        <f t="shared" si="602"/>
        <v>928019.96666666667</v>
      </c>
      <c r="H95" s="95">
        <f t="shared" si="602"/>
        <v>903569.96666666667</v>
      </c>
      <c r="I95" s="95">
        <f t="shared" si="602"/>
        <v>883078.3</v>
      </c>
      <c r="J95" s="95">
        <f t="shared" si="602"/>
        <v>857489.96666666667</v>
      </c>
      <c r="K95" s="95">
        <f t="shared" si="602"/>
        <v>591233.37083333335</v>
      </c>
      <c r="L95" s="95">
        <f t="shared" si="602"/>
        <v>310311.81944444444</v>
      </c>
      <c r="M95" s="95">
        <f t="shared" si="602"/>
        <v>57983.599305555515</v>
      </c>
      <c r="N95" s="95">
        <f t="shared" si="602"/>
        <v>104471.17976562487</v>
      </c>
      <c r="O95" s="95">
        <f t="shared" si="602"/>
        <v>148952.86616319424</v>
      </c>
      <c r="P95" s="95">
        <f t="shared" si="602"/>
        <v>192499.52236545138</v>
      </c>
      <c r="Q95" s="95">
        <f t="shared" si="602"/>
        <v>243823.2874348957</v>
      </c>
      <c r="R95" s="95">
        <f t="shared" si="602"/>
        <v>290537.74312933994</v>
      </c>
      <c r="S95" s="95">
        <f t="shared" si="602"/>
        <v>331663.24299045157</v>
      </c>
      <c r="T95" s="95">
        <f t="shared" si="602"/>
        <v>345240.80293489585</v>
      </c>
      <c r="U95" s="95">
        <f t="shared" si="602"/>
        <v>365452.01604600705</v>
      </c>
      <c r="V95" s="95">
        <f t="shared" si="602"/>
        <v>368325.41831133724</v>
      </c>
      <c r="W95" s="95">
        <f t="shared" si="602"/>
        <v>459543.234369374</v>
      </c>
      <c r="X95" s="95">
        <f t="shared" si="602"/>
        <v>549606.03313275671</v>
      </c>
      <c r="Y95" s="95">
        <f t="shared" si="602"/>
        <v>568284.98854354734</v>
      </c>
      <c r="Z95" s="95">
        <f t="shared" si="602"/>
        <v>590629.9809097636</v>
      </c>
      <c r="AA95" s="95">
        <f t="shared" si="602"/>
        <v>619013.81710705685</v>
      </c>
      <c r="AB95" s="95">
        <f t="shared" si="602"/>
        <v>652265.65878157644</v>
      </c>
      <c r="AC95" s="95">
        <f t="shared" si="602"/>
        <v>652925.61225778726</v>
      </c>
      <c r="AD95" s="95">
        <f t="shared" si="602"/>
        <v>619543.11894487089</v>
      </c>
      <c r="AE95" s="95">
        <f t="shared" si="602"/>
        <v>552191.03022848116</v>
      </c>
      <c r="AF95" s="95">
        <f t="shared" si="602"/>
        <v>588432.33088075719</v>
      </c>
      <c r="AG95" s="95">
        <f t="shared" si="602"/>
        <v>609107.14353012224</v>
      </c>
      <c r="AH95" s="95">
        <f t="shared" si="602"/>
        <v>637233.71170485253</v>
      </c>
      <c r="AI95" s="95">
        <f t="shared" si="602"/>
        <v>671825.64488550043</v>
      </c>
      <c r="AJ95" s="95">
        <f t="shared" si="602"/>
        <v>689910.63626163837</v>
      </c>
      <c r="AK95" s="75">
        <f t="shared" si="602"/>
        <v>714239.54019019089</v>
      </c>
      <c r="AL95" s="95">
        <f t="shared" si="602"/>
        <v>745349.88616706675</v>
      </c>
      <c r="AM95" s="95">
        <f t="shared" si="602"/>
        <v>783020.96462082386</v>
      </c>
      <c r="AN95" s="95">
        <f t="shared" si="602"/>
        <v>802922.14742371661</v>
      </c>
      <c r="AO95" s="95">
        <f t="shared" si="602"/>
        <v>832615.83241771744</v>
      </c>
      <c r="AP95" s="95">
        <f t="shared" si="602"/>
        <v>868738.87275796011</v>
      </c>
      <c r="AQ95" s="95">
        <f t="shared" si="602"/>
        <v>887392.67452420818</v>
      </c>
      <c r="AR95" s="95">
        <f t="shared" si="602"/>
        <v>911020.79948108969</v>
      </c>
      <c r="AS95" s="95">
        <f t="shared" si="602"/>
        <v>943803.47128873353</v>
      </c>
      <c r="AT95" s="95">
        <f t="shared" si="602"/>
        <v>983179.8997037001</v>
      </c>
      <c r="AU95" s="95">
        <f t="shared" si="602"/>
        <v>1003717.7274842272</v>
      </c>
      <c r="AV95" s="95">
        <f t="shared" si="602"/>
        <v>1032863.0077800241</v>
      </c>
      <c r="AW95" s="95">
        <f t="shared" si="602"/>
        <v>1070961.3182756105</v>
      </c>
      <c r="AX95" s="95">
        <f t="shared" si="602"/>
        <v>1090338.7306952761</v>
      </c>
      <c r="AY95" s="95">
        <f t="shared" si="602"/>
        <v>1114735.7580896933</v>
      </c>
      <c r="AZ95" s="95">
        <f t="shared" si="602"/>
        <v>1147020.5661062477</v>
      </c>
      <c r="BA95" s="95">
        <f t="shared" si="602"/>
        <v>1188533.5158276991</v>
      </c>
      <c r="BB95" s="95">
        <f t="shared" si="602"/>
        <v>1209229.4479811634</v>
      </c>
      <c r="BC95" s="95">
        <f t="shared" si="602"/>
        <v>1238051.9125326409</v>
      </c>
      <c r="BD95" s="95">
        <f t="shared" si="602"/>
        <v>1274094.9253516756</v>
      </c>
      <c r="BE95" s="95">
        <f t="shared" si="602"/>
        <v>1293868.0601543323</v>
      </c>
      <c r="BF95" s="95">
        <f t="shared" si="602"/>
        <v>1318190.5053862063</v>
      </c>
      <c r="BG95" s="95">
        <f t="shared" si="602"/>
        <v>1350084.1852473638</v>
      </c>
      <c r="BH95" s="95">
        <f t="shared" si="602"/>
        <v>1389337.9625172548</v>
      </c>
      <c r="BI95" s="95">
        <f t="shared" si="602"/>
        <v>1441846.8860048691</v>
      </c>
      <c r="BJ95" s="95">
        <f t="shared" si="602"/>
        <v>1457304.5381909723</v>
      </c>
      <c r="BK95" s="95">
        <f t="shared" si="602"/>
        <v>1472629.6933508553</v>
      </c>
      <c r="BL95" s="95">
        <f t="shared" si="602"/>
        <v>1507022.484178154</v>
      </c>
      <c r="BM95" s="95">
        <f t="shared" si="602"/>
        <v>1525191.7545013246</v>
      </c>
      <c r="BN95" s="95">
        <f t="shared" si="602"/>
        <v>1542673.4959137063</v>
      </c>
      <c r="BO95" s="95">
        <f t="shared" si="602"/>
        <v>1557480.1488409708</v>
      </c>
      <c r="BP95" s="95">
        <f t="shared" si="602"/>
        <v>1593127.0564670397</v>
      </c>
      <c r="BQ95" s="95">
        <f t="shared" si="602"/>
        <v>1608885.4500608197</v>
      </c>
      <c r="BR95" s="95">
        <f t="shared" si="602"/>
        <v>1623308.3908946938</v>
      </c>
      <c r="BS95" s="95">
        <f t="shared" si="602"/>
        <v>1657596.7583344001</v>
      </c>
      <c r="BT95" s="95">
        <f t="shared" si="602"/>
        <v>1676261.3357672447</v>
      </c>
      <c r="BU95" s="95">
        <f t="shared" si="602"/>
        <v>1694302.4366124473</v>
      </c>
      <c r="BV95" s="95">
        <f t="shared" si="602"/>
        <v>1707704.0082973975</v>
      </c>
      <c r="BW95" s="95">
        <f t="shared" si="602"/>
        <v>1743604.7525525535</v>
      </c>
      <c r="BX95" s="95">
        <f t="shared" si="602"/>
        <v>1759845.0426194835</v>
      </c>
      <c r="BY95" s="95">
        <f t="shared" si="602"/>
        <v>1774322.2099961543</v>
      </c>
      <c r="BZ95" s="95">
        <f t="shared" si="602"/>
        <v>1808631.0869435517</v>
      </c>
      <c r="CA95" s="95">
        <f t="shared" si="602"/>
        <v>1826463.1977400319</v>
      </c>
      <c r="CB95" s="95">
        <f t="shared" si="602"/>
        <v>1845076.5221662871</v>
      </c>
      <c r="CC95" s="95">
        <f t="shared" si="602"/>
        <v>1858973.4259345385</v>
      </c>
      <c r="CD95" s="95">
        <f t="shared" si="602"/>
        <v>1894576.4668498987</v>
      </c>
      <c r="CE95" s="95">
        <f t="shared" si="602"/>
        <v>1909789.0110706431</v>
      </c>
      <c r="CF95" s="95">
        <f t="shared" si="602"/>
        <v>1924870.5343609061</v>
      </c>
      <c r="CG95" s="95">
        <f t="shared" si="602"/>
        <v>1960258.8947353885</v>
      </c>
      <c r="CH95" s="95">
        <f t="shared" si="602"/>
        <v>1977480.8524774255</v>
      </c>
      <c r="CI95" s="95">
        <f t="shared" si="602"/>
        <v>1994924.2244305625</v>
      </c>
      <c r="CJ95" s="95">
        <f t="shared" si="602"/>
        <v>2009449.2352122725</v>
      </c>
      <c r="CK95" s="95">
        <f t="shared" si="602"/>
        <v>2046315.0495861238</v>
      </c>
      <c r="CL95" s="95">
        <f t="shared" si="602"/>
        <v>2060396.408748656</v>
      </c>
      <c r="CM95" s="95">
        <f t="shared" si="602"/>
        <v>2074333.344538335</v>
      </c>
      <c r="CN95" s="95">
        <f t="shared" si="602"/>
        <v>2111537.6544510662</v>
      </c>
      <c r="CO95" s="90"/>
    </row>
    <row r="96" spans="1:93" ht="12.75" customHeight="1">
      <c r="A96" s="90"/>
      <c r="B96" s="93"/>
      <c r="C96" s="90"/>
      <c r="D96" s="92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37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</row>
    <row r="97" spans="1:93" ht="12.75" customHeight="1">
      <c r="A97" s="90"/>
      <c r="B97" s="96" t="s">
        <v>191</v>
      </c>
      <c r="C97" s="96">
        <f>'Model (years)'!C93</f>
        <v>12121708.43960508</v>
      </c>
      <c r="D97" s="92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37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</row>
    <row r="98" spans="1:93" ht="12.75" customHeight="1">
      <c r="A98" s="90"/>
      <c r="B98" s="96" t="s">
        <v>192</v>
      </c>
      <c r="C98" s="96">
        <f>SUM(D98:CO98)</f>
        <v>20600089.50842642</v>
      </c>
      <c r="D98" s="92">
        <f t="shared" ref="D98:CN98" si="603">D85+D81</f>
        <v>0</v>
      </c>
      <c r="E98" s="90">
        <f t="shared" si="603"/>
        <v>-3490</v>
      </c>
      <c r="F98" s="90">
        <f t="shared" si="603"/>
        <v>0</v>
      </c>
      <c r="G98" s="90">
        <f t="shared" si="603"/>
        <v>-23168.333333333332</v>
      </c>
      <c r="H98" s="90">
        <f t="shared" si="603"/>
        <v>-24450</v>
      </c>
      <c r="I98" s="90">
        <f t="shared" si="603"/>
        <v>-20491.666666666664</v>
      </c>
      <c r="J98" s="90">
        <f t="shared" si="603"/>
        <v>-25588.333333333328</v>
      </c>
      <c r="K98" s="90">
        <f t="shared" si="603"/>
        <v>-266256.59583333338</v>
      </c>
      <c r="L98" s="90">
        <f t="shared" si="603"/>
        <v>-280921.55138888891</v>
      </c>
      <c r="M98" s="90">
        <f t="shared" si="603"/>
        <v>-269251.29930555553</v>
      </c>
      <c r="N98" s="90">
        <f t="shared" si="603"/>
        <v>-312986.12847222225</v>
      </c>
      <c r="O98" s="90">
        <f t="shared" si="603"/>
        <v>-410061.53472222225</v>
      </c>
      <c r="P98" s="90">
        <f t="shared" si="603"/>
        <v>-430983.19097222219</v>
      </c>
      <c r="Q98" s="90">
        <f t="shared" si="603"/>
        <v>-424188.73159722221</v>
      </c>
      <c r="R98" s="90">
        <f t="shared" si="603"/>
        <v>-307512.30659722222</v>
      </c>
      <c r="S98" s="90">
        <f t="shared" si="603"/>
        <v>-391828.04555555555</v>
      </c>
      <c r="T98" s="90">
        <f t="shared" si="603"/>
        <v>-346698.79222222226</v>
      </c>
      <c r="U98" s="90">
        <f t="shared" si="603"/>
        <v>-309198.35555555561</v>
      </c>
      <c r="V98" s="90">
        <f t="shared" si="603"/>
        <v>-260011.40335966976</v>
      </c>
      <c r="W98" s="90">
        <f t="shared" si="603"/>
        <v>224317.72412599839</v>
      </c>
      <c r="X98" s="90">
        <f t="shared" si="603"/>
        <v>266768.87591362931</v>
      </c>
      <c r="Y98" s="90">
        <f t="shared" si="603"/>
        <v>112073.7324647436</v>
      </c>
      <c r="Z98" s="90">
        <f t="shared" si="603"/>
        <v>134069.95419729728</v>
      </c>
      <c r="AA98" s="90">
        <f t="shared" si="603"/>
        <v>170303.01718375942</v>
      </c>
      <c r="AB98" s="90">
        <f t="shared" si="603"/>
        <v>199511.05004711795</v>
      </c>
      <c r="AC98" s="90">
        <f t="shared" si="603"/>
        <v>113136.3851621894</v>
      </c>
      <c r="AD98" s="90">
        <f t="shared" si="603"/>
        <v>138236.3998951856</v>
      </c>
      <c r="AE98" s="90">
        <f t="shared" si="603"/>
        <v>178435.53889525327</v>
      </c>
      <c r="AF98" s="90">
        <f t="shared" si="603"/>
        <v>217447.8039136563</v>
      </c>
      <c r="AG98" s="90">
        <f t="shared" si="603"/>
        <v>124048.87589619025</v>
      </c>
      <c r="AH98" s="90">
        <f t="shared" si="603"/>
        <v>168759.40904838173</v>
      </c>
      <c r="AI98" s="90">
        <f t="shared" si="603"/>
        <v>207551.59908388735</v>
      </c>
      <c r="AJ98" s="90">
        <f t="shared" si="603"/>
        <v>108509.9482568275</v>
      </c>
      <c r="AK98" s="37">
        <f t="shared" si="603"/>
        <v>145973.42357131495</v>
      </c>
      <c r="AL98" s="90">
        <f t="shared" si="603"/>
        <v>186662.07586125506</v>
      </c>
      <c r="AM98" s="90">
        <f t="shared" si="603"/>
        <v>226026.47072254281</v>
      </c>
      <c r="AN98" s="90">
        <f t="shared" si="603"/>
        <v>119407.09681735665</v>
      </c>
      <c r="AO98" s="90">
        <f t="shared" si="603"/>
        <v>178162.1099640046</v>
      </c>
      <c r="AP98" s="90">
        <f t="shared" si="603"/>
        <v>216738.24204145643</v>
      </c>
      <c r="AQ98" s="90">
        <f t="shared" si="603"/>
        <v>111922.81059748832</v>
      </c>
      <c r="AR98" s="90">
        <f t="shared" si="603"/>
        <v>141768.7497412895</v>
      </c>
      <c r="AS98" s="90">
        <f t="shared" si="603"/>
        <v>196696.03084586334</v>
      </c>
      <c r="AT98" s="90">
        <f t="shared" si="603"/>
        <v>236258.57048979966</v>
      </c>
      <c r="AU98" s="90">
        <f t="shared" si="603"/>
        <v>123226.96668316249</v>
      </c>
      <c r="AV98" s="90">
        <f t="shared" si="603"/>
        <v>174871.68177478202</v>
      </c>
      <c r="AW98" s="90">
        <f t="shared" si="603"/>
        <v>228589.8629735178</v>
      </c>
      <c r="AX98" s="90">
        <f t="shared" si="603"/>
        <v>116264.47451799433</v>
      </c>
      <c r="AY98" s="90">
        <f t="shared" si="603"/>
        <v>146382.16436650406</v>
      </c>
      <c r="AZ98" s="90">
        <f t="shared" si="603"/>
        <v>193708.84809932648</v>
      </c>
      <c r="BA98" s="90">
        <f t="shared" si="603"/>
        <v>249077.69832870809</v>
      </c>
      <c r="BB98" s="90">
        <f t="shared" si="603"/>
        <v>124175.5929207861</v>
      </c>
      <c r="BC98" s="90">
        <f t="shared" si="603"/>
        <v>172934.78730886502</v>
      </c>
      <c r="BD98" s="90">
        <f t="shared" si="603"/>
        <v>216258.07691420888</v>
      </c>
      <c r="BE98" s="90">
        <f t="shared" si="603"/>
        <v>118638.80881594087</v>
      </c>
      <c r="BF98" s="90">
        <f t="shared" si="603"/>
        <v>145934.67139124451</v>
      </c>
      <c r="BG98" s="90">
        <f t="shared" si="603"/>
        <v>191362.07916694501</v>
      </c>
      <c r="BH98" s="90">
        <f t="shared" si="603"/>
        <v>235522.66361934581</v>
      </c>
      <c r="BI98" s="90">
        <f t="shared" si="603"/>
        <v>129935.58716992871</v>
      </c>
      <c r="BJ98" s="90">
        <f t="shared" si="603"/>
        <v>179673.16851684701</v>
      </c>
      <c r="BK98" s="90">
        <f t="shared" si="603"/>
        <v>223935.33420726465</v>
      </c>
      <c r="BL98" s="90">
        <f t="shared" si="603"/>
        <v>111040.0429133187</v>
      </c>
      <c r="BM98" s="90">
        <f t="shared" si="603"/>
        <v>154766.3863330553</v>
      </c>
      <c r="BN98" s="90">
        <f t="shared" si="603"/>
        <v>200778.80468352506</v>
      </c>
      <c r="BO98" s="90">
        <f t="shared" si="603"/>
        <v>246179.84753195339</v>
      </c>
      <c r="BP98" s="90">
        <f t="shared" si="603"/>
        <v>124458.42937372794</v>
      </c>
      <c r="BQ98" s="90">
        <f t="shared" si="603"/>
        <v>192455.6538064116</v>
      </c>
      <c r="BR98" s="90">
        <f t="shared" si="603"/>
        <v>236930.99964160571</v>
      </c>
      <c r="BS98" s="90">
        <f t="shared" si="603"/>
        <v>116439.39787590517</v>
      </c>
      <c r="BT98" s="90">
        <f t="shared" si="603"/>
        <v>150063.3819594587</v>
      </c>
      <c r="BU98" s="90">
        <f t="shared" si="603"/>
        <v>214914.60827120612</v>
      </c>
      <c r="BV98" s="90">
        <f t="shared" si="603"/>
        <v>259932.22968671168</v>
      </c>
      <c r="BW98" s="90">
        <f t="shared" si="603"/>
        <v>130845.65401706059</v>
      </c>
      <c r="BX98" s="90">
        <f t="shared" si="603"/>
        <v>189080.66303593098</v>
      </c>
      <c r="BY98" s="90">
        <f t="shared" si="603"/>
        <v>252669.87418834193</v>
      </c>
      <c r="BZ98" s="90">
        <f t="shared" si="603"/>
        <v>124283.76707404437</v>
      </c>
      <c r="CA98" s="90">
        <f t="shared" si="603"/>
        <v>157516.13346632145</v>
      </c>
      <c r="CB98" s="90">
        <f t="shared" si="603"/>
        <v>211941.99485027423</v>
      </c>
      <c r="CC98" s="90">
        <f t="shared" si="603"/>
        <v>277468.37650951627</v>
      </c>
      <c r="CD98" s="90">
        <f t="shared" si="603"/>
        <v>139145.3840608882</v>
      </c>
      <c r="CE98" s="90">
        <f t="shared" si="603"/>
        <v>198433.80304462736</v>
      </c>
      <c r="CF98" s="90">
        <f t="shared" si="603"/>
        <v>251063.75284425938</v>
      </c>
      <c r="CG98" s="90">
        <f t="shared" si="603"/>
        <v>134739.06546153256</v>
      </c>
      <c r="CH98" s="90">
        <f t="shared" si="603"/>
        <v>167880.94315413316</v>
      </c>
      <c r="CI98" s="90">
        <f t="shared" si="603"/>
        <v>222202.11185880093</v>
      </c>
      <c r="CJ98" s="90">
        <f t="shared" si="603"/>
        <v>276386.76432555728</v>
      </c>
      <c r="CK98" s="90">
        <f t="shared" si="603"/>
        <v>150633.27317611483</v>
      </c>
      <c r="CL98" s="90">
        <f t="shared" si="603"/>
        <v>210602.04493526847</v>
      </c>
      <c r="CM98" s="90">
        <f t="shared" si="603"/>
        <v>263507.91997353209</v>
      </c>
      <c r="CN98" s="90">
        <f t="shared" si="603"/>
        <v>125827.66817162005</v>
      </c>
      <c r="CO98" s="90">
        <f>C97</f>
        <v>12121708.43960508</v>
      </c>
    </row>
    <row r="99" spans="1:93" ht="12.75" customHeight="1">
      <c r="A99" s="90"/>
      <c r="B99" s="96" t="s">
        <v>193</v>
      </c>
      <c r="C99" s="96">
        <f>CO99</f>
        <v>20600089.50842642</v>
      </c>
      <c r="D99" s="92">
        <f>D98</f>
        <v>0</v>
      </c>
      <c r="E99" s="90">
        <f t="shared" ref="E99:CO99" si="604">D99+E98</f>
        <v>-3490</v>
      </c>
      <c r="F99" s="90">
        <f t="shared" si="604"/>
        <v>-3490</v>
      </c>
      <c r="G99" s="90">
        <f t="shared" si="604"/>
        <v>-26658.333333333332</v>
      </c>
      <c r="H99" s="90">
        <f t="shared" si="604"/>
        <v>-51108.333333333328</v>
      </c>
      <c r="I99" s="90">
        <f t="shared" si="604"/>
        <v>-71600</v>
      </c>
      <c r="J99" s="90">
        <f t="shared" si="604"/>
        <v>-97188.333333333328</v>
      </c>
      <c r="K99" s="90">
        <f t="shared" si="604"/>
        <v>-363444.9291666667</v>
      </c>
      <c r="L99" s="90">
        <f t="shared" si="604"/>
        <v>-644366.48055555555</v>
      </c>
      <c r="M99" s="90">
        <f t="shared" si="604"/>
        <v>-913617.77986111108</v>
      </c>
      <c r="N99" s="90">
        <f t="shared" si="604"/>
        <v>-1226603.9083333332</v>
      </c>
      <c r="O99" s="90">
        <f t="shared" si="604"/>
        <v>-1636665.4430555555</v>
      </c>
      <c r="P99" s="90">
        <f t="shared" si="604"/>
        <v>-2067648.6340277777</v>
      </c>
      <c r="Q99" s="90">
        <f t="shared" si="604"/>
        <v>-2491837.3656250001</v>
      </c>
      <c r="R99" s="90">
        <f t="shared" si="604"/>
        <v>-2799349.6722222222</v>
      </c>
      <c r="S99" s="90">
        <f t="shared" si="604"/>
        <v>-3191177.7177777779</v>
      </c>
      <c r="T99" s="90">
        <f t="shared" si="604"/>
        <v>-3537876.5100000002</v>
      </c>
      <c r="U99" s="90">
        <f t="shared" si="604"/>
        <v>-3847074.865555556</v>
      </c>
      <c r="V99" s="90">
        <f t="shared" si="604"/>
        <v>-4107086.2689152258</v>
      </c>
      <c r="W99" s="90">
        <f t="shared" si="604"/>
        <v>-3882768.5447892272</v>
      </c>
      <c r="X99" s="90">
        <f t="shared" si="604"/>
        <v>-3615999.6688755979</v>
      </c>
      <c r="Y99" s="90">
        <f t="shared" si="604"/>
        <v>-3503925.9364108541</v>
      </c>
      <c r="Z99" s="90">
        <f t="shared" si="604"/>
        <v>-3369855.9822135568</v>
      </c>
      <c r="AA99" s="90">
        <f t="shared" si="604"/>
        <v>-3199552.9650297975</v>
      </c>
      <c r="AB99" s="90">
        <f t="shared" si="604"/>
        <v>-3000041.9149826798</v>
      </c>
      <c r="AC99" s="90">
        <f t="shared" si="604"/>
        <v>-2886905.5298204902</v>
      </c>
      <c r="AD99" s="90">
        <f t="shared" si="604"/>
        <v>-2748669.1299253046</v>
      </c>
      <c r="AE99" s="90">
        <f t="shared" si="604"/>
        <v>-2570233.5910300515</v>
      </c>
      <c r="AF99" s="90">
        <f t="shared" si="604"/>
        <v>-2352785.7871163953</v>
      </c>
      <c r="AG99" s="90">
        <f t="shared" si="604"/>
        <v>-2228736.911220205</v>
      </c>
      <c r="AH99" s="90">
        <f t="shared" si="604"/>
        <v>-2059977.5021718233</v>
      </c>
      <c r="AI99" s="90">
        <f t="shared" si="604"/>
        <v>-1852425.9030879359</v>
      </c>
      <c r="AJ99" s="90">
        <f t="shared" si="604"/>
        <v>-1743915.9548311085</v>
      </c>
      <c r="AK99" s="37">
        <f t="shared" si="604"/>
        <v>-1597942.5312597936</v>
      </c>
      <c r="AL99" s="90">
        <f t="shared" si="604"/>
        <v>-1411280.4553985386</v>
      </c>
      <c r="AM99" s="90">
        <f t="shared" si="604"/>
        <v>-1185253.9846759958</v>
      </c>
      <c r="AN99" s="90">
        <f t="shared" si="604"/>
        <v>-1065846.887858639</v>
      </c>
      <c r="AO99" s="90">
        <f t="shared" si="604"/>
        <v>-887684.7778946344</v>
      </c>
      <c r="AP99" s="90">
        <f t="shared" si="604"/>
        <v>-670946.53585317801</v>
      </c>
      <c r="AQ99" s="90">
        <f t="shared" si="604"/>
        <v>-559023.7252556897</v>
      </c>
      <c r="AR99" s="90">
        <f t="shared" si="604"/>
        <v>-417254.97551440017</v>
      </c>
      <c r="AS99" s="90">
        <f t="shared" si="604"/>
        <v>-220558.94466853683</v>
      </c>
      <c r="AT99" s="90">
        <f t="shared" si="604"/>
        <v>15699.625821262831</v>
      </c>
      <c r="AU99" s="90">
        <f t="shared" si="604"/>
        <v>138926.59250442532</v>
      </c>
      <c r="AV99" s="90">
        <f t="shared" si="604"/>
        <v>313798.27427920734</v>
      </c>
      <c r="AW99" s="90">
        <f t="shared" si="604"/>
        <v>542388.1372527252</v>
      </c>
      <c r="AX99" s="90">
        <f t="shared" si="604"/>
        <v>658652.61177071952</v>
      </c>
      <c r="AY99" s="90">
        <f t="shared" si="604"/>
        <v>805034.77613722358</v>
      </c>
      <c r="AZ99" s="90">
        <f t="shared" si="604"/>
        <v>998743.62423655007</v>
      </c>
      <c r="BA99" s="90">
        <f t="shared" si="604"/>
        <v>1247821.3225652582</v>
      </c>
      <c r="BB99" s="90">
        <f t="shared" si="604"/>
        <v>1371996.9154860443</v>
      </c>
      <c r="BC99" s="90">
        <f t="shared" si="604"/>
        <v>1544931.7027949092</v>
      </c>
      <c r="BD99" s="90">
        <f t="shared" si="604"/>
        <v>1761189.7797091182</v>
      </c>
      <c r="BE99" s="90">
        <f t="shared" si="604"/>
        <v>1879828.5885250592</v>
      </c>
      <c r="BF99" s="90">
        <f t="shared" si="604"/>
        <v>2025763.2599163037</v>
      </c>
      <c r="BG99" s="90">
        <f t="shared" si="604"/>
        <v>2217125.3390832487</v>
      </c>
      <c r="BH99" s="90">
        <f t="shared" si="604"/>
        <v>2452648.0027025947</v>
      </c>
      <c r="BI99" s="90">
        <f t="shared" si="604"/>
        <v>2582583.5898725232</v>
      </c>
      <c r="BJ99" s="90">
        <f t="shared" si="604"/>
        <v>2762256.7583893701</v>
      </c>
      <c r="BK99" s="90">
        <f t="shared" si="604"/>
        <v>2986192.0925966348</v>
      </c>
      <c r="BL99" s="90">
        <f t="shared" si="604"/>
        <v>3097232.1355099534</v>
      </c>
      <c r="BM99" s="90">
        <f t="shared" si="604"/>
        <v>3251998.5218430087</v>
      </c>
      <c r="BN99" s="90">
        <f t="shared" si="604"/>
        <v>3452777.3265265338</v>
      </c>
      <c r="BO99" s="90">
        <f t="shared" si="604"/>
        <v>3698957.1740584872</v>
      </c>
      <c r="BP99" s="90">
        <f t="shared" si="604"/>
        <v>3823415.6034322153</v>
      </c>
      <c r="BQ99" s="90">
        <f t="shared" si="604"/>
        <v>4015871.2572386269</v>
      </c>
      <c r="BR99" s="90">
        <f t="shared" si="604"/>
        <v>4252802.2568802331</v>
      </c>
      <c r="BS99" s="90">
        <f t="shared" si="604"/>
        <v>4369241.6547561381</v>
      </c>
      <c r="BT99" s="90">
        <f t="shared" si="604"/>
        <v>4519305.0367155969</v>
      </c>
      <c r="BU99" s="90">
        <f t="shared" si="604"/>
        <v>4734219.6449868027</v>
      </c>
      <c r="BV99" s="90">
        <f t="shared" si="604"/>
        <v>4994151.8746735146</v>
      </c>
      <c r="BW99" s="90">
        <f t="shared" si="604"/>
        <v>5124997.5286905756</v>
      </c>
      <c r="BX99" s="90">
        <f t="shared" si="604"/>
        <v>5314078.1917265067</v>
      </c>
      <c r="BY99" s="90">
        <f t="shared" si="604"/>
        <v>5566748.0659148488</v>
      </c>
      <c r="BZ99" s="90">
        <f t="shared" si="604"/>
        <v>5691031.8329888936</v>
      </c>
      <c r="CA99" s="90">
        <f t="shared" si="604"/>
        <v>5848547.9664552147</v>
      </c>
      <c r="CB99" s="90">
        <f t="shared" si="604"/>
        <v>6060489.9613054888</v>
      </c>
      <c r="CC99" s="90">
        <f t="shared" si="604"/>
        <v>6337958.3378150053</v>
      </c>
      <c r="CD99" s="90">
        <f t="shared" si="604"/>
        <v>6477103.7218758939</v>
      </c>
      <c r="CE99" s="90">
        <f t="shared" si="604"/>
        <v>6675537.5249205213</v>
      </c>
      <c r="CF99" s="90">
        <f t="shared" si="604"/>
        <v>6926601.2777647804</v>
      </c>
      <c r="CG99" s="90">
        <f t="shared" si="604"/>
        <v>7061340.3432263127</v>
      </c>
      <c r="CH99" s="90">
        <f t="shared" si="604"/>
        <v>7229221.2863804456</v>
      </c>
      <c r="CI99" s="90">
        <f t="shared" si="604"/>
        <v>7451423.3982392466</v>
      </c>
      <c r="CJ99" s="90">
        <f t="shared" si="604"/>
        <v>7727810.1625648038</v>
      </c>
      <c r="CK99" s="90">
        <f t="shared" si="604"/>
        <v>7878443.4357409189</v>
      </c>
      <c r="CL99" s="90">
        <f t="shared" si="604"/>
        <v>8089045.4806761872</v>
      </c>
      <c r="CM99" s="90">
        <f t="shared" si="604"/>
        <v>8352553.4006497189</v>
      </c>
      <c r="CN99" s="90">
        <f t="shared" si="604"/>
        <v>8478381.0688213389</v>
      </c>
      <c r="CO99" s="90">
        <f t="shared" si="604"/>
        <v>20600089.50842642</v>
      </c>
    </row>
    <row r="100" spans="1:93" ht="12.75" customHeight="1">
      <c r="A100" s="90"/>
      <c r="B100" s="96" t="s">
        <v>194</v>
      </c>
      <c r="C100" s="96">
        <f>SUM(D100:CO100)</f>
        <v>1246572.5772201503</v>
      </c>
      <c r="D100" s="92">
        <f>D98/(1+Assump!$D$11)^D$9</f>
        <v>0</v>
      </c>
      <c r="E100" s="90">
        <f>E98/(1+Assump!$D$11)^E9</f>
        <v>-3392.4537721535303</v>
      </c>
      <c r="F100" s="90">
        <f>F98/(1+Assump!$D$11)^F9</f>
        <v>0</v>
      </c>
      <c r="G100" s="90">
        <f>G98/(1+Assump!$D$11)^G9</f>
        <v>-21279.446495141809</v>
      </c>
      <c r="H100" s="90">
        <f>H98/(1+Assump!$D$11)^H9</f>
        <v>-21828.953169687185</v>
      </c>
      <c r="I100" s="90">
        <f>I98/(1+Assump!$D$11)^I9</f>
        <v>-17783.606488031899</v>
      </c>
      <c r="J100" s="90">
        <f>J98/(1+Assump!$D$11)^J9</f>
        <v>-21586.044502925153</v>
      </c>
      <c r="K100" s="90">
        <f>K98/(1+Assump!$D$11)^K9</f>
        <v>-218333.28800375509</v>
      </c>
      <c r="L100" s="90">
        <f>L98/(1+Assump!$D$11)^L9</f>
        <v>-223920.13616229634</v>
      </c>
      <c r="M100" s="90">
        <f>M98/(1+Assump!$D$11)^M9</f>
        <v>-208619.26479252186</v>
      </c>
      <c r="N100" s="90">
        <f>N98/(1+Assump!$D$11)^N9</f>
        <v>-235727.47502761931</v>
      </c>
      <c r="O100" s="90">
        <f>O98/(1+Assump!$D$11)^O9</f>
        <v>-300208.27459273802</v>
      </c>
      <c r="P100" s="90">
        <f>P98/(1+Assump!$D$11)^P9</f>
        <v>-306706.13939461036</v>
      </c>
      <c r="Q100" s="90">
        <f>Q98/(1+Assump!$D$11)^Q9</f>
        <v>-293433.55553687835</v>
      </c>
      <c r="R100" s="90">
        <f>R98/(1+Assump!$D$11)^R9</f>
        <v>-206776.72894070708</v>
      </c>
      <c r="S100" s="90">
        <f>S98/(1+Assump!$D$11)^S9</f>
        <v>-256108.02632196533</v>
      </c>
      <c r="T100" s="90">
        <f>T98/(1+Assump!$D$11)^T9</f>
        <v>-220276.67459560593</v>
      </c>
      <c r="U100" s="90">
        <f>U98/(1+Assump!$D$11)^U9</f>
        <v>-190959.76420154705</v>
      </c>
      <c r="V100" s="90">
        <f>V98/(1+Assump!$D$11)^V9</f>
        <v>-156093.78117066165</v>
      </c>
      <c r="W100" s="90">
        <f>W98/(1+Assump!$D$11)^W9</f>
        <v>130901.70616200696</v>
      </c>
      <c r="X100" s="90">
        <f>X98/(1+Assump!$D$11)^X9</f>
        <v>151323.1549328402</v>
      </c>
      <c r="Y100" s="90">
        <f>Y98/(1+Assump!$D$11)^Y9</f>
        <v>61796.314633598726</v>
      </c>
      <c r="Z100" s="90">
        <f>Z98/(1+Assump!$D$11)^Z9</f>
        <v>71858.593489660212</v>
      </c>
      <c r="AA100" s="90">
        <f>AA98/(1+Assump!$D$11)^AA9</f>
        <v>88727.471414156593</v>
      </c>
      <c r="AB100" s="90">
        <f>AB98/(1+Assump!$D$11)^AB9</f>
        <v>101039.50934304214</v>
      </c>
      <c r="AC100" s="90">
        <f>AC98/(1+Assump!$D$11)^AC9</f>
        <v>55694.855826604275</v>
      </c>
      <c r="AD100" s="90">
        <f>AD98/(1+Assump!$D$11)^AD9</f>
        <v>66149.065311277125</v>
      </c>
      <c r="AE100" s="90">
        <f>AE98/(1+Assump!$D$11)^AE9</f>
        <v>82998.676146620855</v>
      </c>
      <c r="AF100" s="90">
        <f>AF98/(1+Assump!$D$11)^AF9</f>
        <v>98318.070259704909</v>
      </c>
      <c r="AG100" s="90">
        <f>AG98/(1+Assump!$D$11)^AG9</f>
        <v>54520.479217034983</v>
      </c>
      <c r="AH100" s="90">
        <f>AH98/(1+Assump!$D$11)^AH9</f>
        <v>72098.020111206526</v>
      </c>
      <c r="AI100" s="90">
        <f>AI98/(1+Assump!$D$11)^AI9</f>
        <v>86192.59137522013</v>
      </c>
      <c r="AJ100" s="90">
        <f>AJ98/(1+Assump!$D$11)^AJ9</f>
        <v>43802.804969339981</v>
      </c>
      <c r="AK100" s="37">
        <f>AK98/(1+Assump!$D$11)^AK9</f>
        <v>57278.900236634217</v>
      </c>
      <c r="AL100" s="90">
        <f>AL98/(1+Assump!$D$11)^AL9</f>
        <v>71197.620575593435</v>
      </c>
      <c r="AM100" s="90">
        <f>AM98/(1+Assump!$D$11)^AM9</f>
        <v>83802.544187456486</v>
      </c>
      <c r="AN100" s="90">
        <f>AN98/(1+Assump!$D$11)^AN9</f>
        <v>43034.479112371024</v>
      </c>
      <c r="AO100" s="90">
        <f>AO98/(1+Assump!$D$11)^AO9</f>
        <v>62415.186152240443</v>
      </c>
      <c r="AP100" s="90">
        <f>AP98/(1+Assump!$D$11)^AP9</f>
        <v>73807.242608294764</v>
      </c>
      <c r="AQ100" s="90">
        <f>AQ98/(1+Assump!$D$11)^AQ9</f>
        <v>37048.493516726528</v>
      </c>
      <c r="AR100" s="90">
        <f>AR98/(1+Assump!$D$11)^AR9</f>
        <v>45616.395603357945</v>
      </c>
      <c r="AS100" s="90">
        <f>AS98/(1+Assump!$D$11)^AS9</f>
        <v>61521.166962085561</v>
      </c>
      <c r="AT100" s="90">
        <f>AT98/(1+Assump!$D$11)^AT9</f>
        <v>71829.86525714962</v>
      </c>
      <c r="AU100" s="90">
        <f>AU98/(1+Assump!$D$11)^AU9</f>
        <v>36417.635890832367</v>
      </c>
      <c r="AV100" s="90">
        <f>AV98/(1+Assump!$D$11)^AV9</f>
        <v>50235.877122243801</v>
      </c>
      <c r="AW100" s="90">
        <f>AW98/(1+Assump!$D$11)^AW9</f>
        <v>63832.224787160158</v>
      </c>
      <c r="AX100" s="90">
        <f>AX98/(1+Assump!$D$11)^AX9</f>
        <v>31558.66029920855</v>
      </c>
      <c r="AY100" s="90">
        <f>AY98/(1+Assump!$D$11)^AY9</f>
        <v>38623.195396229115</v>
      </c>
      <c r="AZ100" s="90">
        <f>AZ98/(1+Assump!$D$11)^AZ9</f>
        <v>49681.878340091323</v>
      </c>
      <c r="BA100" s="90">
        <f>BA98/(1+Assump!$D$11)^BA9</f>
        <v>62097.183654254062</v>
      </c>
      <c r="BB100" s="90">
        <f>BB98/(1+Assump!$D$11)^BB9</f>
        <v>30092.74559743924</v>
      </c>
      <c r="BC100" s="90">
        <f>BC98/(1+Assump!$D$11)^BC9</f>
        <v>40737.694482376821</v>
      </c>
      <c r="BD100" s="90">
        <f>BD98/(1+Assump!$D$11)^BD9</f>
        <v>49519.349474643357</v>
      </c>
      <c r="BE100" s="90">
        <f>BE98/(1+Assump!$D$11)^BE9</f>
        <v>26406.928107953503</v>
      </c>
      <c r="BF100" s="90">
        <f>BF98/(1+Assump!$D$11)^BF9</f>
        <v>31574.617744164934</v>
      </c>
      <c r="BG100" s="90">
        <f>BG98/(1+Assump!$D$11)^BG9</f>
        <v>40246.11922263712</v>
      </c>
      <c r="BH100" s="90">
        <f>BH98/(1+Assump!$D$11)^BH9</f>
        <v>48149.229758580434</v>
      </c>
      <c r="BI100" s="90">
        <f>BI98/(1+Assump!$D$11)^BI9</f>
        <v>25821.012300181068</v>
      </c>
      <c r="BJ100" s="90">
        <f>BJ98/(1+Assump!$D$11)^BJ9</f>
        <v>34706.985095305252</v>
      </c>
      <c r="BK100" s="90">
        <f>BK98/(1+Assump!$D$11)^BK9</f>
        <v>42047.947312029777</v>
      </c>
      <c r="BL100" s="90">
        <f>BL98/(1+Assump!$D$11)^BL9</f>
        <v>20267.039152637044</v>
      </c>
      <c r="BM100" s="90">
        <f>BM98/(1+Assump!$D$11)^BM9</f>
        <v>27458.438690012452</v>
      </c>
      <c r="BN100" s="90">
        <f>BN98/(1+Assump!$D$11)^BN9</f>
        <v>34626.258967010894</v>
      </c>
      <c r="BO100" s="90">
        <f>BO98/(1+Assump!$D$11)^BO9</f>
        <v>41269.453528599042</v>
      </c>
      <c r="BP100" s="90">
        <f>BP98/(1+Assump!$D$11)^BP9</f>
        <v>20280.9851595418</v>
      </c>
      <c r="BQ100" s="90">
        <f>BQ98/(1+Assump!$D$11)^BQ9</f>
        <v>30484.839765858102</v>
      </c>
      <c r="BR100" s="90">
        <f>BR98/(1+Assump!$D$11)^BR9</f>
        <v>36480.740133928033</v>
      </c>
      <c r="BS100" s="90">
        <f>BS98/(1+Assump!$D$11)^BS9</f>
        <v>17427.304378764307</v>
      </c>
      <c r="BT100" s="90">
        <f>BT98/(1+Assump!$D$11)^BT9</f>
        <v>21831.999202637056</v>
      </c>
      <c r="BU100" s="90">
        <f>BU98/(1+Assump!$D$11)^BU9</f>
        <v>30392.975844788485</v>
      </c>
      <c r="BV100" s="90">
        <f>BV98/(1+Assump!$D$11)^BV9</f>
        <v>35731.885359722444</v>
      </c>
      <c r="BW100" s="90">
        <f>BW98/(1+Assump!$D$11)^BW9</f>
        <v>17484.113356070255</v>
      </c>
      <c r="BX100" s="90">
        <f>BX98/(1+Assump!$D$11)^BX9</f>
        <v>24559.523655167512</v>
      </c>
      <c r="BY100" s="90">
        <f>BY98/(1+Assump!$D$11)^BY9</f>
        <v>31901.771363582637</v>
      </c>
      <c r="BZ100" s="90">
        <f>BZ98/(1+Assump!$D$11)^BZ9</f>
        <v>15253.315518979871</v>
      </c>
      <c r="CA100" s="90">
        <f>CA98/(1+Assump!$D$11)^CA9</f>
        <v>18791.584430021911</v>
      </c>
      <c r="CB100" s="90">
        <f>CB98/(1+Assump!$D$11)^CB9</f>
        <v>24577.849811677461</v>
      </c>
      <c r="CC100" s="90">
        <f>CC98/(1+Assump!$D$11)^CC9</f>
        <v>31277.272426365475</v>
      </c>
      <c r="CD100" s="90">
        <f>CD98/(1+Assump!$D$11)^CD9</f>
        <v>15246.589062772298</v>
      </c>
      <c r="CE100" s="90">
        <f>CE98/(1+Assump!$D$11)^CE9</f>
        <v>21135.282566295966</v>
      </c>
      <c r="CF100" s="90">
        <f>CF98/(1+Assump!$D$11)^CF9</f>
        <v>25993.51014729758</v>
      </c>
      <c r="CG100" s="90">
        <f>CG98/(1+Assump!$D$11)^CG9</f>
        <v>13560.101997829493</v>
      </c>
      <c r="CH100" s="90">
        <f>CH98/(1+Assump!$D$11)^CH9</f>
        <v>16423.258826221459</v>
      </c>
      <c r="CI100" s="90">
        <f>CI98/(1+Assump!$D$11)^CI9</f>
        <v>21129.763229610315</v>
      </c>
      <c r="CJ100" s="90">
        <f>CJ98/(1+Assump!$D$11)^CJ9</f>
        <v>25547.72315615118</v>
      </c>
      <c r="CK100" s="90">
        <f>CK98/(1+Assump!$D$11)^CK9</f>
        <v>13534.567561881604</v>
      </c>
      <c r="CL100" s="90">
        <f>CL98/(1+Assump!$D$11)^CL9</f>
        <v>18393.931568928703</v>
      </c>
      <c r="CM100" s="90">
        <f>CM98/(1+Assump!$D$11)^CM9</f>
        <v>22371.451709615783</v>
      </c>
      <c r="CN100" s="90">
        <f>CN98/(1+Assump!$D$11)^CN9</f>
        <v>10384.011341914844</v>
      </c>
      <c r="CO100" s="90">
        <f>CO98/(1+DiscRate!$E$3)^$CO$8</f>
        <v>991066.15648555732</v>
      </c>
    </row>
    <row r="101" spans="1:93" ht="12.75" customHeight="1">
      <c r="A101" s="90"/>
      <c r="B101" s="96" t="s">
        <v>195</v>
      </c>
      <c r="C101" s="96">
        <f>CO101</f>
        <v>1246572.5772201503</v>
      </c>
      <c r="D101" s="92">
        <f>D100</f>
        <v>0</v>
      </c>
      <c r="E101" s="90">
        <f t="shared" ref="E101:CO101" si="605">D101+E100</f>
        <v>-3392.4537721535303</v>
      </c>
      <c r="F101" s="90">
        <f t="shared" si="605"/>
        <v>-3392.4537721535303</v>
      </c>
      <c r="G101" s="90">
        <f t="shared" si="605"/>
        <v>-24671.900267295339</v>
      </c>
      <c r="H101" s="90">
        <f t="shared" si="605"/>
        <v>-46500.853436982521</v>
      </c>
      <c r="I101" s="90">
        <f t="shared" si="605"/>
        <v>-64284.459925014424</v>
      </c>
      <c r="J101" s="90">
        <f t="shared" si="605"/>
        <v>-85870.504427939581</v>
      </c>
      <c r="K101" s="90">
        <f t="shared" si="605"/>
        <v>-304203.79243169469</v>
      </c>
      <c r="L101" s="90">
        <f t="shared" si="605"/>
        <v>-528123.92859399109</v>
      </c>
      <c r="M101" s="90">
        <f t="shared" si="605"/>
        <v>-736743.19338651292</v>
      </c>
      <c r="N101" s="90">
        <f t="shared" si="605"/>
        <v>-972470.6684141322</v>
      </c>
      <c r="O101" s="90">
        <f t="shared" si="605"/>
        <v>-1272678.9430068703</v>
      </c>
      <c r="P101" s="90">
        <f t="shared" si="605"/>
        <v>-1579385.0824014808</v>
      </c>
      <c r="Q101" s="90">
        <f t="shared" si="605"/>
        <v>-1872818.6379383591</v>
      </c>
      <c r="R101" s="90">
        <f t="shared" si="605"/>
        <v>-2079595.3668790662</v>
      </c>
      <c r="S101" s="90">
        <f t="shared" si="605"/>
        <v>-2335703.3932010317</v>
      </c>
      <c r="T101" s="90">
        <f t="shared" si="605"/>
        <v>-2555980.0677966378</v>
      </c>
      <c r="U101" s="90">
        <f t="shared" si="605"/>
        <v>-2746939.8319981848</v>
      </c>
      <c r="V101" s="90">
        <f t="shared" si="605"/>
        <v>-2903033.6131688464</v>
      </c>
      <c r="W101" s="90">
        <f t="shared" si="605"/>
        <v>-2772131.9070068393</v>
      </c>
      <c r="X101" s="90">
        <f t="shared" si="605"/>
        <v>-2620808.752073999</v>
      </c>
      <c r="Y101" s="90">
        <f t="shared" si="605"/>
        <v>-2559012.4374404005</v>
      </c>
      <c r="Z101" s="90">
        <f t="shared" si="605"/>
        <v>-2487153.8439507401</v>
      </c>
      <c r="AA101" s="90">
        <f t="shared" si="605"/>
        <v>-2398426.3725365833</v>
      </c>
      <c r="AB101" s="90">
        <f t="shared" si="605"/>
        <v>-2297386.8631935413</v>
      </c>
      <c r="AC101" s="90">
        <f t="shared" si="605"/>
        <v>-2241692.0073669371</v>
      </c>
      <c r="AD101" s="90">
        <f t="shared" si="605"/>
        <v>-2175542.9420556598</v>
      </c>
      <c r="AE101" s="90">
        <f t="shared" si="605"/>
        <v>-2092544.2659090389</v>
      </c>
      <c r="AF101" s="90">
        <f t="shared" si="605"/>
        <v>-1994226.195649334</v>
      </c>
      <c r="AG101" s="90">
        <f t="shared" si="605"/>
        <v>-1939705.716432299</v>
      </c>
      <c r="AH101" s="90">
        <f t="shared" si="605"/>
        <v>-1867607.6963210925</v>
      </c>
      <c r="AI101" s="90">
        <f t="shared" si="605"/>
        <v>-1781415.1049458724</v>
      </c>
      <c r="AJ101" s="90">
        <f t="shared" si="605"/>
        <v>-1737612.2999765323</v>
      </c>
      <c r="AK101" s="37">
        <f t="shared" si="605"/>
        <v>-1680333.399739898</v>
      </c>
      <c r="AL101" s="90">
        <f t="shared" si="605"/>
        <v>-1609135.7791643045</v>
      </c>
      <c r="AM101" s="90">
        <f t="shared" si="605"/>
        <v>-1525333.2349768481</v>
      </c>
      <c r="AN101" s="90">
        <f t="shared" si="605"/>
        <v>-1482298.755864477</v>
      </c>
      <c r="AO101" s="90">
        <f t="shared" si="605"/>
        <v>-1419883.5697122365</v>
      </c>
      <c r="AP101" s="90">
        <f t="shared" si="605"/>
        <v>-1346076.3271039417</v>
      </c>
      <c r="AQ101" s="90">
        <f t="shared" si="605"/>
        <v>-1309027.8335872153</v>
      </c>
      <c r="AR101" s="90">
        <f t="shared" si="605"/>
        <v>-1263411.4379838572</v>
      </c>
      <c r="AS101" s="90">
        <f t="shared" si="605"/>
        <v>-1201890.2710217717</v>
      </c>
      <c r="AT101" s="90">
        <f t="shared" si="605"/>
        <v>-1130060.4057646221</v>
      </c>
      <c r="AU101" s="90">
        <f t="shared" si="605"/>
        <v>-1093642.7698737897</v>
      </c>
      <c r="AV101" s="90">
        <f t="shared" si="605"/>
        <v>-1043406.892751546</v>
      </c>
      <c r="AW101" s="90">
        <f t="shared" si="605"/>
        <v>-979574.66796438582</v>
      </c>
      <c r="AX101" s="90">
        <f t="shared" si="605"/>
        <v>-948016.00766517723</v>
      </c>
      <c r="AY101" s="90">
        <f t="shared" si="605"/>
        <v>-909392.81226894807</v>
      </c>
      <c r="AZ101" s="90">
        <f t="shared" si="605"/>
        <v>-859710.93392885674</v>
      </c>
      <c r="BA101" s="90">
        <f t="shared" si="605"/>
        <v>-797613.75027460267</v>
      </c>
      <c r="BB101" s="90">
        <f t="shared" si="605"/>
        <v>-767521.00467716344</v>
      </c>
      <c r="BC101" s="90">
        <f t="shared" si="605"/>
        <v>-726783.31019478664</v>
      </c>
      <c r="BD101" s="90">
        <f t="shared" si="605"/>
        <v>-677263.96072014328</v>
      </c>
      <c r="BE101" s="90">
        <f t="shared" si="605"/>
        <v>-650857.03261218977</v>
      </c>
      <c r="BF101" s="90">
        <f t="shared" si="605"/>
        <v>-619282.41486802488</v>
      </c>
      <c r="BG101" s="90">
        <f t="shared" si="605"/>
        <v>-579036.29564538773</v>
      </c>
      <c r="BH101" s="90">
        <f t="shared" si="605"/>
        <v>-530887.06588680728</v>
      </c>
      <c r="BI101" s="90">
        <f t="shared" si="605"/>
        <v>-505066.05358662619</v>
      </c>
      <c r="BJ101" s="90">
        <f t="shared" si="605"/>
        <v>-470359.06849132094</v>
      </c>
      <c r="BK101" s="90">
        <f t="shared" si="605"/>
        <v>-428311.12117929116</v>
      </c>
      <c r="BL101" s="90">
        <f t="shared" si="605"/>
        <v>-408044.0820266541</v>
      </c>
      <c r="BM101" s="90">
        <f t="shared" si="605"/>
        <v>-380585.64333664166</v>
      </c>
      <c r="BN101" s="90">
        <f t="shared" si="605"/>
        <v>-345959.38436963077</v>
      </c>
      <c r="BO101" s="90">
        <f t="shared" si="605"/>
        <v>-304689.93084103172</v>
      </c>
      <c r="BP101" s="90">
        <f t="shared" si="605"/>
        <v>-284408.94568148989</v>
      </c>
      <c r="BQ101" s="90">
        <f t="shared" si="605"/>
        <v>-253924.10591563178</v>
      </c>
      <c r="BR101" s="90">
        <f t="shared" si="605"/>
        <v>-217443.36578170373</v>
      </c>
      <c r="BS101" s="90">
        <f t="shared" si="605"/>
        <v>-200016.06140293943</v>
      </c>
      <c r="BT101" s="90">
        <f t="shared" si="605"/>
        <v>-178184.06220030237</v>
      </c>
      <c r="BU101" s="90">
        <f t="shared" si="605"/>
        <v>-147791.08635551389</v>
      </c>
      <c r="BV101" s="90">
        <f t="shared" si="605"/>
        <v>-112059.20099579144</v>
      </c>
      <c r="BW101" s="90">
        <f t="shared" si="605"/>
        <v>-94575.087639721183</v>
      </c>
      <c r="BX101" s="90">
        <f t="shared" si="605"/>
        <v>-70015.563984553679</v>
      </c>
      <c r="BY101" s="90">
        <f t="shared" si="605"/>
        <v>-38113.792620971042</v>
      </c>
      <c r="BZ101" s="90">
        <f t="shared" si="605"/>
        <v>-22860.477101991171</v>
      </c>
      <c r="CA101" s="90">
        <f t="shared" si="605"/>
        <v>-4068.8926719692608</v>
      </c>
      <c r="CB101" s="90">
        <f t="shared" si="605"/>
        <v>20508.9571397082</v>
      </c>
      <c r="CC101" s="90">
        <f t="shared" si="605"/>
        <v>51786.229566073671</v>
      </c>
      <c r="CD101" s="90">
        <f t="shared" si="605"/>
        <v>67032.818628845969</v>
      </c>
      <c r="CE101" s="90">
        <f t="shared" si="605"/>
        <v>88168.101195141935</v>
      </c>
      <c r="CF101" s="90">
        <f t="shared" si="605"/>
        <v>114161.61134243952</v>
      </c>
      <c r="CG101" s="90">
        <f t="shared" si="605"/>
        <v>127721.71334026901</v>
      </c>
      <c r="CH101" s="90">
        <f t="shared" si="605"/>
        <v>144144.97216649048</v>
      </c>
      <c r="CI101" s="90">
        <f t="shared" si="605"/>
        <v>165274.73539610079</v>
      </c>
      <c r="CJ101" s="90">
        <f t="shared" si="605"/>
        <v>190822.45855225198</v>
      </c>
      <c r="CK101" s="90">
        <f t="shared" si="605"/>
        <v>204357.02611413359</v>
      </c>
      <c r="CL101" s="90">
        <f t="shared" si="605"/>
        <v>222750.9576830623</v>
      </c>
      <c r="CM101" s="90">
        <f t="shared" si="605"/>
        <v>245122.40939267809</v>
      </c>
      <c r="CN101" s="90">
        <f t="shared" si="605"/>
        <v>255506.42073459295</v>
      </c>
      <c r="CO101" s="90">
        <f t="shared" si="605"/>
        <v>1246572.5772201503</v>
      </c>
    </row>
    <row r="102" spans="1:93" ht="12.75" customHeight="1">
      <c r="A102" s="90"/>
      <c r="B102" s="96" t="s">
        <v>196</v>
      </c>
      <c r="C102" s="96">
        <f t="array" ref="C102">D98+NPV(Assump!D11,Model!E98:CN98)+CO100</f>
        <v>1246572.5772201472</v>
      </c>
      <c r="D102" s="92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37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</row>
    <row r="103" spans="1:93" ht="12.75" customHeight="1">
      <c r="A103" s="90"/>
      <c r="B103" s="96" t="s">
        <v>197</v>
      </c>
      <c r="C103" s="97">
        <f>D103/4</f>
        <v>4.0032919546468038E-2</v>
      </c>
      <c r="D103" s="98">
        <f>'Model (years)'!C99</f>
        <v>0.16013167818587215</v>
      </c>
      <c r="E103" s="99" t="s">
        <v>198</v>
      </c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37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10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</row>
    <row r="104" spans="1:93" ht="12.75" customHeight="1">
      <c r="A104" s="90"/>
      <c r="B104" s="96" t="s">
        <v>199</v>
      </c>
      <c r="C104" s="101">
        <f t="array" ref="C104">(NPV(Assump!D11,Model!E81:CN81)+D81+CO100)/-(NPV(Assump!D11,Model!E85:Z85)+Model!D85)</f>
        <v>1.4409699750970577</v>
      </c>
      <c r="D104" s="92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37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</row>
    <row r="105" spans="1:93" ht="12.75" customHeight="1">
      <c r="A105" s="90"/>
      <c r="B105" s="96" t="s">
        <v>200</v>
      </c>
      <c r="C105" s="96">
        <f>(COUNTIF(D99:CN99,"&lt;0")+1)/4</f>
        <v>10.5</v>
      </c>
      <c r="D105" s="92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37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</row>
    <row r="106" spans="1:93" ht="12.75" customHeight="1">
      <c r="A106" s="90"/>
      <c r="B106" s="96" t="s">
        <v>201</v>
      </c>
      <c r="C106" s="96">
        <f>IF(C102&lt;0,"выходит за рамки модели",(COUNTIF(D101:CN101,"&lt;0")+1)/4)</f>
        <v>19</v>
      </c>
      <c r="D106" s="92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37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</row>
    <row r="107" spans="1:93" ht="12.75" customHeight="1">
      <c r="A107" s="90"/>
      <c r="B107" s="102" t="s">
        <v>202</v>
      </c>
      <c r="C107" s="102">
        <f>SUM(D107:CO107)</f>
        <v>5918223.2141655507</v>
      </c>
      <c r="D107" s="92">
        <f>D85*(Финансирование!$D$5)+(D81+D90+D91)</f>
        <v>0</v>
      </c>
      <c r="E107" s="90">
        <f>E85*(Финансирование!$D$5)+(E81+E90+E91)</f>
        <v>-698</v>
      </c>
      <c r="F107" s="90">
        <f>F85*(Финансирование!$D$5)+(F81+F90+F91)</f>
        <v>0</v>
      </c>
      <c r="G107" s="90">
        <f>G85*(Финансирование!$D$5)+(G81+G90+G91)</f>
        <v>-4633.666666666667</v>
      </c>
      <c r="H107" s="90">
        <f>H85*(Финансирование!$D$5)+(H81+H90+H91)</f>
        <v>-5450</v>
      </c>
      <c r="I107" s="90">
        <f>I85*(Финансирование!$D$5)+(I81+I90+I91)</f>
        <v>-4658.333333333333</v>
      </c>
      <c r="J107" s="90">
        <f>J85*(Финансирование!$D$5)+(J81+J90+J91)</f>
        <v>-5677.6666666666661</v>
      </c>
      <c r="K107" s="90">
        <f>K85*(Финансирование!$D$5)+(K81+K90+K91)</f>
        <v>-53811.319166666683</v>
      </c>
      <c r="L107" s="90">
        <f>L85*(Финансирование!$D$5)+(L81+L90+L91)</f>
        <v>-56744.310277777782</v>
      </c>
      <c r="M107" s="90">
        <f>M85*(Финансирование!$D$5)+(M81+M90+M91)</f>
        <v>-54410.25986111111</v>
      </c>
      <c r="N107" s="90">
        <f>N85*(Финансирование!$D$5)+(N81+N90+N91)</f>
        <v>-63474.53342881945</v>
      </c>
      <c r="O107" s="90">
        <f>O85*(Финансирование!$D$5)+(O81+O90+O91)</f>
        <v>-89635.696241319456</v>
      </c>
      <c r="P107" s="90">
        <f>P85*(Финансирование!$D$5)+(P81+P90+P91)</f>
        <v>-102475.15143663195</v>
      </c>
      <c r="Q107" s="90">
        <f>Q85*(Финансирование!$D$5)+(Q81+Q90+Q91)</f>
        <v>-110308.41631944444</v>
      </c>
      <c r="R107" s="90">
        <f>R85*(Финансирование!$D$5)+(R81+R90+R91)</f>
        <v>-96356.065694444434</v>
      </c>
      <c r="S107" s="90">
        <f>S85*(Финансирование!$D$5)+(S81+S90+S91)</f>
        <v>-120503.9703611111</v>
      </c>
      <c r="T107" s="90">
        <f>T85*(Финансирование!$D$5)+(T81+T90+T91)</f>
        <v>-120375.59294444445</v>
      </c>
      <c r="U107" s="90">
        <f>U85*(Финансирование!$D$5)+(U81+U90+U91)</f>
        <v>-120577.10911111112</v>
      </c>
      <c r="V107" s="90">
        <f>V85*(Финансирование!$D$5)+(V81+V90+V91)</f>
        <v>-117559.45595689199</v>
      </c>
      <c r="W107" s="90">
        <f>W85*(Финансирование!$D$5)+(W81+W90+W91)</f>
        <v>39539.548502481193</v>
      </c>
      <c r="X107" s="90">
        <f>X85*(Финансирование!$D$5)+(X81+X90+X91)</f>
        <v>46285.532096715979</v>
      </c>
      <c r="Y107" s="90">
        <f>Y85*(Финансирование!$D$5)+(Y81+Y90+Y91)</f>
        <v>18678.955410790601</v>
      </c>
      <c r="Z107" s="90">
        <f>Z85*(Финансирование!$D$5)+(Z81+Z90+Z91)</f>
        <v>22344.992366216204</v>
      </c>
      <c r="AA107" s="90">
        <f>AA85*(Финансирование!$D$5)+(AA81+AA90+AA91)</f>
        <v>28383.836197293218</v>
      </c>
      <c r="AB107" s="90">
        <f>AB85*(Финансирование!$D$5)+(AB81+AB90+AB91)</f>
        <v>33251.841674519645</v>
      </c>
      <c r="AC107" s="90">
        <f>AC85*(Финансирование!$D$5)+(AC81+AC90+AC91)</f>
        <v>18856.064193698228</v>
      </c>
      <c r="AD107" s="90">
        <f>AD85*(Финансирование!$D$5)+(AD81+AD90+AD91)</f>
        <v>23039.399982530929</v>
      </c>
      <c r="AE107" s="90">
        <f>AE85*(Финансирование!$D$5)+(AE81+AE90+AE91)</f>
        <v>29739.256482542201</v>
      </c>
      <c r="AF107" s="90">
        <f>AF85*(Финансирование!$D$5)+(AF81+AF90+AF91)</f>
        <v>36241.300652276055</v>
      </c>
      <c r="AG107" s="90">
        <f>AG85*(Финансирование!$D$5)+(AG81+AG90+AG91)</f>
        <v>20674.812649365034</v>
      </c>
      <c r="AH107" s="90">
        <f>AH85*(Финансирование!$D$5)+(AH81+AH90+AH91)</f>
        <v>28126.568174730288</v>
      </c>
      <c r="AI107" s="90">
        <f>AI85*(Финансирование!$D$5)+(AI81+AI90+AI91)</f>
        <v>34591.93318064788</v>
      </c>
      <c r="AJ107" s="90">
        <f>AJ85*(Финансирование!$D$5)+(AJ81+AJ90+AJ91)</f>
        <v>18084.991376137914</v>
      </c>
      <c r="AK107" s="90">
        <f>AK85*(Финансирование!$D$5)+(AK81+AK90+AK91)</f>
        <v>24328.903928552485</v>
      </c>
      <c r="AL107" s="90">
        <f>AL85*(Финансирование!$D$5)+(AL81+AL90+AL91)</f>
        <v>31110.345976875833</v>
      </c>
      <c r="AM107" s="90">
        <f>AM85*(Финансирование!$D$5)+(AM81+AM90+AM91)</f>
        <v>37671.078453757138</v>
      </c>
      <c r="AN107" s="90">
        <f>AN85*(Финансирование!$D$5)+(AN81+AN90+AN91)</f>
        <v>19901.182802892778</v>
      </c>
      <c r="AO107" s="90">
        <f>AO85*(Финансирование!$D$5)+(AO81+AO90+AO91)</f>
        <v>29693.684994000774</v>
      </c>
      <c r="AP107" s="90">
        <f>AP85*(Финансирование!$D$5)+(AP81+AP90+AP91)</f>
        <v>36123.04034024274</v>
      </c>
      <c r="AQ107" s="90">
        <f>AQ85*(Финансирование!$D$5)+(AQ81+AQ90+AQ91)</f>
        <v>18653.801766248056</v>
      </c>
      <c r="AR107" s="90">
        <f>AR85*(Финансирование!$D$5)+(AR81+AR90+AR91)</f>
        <v>23628.124956881577</v>
      </c>
      <c r="AS107" s="90">
        <f>AS85*(Финансирование!$D$5)+(AS81+AS90+AS91)</f>
        <v>32782.671807643863</v>
      </c>
      <c r="AT107" s="90">
        <f>AT85*(Финансирование!$D$5)+(AT81+AT90+AT91)</f>
        <v>39376.428414966598</v>
      </c>
      <c r="AU107" s="90">
        <f>AU85*(Финансирование!$D$5)+(AU81+AU90+AU91)</f>
        <v>20537.82778052707</v>
      </c>
      <c r="AV107" s="90">
        <f>AV85*(Финансирование!$D$5)+(AV81+AV90+AV91)</f>
        <v>29145.280295796983</v>
      </c>
      <c r="AW107" s="90">
        <f>AW85*(Финансирование!$D$5)+(AW81+AW90+AW91)</f>
        <v>38098.31049558628</v>
      </c>
      <c r="AX107" s="90">
        <f>AX85*(Финансирование!$D$5)+(AX81+AX90+AX91)</f>
        <v>19377.412419665725</v>
      </c>
      <c r="AY107" s="90">
        <f>AY85*(Финансирование!$D$5)+(AY81+AY90+AY91)</f>
        <v>24397.027394417331</v>
      </c>
      <c r="AZ107" s="90">
        <f>AZ85*(Финансирование!$D$5)+(AZ81+AZ90+AZ91)</f>
        <v>32284.80801655438</v>
      </c>
      <c r="BA107" s="90">
        <f>BA85*(Финансирование!$D$5)+(BA81+BA90+BA91)</f>
        <v>41512.949721451354</v>
      </c>
      <c r="BB107" s="90">
        <f>BB85*(Финансирование!$D$5)+(BB81+BB90+BB91)</f>
        <v>20695.932153464357</v>
      </c>
      <c r="BC107" s="90">
        <f>BC85*(Финансирование!$D$5)+(BC81+BC90+BC91)</f>
        <v>28822.464551477486</v>
      </c>
      <c r="BD107" s="90">
        <f>BD85*(Финансирование!$D$5)+(BD81+BD90+BD91)</f>
        <v>36043.012819034811</v>
      </c>
      <c r="BE107" s="90">
        <f>BE85*(Финансирование!$D$5)+(BE81+BE90+BE91)</f>
        <v>19773.134802656808</v>
      </c>
      <c r="BF107" s="90">
        <f>BF85*(Финансирование!$D$5)+(BF81+BF90+BF91)</f>
        <v>24322.445231874088</v>
      </c>
      <c r="BG107" s="90">
        <f>BG85*(Финансирование!$D$5)+(BG81+BG90+BG91)</f>
        <v>31893.6798611575</v>
      </c>
      <c r="BH107" s="90">
        <f>BH85*(Финансирование!$D$5)+(BH81+BH90+BH91)</f>
        <v>39253.777269890968</v>
      </c>
      <c r="BI107" s="90">
        <f>BI85*(Финансирование!$D$5)+(BI81+BI90+BI91)</f>
        <v>52508.923487614273</v>
      </c>
      <c r="BJ107" s="90">
        <f>BJ85*(Финансирование!$D$5)+(BJ81+BJ90+BJ91)</f>
        <v>179673.16851684701</v>
      </c>
      <c r="BK107" s="90">
        <f>BK85*(Финансирование!$D$5)+(BK81+BK90+BK91)</f>
        <v>223935.33420726465</v>
      </c>
      <c r="BL107" s="90">
        <f>BL85*(Финансирование!$D$5)+(BL81+BL90+BL91)</f>
        <v>111040.0429133187</v>
      </c>
      <c r="BM107" s="90">
        <f>BM85*(Финансирование!$D$5)+(BM81+BM90+BM91)</f>
        <v>154766.3863330553</v>
      </c>
      <c r="BN107" s="90">
        <f>BN85*(Финансирование!$D$5)+(BN81+BN90+BN91)</f>
        <v>200778.80468352506</v>
      </c>
      <c r="BO107" s="90">
        <f>BO85*(Финансирование!$D$5)+(BO81+BO90+BO91)</f>
        <v>246179.84753195339</v>
      </c>
      <c r="BP107" s="90">
        <f>BP85*(Финансирование!$D$5)+(BP81+BP90+BP91)</f>
        <v>124458.42937372794</v>
      </c>
      <c r="BQ107" s="90">
        <f>BQ85*(Финансирование!$D$5)+(BQ81+BQ90+BQ91)</f>
        <v>192455.6538064116</v>
      </c>
      <c r="BR107" s="90">
        <f>BR85*(Финансирование!$D$5)+(BR81+BR90+BR91)</f>
        <v>236930.99964160571</v>
      </c>
      <c r="BS107" s="90">
        <f>BS85*(Финансирование!$D$5)+(BS81+BS90+BS91)</f>
        <v>116439.39787590517</v>
      </c>
      <c r="BT107" s="90">
        <f>BT85*(Финансирование!$D$5)+(BT81+BT90+BT91)</f>
        <v>150063.3819594587</v>
      </c>
      <c r="BU107" s="90">
        <f>BU85*(Финансирование!$D$5)+(BU81+BU90+BU91)</f>
        <v>214914.60827120612</v>
      </c>
      <c r="BV107" s="90">
        <f>BV85*(Финансирование!$D$5)+(BV81+BV90+BV91)</f>
        <v>259932.22968671168</v>
      </c>
      <c r="BW107" s="90">
        <f>BW85*(Финансирование!$D$5)+(BW81+BW90+BW91)</f>
        <v>130845.65401706059</v>
      </c>
      <c r="BX107" s="90">
        <f>BX85*(Финансирование!$D$5)+(BX81+BX90+BX91)</f>
        <v>189080.66303593098</v>
      </c>
      <c r="BY107" s="90">
        <f>BY85*(Финансирование!$D$5)+(BY81+BY90+BY91)</f>
        <v>252669.87418834193</v>
      </c>
      <c r="BZ107" s="90">
        <f>BZ85*(Финансирование!$D$5)+(BZ81+BZ90+BZ91)</f>
        <v>124283.76707404437</v>
      </c>
      <c r="CA107" s="90">
        <f>CA85*(Финансирование!$D$5)+(CA81+CA90+CA91)</f>
        <v>157516.13346632145</v>
      </c>
      <c r="CB107" s="90">
        <f>CB85*(Финансирование!$D$5)+(CB81+CB90+CB91)</f>
        <v>211941.99485027423</v>
      </c>
      <c r="CC107" s="90">
        <f>CC85*(Финансирование!$D$5)+(CC81+CC90+CC91)</f>
        <v>277468.37650951627</v>
      </c>
      <c r="CD107" s="90">
        <f>CD85*(Финансирование!$D$5)+(CD81+CD90+CD91)</f>
        <v>139145.3840608882</v>
      </c>
      <c r="CE107" s="90">
        <f>CE85*(Финансирование!$D$5)+(CE81+CE90+CE91)</f>
        <v>198433.80304462736</v>
      </c>
      <c r="CF107" s="90">
        <f>CF85*(Финансирование!$D$5)+(CF81+CF90+CF91)</f>
        <v>251063.75284425938</v>
      </c>
      <c r="CG107" s="90">
        <f>CG85*(Финансирование!$D$5)+(CG81+CG90+CG91)</f>
        <v>134739.06546153256</v>
      </c>
      <c r="CH107" s="90">
        <f>CH85*(Финансирование!$D$5)+(CH81+CH90+CH91)</f>
        <v>167880.94315413316</v>
      </c>
      <c r="CI107" s="90">
        <f>CI85*(Финансирование!$D$5)+(CI81+CI90+CI91)</f>
        <v>222202.11185880093</v>
      </c>
      <c r="CJ107" s="90">
        <f>CJ85*(Финансирование!$D$5)+(CJ81+CJ90+CJ91)</f>
        <v>276386.76432555728</v>
      </c>
      <c r="CK107" s="90">
        <f>CK85*(Финансирование!$D$5)+(CK81+CK90+CK91)</f>
        <v>150633.27317611483</v>
      </c>
      <c r="CL107" s="90">
        <f>CL85*(Финансирование!$D$5)+(CL81+CL90+CL91)</f>
        <v>210602.04493526847</v>
      </c>
      <c r="CM107" s="90">
        <f>CM85*(Финансирование!$D$5)+(CM81+CM90+CM91)</f>
        <v>263507.91997353209</v>
      </c>
      <c r="CN107" s="90">
        <f>CN85*(Финансирование!$D$5)+(CN81+CN90+CN91)</f>
        <v>125827.66817162005</v>
      </c>
      <c r="CO107" s="90">
        <f>CO85*(Финансирование!$D$5)+(CO81+CO90+CO91)</f>
        <v>0</v>
      </c>
    </row>
    <row r="108" spans="1:93" ht="12.75" customHeight="1">
      <c r="A108" s="90"/>
      <c r="B108" s="102" t="s">
        <v>203</v>
      </c>
      <c r="C108" s="102">
        <f>CO108</f>
        <v>5918223.2141655507</v>
      </c>
      <c r="D108" s="92">
        <f>D107</f>
        <v>0</v>
      </c>
      <c r="E108" s="90">
        <f t="shared" ref="E108:CO108" si="606">E107+D108</f>
        <v>-698</v>
      </c>
      <c r="F108" s="90">
        <f t="shared" si="606"/>
        <v>-698</v>
      </c>
      <c r="G108" s="90">
        <f t="shared" si="606"/>
        <v>-5331.666666666667</v>
      </c>
      <c r="H108" s="90">
        <f t="shared" si="606"/>
        <v>-10781.666666666668</v>
      </c>
      <c r="I108" s="90">
        <f t="shared" si="606"/>
        <v>-15440</v>
      </c>
      <c r="J108" s="90">
        <f t="shared" si="606"/>
        <v>-21117.666666666664</v>
      </c>
      <c r="K108" s="90">
        <f t="shared" si="606"/>
        <v>-74928.98583333334</v>
      </c>
      <c r="L108" s="90">
        <f t="shared" si="606"/>
        <v>-131673.29611111112</v>
      </c>
      <c r="M108" s="90">
        <f t="shared" si="606"/>
        <v>-186083.55597222224</v>
      </c>
      <c r="N108" s="90">
        <f t="shared" si="606"/>
        <v>-249558.08940104168</v>
      </c>
      <c r="O108" s="90">
        <f t="shared" si="606"/>
        <v>-339193.78564236115</v>
      </c>
      <c r="P108" s="90">
        <f t="shared" si="606"/>
        <v>-441668.93707899307</v>
      </c>
      <c r="Q108" s="90">
        <f t="shared" si="606"/>
        <v>-551977.3533984375</v>
      </c>
      <c r="R108" s="90">
        <f t="shared" si="606"/>
        <v>-648333.41909288196</v>
      </c>
      <c r="S108" s="90">
        <f t="shared" si="606"/>
        <v>-768837.38945399306</v>
      </c>
      <c r="T108" s="90">
        <f t="shared" si="606"/>
        <v>-889212.98239843757</v>
      </c>
      <c r="U108" s="90">
        <f t="shared" si="606"/>
        <v>-1009790.0915095487</v>
      </c>
      <c r="V108" s="90">
        <f t="shared" si="606"/>
        <v>-1127349.5474664406</v>
      </c>
      <c r="W108" s="90">
        <f t="shared" si="606"/>
        <v>-1087809.9989639595</v>
      </c>
      <c r="X108" s="90">
        <f t="shared" si="606"/>
        <v>-1041524.4668672435</v>
      </c>
      <c r="Y108" s="90">
        <f t="shared" si="606"/>
        <v>-1022845.5114564529</v>
      </c>
      <c r="Z108" s="90">
        <f t="shared" si="606"/>
        <v>-1000500.5190902366</v>
      </c>
      <c r="AA108" s="90">
        <f t="shared" si="606"/>
        <v>-972116.68289294338</v>
      </c>
      <c r="AB108" s="90">
        <f t="shared" si="606"/>
        <v>-938864.8412184238</v>
      </c>
      <c r="AC108" s="90">
        <f t="shared" si="606"/>
        <v>-920008.77702472557</v>
      </c>
      <c r="AD108" s="90">
        <f t="shared" si="606"/>
        <v>-896969.3770421946</v>
      </c>
      <c r="AE108" s="90">
        <f t="shared" si="606"/>
        <v>-867230.12055965234</v>
      </c>
      <c r="AF108" s="90">
        <f t="shared" si="606"/>
        <v>-830988.81990737631</v>
      </c>
      <c r="AG108" s="90">
        <f t="shared" si="606"/>
        <v>-810314.00725801126</v>
      </c>
      <c r="AH108" s="90">
        <f t="shared" si="606"/>
        <v>-782187.43908328097</v>
      </c>
      <c r="AI108" s="90">
        <f t="shared" si="606"/>
        <v>-747595.50590263307</v>
      </c>
      <c r="AJ108" s="90">
        <f t="shared" si="606"/>
        <v>-729510.51452649513</v>
      </c>
      <c r="AK108" s="90">
        <f t="shared" si="606"/>
        <v>-705181.61059794261</v>
      </c>
      <c r="AL108" s="90">
        <f t="shared" si="606"/>
        <v>-674071.26462106674</v>
      </c>
      <c r="AM108" s="90">
        <f t="shared" si="606"/>
        <v>-636400.18616730964</v>
      </c>
      <c r="AN108" s="90">
        <f t="shared" si="606"/>
        <v>-616499.00336441689</v>
      </c>
      <c r="AO108" s="90">
        <f t="shared" si="606"/>
        <v>-586805.31837041606</v>
      </c>
      <c r="AP108" s="90">
        <f t="shared" si="606"/>
        <v>-550682.27803017327</v>
      </c>
      <c r="AQ108" s="90">
        <f t="shared" si="606"/>
        <v>-532028.4762639252</v>
      </c>
      <c r="AR108" s="90">
        <f t="shared" si="606"/>
        <v>-508400.35130704363</v>
      </c>
      <c r="AS108" s="90">
        <f t="shared" si="606"/>
        <v>-475617.67949939979</v>
      </c>
      <c r="AT108" s="90">
        <f t="shared" si="606"/>
        <v>-436241.25108443317</v>
      </c>
      <c r="AU108" s="90">
        <f t="shared" si="606"/>
        <v>-415703.42330390611</v>
      </c>
      <c r="AV108" s="90">
        <f t="shared" si="606"/>
        <v>-386558.14300810912</v>
      </c>
      <c r="AW108" s="90">
        <f t="shared" si="606"/>
        <v>-348459.83251252281</v>
      </c>
      <c r="AX108" s="90">
        <f t="shared" si="606"/>
        <v>-329082.42009285709</v>
      </c>
      <c r="AY108" s="90">
        <f t="shared" si="606"/>
        <v>-304685.39269843977</v>
      </c>
      <c r="AZ108" s="90">
        <f t="shared" si="606"/>
        <v>-272400.58468188538</v>
      </c>
      <c r="BA108" s="90">
        <f t="shared" si="606"/>
        <v>-230887.63496043402</v>
      </c>
      <c r="BB108" s="90">
        <f t="shared" si="606"/>
        <v>-210191.70280696967</v>
      </c>
      <c r="BC108" s="90">
        <f t="shared" si="606"/>
        <v>-181369.23825549218</v>
      </c>
      <c r="BD108" s="90">
        <f t="shared" si="606"/>
        <v>-145326.22543645737</v>
      </c>
      <c r="BE108" s="90">
        <f t="shared" si="606"/>
        <v>-125553.09063380057</v>
      </c>
      <c r="BF108" s="90">
        <f t="shared" si="606"/>
        <v>-101230.64540192648</v>
      </c>
      <c r="BG108" s="90">
        <f t="shared" si="606"/>
        <v>-69336.965540768986</v>
      </c>
      <c r="BH108" s="90">
        <f t="shared" si="606"/>
        <v>-30083.188270878018</v>
      </c>
      <c r="BI108" s="90">
        <f t="shared" si="606"/>
        <v>22425.735216736255</v>
      </c>
      <c r="BJ108" s="90">
        <f t="shared" si="606"/>
        <v>202098.90373358328</v>
      </c>
      <c r="BK108" s="90">
        <f t="shared" si="606"/>
        <v>426034.23794084793</v>
      </c>
      <c r="BL108" s="90">
        <f t="shared" si="606"/>
        <v>537074.2808541666</v>
      </c>
      <c r="BM108" s="90">
        <f t="shared" si="606"/>
        <v>691840.66718722193</v>
      </c>
      <c r="BN108" s="90">
        <f t="shared" si="606"/>
        <v>892619.47187074693</v>
      </c>
      <c r="BO108" s="90">
        <f t="shared" si="606"/>
        <v>1138799.3194027003</v>
      </c>
      <c r="BP108" s="90">
        <f t="shared" si="606"/>
        <v>1263257.7487764282</v>
      </c>
      <c r="BQ108" s="90">
        <f t="shared" si="606"/>
        <v>1455713.4025828398</v>
      </c>
      <c r="BR108" s="90">
        <f t="shared" si="606"/>
        <v>1692644.4022244455</v>
      </c>
      <c r="BS108" s="90">
        <f t="shared" si="606"/>
        <v>1809083.8001003508</v>
      </c>
      <c r="BT108" s="90">
        <f t="shared" si="606"/>
        <v>1959147.1820598096</v>
      </c>
      <c r="BU108" s="90">
        <f t="shared" si="606"/>
        <v>2174061.7903310158</v>
      </c>
      <c r="BV108" s="90">
        <f t="shared" si="606"/>
        <v>2433994.0200177273</v>
      </c>
      <c r="BW108" s="90">
        <f t="shared" si="606"/>
        <v>2564839.6740347878</v>
      </c>
      <c r="BX108" s="90">
        <f t="shared" si="606"/>
        <v>2753920.3370707189</v>
      </c>
      <c r="BY108" s="90">
        <f t="shared" si="606"/>
        <v>3006590.211259061</v>
      </c>
      <c r="BZ108" s="90">
        <f t="shared" si="606"/>
        <v>3130873.9783331053</v>
      </c>
      <c r="CA108" s="90">
        <f t="shared" si="606"/>
        <v>3288390.1117994268</v>
      </c>
      <c r="CB108" s="90">
        <f t="shared" si="606"/>
        <v>3500332.106649701</v>
      </c>
      <c r="CC108" s="90">
        <f t="shared" si="606"/>
        <v>3777800.4831592171</v>
      </c>
      <c r="CD108" s="90">
        <f t="shared" si="606"/>
        <v>3916945.8672201051</v>
      </c>
      <c r="CE108" s="90">
        <f t="shared" si="606"/>
        <v>4115379.6702647326</v>
      </c>
      <c r="CF108" s="90">
        <f t="shared" si="606"/>
        <v>4366443.4231089922</v>
      </c>
      <c r="CG108" s="90">
        <f t="shared" si="606"/>
        <v>4501182.4885705244</v>
      </c>
      <c r="CH108" s="90">
        <f t="shared" si="606"/>
        <v>4669063.4317246573</v>
      </c>
      <c r="CI108" s="90">
        <f t="shared" si="606"/>
        <v>4891265.5435834583</v>
      </c>
      <c r="CJ108" s="90">
        <f t="shared" si="606"/>
        <v>5167652.3079090156</v>
      </c>
      <c r="CK108" s="90">
        <f t="shared" si="606"/>
        <v>5318285.5810851306</v>
      </c>
      <c r="CL108" s="90">
        <f t="shared" si="606"/>
        <v>5528887.6260203989</v>
      </c>
      <c r="CM108" s="90">
        <f t="shared" si="606"/>
        <v>5792395.5459939307</v>
      </c>
      <c r="CN108" s="90">
        <f t="shared" si="606"/>
        <v>5918223.2141655507</v>
      </c>
      <c r="CO108" s="90">
        <f t="shared" si="606"/>
        <v>5918223.2141655507</v>
      </c>
    </row>
    <row r="109" spans="1:93" ht="12.75" customHeight="1">
      <c r="A109" s="90"/>
      <c r="B109" s="102" t="s">
        <v>204</v>
      </c>
      <c r="C109" s="102">
        <f>SUM(D109:CO109)</f>
        <v>-84993.015521213543</v>
      </c>
      <c r="D109" s="92">
        <f>D107/(1+DiscRate!$G$20)^D$9</f>
        <v>0</v>
      </c>
      <c r="E109" s="90">
        <f>E107/(1+DiscRate!$G$20)^E$9</f>
        <v>-562.96203870487602</v>
      </c>
      <c r="F109" s="90">
        <f>F107/(1+DiscRate!$G$20)^F$9</f>
        <v>0</v>
      </c>
      <c r="G109" s="90">
        <f>G107/(1+DiscRate!$G$20)^G$9</f>
        <v>-2431.0609820816785</v>
      </c>
      <c r="H109" s="90">
        <f>H107/(1+DiscRate!$G$20)^H$9</f>
        <v>-2306.1696632653748</v>
      </c>
      <c r="I109" s="90">
        <f>I107/(1+DiscRate!$G$20)^I$9</f>
        <v>-1589.823830766471</v>
      </c>
      <c r="J109" s="90">
        <f>J107/(1+DiscRate!$G$20)^J$9</f>
        <v>-1562.8310121421744</v>
      </c>
      <c r="K109" s="90">
        <f>K107/(1+DiscRate!$G$20)^K$9</f>
        <v>-11946.466120571562</v>
      </c>
      <c r="L109" s="90">
        <f>L107/(1+DiscRate!$G$20)^L$9</f>
        <v>-10160.423885049333</v>
      </c>
      <c r="M109" s="90">
        <f>M107/(1+DiscRate!$G$20)^M$9</f>
        <v>-7857.6737580114341</v>
      </c>
      <c r="N109" s="90">
        <f>N107/(1+DiscRate!$G$20)^N$9</f>
        <v>-7393.2671393340433</v>
      </c>
      <c r="O109" s="90">
        <f>O107/(1+DiscRate!$G$20)^O$9</f>
        <v>-8420.5714608078742</v>
      </c>
      <c r="P109" s="90">
        <f>P107/(1+DiscRate!$G$20)^P$9</f>
        <v>-7764.3092802750825</v>
      </c>
      <c r="Q109" s="90">
        <f>Q107/(1+DiscRate!$G$20)^Q$9</f>
        <v>-6740.8799921756336</v>
      </c>
      <c r="R109" s="90">
        <f>R107/(1+DiscRate!$G$20)^R$9</f>
        <v>-4749.0932057168411</v>
      </c>
      <c r="S109" s="90">
        <f>S107/(1+DiscRate!$G$20)^S$9</f>
        <v>-4790.2334434701497</v>
      </c>
      <c r="T109" s="90">
        <f>T107/(1+DiscRate!$G$20)^T$9</f>
        <v>-3859.3791809471804</v>
      </c>
      <c r="U109" s="90">
        <f>U107/(1+DiscRate!$G$20)^U$9</f>
        <v>-3117.9386515884735</v>
      </c>
      <c r="V109" s="90">
        <f>V107/(1+DiscRate!$G$20)^V$9</f>
        <v>-2451.793866407771</v>
      </c>
      <c r="W109" s="90">
        <f>W107/(1+DiscRate!$G$20)^W$9</f>
        <v>665.09208679702817</v>
      </c>
      <c r="X109" s="90">
        <f>X107/(1+DiscRate!$G$20)^X$9</f>
        <v>627.94126521779503</v>
      </c>
      <c r="Y109" s="90">
        <f>Y107/(1+DiscRate!$G$20)^Y$9</f>
        <v>204.38547867875252</v>
      </c>
      <c r="Z109" s="90">
        <f>Z107/(1+DiscRate!$G$20)^Z$9</f>
        <v>197.19747506580288</v>
      </c>
      <c r="AA109" s="90">
        <f>AA107/(1+DiscRate!$G$20)^AA$9</f>
        <v>202.03002578569178</v>
      </c>
      <c r="AB109" s="90">
        <f>AB107/(1+DiscRate!$G$20)^AB$9</f>
        <v>190.89045782247607</v>
      </c>
      <c r="AC109" s="90">
        <f>AC107/(1+DiscRate!$G$20)^AC$9</f>
        <v>87.305831265926045</v>
      </c>
      <c r="AD109" s="90">
        <f>AD107/(1+DiscRate!$G$20)^AD$9</f>
        <v>86.037356138156483</v>
      </c>
      <c r="AE109" s="90">
        <f>AE107/(1+DiscRate!$G$20)^AE$9</f>
        <v>89.571466856352501</v>
      </c>
      <c r="AF109" s="90">
        <f>AF107/(1+DiscRate!$G$20)^AF$9</f>
        <v>88.037366674632537</v>
      </c>
      <c r="AG109" s="90">
        <f>AG107/(1+DiscRate!$G$20)^AG$9</f>
        <v>40.506856278918406</v>
      </c>
      <c r="AH109" s="90">
        <f>AH107/(1+DiscRate!$G$20)^AH$9</f>
        <v>44.445458423427553</v>
      </c>
      <c r="AI109" s="90">
        <f>AI107/(1+DiscRate!$G$20)^AI$9</f>
        <v>44.08685977866044</v>
      </c>
      <c r="AJ109" s="90">
        <f>AJ107/(1+DiscRate!$G$20)^AJ$9</f>
        <v>18.589868887940046</v>
      </c>
      <c r="AK109" s="90">
        <f>AK107/(1+DiscRate!$G$20)^AK$9</f>
        <v>20.169923560526584</v>
      </c>
      <c r="AL109" s="90">
        <f>AL107/(1+DiscRate!$G$20)^AL$9</f>
        <v>20.802246482533338</v>
      </c>
      <c r="AM109" s="90">
        <f>AM107/(1+DiscRate!$G$20)^AM$9</f>
        <v>20.315950155616591</v>
      </c>
      <c r="AN109" s="90">
        <f>AN107/(1+DiscRate!$G$20)^AN$9</f>
        <v>8.6562873033674244</v>
      </c>
      <c r="AO109" s="90">
        <f>AO107/(1+DiscRate!$G$20)^AO$9</f>
        <v>10.416949493535396</v>
      </c>
      <c r="AP109" s="90">
        <f>AP107/(1+DiscRate!$G$20)^AP$9</f>
        <v>10.22078954215621</v>
      </c>
      <c r="AQ109" s="90">
        <f>AQ107/(1+DiscRate!$G$20)^AQ$9</f>
        <v>4.2568779148188405</v>
      </c>
      <c r="AR109" s="90">
        <f>AR107/(1+DiscRate!$G$20)^AR$9</f>
        <v>4.348873598106973</v>
      </c>
      <c r="AS109" s="90">
        <f>AS107/(1+DiscRate!$G$20)^AS$9</f>
        <v>4.8664869155418797</v>
      </c>
      <c r="AT109" s="90">
        <f>AT107/(1+DiscRate!$G$20)^AT$9</f>
        <v>4.7144520585847731</v>
      </c>
      <c r="AU109" s="90">
        <f>AU107/(1+DiscRate!$G$20)^AU$9</f>
        <v>1.9832300677961734</v>
      </c>
      <c r="AV109" s="90">
        <f>AV107/(1+DiscRate!$G$20)^AV$9</f>
        <v>2.2699198093028703</v>
      </c>
      <c r="AW109" s="90">
        <f>AW107/(1+DiscRate!$G$20)^AW$9</f>
        <v>2.3931597151099671</v>
      </c>
      <c r="AX109" s="90">
        <f>AX107/(1+DiscRate!$G$20)^AX$9</f>
        <v>0.98171502422149837</v>
      </c>
      <c r="AY109" s="90">
        <f>AY107/(1+DiscRate!$G$20)^AY$9</f>
        <v>0.99689692600723923</v>
      </c>
      <c r="AZ109" s="90">
        <f>AZ107/(1+DiscRate!$G$20)^AZ$9</f>
        <v>1.0639843482729818</v>
      </c>
      <c r="BA109" s="90">
        <f>BA107/(1+DiscRate!$G$20)^BA$9</f>
        <v>1.1034287941291046</v>
      </c>
      <c r="BB109" s="90">
        <f>BB107/(1+DiscRate!$G$20)^BB$9</f>
        <v>0.44367953739086463</v>
      </c>
      <c r="BC109" s="90">
        <f>BC107/(1+DiscRate!$G$20)^BC$9</f>
        <v>0.49835544683616223</v>
      </c>
      <c r="BD109" s="90">
        <f>BD107/(1+DiscRate!$G$20)^BD$9</f>
        <v>0.50263516605230629</v>
      </c>
      <c r="BE109" s="90">
        <f>BE107/(1+DiscRate!$G$20)^BE$9</f>
        <v>0.22239806230293963</v>
      </c>
      <c r="BF109" s="90">
        <f>BF107/(1+DiscRate!$G$20)^BF$9</f>
        <v>0.22064108992223716</v>
      </c>
      <c r="BG109" s="90">
        <f>BG107/(1+DiscRate!$G$20)^BG$9</f>
        <v>0.2333498245955829</v>
      </c>
      <c r="BH109" s="90">
        <f>BH107/(1+DiscRate!$G$20)^BH$9</f>
        <v>0.23163703125986954</v>
      </c>
      <c r="BI109" s="90">
        <f>BI107/(1+DiscRate!$G$20)^BI$9</f>
        <v>0.24990983003956502</v>
      </c>
      <c r="BJ109" s="90">
        <f>BJ107/(1+DiscRate!$G$20)^BJ$9</f>
        <v>0.68969509794675332</v>
      </c>
      <c r="BK109" s="90">
        <f>BK107/(1+DiscRate!$G$20)^BK$9</f>
        <v>0.69329844482667202</v>
      </c>
      <c r="BL109" s="90">
        <f>BL107/(1+DiscRate!$G$20)^BL$9</f>
        <v>0.27726874064969209</v>
      </c>
      <c r="BM109" s="90">
        <f>BM107/(1+DiscRate!$G$20)^BM$9</f>
        <v>0.31168910316895676</v>
      </c>
      <c r="BN109" s="90">
        <f>BN107/(1+DiscRate!$G$20)^BN$9</f>
        <v>0.32612683038106671</v>
      </c>
      <c r="BO109" s="90">
        <f>BO107/(1+DiscRate!$G$20)^BO$9</f>
        <v>0.32251123753933375</v>
      </c>
      <c r="BP109" s="90">
        <f>BP107/(1+DiscRate!$G$20)^BP$9</f>
        <v>0.13150442223194422</v>
      </c>
      <c r="BQ109" s="90">
        <f>BQ107/(1+DiscRate!$G$20)^BQ$9</f>
        <v>0.16401002832889139</v>
      </c>
      <c r="BR109" s="90">
        <f>BR107/(1+DiscRate!$G$20)^BR$9</f>
        <v>0.16284907819219716</v>
      </c>
      <c r="BS109" s="90">
        <f>BS107/(1+DiscRate!$G$20)^BS$9</f>
        <v>6.4548634136126604E-2</v>
      </c>
      <c r="BT109" s="90">
        <f>BT107/(1+DiscRate!$G$20)^BT$9</f>
        <v>6.7094284202031645E-2</v>
      </c>
      <c r="BU109" s="90">
        <f>BU107/(1+DiscRate!$G$20)^BU$9</f>
        <v>7.749977092286886E-2</v>
      </c>
      <c r="BV109" s="90">
        <f>BV107/(1+DiscRate!$G$20)^BV$9</f>
        <v>7.5599391967727428E-2</v>
      </c>
      <c r="BW109" s="90">
        <f>BW107/(1+DiscRate!$G$20)^BW$9</f>
        <v>3.069312872944354E-2</v>
      </c>
      <c r="BX109" s="90">
        <f>BX107/(1+DiscRate!$G$20)^BX$9</f>
        <v>3.5772777658524824E-2</v>
      </c>
      <c r="BY109" s="90">
        <f>BY107/(1+DiscRate!$G$20)^BY$9</f>
        <v>3.8555176797136166E-2</v>
      </c>
      <c r="BZ109" s="90">
        <f>BZ107/(1+DiscRate!$G$20)^BZ$9</f>
        <v>1.5295628656170148E-2</v>
      </c>
      <c r="CA109" s="90">
        <f>CA107/(1+DiscRate!$G$20)^CA$9</f>
        <v>1.5635135660593921E-2</v>
      </c>
      <c r="CB109" s="90">
        <f>CB107/(1+DiscRate!$G$20)^CB$9</f>
        <v>1.6967478868762143E-2</v>
      </c>
      <c r="CC109" s="90">
        <f>CC107/(1+DiscRate!$G$20)^CC$9</f>
        <v>1.791585259274316E-2</v>
      </c>
      <c r="CD109" s="90">
        <f>CD107/(1+DiscRate!$G$20)^CD$9</f>
        <v>7.2463028260745348E-3</v>
      </c>
      <c r="CE109" s="90">
        <f>CE107/(1+DiscRate!$G$20)^CE$9</f>
        <v>8.3346433315055965E-3</v>
      </c>
      <c r="CF109" s="90">
        <f>CF107/(1+DiscRate!$G$20)^CF$9</f>
        <v>8.5050930261501081E-3</v>
      </c>
      <c r="CG109" s="90">
        <f>CG107/(1+DiscRate!$G$20)^CG$9</f>
        <v>3.6813937513810592E-3</v>
      </c>
      <c r="CH109" s="90">
        <f>CH107/(1+DiscRate!$G$20)^CH$9</f>
        <v>3.6995067886144897E-3</v>
      </c>
      <c r="CI109" s="90">
        <f>CI107/(1+DiscRate!$G$20)^CI$9</f>
        <v>3.949247015219844E-3</v>
      </c>
      <c r="CJ109" s="90">
        <f>CJ107/(1+DiscRate!$G$20)^CJ$9</f>
        <v>3.9619322623749634E-3</v>
      </c>
      <c r="CK109" s="90">
        <f>CK107/(1+DiscRate!$G$20)^CK$9</f>
        <v>1.741543817308942E-3</v>
      </c>
      <c r="CL109" s="90">
        <f>CL107/(1+DiscRate!$G$20)^CL$9</f>
        <v>1.9638113449589436E-3</v>
      </c>
      <c r="CM109" s="90">
        <f>CM107/(1+DiscRate!$G$20)^CM$9</f>
        <v>1.9817758956881472E-3</v>
      </c>
      <c r="CN109" s="90">
        <f>CN107/(1+DiscRate!$G$20)^CN$9</f>
        <v>7.632392664065448E-4</v>
      </c>
      <c r="CO109" s="90">
        <f>CO107/(1+DiscRate!$G$20)^$CO$8</f>
        <v>0</v>
      </c>
    </row>
    <row r="110" spans="1:93" ht="12.75" customHeight="1">
      <c r="A110" s="90"/>
      <c r="B110" s="102" t="s">
        <v>205</v>
      </c>
      <c r="C110" s="102">
        <f>CO110</f>
        <v>-84993.015521213543</v>
      </c>
      <c r="D110" s="92">
        <f>D109</f>
        <v>0</v>
      </c>
      <c r="E110" s="90">
        <f t="shared" ref="E110:CO110" si="607">E109+D110</f>
        <v>-562.96203870487602</v>
      </c>
      <c r="F110" s="90">
        <f t="shared" si="607"/>
        <v>-562.96203870487602</v>
      </c>
      <c r="G110" s="90">
        <f t="shared" si="607"/>
        <v>-2994.0230207865543</v>
      </c>
      <c r="H110" s="90">
        <f t="shared" si="607"/>
        <v>-5300.1926840519291</v>
      </c>
      <c r="I110" s="90">
        <f t="shared" si="607"/>
        <v>-6890.0165148184005</v>
      </c>
      <c r="J110" s="90">
        <f t="shared" si="607"/>
        <v>-8452.8475269605751</v>
      </c>
      <c r="K110" s="90">
        <f t="shared" si="607"/>
        <v>-20399.313647532137</v>
      </c>
      <c r="L110" s="90">
        <f t="shared" si="607"/>
        <v>-30559.737532581472</v>
      </c>
      <c r="M110" s="90">
        <f t="shared" si="607"/>
        <v>-38417.411290592907</v>
      </c>
      <c r="N110" s="90">
        <f t="shared" si="607"/>
        <v>-45810.678429926949</v>
      </c>
      <c r="O110" s="90">
        <f t="shared" si="607"/>
        <v>-54231.24989073482</v>
      </c>
      <c r="P110" s="90">
        <f t="shared" si="607"/>
        <v>-61995.559171009903</v>
      </c>
      <c r="Q110" s="90">
        <f t="shared" si="607"/>
        <v>-68736.43916318554</v>
      </c>
      <c r="R110" s="90">
        <f t="shared" si="607"/>
        <v>-73485.532368902379</v>
      </c>
      <c r="S110" s="90">
        <f t="shared" si="607"/>
        <v>-78275.765812372527</v>
      </c>
      <c r="T110" s="90">
        <f t="shared" si="607"/>
        <v>-82135.1449933197</v>
      </c>
      <c r="U110" s="90">
        <f t="shared" si="607"/>
        <v>-85253.083644908169</v>
      </c>
      <c r="V110" s="90">
        <f t="shared" si="607"/>
        <v>-87704.877511315935</v>
      </c>
      <c r="W110" s="90">
        <f t="shared" si="607"/>
        <v>-87039.785424518908</v>
      </c>
      <c r="X110" s="90">
        <f t="shared" si="607"/>
        <v>-86411.844159301108</v>
      </c>
      <c r="Y110" s="90">
        <f t="shared" si="607"/>
        <v>-86207.458680622352</v>
      </c>
      <c r="Z110" s="90">
        <f t="shared" si="607"/>
        <v>-86010.261205556555</v>
      </c>
      <c r="AA110" s="90">
        <f t="shared" si="607"/>
        <v>-85808.231179770868</v>
      </c>
      <c r="AB110" s="90">
        <f t="shared" si="607"/>
        <v>-85617.340721948392</v>
      </c>
      <c r="AC110" s="90">
        <f t="shared" si="607"/>
        <v>-85530.034890682466</v>
      </c>
      <c r="AD110" s="90">
        <f t="shared" si="607"/>
        <v>-85443.997534544309</v>
      </c>
      <c r="AE110" s="90">
        <f t="shared" si="607"/>
        <v>-85354.426067687949</v>
      </c>
      <c r="AF110" s="90">
        <f t="shared" si="607"/>
        <v>-85266.388701013318</v>
      </c>
      <c r="AG110" s="90">
        <f t="shared" si="607"/>
        <v>-85225.881844734395</v>
      </c>
      <c r="AH110" s="90">
        <f t="shared" si="607"/>
        <v>-85181.436386310961</v>
      </c>
      <c r="AI110" s="90">
        <f t="shared" si="607"/>
        <v>-85137.3495265323</v>
      </c>
      <c r="AJ110" s="90">
        <f t="shared" si="607"/>
        <v>-85118.759657644361</v>
      </c>
      <c r="AK110" s="90">
        <f t="shared" si="607"/>
        <v>-85098.589734083827</v>
      </c>
      <c r="AL110" s="90">
        <f t="shared" si="607"/>
        <v>-85077.787487601294</v>
      </c>
      <c r="AM110" s="90">
        <f t="shared" si="607"/>
        <v>-85057.471537445672</v>
      </c>
      <c r="AN110" s="90">
        <f t="shared" si="607"/>
        <v>-85048.815250142303</v>
      </c>
      <c r="AO110" s="90">
        <f t="shared" si="607"/>
        <v>-85038.398300648769</v>
      </c>
      <c r="AP110" s="90">
        <f t="shared" si="607"/>
        <v>-85028.177511106609</v>
      </c>
      <c r="AQ110" s="90">
        <f t="shared" si="607"/>
        <v>-85023.920633191796</v>
      </c>
      <c r="AR110" s="90">
        <f t="shared" si="607"/>
        <v>-85019.571759593688</v>
      </c>
      <c r="AS110" s="90">
        <f t="shared" si="607"/>
        <v>-85014.70527267814</v>
      </c>
      <c r="AT110" s="90">
        <f t="shared" si="607"/>
        <v>-85009.990820619554</v>
      </c>
      <c r="AU110" s="90">
        <f t="shared" si="607"/>
        <v>-85008.007590551759</v>
      </c>
      <c r="AV110" s="90">
        <f t="shared" si="607"/>
        <v>-85005.737670742456</v>
      </c>
      <c r="AW110" s="90">
        <f t="shared" si="607"/>
        <v>-85003.344511027346</v>
      </c>
      <c r="AX110" s="90">
        <f t="shared" si="607"/>
        <v>-85002.36279600313</v>
      </c>
      <c r="AY110" s="90">
        <f t="shared" si="607"/>
        <v>-85001.365899077122</v>
      </c>
      <c r="AZ110" s="90">
        <f t="shared" si="607"/>
        <v>-85000.301914728843</v>
      </c>
      <c r="BA110" s="90">
        <f t="shared" si="607"/>
        <v>-84999.198485934714</v>
      </c>
      <c r="BB110" s="90">
        <f t="shared" si="607"/>
        <v>-84998.754806397323</v>
      </c>
      <c r="BC110" s="90">
        <f t="shared" si="607"/>
        <v>-84998.256450950488</v>
      </c>
      <c r="BD110" s="90">
        <f t="shared" si="607"/>
        <v>-84997.753815784439</v>
      </c>
      <c r="BE110" s="90">
        <f t="shared" si="607"/>
        <v>-84997.53141772213</v>
      </c>
      <c r="BF110" s="90">
        <f t="shared" si="607"/>
        <v>-84997.310776632206</v>
      </c>
      <c r="BG110" s="90">
        <f t="shared" si="607"/>
        <v>-84997.077426807606</v>
      </c>
      <c r="BH110" s="90">
        <f t="shared" si="607"/>
        <v>-84996.845789776344</v>
      </c>
      <c r="BI110" s="90">
        <f t="shared" si="607"/>
        <v>-84996.595879946297</v>
      </c>
      <c r="BJ110" s="90">
        <f t="shared" si="607"/>
        <v>-84995.906184848354</v>
      </c>
      <c r="BK110" s="90">
        <f t="shared" si="607"/>
        <v>-84995.212886403533</v>
      </c>
      <c r="BL110" s="90">
        <f t="shared" si="607"/>
        <v>-84994.935617662879</v>
      </c>
      <c r="BM110" s="90">
        <f t="shared" si="607"/>
        <v>-84994.623928559711</v>
      </c>
      <c r="BN110" s="90">
        <f t="shared" si="607"/>
        <v>-84994.297801729335</v>
      </c>
      <c r="BO110" s="90">
        <f t="shared" si="607"/>
        <v>-84993.975290491799</v>
      </c>
      <c r="BP110" s="90">
        <f t="shared" si="607"/>
        <v>-84993.84378606957</v>
      </c>
      <c r="BQ110" s="90">
        <f t="shared" si="607"/>
        <v>-84993.679776041245</v>
      </c>
      <c r="BR110" s="90">
        <f t="shared" si="607"/>
        <v>-84993.516926963057</v>
      </c>
      <c r="BS110" s="90">
        <f t="shared" si="607"/>
        <v>-84993.452378328919</v>
      </c>
      <c r="BT110" s="90">
        <f t="shared" si="607"/>
        <v>-84993.385284044722</v>
      </c>
      <c r="BU110" s="90">
        <f t="shared" si="607"/>
        <v>-84993.307784273798</v>
      </c>
      <c r="BV110" s="90">
        <f t="shared" si="607"/>
        <v>-84993.232184881825</v>
      </c>
      <c r="BW110" s="90">
        <f t="shared" si="607"/>
        <v>-84993.201491753091</v>
      </c>
      <c r="BX110" s="90">
        <f t="shared" si="607"/>
        <v>-84993.165718975433</v>
      </c>
      <c r="BY110" s="90">
        <f t="shared" si="607"/>
        <v>-84993.127163798636</v>
      </c>
      <c r="BZ110" s="90">
        <f t="shared" si="607"/>
        <v>-84993.111868169974</v>
      </c>
      <c r="CA110" s="90">
        <f t="shared" si="607"/>
        <v>-84993.096233034317</v>
      </c>
      <c r="CB110" s="90">
        <f t="shared" si="607"/>
        <v>-84993.079265555454</v>
      </c>
      <c r="CC110" s="90">
        <f t="shared" si="607"/>
        <v>-84993.061349702868</v>
      </c>
      <c r="CD110" s="90">
        <f t="shared" si="607"/>
        <v>-84993.054103400049</v>
      </c>
      <c r="CE110" s="90">
        <f t="shared" si="607"/>
        <v>-84993.04576875671</v>
      </c>
      <c r="CF110" s="90">
        <f t="shared" si="607"/>
        <v>-84993.037263663689</v>
      </c>
      <c r="CG110" s="90">
        <f t="shared" si="607"/>
        <v>-84993.033582269942</v>
      </c>
      <c r="CH110" s="90">
        <f t="shared" si="607"/>
        <v>-84993.029882763149</v>
      </c>
      <c r="CI110" s="90">
        <f t="shared" si="607"/>
        <v>-84993.025933516139</v>
      </c>
      <c r="CJ110" s="90">
        <f t="shared" si="607"/>
        <v>-84993.021971583876</v>
      </c>
      <c r="CK110" s="90">
        <f t="shared" si="607"/>
        <v>-84993.020230040056</v>
      </c>
      <c r="CL110" s="90">
        <f t="shared" si="607"/>
        <v>-84993.018266228712</v>
      </c>
      <c r="CM110" s="90">
        <f t="shared" si="607"/>
        <v>-84993.016284452809</v>
      </c>
      <c r="CN110" s="90">
        <f t="shared" si="607"/>
        <v>-84993.015521213543</v>
      </c>
      <c r="CO110" s="90">
        <f t="shared" si="607"/>
        <v>-84993.015521213543</v>
      </c>
    </row>
    <row r="111" spans="1:93" ht="12.75" customHeight="1">
      <c r="A111" s="90"/>
      <c r="B111" s="102" t="s">
        <v>206</v>
      </c>
      <c r="C111" s="102">
        <f t="array" ref="C111">D107+NPV(DiscRate!G20,Model!E107:CN107)+CO109</f>
        <v>-84993.015521213587</v>
      </c>
      <c r="D111" s="92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37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</row>
    <row r="112" spans="1:93" ht="12.75" customHeight="1">
      <c r="A112" s="90"/>
      <c r="B112" s="102" t="s">
        <v>207</v>
      </c>
      <c r="C112" s="103">
        <f>D112/4</f>
        <v>4.0695527243629348E-2</v>
      </c>
      <c r="D112" s="98">
        <f>'Model (years)'!C108</f>
        <v>0.16278210897451739</v>
      </c>
      <c r="E112" s="99" t="s">
        <v>198</v>
      </c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37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</row>
    <row r="113" spans="1:93" ht="12.75" customHeight="1">
      <c r="A113" s="90"/>
      <c r="B113" s="102" t="s">
        <v>208</v>
      </c>
      <c r="C113" s="102">
        <f>(COUNTIF(D108:CO108,"&lt;0")+1)/4</f>
        <v>14.25</v>
      </c>
      <c r="D113" s="92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37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</row>
    <row r="114" spans="1:93" ht="12.75" customHeight="1">
      <c r="A114" s="90"/>
      <c r="B114" s="102" t="s">
        <v>209</v>
      </c>
      <c r="C114" s="102" t="str">
        <f>IF(C110&lt;0,"выходит за рамки модели",(COUNTIF(D110:CO110,"&lt;0")+1)/4)</f>
        <v>выходит за рамки модели</v>
      </c>
      <c r="D114" s="92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37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</row>
    <row r="115" spans="1:93" ht="12.75" customHeight="1">
      <c r="A115" s="90"/>
      <c r="B115" s="96" t="s">
        <v>210</v>
      </c>
      <c r="C115" s="441">
        <f>AVERAGE(D115:CN115)</f>
        <v>-62.685289429634082</v>
      </c>
      <c r="D115" s="104" t="str">
        <f t="shared" ref="D115:X115" si="608">IF(D179=0,"-",D170/D179)</f>
        <v>-</v>
      </c>
      <c r="E115" s="105">
        <f t="shared" si="608"/>
        <v>-219.32979168654683</v>
      </c>
      <c r="F115" s="105">
        <f t="shared" si="608"/>
        <v>-109.66489584327341</v>
      </c>
      <c r="G115" s="105">
        <f t="shared" si="608"/>
        <v>-71.589639497758924</v>
      </c>
      <c r="H115" s="105">
        <f t="shared" si="608"/>
        <v>-52.511683604134845</v>
      </c>
      <c r="I115" s="105">
        <f t="shared" si="608"/>
        <v>-41.064910067960412</v>
      </c>
      <c r="J115" s="105">
        <f t="shared" si="608"/>
        <v>-33.270603146475466</v>
      </c>
      <c r="K115" s="105">
        <f t="shared" si="608"/>
        <v>-21.100790371537254</v>
      </c>
      <c r="L115" s="105">
        <f t="shared" si="608"/>
        <v>-11.601013889966913</v>
      </c>
      <c r="M115" s="105">
        <f t="shared" si="608"/>
        <v>-4.0387524494176343</v>
      </c>
      <c r="N115" s="105">
        <f t="shared" si="608"/>
        <v>-5.0006090726213728</v>
      </c>
      <c r="O115" s="105">
        <f t="shared" si="608"/>
        <v>-6.1795550479453958</v>
      </c>
      <c r="P115" s="105">
        <f t="shared" si="608"/>
        <v>-7.3997043687046276</v>
      </c>
      <c r="Q115" s="105">
        <f t="shared" si="608"/>
        <v>-8.7359097470000329</v>
      </c>
      <c r="R115" s="105">
        <f t="shared" si="608"/>
        <v>-9.904709007669819</v>
      </c>
      <c r="S115" s="105">
        <f t="shared" si="608"/>
        <v>-11.794651118189584</v>
      </c>
      <c r="T115" s="105">
        <f t="shared" si="608"/>
        <v>-14.259076097402342</v>
      </c>
      <c r="U115" s="105">
        <f t="shared" si="608"/>
        <v>-18.28478469635737</v>
      </c>
      <c r="V115" s="105">
        <f t="shared" si="608"/>
        <v>-44.14964622242784</v>
      </c>
      <c r="W115" s="105">
        <f t="shared" si="608"/>
        <v>201.30656225962332</v>
      </c>
      <c r="X115" s="105">
        <f t="shared" si="608"/>
        <v>65.471884140440011</v>
      </c>
      <c r="Y115" s="105">
        <f t="shared" ref="Y115:CJ115" si="609">IF(Y179=0,"-",Y170/Y179)</f>
        <v>118.70253541514487</v>
      </c>
      <c r="Z115" s="105">
        <f t="shared" si="609"/>
        <v>259.32766203423296</v>
      </c>
      <c r="AA115" s="105">
        <f t="shared" si="609"/>
        <v>-4583.5475022879118</v>
      </c>
      <c r="AB115" s="105">
        <f t="shared" si="609"/>
        <v>-81.630904294486712</v>
      </c>
      <c r="AC115" s="105">
        <f t="shared" si="609"/>
        <v>-56.614258995937</v>
      </c>
      <c r="AD115" s="105">
        <f t="shared" si="609"/>
        <v>-45.175141084967976</v>
      </c>
      <c r="AE115" s="105">
        <f t="shared" si="609"/>
        <v>-34.963071662325675</v>
      </c>
      <c r="AF115" s="105">
        <f t="shared" si="609"/>
        <v>-24.625200333616942</v>
      </c>
      <c r="AG115" s="105">
        <f t="shared" si="609"/>
        <v>-22.70381355562342</v>
      </c>
      <c r="AH115" s="105">
        <f t="shared" si="609"/>
        <v>-22.23759964518387</v>
      </c>
      <c r="AI115" s="105">
        <f t="shared" si="609"/>
        <v>-18.259828604444916</v>
      </c>
      <c r="AJ115" s="105">
        <f t="shared" si="609"/>
        <v>-16.873868100339156</v>
      </c>
      <c r="AK115" s="105">
        <f t="shared" si="609"/>
        <v>-16.727208597618056</v>
      </c>
      <c r="AL115" s="105">
        <f t="shared" si="609"/>
        <v>-16.740432930853565</v>
      </c>
      <c r="AM115" s="105">
        <f t="shared" si="609"/>
        <v>-14.78052428074704</v>
      </c>
      <c r="AN115" s="105">
        <f t="shared" si="609"/>
        <v>-14.251280605447578</v>
      </c>
      <c r="AO115" s="105">
        <f t="shared" si="609"/>
        <v>-14.447419786378202</v>
      </c>
      <c r="AP115" s="105">
        <f t="shared" si="609"/>
        <v>-13.16036405666515</v>
      </c>
      <c r="AQ115" s="105">
        <f t="shared" si="609"/>
        <v>-12.607855116215404</v>
      </c>
      <c r="AR115" s="105">
        <f t="shared" si="609"/>
        <v>-12.630571646319009</v>
      </c>
      <c r="AS115" s="105">
        <f t="shared" si="609"/>
        <v>-12.832701230569187</v>
      </c>
      <c r="AT115" s="105">
        <f t="shared" si="609"/>
        <v>-11.953298885135363</v>
      </c>
      <c r="AU115" s="105">
        <f t="shared" si="609"/>
        <v>-11.69780309951428</v>
      </c>
      <c r="AV115" s="105">
        <f t="shared" si="609"/>
        <v>-11.854993655833487</v>
      </c>
      <c r="AW115" s="105">
        <f t="shared" si="609"/>
        <v>-11.21598476764084</v>
      </c>
      <c r="AX115" s="105">
        <f t="shared" si="609"/>
        <v>-10.910130117450803</v>
      </c>
      <c r="AY115" s="105">
        <f t="shared" si="609"/>
        <v>-10.978072760310869</v>
      </c>
      <c r="AZ115" s="105">
        <f t="shared" si="609"/>
        <v>-11.128424054733333</v>
      </c>
      <c r="BA115" s="105">
        <f t="shared" si="609"/>
        <v>-10.628995777514005</v>
      </c>
      <c r="BB115" s="105">
        <f t="shared" si="609"/>
        <v>-10.488694879318881</v>
      </c>
      <c r="BC115" s="105">
        <f t="shared" si="609"/>
        <v>-10.633792061835887</v>
      </c>
      <c r="BD115" s="105">
        <f t="shared" si="609"/>
        <v>-10.17627806942013</v>
      </c>
      <c r="BE115" s="105">
        <f t="shared" si="609"/>
        <v>-9.9883238725041625</v>
      </c>
      <c r="BF115" s="105">
        <f t="shared" si="609"/>
        <v>-10.071829315821759</v>
      </c>
      <c r="BG115" s="105">
        <f t="shared" si="609"/>
        <v>-10.205715175508793</v>
      </c>
      <c r="BH115" s="105">
        <f t="shared" si="609"/>
        <v>-9.8247599775870693</v>
      </c>
      <c r="BI115" s="105">
        <f t="shared" si="609"/>
        <v>-9.9580173702920156</v>
      </c>
      <c r="BJ115" s="105">
        <f t="shared" si="609"/>
        <v>-10.007378988379854</v>
      </c>
      <c r="BK115" s="105">
        <f t="shared" si="609"/>
        <v>-9.5218098955747799</v>
      </c>
      <c r="BL115" s="105">
        <f t="shared" si="609"/>
        <v>-9.4555653995224542</v>
      </c>
      <c r="BM115" s="105">
        <f t="shared" si="609"/>
        <v>-9.516675997513012</v>
      </c>
      <c r="BN115" s="105">
        <f t="shared" si="609"/>
        <v>-9.5608187659008941</v>
      </c>
      <c r="BO115" s="105">
        <f t="shared" si="609"/>
        <v>-9.1217298438166949</v>
      </c>
      <c r="BP115" s="105">
        <f t="shared" si="609"/>
        <v>-9.1312633422799774</v>
      </c>
      <c r="BQ115" s="105">
        <f t="shared" si="609"/>
        <v>-9.1996226750864771</v>
      </c>
      <c r="BR115" s="105">
        <f t="shared" si="609"/>
        <v>-8.8216032793533472</v>
      </c>
      <c r="BS115" s="105">
        <f t="shared" si="609"/>
        <v>-8.776187643716419</v>
      </c>
      <c r="BT115" s="105">
        <f t="shared" si="609"/>
        <v>-8.8279608942430663</v>
      </c>
      <c r="BU115" s="105">
        <f t="shared" si="609"/>
        <v>-8.8974802625538008</v>
      </c>
      <c r="BV115" s="105">
        <f t="shared" si="609"/>
        <v>-8.537798801990423</v>
      </c>
      <c r="BW115" s="105">
        <f t="shared" si="609"/>
        <v>-8.5528569461615724</v>
      </c>
      <c r="BX115" s="105">
        <f t="shared" si="609"/>
        <v>-8.6155838779328189</v>
      </c>
      <c r="BY115" s="105">
        <f t="shared" si="609"/>
        <v>-8.3128491509291429</v>
      </c>
      <c r="BZ115" s="105">
        <f t="shared" si="609"/>
        <v>-8.2837086938267035</v>
      </c>
      <c r="CA115" s="105">
        <f t="shared" si="609"/>
        <v>-8.3338359443356467</v>
      </c>
      <c r="CB115" s="105">
        <f t="shared" si="609"/>
        <v>-8.3904063670862801</v>
      </c>
      <c r="CC115" s="105">
        <f t="shared" si="609"/>
        <v>-8.1021091406450445</v>
      </c>
      <c r="CD115" s="105">
        <f t="shared" si="609"/>
        <v>-8.1242418929568032</v>
      </c>
      <c r="CE115" s="105">
        <f t="shared" si="609"/>
        <v>-8.1829559306775081</v>
      </c>
      <c r="CF115" s="105">
        <f t="shared" si="609"/>
        <v>-7.9179598069942063</v>
      </c>
      <c r="CG115" s="105">
        <f t="shared" si="609"/>
        <v>-7.9061270237194519</v>
      </c>
      <c r="CH115" s="105">
        <f t="shared" si="609"/>
        <v>-7.9622970537041393</v>
      </c>
      <c r="CI115" s="105">
        <f t="shared" si="609"/>
        <v>-8.0150269712897586</v>
      </c>
      <c r="CJ115" s="105">
        <f t="shared" si="609"/>
        <v>-7.7579876820885749</v>
      </c>
      <c r="CK115" s="105">
        <f t="shared" ref="CK115:CN115" si="610">IF(CK179=0,"-",CK170/CK179)</f>
        <v>-7.7952328474391406</v>
      </c>
      <c r="CL115" s="105">
        <f t="shared" si="610"/>
        <v>-7.8551835361758036</v>
      </c>
      <c r="CM115" s="105">
        <f t="shared" si="610"/>
        <v>-7.6166551989623645</v>
      </c>
      <c r="CN115" s="105">
        <f t="shared" si="610"/>
        <v>-7.6078132109235952</v>
      </c>
      <c r="CO115" s="90"/>
    </row>
    <row r="116" spans="1:93" ht="12.75" customHeight="1">
      <c r="A116" s="90"/>
      <c r="B116" s="96" t="s">
        <v>211</v>
      </c>
      <c r="C116" s="441">
        <f t="shared" ref="C116:C119" si="611">AVERAGE(D116:CN116)</f>
        <v>1.0371966475004852</v>
      </c>
      <c r="D116" s="104">
        <f t="shared" ref="D116:X116" si="612">(D179+D182)/D184</f>
        <v>0</v>
      </c>
      <c r="E116" s="105">
        <f t="shared" si="612"/>
        <v>-4.6296296296296294E-3</v>
      </c>
      <c r="F116" s="105">
        <f t="shared" si="612"/>
        <v>-9.433962264150943E-3</v>
      </c>
      <c r="G116" s="105">
        <f t="shared" si="612"/>
        <v>-1.4423076923076922E-2</v>
      </c>
      <c r="H116" s="105">
        <f t="shared" si="612"/>
        <v>-1.962336010566294E-2</v>
      </c>
      <c r="I116" s="105">
        <f t="shared" si="612"/>
        <v>-2.5040392878976747E-2</v>
      </c>
      <c r="J116" s="105">
        <f t="shared" si="612"/>
        <v>-3.0688014961305063E-2</v>
      </c>
      <c r="K116" s="105">
        <f t="shared" si="612"/>
        <v>-3.6581269936914115E-2</v>
      </c>
      <c r="L116" s="105">
        <f t="shared" si="612"/>
        <v>-4.2736539065772121E-2</v>
      </c>
      <c r="M116" s="105">
        <f t="shared" si="612"/>
        <v>-2.7864920741972596E-2</v>
      </c>
      <c r="N116" s="105">
        <f t="shared" si="612"/>
        <v>0.42954156794555753</v>
      </c>
      <c r="O116" s="105">
        <f t="shared" si="612"/>
        <v>1.0467794332572204</v>
      </c>
      <c r="P116" s="105">
        <f t="shared" si="612"/>
        <v>1.7419122980868764</v>
      </c>
      <c r="Q116" s="105">
        <f t="shared" si="612"/>
        <v>2.5015702384273895</v>
      </c>
      <c r="R116" s="105">
        <f t="shared" si="612"/>
        <v>3.1610093324466511</v>
      </c>
      <c r="S116" s="105">
        <f t="shared" si="612"/>
        <v>4.010873248780384</v>
      </c>
      <c r="T116" s="105">
        <f t="shared" si="612"/>
        <v>4.8472725419194171</v>
      </c>
      <c r="U116" s="105">
        <f t="shared" si="612"/>
        <v>5.7404009418500213</v>
      </c>
      <c r="V116" s="105">
        <f t="shared" si="612"/>
        <v>6.6548405580133512</v>
      </c>
      <c r="W116" s="105">
        <f t="shared" si="612"/>
        <v>5.4353120683989031</v>
      </c>
      <c r="X116" s="105">
        <f t="shared" si="612"/>
        <v>4.2802855755063236</v>
      </c>
      <c r="Y116" s="105">
        <f t="shared" ref="Y116:CJ116" si="613">(Y179+Y182)/Y184</f>
        <v>4.2676026800005546</v>
      </c>
      <c r="Z116" s="105">
        <f t="shared" si="613"/>
        <v>4.0718763066959172</v>
      </c>
      <c r="AA116" s="105">
        <f t="shared" si="613"/>
        <v>3.7039693728574883</v>
      </c>
      <c r="AB116" s="105">
        <f t="shared" si="613"/>
        <v>3.2487019330459082</v>
      </c>
      <c r="AC116" s="105">
        <f t="shared" si="613"/>
        <v>3.2705339770234909</v>
      </c>
      <c r="AD116" s="105">
        <f t="shared" si="613"/>
        <v>3.2730173169509236</v>
      </c>
      <c r="AE116" s="105">
        <f t="shared" si="613"/>
        <v>3.2409260786084779</v>
      </c>
      <c r="AF116" s="105">
        <f t="shared" si="613"/>
        <v>2.7695995246963951</v>
      </c>
      <c r="AG116" s="105">
        <f t="shared" si="613"/>
        <v>2.6879966565788518</v>
      </c>
      <c r="AH116" s="105">
        <f t="shared" si="613"/>
        <v>2.4461213262790413</v>
      </c>
      <c r="AI116" s="105">
        <f t="shared" si="613"/>
        <v>2.1349416435499395</v>
      </c>
      <c r="AJ116" s="105">
        <f t="shared" si="613"/>
        <v>2.0964826886925301</v>
      </c>
      <c r="AK116" s="105">
        <f t="shared" si="613"/>
        <v>1.9601939199560416</v>
      </c>
      <c r="AL116" s="105">
        <f t="shared" si="613"/>
        <v>1.7589152815763256</v>
      </c>
      <c r="AM116" s="105">
        <f t="shared" si="613"/>
        <v>1.5146417374660894</v>
      </c>
      <c r="AN116" s="105">
        <f t="shared" si="613"/>
        <v>1.4616794894239991</v>
      </c>
      <c r="AO116" s="105">
        <f t="shared" si="613"/>
        <v>1.3209265884259291</v>
      </c>
      <c r="AP116" s="105">
        <f t="shared" si="613"/>
        <v>1.1467840025592275</v>
      </c>
      <c r="AQ116" s="105">
        <f t="shared" si="613"/>
        <v>1.1057783145305267</v>
      </c>
      <c r="AR116" s="105">
        <f t="shared" si="613"/>
        <v>1.0296080454008976</v>
      </c>
      <c r="AS116" s="105">
        <f t="shared" si="613"/>
        <v>0.90988015619596396</v>
      </c>
      <c r="AT116" s="105">
        <f t="shared" si="613"/>
        <v>0.76820318460155879</v>
      </c>
      <c r="AU116" s="105">
        <f t="shared" si="613"/>
        <v>0.7244486487735643</v>
      </c>
      <c r="AV116" s="105">
        <f t="shared" si="613"/>
        <v>0.6444899936779761</v>
      </c>
      <c r="AW116" s="105">
        <f t="shared" si="613"/>
        <v>0.53781449951270111</v>
      </c>
      <c r="AX116" s="105">
        <f t="shared" si="613"/>
        <v>0.50193093762450003</v>
      </c>
      <c r="AY116" s="105">
        <f t="shared" si="613"/>
        <v>0.45009676002806326</v>
      </c>
      <c r="AZ116" s="105">
        <f t="shared" si="613"/>
        <v>0.37998072973629188</v>
      </c>
      <c r="BA116" s="105">
        <f t="shared" si="613"/>
        <v>0.29122350297574423</v>
      </c>
      <c r="BB116" s="105">
        <f t="shared" si="613"/>
        <v>0.25764557669097832</v>
      </c>
      <c r="BC116" s="105">
        <f t="shared" si="613"/>
        <v>0.20751692270959851</v>
      </c>
      <c r="BD116" s="105">
        <f t="shared" si="613"/>
        <v>0.14534779410969684</v>
      </c>
      <c r="BE116" s="105">
        <f t="shared" si="613"/>
        <v>0.11647665804916914</v>
      </c>
      <c r="BF116" s="105">
        <f t="shared" si="613"/>
        <v>8.0918464029863552E-2</v>
      </c>
      <c r="BG116" s="105">
        <f t="shared" si="613"/>
        <v>3.5862272612146077E-2</v>
      </c>
      <c r="BH116" s="105">
        <f t="shared" si="613"/>
        <v>-1.7794952031559539E-2</v>
      </c>
      <c r="BI116" s="105">
        <f t="shared" si="613"/>
        <v>-3.7279611860857279E-2</v>
      </c>
      <c r="BJ116" s="105">
        <f t="shared" si="613"/>
        <v>-3.7878196680539711E-2</v>
      </c>
      <c r="BK116" s="105">
        <f t="shared" si="613"/>
        <v>-4.0434439243611696E-2</v>
      </c>
      <c r="BL116" s="105">
        <f t="shared" si="613"/>
        <v>-4.1511201693624537E-2</v>
      </c>
      <c r="BM116" s="105">
        <f t="shared" si="613"/>
        <v>-4.2093099327130505E-2</v>
      </c>
      <c r="BN116" s="105">
        <f t="shared" si="613"/>
        <v>-4.2744198017694149E-2</v>
      </c>
      <c r="BO116" s="105">
        <f t="shared" si="613"/>
        <v>-4.5469190489056462E-2</v>
      </c>
      <c r="BP116" s="105">
        <f t="shared" si="613"/>
        <v>-4.6304191947654234E-2</v>
      </c>
      <c r="BQ116" s="105">
        <f t="shared" si="613"/>
        <v>-4.6873706753010377E-2</v>
      </c>
      <c r="BR116" s="105">
        <f t="shared" si="613"/>
        <v>-4.959989130199495E-2</v>
      </c>
      <c r="BS116" s="105">
        <f t="shared" si="613"/>
        <v>-5.0765197314519728E-2</v>
      </c>
      <c r="BT116" s="105">
        <f t="shared" si="613"/>
        <v>-5.1436325545118879E-2</v>
      </c>
      <c r="BU116" s="105">
        <f t="shared" si="613"/>
        <v>-5.2015656661380034E-2</v>
      </c>
      <c r="BV116" s="105">
        <f t="shared" si="613"/>
        <v>-5.4962420703104864E-2</v>
      </c>
      <c r="BW116" s="105">
        <f t="shared" si="613"/>
        <v>-5.5868641726643131E-2</v>
      </c>
      <c r="BX116" s="105">
        <f t="shared" si="613"/>
        <v>-5.6499852866401017E-2</v>
      </c>
      <c r="BY116" s="105">
        <f t="shared" si="613"/>
        <v>-5.9374265053473298E-2</v>
      </c>
      <c r="BZ116" s="105">
        <f t="shared" si="613"/>
        <v>-6.0611545522097299E-2</v>
      </c>
      <c r="CA116" s="105">
        <f t="shared" si="613"/>
        <v>-6.1341282222525668E-2</v>
      </c>
      <c r="CB116" s="105">
        <f t="shared" si="613"/>
        <v>-6.2030703526521701E-2</v>
      </c>
      <c r="CC116" s="105">
        <f t="shared" si="613"/>
        <v>-6.5098477218410875E-2</v>
      </c>
      <c r="CD116" s="105">
        <f t="shared" si="613"/>
        <v>-6.6051586421831426E-2</v>
      </c>
      <c r="CE116" s="105">
        <f t="shared" si="613"/>
        <v>-6.6743928730248592E-2</v>
      </c>
      <c r="CF116" s="105">
        <f t="shared" si="613"/>
        <v>-6.9886231737538371E-2</v>
      </c>
      <c r="CG116" s="105">
        <f t="shared" si="613"/>
        <v>-7.1151048681101128E-2</v>
      </c>
      <c r="CH116" s="105">
        <f t="shared" si="613"/>
        <v>-7.1881245800268917E-2</v>
      </c>
      <c r="CI116" s="105">
        <f t="shared" si="613"/>
        <v>-7.2641661958021742E-2</v>
      </c>
      <c r="CJ116" s="105">
        <f t="shared" si="613"/>
        <v>-7.6001275780251981E-2</v>
      </c>
      <c r="CK116" s="105">
        <f t="shared" ref="CK116:CN116" si="614">(CK179+CK182)/CK184</f>
        <v>-7.691413896863751E-2</v>
      </c>
      <c r="CL116" s="105">
        <f t="shared" si="614"/>
        <v>-7.7632128395529423E-2</v>
      </c>
      <c r="CM116" s="105">
        <f t="shared" si="614"/>
        <v>-8.1067053930614821E-2</v>
      </c>
      <c r="CN116" s="105">
        <f t="shared" si="614"/>
        <v>-8.2450648116822192E-2</v>
      </c>
      <c r="CO116" s="90"/>
    </row>
    <row r="117" spans="1:93" ht="12.75" customHeight="1">
      <c r="A117" s="90"/>
      <c r="B117" s="96" t="s">
        <v>212</v>
      </c>
      <c r="C117" s="441">
        <f t="shared" si="611"/>
        <v>0.26129340587746486</v>
      </c>
      <c r="D117" s="104">
        <f t="shared" ref="D117:X117" si="615">(D179+D182)/D187</f>
        <v>0</v>
      </c>
      <c r="E117" s="105">
        <f t="shared" si="615"/>
        <v>-4.6511627906976744E-3</v>
      </c>
      <c r="F117" s="105">
        <f t="shared" si="615"/>
        <v>-9.5238095238095247E-3</v>
      </c>
      <c r="G117" s="105">
        <f t="shared" si="615"/>
        <v>-1.4634146341463414E-2</v>
      </c>
      <c r="H117" s="105">
        <f t="shared" si="615"/>
        <v>-2.0016144109449512E-2</v>
      </c>
      <c r="I117" s="105">
        <f t="shared" si="615"/>
        <v>-2.5683518266894152E-2</v>
      </c>
      <c r="J117" s="105">
        <f t="shared" si="615"/>
        <v>-3.1659584772471369E-2</v>
      </c>
      <c r="K117" s="105">
        <f t="shared" si="615"/>
        <v>-3.7970270657410536E-2</v>
      </c>
      <c r="L117" s="105">
        <f t="shared" si="615"/>
        <v>-4.4644490059261216E-2</v>
      </c>
      <c r="M117" s="105">
        <f t="shared" si="615"/>
        <v>-2.8663630535007773E-2</v>
      </c>
      <c r="N117" s="105">
        <f t="shared" si="615"/>
        <v>0.30047504569095268</v>
      </c>
      <c r="O117" s="105">
        <f t="shared" si="615"/>
        <v>0.51142757067447564</v>
      </c>
      <c r="P117" s="105">
        <f t="shared" si="615"/>
        <v>0.63529103367101369</v>
      </c>
      <c r="Q117" s="105">
        <f t="shared" si="615"/>
        <v>0.71441383953242765</v>
      </c>
      <c r="R117" s="105">
        <f t="shared" si="615"/>
        <v>0.75967369450430788</v>
      </c>
      <c r="S117" s="105">
        <f t="shared" si="615"/>
        <v>0.80043398618326767</v>
      </c>
      <c r="T117" s="105">
        <f t="shared" si="615"/>
        <v>0.82898009408130968</v>
      </c>
      <c r="U117" s="105">
        <f t="shared" si="615"/>
        <v>0.85164087290547252</v>
      </c>
      <c r="V117" s="105">
        <f t="shared" si="615"/>
        <v>0.86936370621682446</v>
      </c>
      <c r="W117" s="105">
        <f t="shared" si="615"/>
        <v>0.84460738043915884</v>
      </c>
      <c r="X117" s="105">
        <f t="shared" si="615"/>
        <v>0.81061630366382009</v>
      </c>
      <c r="Y117" s="105">
        <f t="shared" ref="Y117:CJ117" si="616">(Y179+Y182)/Y187</f>
        <v>0.8101603213551607</v>
      </c>
      <c r="Z117" s="105">
        <f t="shared" si="616"/>
        <v>0.80283430834466629</v>
      </c>
      <c r="AA117" s="105">
        <f t="shared" si="616"/>
        <v>0.78741358186340904</v>
      </c>
      <c r="AB117" s="105">
        <f t="shared" si="616"/>
        <v>0.76463399509809882</v>
      </c>
      <c r="AC117" s="105">
        <f t="shared" si="616"/>
        <v>0.76583724532336162</v>
      </c>
      <c r="AD117" s="105">
        <f t="shared" si="616"/>
        <v>0.76597333316833704</v>
      </c>
      <c r="AE117" s="105">
        <f t="shared" si="616"/>
        <v>0.76420244506404666</v>
      </c>
      <c r="AF117" s="105">
        <f t="shared" si="616"/>
        <v>0.73471983072776392</v>
      </c>
      <c r="AG117" s="105">
        <f t="shared" si="616"/>
        <v>0.72885007956388881</v>
      </c>
      <c r="AH117" s="105">
        <f t="shared" si="616"/>
        <v>0.70981869025495026</v>
      </c>
      <c r="AI117" s="105">
        <f t="shared" si="616"/>
        <v>0.68101479590298786</v>
      </c>
      <c r="AJ117" s="105">
        <f t="shared" si="616"/>
        <v>0.67705293375231379</v>
      </c>
      <c r="AK117" s="105">
        <f t="shared" si="616"/>
        <v>0.6621842936509883</v>
      </c>
      <c r="AL117" s="105">
        <f t="shared" si="616"/>
        <v>0.63753870708612592</v>
      </c>
      <c r="AM117" s="105">
        <f t="shared" si="616"/>
        <v>0.60232903753213662</v>
      </c>
      <c r="AN117" s="105">
        <f t="shared" si="616"/>
        <v>0.59377327377660072</v>
      </c>
      <c r="AO117" s="105">
        <f t="shared" si="616"/>
        <v>0.56913760004869096</v>
      </c>
      <c r="AP117" s="105">
        <f t="shared" si="616"/>
        <v>0.5341869518275344</v>
      </c>
      <c r="AQ117" s="105">
        <f t="shared" si="616"/>
        <v>0.52511620378095436</v>
      </c>
      <c r="AR117" s="105">
        <f t="shared" si="616"/>
        <v>0.50729403035920895</v>
      </c>
      <c r="AS117" s="105">
        <f t="shared" si="616"/>
        <v>0.47640693749509033</v>
      </c>
      <c r="AT117" s="105">
        <f t="shared" si="616"/>
        <v>0.43445413473489658</v>
      </c>
      <c r="AU117" s="105">
        <f t="shared" si="616"/>
        <v>0.42010450661363302</v>
      </c>
      <c r="AV117" s="105">
        <f t="shared" si="616"/>
        <v>0.39190873532562226</v>
      </c>
      <c r="AW117" s="105">
        <f t="shared" si="616"/>
        <v>0.3497265110214024</v>
      </c>
      <c r="AX117" s="105">
        <f t="shared" si="616"/>
        <v>0.33419042450671493</v>
      </c>
      <c r="AY117" s="105">
        <f t="shared" si="616"/>
        <v>0.31039084593179334</v>
      </c>
      <c r="AZ117" s="105">
        <f t="shared" si="616"/>
        <v>0.27535219988825821</v>
      </c>
      <c r="BA117" s="105">
        <f t="shared" si="616"/>
        <v>0.22554073892288415</v>
      </c>
      <c r="BB117" s="105">
        <f t="shared" si="616"/>
        <v>0.20486342214861186</v>
      </c>
      <c r="BC117" s="105">
        <f t="shared" si="616"/>
        <v>0.17185425628979384</v>
      </c>
      <c r="BD117" s="105">
        <f t="shared" si="616"/>
        <v>0.12690275814664556</v>
      </c>
      <c r="BE117" s="105">
        <f t="shared" si="616"/>
        <v>0.10432520663055327</v>
      </c>
      <c r="BF117" s="105">
        <f t="shared" si="616"/>
        <v>7.4860839852975203E-2</v>
      </c>
      <c r="BG117" s="105">
        <f t="shared" si="616"/>
        <v>3.4620695781990167E-2</v>
      </c>
      <c r="BH117" s="105">
        <f t="shared" si="616"/>
        <v>-1.8117349394982253E-2</v>
      </c>
      <c r="BI117" s="105">
        <f t="shared" si="616"/>
        <v>-3.8723197638844672E-2</v>
      </c>
      <c r="BJ117" s="105">
        <f t="shared" si="616"/>
        <v>-3.9369440074899481E-2</v>
      </c>
      <c r="BK117" s="105">
        <f t="shared" si="616"/>
        <v>-4.2138276838258756E-2</v>
      </c>
      <c r="BL117" s="105">
        <f t="shared" si="616"/>
        <v>-4.3309010775059387E-2</v>
      </c>
      <c r="BM117" s="105">
        <f t="shared" si="616"/>
        <v>-4.3942787443709552E-2</v>
      </c>
      <c r="BN117" s="105">
        <f t="shared" si="616"/>
        <v>-4.4652848203352274E-2</v>
      </c>
      <c r="BO117" s="105">
        <f t="shared" si="616"/>
        <v>-4.7635120874047768E-2</v>
      </c>
      <c r="BP117" s="105">
        <f t="shared" si="616"/>
        <v>-4.8552370217729554E-2</v>
      </c>
      <c r="BQ117" s="105">
        <f t="shared" si="616"/>
        <v>-4.9178904291189977E-2</v>
      </c>
      <c r="BR117" s="105">
        <f t="shared" si="616"/>
        <v>-5.2188431848923106E-2</v>
      </c>
      <c r="BS117" s="105">
        <f t="shared" si="616"/>
        <v>-5.3480126488093249E-2</v>
      </c>
      <c r="BT117" s="105">
        <f t="shared" si="616"/>
        <v>-5.4225485257674677E-2</v>
      </c>
      <c r="BU117" s="105">
        <f t="shared" si="616"/>
        <v>-5.486974234003783E-2</v>
      </c>
      <c r="BV117" s="105">
        <f t="shared" si="616"/>
        <v>-5.8158978973086681E-2</v>
      </c>
      <c r="BW117" s="105">
        <f t="shared" si="616"/>
        <v>-5.9174648990386922E-2</v>
      </c>
      <c r="BX117" s="105">
        <f t="shared" si="616"/>
        <v>-5.9883247541667496E-2</v>
      </c>
      <c r="BY117" s="105">
        <f t="shared" si="616"/>
        <v>-6.3122092929818296E-2</v>
      </c>
      <c r="BZ117" s="105">
        <f t="shared" si="616"/>
        <v>-6.4522344545722823E-2</v>
      </c>
      <c r="CA117" s="105">
        <f t="shared" si="616"/>
        <v>-6.5349930769052642E-2</v>
      </c>
      <c r="CB117" s="105">
        <f t="shared" si="616"/>
        <v>-6.6132978723014796E-2</v>
      </c>
      <c r="CC117" s="105">
        <f t="shared" si="616"/>
        <v>-6.9631373606842573E-2</v>
      </c>
      <c r="CD117" s="105">
        <f t="shared" si="616"/>
        <v>-7.0722949427980492E-2</v>
      </c>
      <c r="CE117" s="105">
        <f t="shared" si="616"/>
        <v>-7.1517272466751214E-2</v>
      </c>
      <c r="CF117" s="105">
        <f t="shared" si="616"/>
        <v>-7.513729408402621E-2</v>
      </c>
      <c r="CG117" s="105">
        <f t="shared" si="616"/>
        <v>-7.6601312387844928E-2</v>
      </c>
      <c r="CH117" s="105">
        <f t="shared" si="616"/>
        <v>-7.7448328109960884E-2</v>
      </c>
      <c r="CI117" s="105">
        <f t="shared" si="616"/>
        <v>-7.8331815198208213E-2</v>
      </c>
      <c r="CJ117" s="105">
        <f t="shared" si="616"/>
        <v>-8.225257653297055E-2</v>
      </c>
      <c r="CK117" s="105">
        <f t="shared" ref="CK117:CN117" si="617">(CK179+CK182)/CK187</f>
        <v>-8.3322843752260983E-2</v>
      </c>
      <c r="CL117" s="105">
        <f t="shared" si="617"/>
        <v>-8.4166123718606281E-2</v>
      </c>
      <c r="CM117" s="105">
        <f t="shared" si="617"/>
        <v>-8.821868263333954E-2</v>
      </c>
      <c r="CN117" s="105">
        <f t="shared" si="617"/>
        <v>-8.9859633105947412E-2</v>
      </c>
      <c r="CO117" s="90"/>
    </row>
    <row r="118" spans="1:93" ht="12.75" customHeight="1">
      <c r="A118" s="90"/>
      <c r="B118" s="96" t="s">
        <v>213</v>
      </c>
      <c r="C118" s="441">
        <f t="shared" si="611"/>
        <v>6.5571376713493628</v>
      </c>
      <c r="D118" s="104" t="str">
        <f t="shared" ref="D118:X118" si="618">IF(D27=0,"-",(D179+D182)/D60)</f>
        <v>-</v>
      </c>
      <c r="E118" s="105" t="str">
        <f t="shared" si="618"/>
        <v>-</v>
      </c>
      <c r="F118" s="105" t="str">
        <f t="shared" si="618"/>
        <v>-</v>
      </c>
      <c r="G118" s="105" t="str">
        <f t="shared" si="618"/>
        <v>-</v>
      </c>
      <c r="H118" s="105" t="str">
        <f t="shared" si="618"/>
        <v>-</v>
      </c>
      <c r="I118" s="105" t="str">
        <f t="shared" si="618"/>
        <v>-</v>
      </c>
      <c r="J118" s="105" t="str">
        <f t="shared" si="618"/>
        <v>-</v>
      </c>
      <c r="K118" s="105" t="str">
        <f t="shared" si="618"/>
        <v>-</v>
      </c>
      <c r="L118" s="105" t="str">
        <f t="shared" si="618"/>
        <v>-</v>
      </c>
      <c r="M118" s="105" t="str">
        <f t="shared" si="618"/>
        <v>-</v>
      </c>
      <c r="N118" s="105" t="str">
        <f t="shared" si="618"/>
        <v>-</v>
      </c>
      <c r="O118" s="105" t="str">
        <f t="shared" si="618"/>
        <v>-</v>
      </c>
      <c r="P118" s="105" t="str">
        <f t="shared" si="618"/>
        <v>-</v>
      </c>
      <c r="Q118" s="105" t="str">
        <f t="shared" si="618"/>
        <v>-</v>
      </c>
      <c r="R118" s="105" t="str">
        <f t="shared" si="618"/>
        <v>-</v>
      </c>
      <c r="S118" s="105" t="str">
        <f t="shared" si="618"/>
        <v>-</v>
      </c>
      <c r="T118" s="105" t="str">
        <f t="shared" si="618"/>
        <v>-</v>
      </c>
      <c r="U118" s="105" t="str">
        <f t="shared" si="618"/>
        <v>-</v>
      </c>
      <c r="V118" s="105" t="str">
        <f t="shared" si="618"/>
        <v>-</v>
      </c>
      <c r="W118" s="105">
        <f t="shared" si="618"/>
        <v>21.735344570849708</v>
      </c>
      <c r="X118" s="105">
        <f t="shared" si="618"/>
        <v>16.910931340856756</v>
      </c>
      <c r="Y118" s="105">
        <f t="shared" ref="Y118:CJ118" si="619">IF(Y27=0,"-",(Y179+Y182)/Y60)</f>
        <v>35.14726408302019</v>
      </c>
      <c r="Z118" s="105">
        <f t="shared" si="619"/>
        <v>26.248051183295619</v>
      </c>
      <c r="AA118" s="105">
        <f t="shared" si="619"/>
        <v>19.480454089370593</v>
      </c>
      <c r="AB118" s="105">
        <f t="shared" si="619"/>
        <v>15.074269877483735</v>
      </c>
      <c r="AC118" s="105">
        <f t="shared" si="619"/>
        <v>31.413559981678446</v>
      </c>
      <c r="AD118" s="105">
        <f t="shared" si="619"/>
        <v>21.81136635852463</v>
      </c>
      <c r="AE118" s="105">
        <f t="shared" si="619"/>
        <v>16.195194532936299</v>
      </c>
      <c r="AF118" s="105">
        <f t="shared" si="619"/>
        <v>12.467828132120252</v>
      </c>
      <c r="AG118" s="105">
        <f t="shared" si="619"/>
        <v>25.402951214658668</v>
      </c>
      <c r="AH118" s="105">
        <f t="shared" si="619"/>
        <v>15.480314439150362</v>
      </c>
      <c r="AI118" s="105">
        <f t="shared" si="619"/>
        <v>11.933240891977473</v>
      </c>
      <c r="AJ118" s="105">
        <f t="shared" si="619"/>
        <v>27.332383888807385</v>
      </c>
      <c r="AK118" s="105">
        <f t="shared" si="619"/>
        <v>16.764329655974858</v>
      </c>
      <c r="AL118" s="105">
        <f t="shared" si="619"/>
        <v>12.399561707351134</v>
      </c>
      <c r="AM118" s="105">
        <f t="shared" si="619"/>
        <v>9.4565133990561492</v>
      </c>
      <c r="AN118" s="105">
        <f t="shared" si="619"/>
        <v>20.988752521484269</v>
      </c>
      <c r="AO118" s="105">
        <f t="shared" si="619"/>
        <v>11.333719870368496</v>
      </c>
      <c r="AP118" s="105">
        <f t="shared" si="619"/>
        <v>8.6076204975946151</v>
      </c>
      <c r="AQ118" s="105">
        <f t="shared" si="619"/>
        <v>19.52184642809333</v>
      </c>
      <c r="AR118" s="105">
        <f t="shared" si="619"/>
        <v>12.763286864594518</v>
      </c>
      <c r="AS118" s="105">
        <f t="shared" si="619"/>
        <v>8.4722305459630114</v>
      </c>
      <c r="AT118" s="105">
        <f t="shared" si="619"/>
        <v>6.2781844719341811</v>
      </c>
      <c r="AU118" s="105">
        <f t="shared" si="619"/>
        <v>13.691871117937206</v>
      </c>
      <c r="AV118" s="105">
        <f t="shared" si="619"/>
        <v>7.6721358870464273</v>
      </c>
      <c r="AW118" s="105">
        <f t="shared" si="619"/>
        <v>5.1655882616199165</v>
      </c>
      <c r="AX118" s="105">
        <f t="shared" si="619"/>
        <v>11.281794300463986</v>
      </c>
      <c r="AY118" s="105">
        <f t="shared" si="619"/>
        <v>7.2167806386154485</v>
      </c>
      <c r="AZ118" s="105">
        <f t="shared" si="619"/>
        <v>4.8025496058664343</v>
      </c>
      <c r="BA118" s="105">
        <f t="shared" si="619"/>
        <v>2.9910371629848824</v>
      </c>
      <c r="BB118" s="105">
        <f t="shared" si="619"/>
        <v>6.074389667432933</v>
      </c>
      <c r="BC118" s="105">
        <f t="shared" si="619"/>
        <v>3.1126956761054227</v>
      </c>
      <c r="BD118" s="105">
        <f t="shared" si="619"/>
        <v>1.8258981415467899</v>
      </c>
      <c r="BE118" s="105">
        <f t="shared" si="619"/>
        <v>3.1709382870402765</v>
      </c>
      <c r="BF118" s="105">
        <f t="shared" si="619"/>
        <v>1.5902583290945056</v>
      </c>
      <c r="BG118" s="105">
        <f t="shared" si="619"/>
        <v>0.55836511952692713</v>
      </c>
      <c r="BH118" s="105">
        <f t="shared" si="619"/>
        <v>-0.2333419568294085</v>
      </c>
      <c r="BI118" s="105">
        <f t="shared" si="619"/>
        <v>-1.0437623903848203</v>
      </c>
      <c r="BJ118" s="105">
        <f t="shared" si="619"/>
        <v>-0.65590136274930455</v>
      </c>
      <c r="BK118" s="105">
        <f t="shared" si="619"/>
        <v>-0.56012305651029848</v>
      </c>
      <c r="BL118" s="105">
        <f t="shared" si="619"/>
        <v>-1.3761386568085747</v>
      </c>
      <c r="BM118" s="105">
        <f t="shared" si="619"/>
        <v>-0.84825397277634318</v>
      </c>
      <c r="BN118" s="105">
        <f t="shared" si="619"/>
        <v>-0.65794233588565809</v>
      </c>
      <c r="BO118" s="105">
        <f t="shared" si="619"/>
        <v>-0.5620703543534582</v>
      </c>
      <c r="BP118" s="105">
        <f t="shared" si="619"/>
        <v>-1.3349310104202097</v>
      </c>
      <c r="BQ118" s="105">
        <f t="shared" si="619"/>
        <v>-0.73598180982659456</v>
      </c>
      <c r="BR118" s="105">
        <f t="shared" si="619"/>
        <v>-0.62717860947956061</v>
      </c>
      <c r="BS118" s="105">
        <f t="shared" si="619"/>
        <v>-1.5402475912407021</v>
      </c>
      <c r="BT118" s="105">
        <f t="shared" si="619"/>
        <v>-1.0391485937150133</v>
      </c>
      <c r="BU118" s="105">
        <f t="shared" si="619"/>
        <v>-0.72631288637650471</v>
      </c>
      <c r="BV118" s="105">
        <f t="shared" si="619"/>
        <v>-0.62015083744450927</v>
      </c>
      <c r="BW118" s="105">
        <f t="shared" si="619"/>
        <v>-1.4743466856873537</v>
      </c>
      <c r="BX118" s="105">
        <f t="shared" si="619"/>
        <v>-0.87623984067145344</v>
      </c>
      <c r="BY118" s="105">
        <f t="shared" si="619"/>
        <v>-0.68210963966583638</v>
      </c>
      <c r="BZ118" s="105">
        <f t="shared" si="619"/>
        <v>-1.650049674759388</v>
      </c>
      <c r="CA118" s="105">
        <f t="shared" si="619"/>
        <v>-1.1359058371157267</v>
      </c>
      <c r="CB118" s="105">
        <f t="shared" si="619"/>
        <v>-0.85211087115873774</v>
      </c>
      <c r="CC118" s="105">
        <f t="shared" si="619"/>
        <v>-0.66743829999546755</v>
      </c>
      <c r="CD118" s="105">
        <f t="shared" si="619"/>
        <v>-1.5660113609863298</v>
      </c>
      <c r="CE118" s="105">
        <f t="shared" si="619"/>
        <v>-0.94919532917948324</v>
      </c>
      <c r="CF118" s="105">
        <f t="shared" si="619"/>
        <v>-0.78306513236029107</v>
      </c>
      <c r="CG118" s="105">
        <f t="shared" si="619"/>
        <v>-1.722103231265103</v>
      </c>
      <c r="CH118" s="105">
        <f t="shared" si="619"/>
        <v>-1.2025498103723553</v>
      </c>
      <c r="CI118" s="105">
        <f t="shared" si="619"/>
        <v>-0.91473268423486298</v>
      </c>
      <c r="CJ118" s="105">
        <f t="shared" si="619"/>
        <v>-0.7575352594113357</v>
      </c>
      <c r="CK118" s="105">
        <f t="shared" ref="CK118:CN118" si="620">IF(CK27=0,"-",(CK179+CK182)/CK60)</f>
        <v>-1.6243339078068619</v>
      </c>
      <c r="CL118" s="105">
        <f t="shared" si="620"/>
        <v>-1.0001073235650033</v>
      </c>
      <c r="CM118" s="105">
        <f t="shared" si="620"/>
        <v>-0.83258178752551226</v>
      </c>
      <c r="CN118" s="105">
        <f t="shared" si="620"/>
        <v>-2.1219636474082875</v>
      </c>
      <c r="CO118" s="90"/>
    </row>
    <row r="119" spans="1:93" ht="12.75" customHeight="1">
      <c r="A119" s="90"/>
      <c r="B119" s="96" t="s">
        <v>214</v>
      </c>
      <c r="C119" s="441">
        <f t="shared" si="611"/>
        <v>5.1231825877090538</v>
      </c>
      <c r="D119" s="104" t="str">
        <f t="array" ref="D119">IF(D164=0,"-",(D95+NPV(Assump!$D$37,Model!E$120:$CN120))/D164)</f>
        <v>-</v>
      </c>
      <c r="E119" s="104" t="str">
        <f t="array" ref="E119">IF(E164=0,"-",(E95+NPV(Assump!$D$37,Model!F$120:$CN120))/E164)</f>
        <v>-</v>
      </c>
      <c r="F119" s="104" t="str">
        <f t="array" ref="F119">IF(F164=0,"-",(F95+NPV(Assump!$D$37,Model!G$120:$CN120))/F164)</f>
        <v>-</v>
      </c>
      <c r="G119" s="104" t="str">
        <f t="array" ref="G119">IF(G164=0,"-",(G95+NPV(Assump!$D$37,Model!H$120:$CN120))/G164)</f>
        <v>-</v>
      </c>
      <c r="H119" s="104" t="str">
        <f t="array" ref="H119">IF(H164=0,"-",(H95+NPV(Assump!$D$37,Model!I$120:$CN120))/H164)</f>
        <v>-</v>
      </c>
      <c r="I119" s="104" t="str">
        <f t="array" ref="I119">IF(I164=0,"-",(I95+NPV(Assump!$D$37,Model!J$120:$CN120))/I164)</f>
        <v>-</v>
      </c>
      <c r="J119" s="104" t="str">
        <f t="array" ref="J119">IF(J164=0,"-",(J95+NPV(Assump!$D$37,Model!K$120:$CN120))/J164)</f>
        <v>-</v>
      </c>
      <c r="K119" s="104" t="str">
        <f t="array" ref="K119">IF(K164=0,"-",(K95+NPV(Assump!$D$37,Model!L$120:$CN120))/K164)</f>
        <v>-</v>
      </c>
      <c r="L119" s="104" t="str">
        <f t="array" ref="L119">IF(L164=0,"-",(L95+NPV(Assump!$D$37,Model!M$120:$CN120))/L164)</f>
        <v>-</v>
      </c>
      <c r="M119" s="104">
        <f t="array" ref="M119">IF(M164=0,"-",(M95+NPV(Assump!$D$37,Model!N$120:$CN120))/M164)</f>
        <v>99.213537292991205</v>
      </c>
      <c r="N119" s="104">
        <f t="array" ref="N119">IF(N164=0,"-",(N95+NPV(Assump!$D$37,Model!O$120:$CN120))/N164)</f>
        <v>4.7788425737049538</v>
      </c>
      <c r="O119" s="104">
        <f t="array" ref="O119">IF(O164=0,"-",(O95+NPV(Assump!$D$37,Model!P$120:$CN120))/O164)</f>
        <v>2.2907437680268301</v>
      </c>
      <c r="P119" s="104">
        <f t="array" ref="P119">IF(P164=0,"-",(P95+NPV(Assump!$D$37,Model!Q$120:$CN120))/P164)</f>
        <v>1.5336171459767765</v>
      </c>
      <c r="Q119" s="104">
        <f t="array" ref="Q119">IF(Q164=0,"-",(Q95+NPV(Assump!$D$37,Model!R$120:$CN120))/Q164)</f>
        <v>1.1760475793141412</v>
      </c>
      <c r="R119" s="104">
        <f t="array" ref="R119">IF(R164=0,"-",(R95+NPV(Assump!$D$37,Model!S$120:$CN120))/R164)</f>
        <v>1.0190360042635687</v>
      </c>
      <c r="S119" s="104">
        <f t="array" ref="S119">IF(S164=0,"-",(S95+NPV(Assump!$D$37,Model!T$120:$CN120))/S164)</f>
        <v>0.87882494881221063</v>
      </c>
      <c r="T119" s="104">
        <f t="array" ref="T119">IF(T164=0,"-",(T95+NPV(Assump!$D$37,Model!U$120:$CN120))/T164)</f>
        <v>0.79538662459989196</v>
      </c>
      <c r="U119" s="104">
        <f t="array" ref="U119">IF(U164=0,"-",(U95+NPV(Assump!$D$37,Model!V$120:$CN120))/U164)</f>
        <v>0.73600696526996368</v>
      </c>
      <c r="V119" s="104">
        <f t="array" ref="V119">IF(V164=0,"-",(V95+NPV(Assump!$D$37,Model!W$120:$CN120))/V164)</f>
        <v>0.69871589991396743</v>
      </c>
      <c r="W119" s="104">
        <f t="array" ref="W119">IF(W164=0,"-",(W95+NPV(Assump!$D$37,Model!X$120:$CN120))/W164)</f>
        <v>0.72078789283178113</v>
      </c>
      <c r="X119" s="104">
        <f t="array" ref="X119">IF(X164=0,"-",(X95+NPV(Assump!$D$37,Model!Y$120:$CN120))/X164)</f>
        <v>0.73955817479671471</v>
      </c>
      <c r="Y119" s="104">
        <f t="array" ref="Y119">IF(Y164=0,"-",(Y95+NPV(Assump!$D$37,Model!Z$120:$CN120))/Y164)</f>
        <v>0.76336830989786353</v>
      </c>
      <c r="Z119" s="104">
        <f t="array" ref="Z119">IF(Z164=0,"-",(Z95+NPV(Assump!$D$37,Model!AA$120:$CN120))/Z164)</f>
        <v>0.78755407775180253</v>
      </c>
      <c r="AA119" s="104">
        <f t="array" ref="AA119">IF(AA164=0,"-",(AA95+NPV(Assump!$D$37,Model!AB$120:$CN120))/AA164)</f>
        <v>0.8115730676829086</v>
      </c>
      <c r="AB119" s="104">
        <f t="array" ref="AB119">IF(AB164=0,"-",(AB95+NPV(Assump!$D$37,Model!AC$120:$CN120))/AB164)</f>
        <v>0.83574903264566314</v>
      </c>
      <c r="AC119" s="104">
        <f t="array" ref="AC119">IF(AC164=0,"-",(AC95+NPV(Assump!$D$37,Model!AD$120:$CN120))/AC164)</f>
        <v>0.85872042720395403</v>
      </c>
      <c r="AD119" s="104">
        <f t="array" ref="AD119">IF(AD164=0,"-",(AD95+NPV(Assump!$D$37,Model!AE$120:$CN120))/AD164)</f>
        <v>0.87118314959887055</v>
      </c>
      <c r="AE119" s="104">
        <f t="array" ref="AE119">IF(AE164=0,"-",(AE95+NPV(Assump!$D$37,Model!AF$120:$CN120))/AE164)</f>
        <v>0.8712494241347184</v>
      </c>
      <c r="AF119" s="104">
        <f t="array" ref="AF119">IF(AF164=0,"-",(AF95+NPV(Assump!$D$37,Model!AG$120:$CN120))/AF164)</f>
        <v>0.90138557750481318</v>
      </c>
      <c r="AG119" s="104">
        <f t="array" ref="AG119">IF(AG164=0,"-",(AG95+NPV(Assump!$D$37,Model!AH$120:$CN120))/AG164)</f>
        <v>0.93515084635187684</v>
      </c>
      <c r="AH119" s="104">
        <f t="array" ref="AH119">IF(AH164=0,"-",(AH95+NPV(Assump!$D$37,Model!AI$120:$CN120))/AH164)</f>
        <v>0.9708846665701758</v>
      </c>
      <c r="AI119" s="104">
        <f t="array" ref="AI119">IF(AI164=0,"-",(AI95+NPV(Assump!$D$37,Model!AJ$120:$CN120))/AI164)</f>
        <v>1.0093316197346074</v>
      </c>
      <c r="AJ119" s="104">
        <f t="array" ref="AJ119">IF(AJ164=0,"-",(AJ95+NPV(Assump!$D$37,Model!AK$120:$CN120))/AJ164)</f>
        <v>1.0493720764463088</v>
      </c>
      <c r="AK119" s="104">
        <f t="array" ref="AK119">IF(AK164=0,"-",(AK95+NPV(Assump!$D$37,Model!AL$120:$CN120))/AK164)</f>
        <v>1.0933358710020831</v>
      </c>
      <c r="AL119" s="104">
        <f t="array" ref="AL119">IF(AL164=0,"-",(AL95+NPV(Assump!$D$37,Model!AM$120:$CN120))/AL164)</f>
        <v>1.1425725871798769</v>
      </c>
      <c r="AM119" s="104">
        <f t="array" ref="AM119">IF(AM164=0,"-",(AM95+NPV(Assump!$D$37,Model!AN$120:$CN120))/AM164)</f>
        <v>1.1988644670862627</v>
      </c>
      <c r="AN119" s="104">
        <f t="array" ref="AN119">IF(AN164=0,"-",(AN95+NPV(Assump!$D$37,Model!AO$120:$CN120))/AN164)</f>
        <v>1.2519821552162727</v>
      </c>
      <c r="AO119" s="104">
        <f t="array" ref="AO119">IF(AO164=0,"-",(AO95+NPV(Assump!$D$37,Model!AP$120:$CN120))/AO164)</f>
        <v>1.3158209847904145</v>
      </c>
      <c r="AP119" s="104">
        <f t="array" ref="AP119">IF(AP164=0,"-",(AP95+NPV(Assump!$D$37,Model!AQ$120:$CN120))/AP164)</f>
        <v>1.3919259458892352</v>
      </c>
      <c r="AQ119" s="104">
        <f t="array" ref="AQ119">IF(AQ164=0,"-",(AQ95+NPV(Assump!$D$37,Model!AR$120:$CN120))/AQ164)</f>
        <v>1.4589685904986098</v>
      </c>
      <c r="AR119" s="104">
        <f t="array" ref="AR119">IF(AR164=0,"-",(AR95+NPV(Assump!$D$37,Model!AS$120:$CN120))/AR164)</f>
        <v>1.5381893714944093</v>
      </c>
      <c r="AS119" s="104">
        <f t="array" ref="AS119">IF(AS164=0,"-",(AS95+NPV(Assump!$D$37,Model!AT$120:$CN120))/AS164)</f>
        <v>1.6401730739108114</v>
      </c>
      <c r="AT119" s="104">
        <f t="array" ref="AT119">IF(AT164=0,"-",(AT95+NPV(Assump!$D$37,Model!AU$120:$CN120))/AT164)</f>
        <v>1.7708243262130936</v>
      </c>
      <c r="AU119" s="104">
        <f t="array" ref="AU119">IF(AU164=0,"-",(AU95+NPV(Assump!$D$37,Model!AV$120:$CN120))/AU164)</f>
        <v>1.877410005733865</v>
      </c>
      <c r="AV119" s="104">
        <f t="array" ref="AV119">IF(AV164=0,"-",(AV95+NPV(Assump!$D$37,Model!AW$120:$CN120))/AV164)</f>
        <v>2.0223026298931597</v>
      </c>
      <c r="AW119" s="104">
        <f t="array" ref="AW119">IF(AW164=0,"-",(AW95+NPV(Assump!$D$37,Model!AX$120:$CN120))/AW164)</f>
        <v>2.227451992824073</v>
      </c>
      <c r="AX119" s="104">
        <f t="array" ref="AX119">IF(AX164=0,"-",(AX95+NPV(Assump!$D$37,Model!AY$120:$CN120))/AX164)</f>
        <v>2.3861961690803701</v>
      </c>
      <c r="AY119" s="104">
        <f t="array" ref="AY119">IF(AY164=0,"-",(AY95+NPV(Assump!$D$37,Model!AZ$120:$CN120))/AY164)</f>
        <v>2.5964334180582243</v>
      </c>
      <c r="AZ119" s="104">
        <f t="array" ref="AZ119">IF(AZ164=0,"-",(AZ95+NPV(Assump!$D$37,Model!BA$120:$CN120))/AZ164)</f>
        <v>2.906856694934866</v>
      </c>
      <c r="BA119" s="104">
        <f t="array" ref="BA119">IF(BA164=0,"-",(BA95+NPV(Assump!$D$37,Model!BB$120:$CN120))/BA164)</f>
        <v>3.4120935759910584</v>
      </c>
      <c r="BB119" s="104">
        <f t="array" ref="BB119">IF(BB164=0,"-",(BB95+NPV(Assump!$D$37,Model!BC$120:$CN120))/BB164)</f>
        <v>3.7981626761978724</v>
      </c>
      <c r="BC119" s="104">
        <f t="array" ref="BC119">IF(BC164=0,"-",(BC95+NPV(Assump!$D$37,Model!BD$120:$CN120))/BC164)</f>
        <v>4.4454607609132646</v>
      </c>
      <c r="BD119" s="104">
        <f t="array" ref="BD119">IF(BD164=0,"-",(BD95+NPV(Assump!$D$37,Model!BE$120:$CN120))/BD164)</f>
        <v>5.617244708751957</v>
      </c>
      <c r="BE119" s="104">
        <f t="array" ref="BE119">IF(BE164=0,"-",(BE95+NPV(Assump!$D$37,Model!BF$120:$CN120))/BE164)</f>
        <v>6.6655050436784915</v>
      </c>
      <c r="BF119" s="104">
        <f t="array" ref="BF119">IF(BF164=0,"-",(BF95+NPV(Assump!$D$37,Model!BG$120:$CN120))/BF164)</f>
        <v>8.5535955398112247</v>
      </c>
      <c r="BG119" s="104">
        <f t="array" ref="BG119">IF(BG164=0,"-",(BG95+NPV(Assump!$D$37,Model!BH$120:$CN120))/BG164)</f>
        <v>13.444844891159834</v>
      </c>
      <c r="BH119" s="104">
        <f t="array" ref="BH119">IF(BH164=0,"-",(BH95+NPV(Assump!$D$37,Model!BI$120:$CN120))/BH164)</f>
        <v>46.909921583699727</v>
      </c>
      <c r="BI119" s="104" t="str">
        <f t="array" ref="BI119">IF(BI164=0,"-",(BI95+NPV(Assump!$D$37,Model!BJ$120:$CN120))/BI164)</f>
        <v>-</v>
      </c>
      <c r="BJ119" s="104" t="str">
        <f t="array" ref="BJ119">IF(BJ164=0,"-",(BJ95+NPV(Assump!$D$37,Model!BK$120:$CN120))/BJ164)</f>
        <v>-</v>
      </c>
      <c r="BK119" s="104" t="str">
        <f t="array" ref="BK119">IF(BK164=0,"-",(BK95+NPV(Assump!$D$37,Model!BL$120:$CN120))/BK164)</f>
        <v>-</v>
      </c>
      <c r="BL119" s="104" t="str">
        <f t="array" ref="BL119">IF(BL164=0,"-",(BL95+NPV(Assump!$D$37,Model!BM$120:$CN120))/BL164)</f>
        <v>-</v>
      </c>
      <c r="BM119" s="104" t="str">
        <f t="array" ref="BM119">IF(BM164=0,"-",(BM95+NPV(Assump!$D$37,Model!BN$120:$CN120))/BM164)</f>
        <v>-</v>
      </c>
      <c r="BN119" s="104" t="str">
        <f t="array" ref="BN119">IF(BN164=0,"-",(BN95+NPV(Assump!$D$37,Model!BO$120:$CN120))/BN164)</f>
        <v>-</v>
      </c>
      <c r="BO119" s="104" t="str">
        <f t="array" ref="BO119">IF(BO164=0,"-",(BO95+NPV(Assump!$D$37,Model!BP$120:$CN120))/BO164)</f>
        <v>-</v>
      </c>
      <c r="BP119" s="104" t="str">
        <f t="array" ref="BP119">IF(BP164=0,"-",(BP95+NPV(Assump!$D$37,Model!BQ$120:$CN120))/BP164)</f>
        <v>-</v>
      </c>
      <c r="BQ119" s="104" t="str">
        <f t="array" ref="BQ119">IF(BQ164=0,"-",(BQ95+NPV(Assump!$D$37,Model!BR$120:$CN120))/BQ164)</f>
        <v>-</v>
      </c>
      <c r="BR119" s="104" t="str">
        <f t="array" ref="BR119">IF(BR164=0,"-",(BR95+NPV(Assump!$D$37,Model!BS$120:$CN120))/BR164)</f>
        <v>-</v>
      </c>
      <c r="BS119" s="104" t="str">
        <f t="array" ref="BS119">IF(BS164=0,"-",(BS95+NPV(Assump!$D$37,Model!BT$120:$CN120))/BS164)</f>
        <v>-</v>
      </c>
      <c r="BT119" s="104" t="str">
        <f t="array" ref="BT119">IF(BT164=0,"-",(BT95+NPV(Assump!$D$37,Model!BU$120:$CN120))/BT164)</f>
        <v>-</v>
      </c>
      <c r="BU119" s="104" t="str">
        <f t="array" ref="BU119">IF(BU164=0,"-",(BU95+NPV(Assump!$D$37,Model!BV$120:$CN120))/BU164)</f>
        <v>-</v>
      </c>
      <c r="BV119" s="104" t="str">
        <f t="array" ref="BV119">IF(BV164=0,"-",(BV95+NPV(Assump!$D$37,Model!BW$120:$CN120))/BV164)</f>
        <v>-</v>
      </c>
      <c r="BW119" s="104" t="str">
        <f t="array" ref="BW119">IF(BW164=0,"-",(BW95+NPV(Assump!$D$37,Model!BX$120:$CN120))/BW164)</f>
        <v>-</v>
      </c>
      <c r="BX119" s="104" t="str">
        <f t="array" ref="BX119">IF(BX164=0,"-",(BX95+NPV(Assump!$D$37,Model!BY$120:$CN120))/BX164)</f>
        <v>-</v>
      </c>
      <c r="BY119" s="104" t="str">
        <f t="array" ref="BY119">IF(BY164=0,"-",(BY95+NPV(Assump!$D$37,Model!BZ$120:$CN120))/BY164)</f>
        <v>-</v>
      </c>
      <c r="BZ119" s="104" t="str">
        <f t="array" ref="BZ119">IF(BZ164=0,"-",(BZ95+NPV(Assump!$D$37,Model!CA$120:$CN120))/BZ164)</f>
        <v>-</v>
      </c>
      <c r="CA119" s="104" t="str">
        <f t="array" ref="CA119">IF(CA164=0,"-",(CA95+NPV(Assump!$D$37,Model!CB$120:$CN120))/CA164)</f>
        <v>-</v>
      </c>
      <c r="CB119" s="104" t="str">
        <f t="array" ref="CB119">IF(CB164=0,"-",(CB95+NPV(Assump!$D$37,Model!CC$120:$CN120))/CB164)</f>
        <v>-</v>
      </c>
      <c r="CC119" s="104" t="str">
        <f t="array" ref="CC119">IF(CC164=0,"-",(CC95+NPV(Assump!$D$37,Model!CD$120:$CN120))/CC164)</f>
        <v>-</v>
      </c>
      <c r="CD119" s="104" t="str">
        <f t="array" ref="CD119">IF(CD164=0,"-",(CD95+NPV(Assump!$D$37,Model!CE$120:$CN120))/CD164)</f>
        <v>-</v>
      </c>
      <c r="CE119" s="104" t="str">
        <f t="array" ref="CE119">IF(CE164=0,"-",(CE95+NPV(Assump!$D$37,Model!CF$120:$CN120))/CE164)</f>
        <v>-</v>
      </c>
      <c r="CF119" s="104" t="str">
        <f t="array" ref="CF119">IF(CF164=0,"-",(CF95+NPV(Assump!$D$37,Model!CG$120:$CN120))/CF164)</f>
        <v>-</v>
      </c>
      <c r="CG119" s="104" t="str">
        <f t="array" ref="CG119">IF(CG164=0,"-",(CG95+NPV(Assump!$D$37,Model!CH$120:$CN120))/CG164)</f>
        <v>-</v>
      </c>
      <c r="CH119" s="104" t="str">
        <f t="array" ref="CH119">IF(CH164=0,"-",(CH95+NPV(Assump!$D$37,Model!CI$120:$CN120))/CH164)</f>
        <v>-</v>
      </c>
      <c r="CI119" s="104" t="str">
        <f t="array" ref="CI119">IF(CI164=0,"-",(CI95+NPV(Assump!$D$37,Model!CJ$120:$CN120))/CI164)</f>
        <v>-</v>
      </c>
      <c r="CJ119" s="104" t="str">
        <f t="array" ref="CJ119">IF(CJ164=0,"-",(CJ95+NPV(Assump!$D$37,Model!CK$120:$CN120))/CJ164)</f>
        <v>-</v>
      </c>
      <c r="CK119" s="104" t="str">
        <f t="array" ref="CK119">IF(CK164=0,"-",(CK95+NPV(Assump!$D$37,Model!CL$120:$CN120))/CK164)</f>
        <v>-</v>
      </c>
      <c r="CL119" s="104" t="str">
        <f t="array" ref="CL119">IF(CL164=0,"-",(CL95+NPV(Assump!$D$37,Model!CM$120:$CN120))/CL164)</f>
        <v>-</v>
      </c>
      <c r="CM119" s="104" t="str">
        <f t="array" ref="CM119">IF(CM164=0,"-",(CM95+NPV(Assump!$D$37,Model!CN$120:$CN120))/CM164)</f>
        <v>-</v>
      </c>
      <c r="CN119" s="104" t="str">
        <f t="array" ref="CN119">IF(CN164=0,"-",(CN95+NPV(Assump!$D$37,Model!$CN$120:CO120))/CN164)</f>
        <v>-</v>
      </c>
      <c r="CO119" s="90"/>
    </row>
    <row r="120" spans="1:93" ht="12.75" customHeight="1">
      <c r="A120" s="90"/>
      <c r="B120" s="408" t="s">
        <v>215</v>
      </c>
      <c r="C120" s="96">
        <f t="shared" ref="C120" si="621">SUM(D120:CN120)</f>
        <v>13251772.568821339</v>
      </c>
      <c r="D120" s="106">
        <f t="shared" ref="D120:X120" si="622">SUM(D71:D77)+D78+D87+D89+D85</f>
        <v>954678.3</v>
      </c>
      <c r="E120" s="96">
        <f t="shared" si="622"/>
        <v>-3490</v>
      </c>
      <c r="F120" s="96">
        <f t="shared" si="622"/>
        <v>0</v>
      </c>
      <c r="G120" s="96">
        <f t="shared" si="622"/>
        <v>-23168.333333333332</v>
      </c>
      <c r="H120" s="96">
        <f t="shared" si="622"/>
        <v>-24450</v>
      </c>
      <c r="I120" s="96">
        <f t="shared" si="622"/>
        <v>-20491.666666666664</v>
      </c>
      <c r="J120" s="96">
        <f t="shared" si="622"/>
        <v>-25588.333333333328</v>
      </c>
      <c r="K120" s="96">
        <f t="shared" si="622"/>
        <v>-266256.59583333338</v>
      </c>
      <c r="L120" s="96">
        <f t="shared" si="622"/>
        <v>-280921.55138888891</v>
      </c>
      <c r="M120" s="96">
        <f t="shared" si="622"/>
        <v>-252328.22013888892</v>
      </c>
      <c r="N120" s="96">
        <f t="shared" si="622"/>
        <v>46804.888194444356</v>
      </c>
      <c r="O120" s="96">
        <f t="shared" si="622"/>
        <v>51545.075694444356</v>
      </c>
      <c r="P120" s="96">
        <f t="shared" si="622"/>
        <v>59265.169444444648</v>
      </c>
      <c r="Q120" s="96">
        <f t="shared" si="622"/>
        <v>76234.435069444298</v>
      </c>
      <c r="R120" s="96">
        <f t="shared" si="622"/>
        <v>81008.06006944424</v>
      </c>
      <c r="S120" s="96">
        <f t="shared" si="622"/>
        <v>82703.861111111648</v>
      </c>
      <c r="T120" s="96">
        <f t="shared" si="622"/>
        <v>64053.394444444275</v>
      </c>
      <c r="U120" s="96">
        <f t="shared" si="622"/>
        <v>78388.65111111122</v>
      </c>
      <c r="V120" s="96">
        <f t="shared" si="622"/>
        <v>68886.589275136124</v>
      </c>
      <c r="W120" s="96">
        <f t="shared" si="622"/>
        <v>223749.23149119248</v>
      </c>
      <c r="X120" s="96">
        <f t="shared" si="622"/>
        <v>266768.87591362931</v>
      </c>
      <c r="Y120" s="96">
        <f t="shared" ref="Y120:CJ120" si="623">SUM(Y71:Y77)+Y78+Y87+Y89+Y85</f>
        <v>112073.7324647436</v>
      </c>
      <c r="Z120" s="96">
        <f t="shared" si="623"/>
        <v>134069.95419729728</v>
      </c>
      <c r="AA120" s="96">
        <f t="shared" si="623"/>
        <v>170303.0171837594</v>
      </c>
      <c r="AB120" s="96">
        <f t="shared" si="623"/>
        <v>199511.05004711795</v>
      </c>
      <c r="AC120" s="96">
        <f t="shared" si="623"/>
        <v>113136.3851621894</v>
      </c>
      <c r="AD120" s="96">
        <f t="shared" si="623"/>
        <v>138236.3998951856</v>
      </c>
      <c r="AE120" s="96">
        <f t="shared" si="623"/>
        <v>178435.53889525327</v>
      </c>
      <c r="AF120" s="96">
        <f t="shared" si="623"/>
        <v>217447.80391365627</v>
      </c>
      <c r="AG120" s="96">
        <f t="shared" si="623"/>
        <v>124048.87589619026</v>
      </c>
      <c r="AH120" s="96">
        <f t="shared" si="623"/>
        <v>168759.40904838176</v>
      </c>
      <c r="AI120" s="96">
        <f t="shared" si="623"/>
        <v>207551.59908388735</v>
      </c>
      <c r="AJ120" s="96">
        <f t="shared" si="623"/>
        <v>108509.94825682751</v>
      </c>
      <c r="AK120" s="96">
        <f t="shared" si="623"/>
        <v>145973.42357131495</v>
      </c>
      <c r="AL120" s="96">
        <f t="shared" si="623"/>
        <v>186662.07586125506</v>
      </c>
      <c r="AM120" s="96">
        <f t="shared" si="623"/>
        <v>226026.47072254278</v>
      </c>
      <c r="AN120" s="96">
        <f t="shared" si="623"/>
        <v>119407.09681735667</v>
      </c>
      <c r="AO120" s="96">
        <f t="shared" si="623"/>
        <v>178162.1099640046</v>
      </c>
      <c r="AP120" s="96">
        <f t="shared" si="623"/>
        <v>216738.24204145645</v>
      </c>
      <c r="AQ120" s="96">
        <f t="shared" si="623"/>
        <v>111922.81059748831</v>
      </c>
      <c r="AR120" s="96">
        <f t="shared" si="623"/>
        <v>141768.7497412895</v>
      </c>
      <c r="AS120" s="96">
        <f t="shared" si="623"/>
        <v>196696.03084586331</v>
      </c>
      <c r="AT120" s="96">
        <f t="shared" si="623"/>
        <v>236258.57048979969</v>
      </c>
      <c r="AU120" s="96">
        <f t="shared" si="623"/>
        <v>123226.96668316251</v>
      </c>
      <c r="AV120" s="96">
        <f t="shared" si="623"/>
        <v>174871.68177478202</v>
      </c>
      <c r="AW120" s="96">
        <f t="shared" si="623"/>
        <v>228589.86297351777</v>
      </c>
      <c r="AX120" s="96">
        <f t="shared" si="623"/>
        <v>116264.47451799433</v>
      </c>
      <c r="AY120" s="96">
        <f t="shared" si="623"/>
        <v>146382.16436650406</v>
      </c>
      <c r="AZ120" s="96">
        <f t="shared" si="623"/>
        <v>193708.84809932648</v>
      </c>
      <c r="BA120" s="96">
        <f t="shared" si="623"/>
        <v>249077.69832870807</v>
      </c>
      <c r="BB120" s="96">
        <f t="shared" si="623"/>
        <v>124175.5929207861</v>
      </c>
      <c r="BC120" s="96">
        <f t="shared" si="623"/>
        <v>172934.78730886502</v>
      </c>
      <c r="BD120" s="96">
        <f t="shared" si="623"/>
        <v>216258.07691420888</v>
      </c>
      <c r="BE120" s="96">
        <f t="shared" si="623"/>
        <v>118638.80881594085</v>
      </c>
      <c r="BF120" s="96">
        <f t="shared" si="623"/>
        <v>145934.67139124454</v>
      </c>
      <c r="BG120" s="96">
        <f t="shared" si="623"/>
        <v>191362.07916694501</v>
      </c>
      <c r="BH120" s="96">
        <f t="shared" si="623"/>
        <v>235522.66361934578</v>
      </c>
      <c r="BI120" s="96">
        <f t="shared" si="623"/>
        <v>129935.58716992871</v>
      </c>
      <c r="BJ120" s="96">
        <f t="shared" si="623"/>
        <v>179673.16851684701</v>
      </c>
      <c r="BK120" s="96">
        <f t="shared" si="623"/>
        <v>223935.33420726468</v>
      </c>
      <c r="BL120" s="96">
        <f t="shared" si="623"/>
        <v>111040.0429133187</v>
      </c>
      <c r="BM120" s="96">
        <f t="shared" si="623"/>
        <v>154766.3863330553</v>
      </c>
      <c r="BN120" s="96">
        <f t="shared" si="623"/>
        <v>200778.80468352506</v>
      </c>
      <c r="BO120" s="96">
        <f t="shared" si="623"/>
        <v>246179.84753195336</v>
      </c>
      <c r="BP120" s="96">
        <f t="shared" si="623"/>
        <v>124458.42937372795</v>
      </c>
      <c r="BQ120" s="96">
        <f t="shared" si="623"/>
        <v>192455.6538064116</v>
      </c>
      <c r="BR120" s="96">
        <f t="shared" si="623"/>
        <v>236930.99964160571</v>
      </c>
      <c r="BS120" s="96">
        <f t="shared" si="623"/>
        <v>116439.39787590518</v>
      </c>
      <c r="BT120" s="96">
        <f t="shared" si="623"/>
        <v>150063.3819594587</v>
      </c>
      <c r="BU120" s="96">
        <f t="shared" si="623"/>
        <v>214914.60827120612</v>
      </c>
      <c r="BV120" s="96">
        <f t="shared" si="623"/>
        <v>259932.22968671168</v>
      </c>
      <c r="BW120" s="96">
        <f t="shared" si="623"/>
        <v>130845.6540170606</v>
      </c>
      <c r="BX120" s="96">
        <f t="shared" si="623"/>
        <v>189080.66303593098</v>
      </c>
      <c r="BY120" s="96">
        <f t="shared" si="623"/>
        <v>252669.87418834196</v>
      </c>
      <c r="BZ120" s="96">
        <f t="shared" si="623"/>
        <v>124283.76707404439</v>
      </c>
      <c r="CA120" s="96">
        <f t="shared" si="623"/>
        <v>157516.13346632145</v>
      </c>
      <c r="CB120" s="96">
        <f t="shared" si="623"/>
        <v>211941.99485027423</v>
      </c>
      <c r="CC120" s="96">
        <f t="shared" si="623"/>
        <v>277468.37650951627</v>
      </c>
      <c r="CD120" s="96">
        <f t="shared" si="623"/>
        <v>139145.3840608882</v>
      </c>
      <c r="CE120" s="96">
        <f t="shared" si="623"/>
        <v>198433.80304462733</v>
      </c>
      <c r="CF120" s="96">
        <f t="shared" si="623"/>
        <v>251063.7528442594</v>
      </c>
      <c r="CG120" s="96">
        <f t="shared" si="623"/>
        <v>134739.06546153256</v>
      </c>
      <c r="CH120" s="96">
        <f t="shared" si="623"/>
        <v>167880.94315413316</v>
      </c>
      <c r="CI120" s="96">
        <f t="shared" si="623"/>
        <v>222202.11185880093</v>
      </c>
      <c r="CJ120" s="96">
        <f t="shared" si="623"/>
        <v>276386.76432555728</v>
      </c>
      <c r="CK120" s="96">
        <f t="shared" ref="CK120:CN120" si="624">SUM(CK71:CK77)+CK78+CK87+CK89+CK85</f>
        <v>150633.27317611483</v>
      </c>
      <c r="CL120" s="96">
        <f t="shared" si="624"/>
        <v>210602.04493526847</v>
      </c>
      <c r="CM120" s="96">
        <f t="shared" si="624"/>
        <v>263507.91997353209</v>
      </c>
      <c r="CN120" s="96">
        <f t="shared" si="624"/>
        <v>125827.66817162007</v>
      </c>
      <c r="CO120" s="90"/>
    </row>
    <row r="121" spans="1:93" ht="12.75" customHeight="1">
      <c r="A121" s="90"/>
      <c r="B121" s="96" t="s">
        <v>216</v>
      </c>
      <c r="C121" s="441">
        <f t="shared" ref="C121" si="625">AVERAGE(D121:CN121)</f>
        <v>1.2325362620896887</v>
      </c>
      <c r="D121" s="104" t="str">
        <f t="shared" ref="D121:X121" si="626">IF(D27=0,"-",(IF((-D163-D165)=0,"-",D120/(-D163-D165))))</f>
        <v>-</v>
      </c>
      <c r="E121" s="105" t="str">
        <f t="shared" si="626"/>
        <v>-</v>
      </c>
      <c r="F121" s="105" t="str">
        <f t="shared" si="626"/>
        <v>-</v>
      </c>
      <c r="G121" s="105" t="str">
        <f t="shared" si="626"/>
        <v>-</v>
      </c>
      <c r="H121" s="105" t="str">
        <f t="shared" si="626"/>
        <v>-</v>
      </c>
      <c r="I121" s="105" t="str">
        <f t="shared" si="626"/>
        <v>-</v>
      </c>
      <c r="J121" s="105" t="str">
        <f t="shared" si="626"/>
        <v>-</v>
      </c>
      <c r="K121" s="105" t="str">
        <f t="shared" si="626"/>
        <v>-</v>
      </c>
      <c r="L121" s="105" t="str">
        <f t="shared" si="626"/>
        <v>-</v>
      </c>
      <c r="M121" s="105" t="str">
        <f t="shared" si="626"/>
        <v>-</v>
      </c>
      <c r="N121" s="105" t="str">
        <f t="shared" si="626"/>
        <v>-</v>
      </c>
      <c r="O121" s="105" t="str">
        <f t="shared" si="626"/>
        <v>-</v>
      </c>
      <c r="P121" s="105" t="str">
        <f t="shared" si="626"/>
        <v>-</v>
      </c>
      <c r="Q121" s="105" t="str">
        <f t="shared" si="626"/>
        <v>-</v>
      </c>
      <c r="R121" s="105" t="str">
        <f t="shared" si="626"/>
        <v>-</v>
      </c>
      <c r="S121" s="105" t="str">
        <f t="shared" si="626"/>
        <v>-</v>
      </c>
      <c r="T121" s="105" t="str">
        <f t="shared" si="626"/>
        <v>-</v>
      </c>
      <c r="U121" s="105" t="str">
        <f t="shared" si="626"/>
        <v>-</v>
      </c>
      <c r="V121" s="105" t="str">
        <f t="shared" si="626"/>
        <v>-</v>
      </c>
      <c r="W121" s="105">
        <f t="shared" si="626"/>
        <v>1.6810622542048996</v>
      </c>
      <c r="X121" s="105">
        <f t="shared" si="626"/>
        <v>1.509675729413684</v>
      </c>
      <c r="Y121" s="105">
        <f t="shared" ref="Y121:CJ121" si="627">IF(Y27=0,"-",(IF((-Y163-Y165)=0,"-",Y120/(-Y163-Y165))))</f>
        <v>1.2</v>
      </c>
      <c r="Z121" s="105">
        <f t="shared" si="627"/>
        <v>1.2</v>
      </c>
      <c r="AA121" s="105">
        <f t="shared" si="627"/>
        <v>1.1999999999999997</v>
      </c>
      <c r="AB121" s="105">
        <f t="shared" si="627"/>
        <v>1.2</v>
      </c>
      <c r="AC121" s="105">
        <f t="shared" si="627"/>
        <v>1.2</v>
      </c>
      <c r="AD121" s="105">
        <f t="shared" si="627"/>
        <v>1.2</v>
      </c>
      <c r="AE121" s="105">
        <f t="shared" si="627"/>
        <v>1.2</v>
      </c>
      <c r="AF121" s="105">
        <f t="shared" si="627"/>
        <v>1.2</v>
      </c>
      <c r="AG121" s="105">
        <f t="shared" si="627"/>
        <v>1.2</v>
      </c>
      <c r="AH121" s="105">
        <f t="shared" si="627"/>
        <v>1.2000000000000002</v>
      </c>
      <c r="AI121" s="105">
        <f t="shared" si="627"/>
        <v>1.2</v>
      </c>
      <c r="AJ121" s="105">
        <f t="shared" si="627"/>
        <v>1.2000000000000002</v>
      </c>
      <c r="AK121" s="105">
        <f t="shared" si="627"/>
        <v>1.2</v>
      </c>
      <c r="AL121" s="105">
        <f t="shared" si="627"/>
        <v>1.2</v>
      </c>
      <c r="AM121" s="105">
        <f t="shared" si="627"/>
        <v>1.1999999999999997</v>
      </c>
      <c r="AN121" s="105">
        <f t="shared" si="627"/>
        <v>1.2000000000000002</v>
      </c>
      <c r="AO121" s="105">
        <f t="shared" si="627"/>
        <v>1.2</v>
      </c>
      <c r="AP121" s="105">
        <f t="shared" si="627"/>
        <v>1.2000000000000002</v>
      </c>
      <c r="AQ121" s="105">
        <f t="shared" si="627"/>
        <v>1.2</v>
      </c>
      <c r="AR121" s="105">
        <f t="shared" si="627"/>
        <v>1.2</v>
      </c>
      <c r="AS121" s="105">
        <f t="shared" si="627"/>
        <v>1.1999999999999997</v>
      </c>
      <c r="AT121" s="105">
        <f t="shared" si="627"/>
        <v>1.2</v>
      </c>
      <c r="AU121" s="105">
        <f t="shared" si="627"/>
        <v>1.2</v>
      </c>
      <c r="AV121" s="105">
        <f t="shared" si="627"/>
        <v>1.1999999999999997</v>
      </c>
      <c r="AW121" s="105">
        <f t="shared" si="627"/>
        <v>1.1999999999999997</v>
      </c>
      <c r="AX121" s="105">
        <f t="shared" si="627"/>
        <v>1.2</v>
      </c>
      <c r="AY121" s="105">
        <f t="shared" si="627"/>
        <v>1.1999999999999997</v>
      </c>
      <c r="AZ121" s="105">
        <f t="shared" si="627"/>
        <v>1.2</v>
      </c>
      <c r="BA121" s="105">
        <f t="shared" si="627"/>
        <v>1.2</v>
      </c>
      <c r="BB121" s="105">
        <f t="shared" si="627"/>
        <v>1.2</v>
      </c>
      <c r="BC121" s="105">
        <f t="shared" si="627"/>
        <v>1.2</v>
      </c>
      <c r="BD121" s="105">
        <f t="shared" si="627"/>
        <v>1.2</v>
      </c>
      <c r="BE121" s="105">
        <f t="shared" si="627"/>
        <v>1.1999999999999997</v>
      </c>
      <c r="BF121" s="105">
        <f t="shared" si="627"/>
        <v>1.2000000000000002</v>
      </c>
      <c r="BG121" s="105">
        <f t="shared" si="627"/>
        <v>1.2</v>
      </c>
      <c r="BH121" s="105">
        <f t="shared" si="627"/>
        <v>1.2</v>
      </c>
      <c r="BI121" s="105">
        <f t="shared" si="627"/>
        <v>1.678176237879254</v>
      </c>
      <c r="BJ121" s="105" t="str">
        <f t="shared" si="627"/>
        <v>-</v>
      </c>
      <c r="BK121" s="105" t="str">
        <f t="shared" si="627"/>
        <v>-</v>
      </c>
      <c r="BL121" s="105" t="str">
        <f t="shared" si="627"/>
        <v>-</v>
      </c>
      <c r="BM121" s="105" t="str">
        <f t="shared" si="627"/>
        <v>-</v>
      </c>
      <c r="BN121" s="105" t="str">
        <f t="shared" si="627"/>
        <v>-</v>
      </c>
      <c r="BO121" s="105" t="str">
        <f t="shared" si="627"/>
        <v>-</v>
      </c>
      <c r="BP121" s="105" t="str">
        <f t="shared" si="627"/>
        <v>-</v>
      </c>
      <c r="BQ121" s="105" t="str">
        <f t="shared" si="627"/>
        <v>-</v>
      </c>
      <c r="BR121" s="105" t="str">
        <f t="shared" si="627"/>
        <v>-</v>
      </c>
      <c r="BS121" s="105" t="str">
        <f t="shared" si="627"/>
        <v>-</v>
      </c>
      <c r="BT121" s="105" t="str">
        <f t="shared" si="627"/>
        <v>-</v>
      </c>
      <c r="BU121" s="105" t="str">
        <f t="shared" si="627"/>
        <v>-</v>
      </c>
      <c r="BV121" s="105" t="str">
        <f t="shared" si="627"/>
        <v>-</v>
      </c>
      <c r="BW121" s="105" t="str">
        <f t="shared" si="627"/>
        <v>-</v>
      </c>
      <c r="BX121" s="105" t="str">
        <f t="shared" si="627"/>
        <v>-</v>
      </c>
      <c r="BY121" s="105" t="str">
        <f t="shared" si="627"/>
        <v>-</v>
      </c>
      <c r="BZ121" s="105" t="str">
        <f t="shared" si="627"/>
        <v>-</v>
      </c>
      <c r="CA121" s="105" t="str">
        <f t="shared" si="627"/>
        <v>-</v>
      </c>
      <c r="CB121" s="105" t="str">
        <f t="shared" si="627"/>
        <v>-</v>
      </c>
      <c r="CC121" s="105" t="str">
        <f t="shared" si="627"/>
        <v>-</v>
      </c>
      <c r="CD121" s="105" t="str">
        <f t="shared" si="627"/>
        <v>-</v>
      </c>
      <c r="CE121" s="105" t="str">
        <f t="shared" si="627"/>
        <v>-</v>
      </c>
      <c r="CF121" s="105" t="str">
        <f t="shared" si="627"/>
        <v>-</v>
      </c>
      <c r="CG121" s="105" t="str">
        <f t="shared" si="627"/>
        <v>-</v>
      </c>
      <c r="CH121" s="105" t="str">
        <f t="shared" si="627"/>
        <v>-</v>
      </c>
      <c r="CI121" s="105" t="str">
        <f t="shared" si="627"/>
        <v>-</v>
      </c>
      <c r="CJ121" s="105" t="str">
        <f t="shared" si="627"/>
        <v>-</v>
      </c>
      <c r="CK121" s="105" t="str">
        <f t="shared" ref="CK121:CN121" si="628">IF(CK27=0,"-",(IF((-CK163-CK165)=0,"-",CK120/(-CK163-CK165))))</f>
        <v>-</v>
      </c>
      <c r="CL121" s="105" t="str">
        <f t="shared" si="628"/>
        <v>-</v>
      </c>
      <c r="CM121" s="105" t="str">
        <f t="shared" si="628"/>
        <v>-</v>
      </c>
      <c r="CN121" s="105" t="str">
        <f t="shared" si="628"/>
        <v>-</v>
      </c>
      <c r="CO121" s="90"/>
    </row>
    <row r="122" spans="1:93" ht="12.75" customHeight="1">
      <c r="A122" s="90"/>
      <c r="B122" s="96" t="s">
        <v>217</v>
      </c>
      <c r="C122" s="96">
        <f>SUM(D122:CN122)</f>
        <v>6176564.7608352806</v>
      </c>
      <c r="D122" s="106">
        <f>-(D80+D78+D58+D57+D30+D31/(1+Assump!$D$24)*Assump!$D$24+D42*'ФОТ 1 этап'!$I$330)</f>
        <v>0</v>
      </c>
      <c r="E122" s="96">
        <f>-(E80+E78+E58+E57+E30+E31/(1+Assump!$D$24)*Assump!$D$24+E42*'ФОТ 1 этап'!$I$330)</f>
        <v>0</v>
      </c>
      <c r="F122" s="96">
        <f>-(F80+F78+F58+F57+F30+F31/(1+Assump!$D$24)*Assump!$D$24+F42*'ФОТ 1 этап'!$I$330)</f>
        <v>0</v>
      </c>
      <c r="G122" s="96">
        <f>-(G80+G78+G58+G57+G30+G31/(1+Assump!$D$24)*Assump!$D$24+G42*'ФОТ 1 этап'!$I$330)</f>
        <v>0</v>
      </c>
      <c r="H122" s="96">
        <f>-(H80+H78+H58+H57+H30+H31/(1+Assump!$D$24)*Assump!$D$24+H42*'ФОТ 1 этап'!$I$330)</f>
        <v>700</v>
      </c>
      <c r="I122" s="96">
        <f>-(I80+I78+I58+I57+I30+I31/(1+Assump!$D$24)*Assump!$D$24+I42*'ФОТ 1 этап'!$I$330)</f>
        <v>700</v>
      </c>
      <c r="J122" s="96">
        <f>-(J80+J78+J58+J57+J30+J31/(1+Assump!$D$24)*Assump!$D$24+J42*'ФОТ 1 этап'!$I$330)</f>
        <v>700</v>
      </c>
      <c r="K122" s="96">
        <f>-(K80+K78+K58+K57+K30+K31/(1+Assump!$D$24)*Assump!$D$24+K42*'ФОТ 1 этап'!$I$330)</f>
        <v>700</v>
      </c>
      <c r="L122" s="96">
        <f>-(L80+L78+L58+L57+L30+L31/(1+Assump!$D$24)*Assump!$D$24+L42*'ФОТ 1 этап'!$I$330)</f>
        <v>700</v>
      </c>
      <c r="M122" s="96">
        <f>-(M80+M78+M58+M57+M30+M31/(1+Assump!$D$24)*Assump!$D$24+M42*'ФОТ 1 этап'!$I$330)</f>
        <v>700</v>
      </c>
      <c r="N122" s="96">
        <f>-(N80+N78+N58+N57+N30+N31/(1+Assump!$D$24)*Assump!$D$24+N42*'ФОТ 1 этап'!$I$330)</f>
        <v>700</v>
      </c>
      <c r="O122" s="96">
        <f>-(O80+O78+O58+O57+O30+O31/(1+Assump!$D$24)*Assump!$D$24+O42*'ФОТ 1 этап'!$I$330)</f>
        <v>700</v>
      </c>
      <c r="P122" s="96">
        <f>-(P80+P78+P58+P57+P30+P31/(1+Assump!$D$24)*Assump!$D$24+P42*'ФОТ 1 этап'!$I$330)</f>
        <v>700</v>
      </c>
      <c r="Q122" s="96">
        <f>-(Q80+Q78+Q58+Q57+Q30+Q31/(1+Assump!$D$24)*Assump!$D$24+Q42*'ФОТ 1 этап'!$I$330)</f>
        <v>700</v>
      </c>
      <c r="R122" s="96">
        <f>-(R80+R78+R58+R57+R30+R31/(1+Assump!$D$24)*Assump!$D$24+R42*'ФОТ 1 этап'!$I$330)</f>
        <v>700</v>
      </c>
      <c r="S122" s="96">
        <f>-(S80+S78+S58+S57+S30+S31/(1+Assump!$D$24)*Assump!$D$24+S42*'ФОТ 1 этап'!$I$330)</f>
        <v>700</v>
      </c>
      <c r="T122" s="96">
        <f>-(T80+T78+T58+T57+T30+T31/(1+Assump!$D$24)*Assump!$D$24+T42*'ФОТ 1 этап'!$I$330)</f>
        <v>700</v>
      </c>
      <c r="U122" s="96">
        <f>-(U80+U78+U58+U57+U30+U31/(1+Assump!$D$24)*Assump!$D$24+U42*'ФОТ 1 этап'!$I$330)</f>
        <v>700</v>
      </c>
      <c r="V122" s="96">
        <f>-(V80+V78+V58+V57+V30+V31/(1+Assump!$D$24)*Assump!$D$24+V42*'ФОТ 1 этап'!$I$330)</f>
        <v>700</v>
      </c>
      <c r="W122" s="96">
        <f>-(W80+W78+W58+W57+W30+W31/(1+Assump!$D$24)*Assump!$D$24+W42*'ФОТ 1 этап'!$I$330)</f>
        <v>49091.332119940729</v>
      </c>
      <c r="X122" s="96">
        <f>-(X80+X78+X58+X57+X30+X31/(1+Assump!$D$24)*Assump!$D$24+X42*'ФОТ 1 этап'!$I$330)</f>
        <v>60319.021261800051</v>
      </c>
      <c r="Y122" s="96">
        <f>-(Y80+Y78+Y58+Y57+Y30+Y31/(1+Assump!$D$24)*Assump!$D$24+Y42*'ФОТ 1 этап'!$I$330)</f>
        <v>33116.055937367331</v>
      </c>
      <c r="Z122" s="96">
        <f>-(Z80+Z78+Z58+Z57+Z30+Z31/(1+Assump!$D$24)*Assump!$D$24+Z42*'ФОТ 1 этап'!$I$330)</f>
        <v>41571.411343823267</v>
      </c>
      <c r="AA122" s="96">
        <f>-(AA80+AA78+AA58+AA57+AA30+AA31/(1+Assump!$D$24)*Assump!$D$24+AA42*'ФОТ 1 этап'!$I$330)</f>
        <v>58611.857587998718</v>
      </c>
      <c r="AB122" s="96">
        <f>-(AB80+AB78+AB58+AB57+AB30+AB31/(1+Assump!$D$24)*Assump!$D$24+AB42*'ФОТ 1 этап'!$I$330)</f>
        <v>83918.904263483346</v>
      </c>
      <c r="AC122" s="96">
        <f>-(AC80+AC78+AC58+AC57+AC30+AC31/(1+Assump!$D$24)*Assump!$D$24+AC42*'ФОТ 1 этап'!$I$330)</f>
        <v>37377.121076444178</v>
      </c>
      <c r="AD122" s="96">
        <f>-(AD80+AD78+AD58+AD57+AD30+AD31/(1+Assump!$D$24)*Assump!$D$24+AD42*'ФОТ 1 этап'!$I$330)</f>
        <v>55332.76495093049</v>
      </c>
      <c r="AE122" s="96">
        <f>-(AE80+AE78+AE58+AE57+AE30+AE31/(1+Assump!$D$24)*Assump!$D$24+AE42*'ФОТ 1 этап'!$I$330)</f>
        <v>73422.105373948376</v>
      </c>
      <c r="AF122" s="96">
        <f>-(AF80+AF78+AF58+AF57+AF30+AF31/(1+Assump!$D$24)*Assump!$D$24+AF42*'ФОТ 1 этап'!$I$330)</f>
        <v>93312.139255674483</v>
      </c>
      <c r="AG122" s="96">
        <f>-(AG80+AG78+AG58+AG57+AG30+AG31/(1+Assump!$D$24)*Assump!$D$24+AG42*'ФОТ 1 этап'!$I$330)</f>
        <v>42971.51313499824</v>
      </c>
      <c r="AH122" s="96">
        <f>-(AH80+AH78+AH58+AH57+AH30+AH31/(1+Assump!$D$24)*Assump!$D$24+AH42*'ФОТ 1 этап'!$I$330)</f>
        <v>71504.197250781217</v>
      </c>
      <c r="AI122" s="96">
        <f>-(AI80+AI78+AI58+AI57+AI30+AI31/(1+Assump!$D$24)*Assump!$D$24+AI42*'ФОТ 1 этап'!$I$330)</f>
        <v>90062.954062056771</v>
      </c>
      <c r="AJ122" s="96">
        <f>-(AJ80+AJ78+AJ58+AJ57+AJ30+AJ31/(1+Assump!$D$24)*Assump!$D$24+AJ42*'ФОТ 1 этап'!$I$330)</f>
        <v>37779.506156235053</v>
      </c>
      <c r="AK122" s="96">
        <f>-(AK80+AK78+AK58+AK57+AK30+AK31/(1+Assump!$D$24)*Assump!$D$24+AK42*'ФОТ 1 этап'!$I$330)</f>
        <v>60594.895386516866</v>
      </c>
      <c r="AL122" s="96">
        <f>-(AL80+AL78+AL58+AL57+AL30+AL31/(1+Assump!$D$24)*Assump!$D$24+AL42*'ФОТ 1 этап'!$I$330)</f>
        <v>79944.391863421348</v>
      </c>
      <c r="AM122" s="96">
        <f>-(AM80+AM78+AM58+AM57+AM30+AM31/(1+Assump!$D$24)*Assump!$D$24+AM42*'ФОТ 1 этап'!$I$330)</f>
        <v>100052.02524624403</v>
      </c>
      <c r="AN122" s="96">
        <f>-(AN80+AN78+AN58+AN57+AN30+AN31/(1+Assump!$D$24)*Assump!$D$24+AN42*'ФОТ 1 этап'!$I$330)</f>
        <v>43608.882706161756</v>
      </c>
      <c r="AO122" s="96">
        <f>-(AO80+AO78+AO58+AO57+AO30+AO31/(1+Assump!$D$24)*Assump!$D$24+AO42*'ФОТ 1 этап'!$I$330)</f>
        <v>77739.954894672221</v>
      </c>
      <c r="AP122" s="96">
        <f>-(AP80+AP78+AP58+AP57+AP30+AP31/(1+Assump!$D$24)*Assump!$D$24+AP42*'ФОТ 1 этап'!$I$330)</f>
        <v>97578.647158589927</v>
      </c>
      <c r="AQ122" s="96">
        <f>-(AQ80+AQ78+AQ58+AQ57+AQ30+AQ31/(1+Assump!$D$24)*Assump!$D$24+AQ42*'ФОТ 1 этап'!$I$330)</f>
        <v>41875.447725940008</v>
      </c>
      <c r="AR122" s="96">
        <f>-(AR80+AR78+AR58+AR57+AR30+AR31/(1+Assump!$D$24)*Assump!$D$24+AR42*'ФОТ 1 этап'!$I$330)</f>
        <v>62068.263073341703</v>
      </c>
      <c r="AS122" s="96">
        <f>-(AS80+AS78+AS58+AS57+AS30+AS31/(1+Assump!$D$24)*Assump!$D$24+AS42*'ФОТ 1 этап'!$I$330)</f>
        <v>86777.132456850057</v>
      </c>
      <c r="AT122" s="96">
        <f>-(AT80+AT78+AT58+AT57+AT30+AT31/(1+Assump!$D$24)*Assump!$D$24+AT42*'ФОТ 1 этап'!$I$330)</f>
        <v>108237.30645020609</v>
      </c>
      <c r="AU122" s="96">
        <f>-(AU80+AU78+AU58+AU57+AU30+AU31/(1+Assump!$D$24)*Assump!$D$24+AU42*'ФОТ 1 этап'!$I$330)</f>
        <v>48137.885347987249</v>
      </c>
      <c r="AV122" s="96">
        <f>-(AV80+AV78+AV58+AV57+AV30+AV31/(1+Assump!$D$24)*Assump!$D$24+AV42*'ФОТ 1 этап'!$I$330)</f>
        <v>80024.410579587566</v>
      </c>
      <c r="AW122" s="96">
        <f>-(AW80+AW78+AW58+AW57+AW30+AW31/(1+Assump!$D$24)*Assump!$D$24+AW42*'ФОТ 1 этап'!$I$330)</f>
        <v>105478.10314365823</v>
      </c>
      <c r="AX122" s="96">
        <f>-(AX80+AX78+AX58+AX57+AX30+AX31/(1+Assump!$D$24)*Assump!$D$24+AX42*'ФОТ 1 этап'!$I$330)</f>
        <v>47333.277251264073</v>
      </c>
      <c r="AY122" s="96">
        <f>-(AY80+AY78+AY58+AY57+AY30+AY31/(1+Assump!$D$24)*Assump!$D$24+AY42*'ФОТ 1 этап'!$I$330)</f>
        <v>67670.935638503317</v>
      </c>
      <c r="AZ122" s="96">
        <f>-(AZ80+AZ78+AZ58+AZ57+AZ30+AZ31/(1+Assump!$D$24)*Assump!$D$24+AZ42*'ФОТ 1 этап'!$I$330)</f>
        <v>89466.605444265777</v>
      </c>
      <c r="BA122" s="96">
        <f>-(BA80+BA78+BA58+BA57+BA30+BA31/(1+Assump!$D$24)*Assump!$D$24+BA42*'ФОТ 1 этап'!$I$330)</f>
        <v>116865.86832576359</v>
      </c>
      <c r="BB122" s="96">
        <f>-(BB80+BB78+BB58+BB57+BB30+BB31/(1+Assump!$D$24)*Assump!$D$24+BB42*'ФОТ 1 этап'!$I$330)</f>
        <v>58158.556110136109</v>
      </c>
      <c r="BC122" s="96">
        <f>-(BC80+BC78+BC58+BC57+BC30+BC31/(1+Assump!$D$24)*Assump!$D$24+BC42*'ФОТ 1 этап'!$I$330)</f>
        <v>94530.632338729716</v>
      </c>
      <c r="BD122" s="96">
        <f>-(BD80+BD78+BD58+BD57+BD30+BD31/(1+Assump!$D$24)*Assump!$D$24+BD42*'ФОТ 1 этап'!$I$330)</f>
        <v>119453.47511598849</v>
      </c>
      <c r="BE122" s="96">
        <f>-(BE80+BE78+BE58+BE57+BE30+BE31/(1+Assump!$D$24)*Assump!$D$24+BE42*'ФОТ 1 этап'!$I$330)</f>
        <v>57233.13176802807</v>
      </c>
      <c r="BF122" s="96">
        <f>-(BF80+BF78+BF58+BF57+BF30+BF31/(1+Assump!$D$24)*Assump!$D$24+BF42*'ФОТ 1 этап'!$I$330)</f>
        <v>81395.419414379445</v>
      </c>
      <c r="BG122" s="96">
        <f>-(BG80+BG78+BG58+BG57+BG30+BG31/(1+Assump!$D$24)*Assump!$D$24+BG42*'ФОТ 1 этап'!$I$330)</f>
        <v>105972.14723638733</v>
      </c>
      <c r="BH122" s="96">
        <f>-(BH80+BH78+BH58+BH57+BH30+BH31/(1+Assump!$D$24)*Assump!$D$24+BH42*'ФОТ 1 этап'!$I$330)</f>
        <v>132939.14400493115</v>
      </c>
      <c r="BI122" s="96">
        <f>-(BI80+BI78+BI58+BI57+BI30+BI31/(1+Assump!$D$24)*Assump!$D$24+BI42*'ФОТ 1 этап'!$I$330)</f>
        <v>65617.114035923951</v>
      </c>
      <c r="BJ122" s="96">
        <f>-(BJ80+BJ78+BJ58+BJ57+BJ30+BJ31/(1+Assump!$D$24)*Assump!$D$24+BJ42*'ФОТ 1 этап'!$I$330)</f>
        <v>103987.03553905003</v>
      </c>
      <c r="BK122" s="96">
        <f>-(BK80+BK78+BK58+BK57+BK30+BK31/(1+Assump!$D$24)*Assump!$D$24+BK42*'ФОТ 1 этап'!$I$330)</f>
        <v>128547.1349680619</v>
      </c>
      <c r="BL122" s="96">
        <f>-(BL80+BL78+BL58+BL57+BL30+BL31/(1+Assump!$D$24)*Assump!$D$24+BL42*'ФОТ 1 этап'!$I$330)</f>
        <v>57013.865177216045</v>
      </c>
      <c r="BM122" s="96">
        <f>-(BM80+BM78+BM58+BM57+BM30+BM31/(1+Assump!$D$24)*Assump!$D$24+BM42*'ФОТ 1 этап'!$I$330)</f>
        <v>88528.861531422197</v>
      </c>
      <c r="BN122" s="96">
        <f>-(BN80+BN78+BN58+BN57+BN30+BN31/(1+Assump!$D$24)*Assump!$D$24+BN42*'ФОТ 1 этап'!$I$330)</f>
        <v>114113.37913746487</v>
      </c>
      <c r="BO122" s="96">
        <f>-(BO80+BO78+BO58+BO57+BO30+BO31/(1+Assump!$D$24)*Assump!$D$24+BO42*'ФОТ 1 этап'!$I$330)</f>
        <v>140677.89414707164</v>
      </c>
      <c r="BP122" s="96">
        <f>-(BP80+BP78+BP58+BP57+BP30+BP31/(1+Assump!$D$24)*Assump!$D$24+BP42*'ФОТ 1 этап'!$I$330)</f>
        <v>63409.032393907299</v>
      </c>
      <c r="BQ122" s="96">
        <f>-(BQ80+BQ78+BQ58+BQ57+BQ30+BQ31/(1+Assump!$D$24)*Assump!$D$24+BQ42*'ФОТ 1 этап'!$I$330)</f>
        <v>110221.62310170087</v>
      </c>
      <c r="BR122" s="96">
        <f>-(BR80+BR78+BR58+BR57+BR30+BR31/(1+Assump!$D$24)*Assump!$D$24+BR42*'ФОТ 1 этап'!$I$330)</f>
        <v>136218.30221700334</v>
      </c>
      <c r="BS122" s="96">
        <f>-(BS80+BS78+BS58+BS57+BS30+BS31/(1+Assump!$D$24)*Assump!$D$24+BS42*'ФОТ 1 этап'!$I$330)</f>
        <v>59907.065937685307</v>
      </c>
      <c r="BT122" s="96">
        <f>-(BT80+BT78+BT58+BT57+BT30+BT31/(1+Assump!$D$24)*Assump!$D$24+BT42*'ФОТ 1 этап'!$I$330)</f>
        <v>86878.776662769698</v>
      </c>
      <c r="BU122" s="96">
        <f>-(BU80+BU78+BU58+BU57+BU30+BU31/(1+Assump!$D$24)*Assump!$D$24+BU42*'ФОТ 1 этап'!$I$330)</f>
        <v>120917.8720577995</v>
      </c>
      <c r="BV122" s="96">
        <f>-(BV80+BV78+BV58+BV57+BV30+BV31/(1+Assump!$D$24)*Assump!$D$24+BV42*'ФОТ 1 этап'!$I$330)</f>
        <v>149008.62647269518</v>
      </c>
      <c r="BW122" s="96">
        <f>-(BW80+BW78+BW58+BW57+BW30+BW31/(1+Assump!$D$24)*Assump!$D$24+BW42*'ФОТ 1 этап'!$I$330)</f>
        <v>66625.192407763738</v>
      </c>
      <c r="BX122" s="96">
        <f>-(BX80+BX78+BX58+BX57+BX30+BX31/(1+Assump!$D$24)*Assump!$D$24+BX42*'ФОТ 1 этап'!$I$330)</f>
        <v>109353.4254317733</v>
      </c>
      <c r="BY122" s="96">
        <f>-(BY80+BY78+BY58+BY57+BY30+BY31/(1+Assump!$D$24)*Assump!$D$24+BY42*'ФОТ 1 этап'!$I$330)</f>
        <v>144194.80887796602</v>
      </c>
      <c r="BZ122" s="96">
        <f>-(BZ80+BZ78+BZ58+BZ57+BZ30+BZ31/(1+Assump!$D$24)*Assump!$D$24+BZ42*'ФОТ 1 этап'!$I$330)</f>
        <v>64254.935326457693</v>
      </c>
      <c r="CA122" s="96">
        <f>-(CA80+CA78+CA58+CA57+CA30+CA31/(1+Assump!$D$24)*Assump!$D$24+CA42*'ФОТ 1 этап'!$I$330)</f>
        <v>91271.784827249518</v>
      </c>
      <c r="CB122" s="96">
        <f>-(CB80+CB78+CB58+CB57+CB30+CB31/(1+Assump!$D$24)*Assump!$D$24+CB42*'ФОТ 1 этап'!$I$330)</f>
        <v>120266.59841189843</v>
      </c>
      <c r="CC122" s="96">
        <f>-(CC80+CC78+CC58+CC57+CC30+CC31/(1+Assump!$D$24)*Assump!$D$24+CC42*'ФОТ 1 этап'!$I$330)</f>
        <v>157694.75531242613</v>
      </c>
      <c r="CD122" s="96">
        <f>-(CD80+CD78+CD58+CD57+CD30+CD31/(1+Assump!$D$24)*Assump!$D$24+CD42*'ФОТ 1 этап'!$I$330)</f>
        <v>71367.430517339191</v>
      </c>
      <c r="CE122" s="96">
        <f>-(CE80+CE78+CE58+CE57+CE30+CE31/(1+Assump!$D$24)*Assump!$D$24+CE42*'ФОТ 1 этап'!$I$330)</f>
        <v>114873.6950187426</v>
      </c>
      <c r="CF122" s="96">
        <f>-(CF80+CF78+CF58+CF57+CF30+CF31/(1+Assump!$D$24)*Assump!$D$24+CF42*'ФОТ 1 этап'!$I$330)</f>
        <v>144373.59922810594</v>
      </c>
      <c r="CG122" s="96">
        <f>-(CG80+CG78+CG58+CG57+CG30+CG31/(1+Assump!$D$24)*Assump!$D$24+CG42*'ФОТ 1 этап'!$I$330)</f>
        <v>68776.99087315971</v>
      </c>
      <c r="CH122" s="96">
        <f>-(CH80+CH78+CH58+CH57+CH30+CH31/(1+Assump!$D$24)*Assump!$D$24+CH42*'ФОТ 1 этап'!$I$330)</f>
        <v>97307.738074963345</v>
      </c>
      <c r="CI122" s="96">
        <f>-(CI80+CI78+CI58+CI57+CI30+CI31/(1+Assump!$D$24)*Assump!$D$24+CI42*'ФОТ 1 этап'!$I$330)</f>
        <v>126336.2320811152</v>
      </c>
      <c r="CJ122" s="96">
        <f>-(CJ80+CJ78+CJ58+CJ57+CJ30+CJ31/(1+Assump!$D$24)*Assump!$D$24+CJ42*'ФОТ 1 этап'!$I$330)</f>
        <v>158198.07099707334</v>
      </c>
      <c r="CK122" s="96">
        <f>-(CK80+CK78+CK58+CK57+CK30+CK31/(1+Assump!$D$24)*Assump!$D$24+CK42*'ФОТ 1 этап'!$I$330)</f>
        <v>76322.402651082302</v>
      </c>
      <c r="CL122" s="96">
        <f>-(CL80+CL78+CL58+CL57+CL30+CL31/(1+Assump!$D$24)*Assump!$D$24+CL42*'ФОТ 1 этап'!$I$330)</f>
        <v>122154.19856905335</v>
      </c>
      <c r="CM122" s="96">
        <f>-(CM80+CM78+CM58+CM57+CM30+CM31/(1+Assump!$D$24)*Assump!$D$24+CM42*'ФОТ 1 этап'!$I$330)</f>
        <v>151652.47364303644</v>
      </c>
      <c r="CN122" s="96">
        <f>-(CN80+CN78+CN58+CN57+CN30+CN31/(1+Assump!$D$24)*Assump!$D$24+CN42*'ФОТ 1 этап'!$I$330)</f>
        <v>64466.422749267142</v>
      </c>
      <c r="CO122" s="90"/>
    </row>
    <row r="123" spans="1:93" ht="12.75" customHeight="1">
      <c r="A123" s="90"/>
      <c r="B123" s="96" t="s">
        <v>218</v>
      </c>
      <c r="C123" s="96">
        <f t="array" ref="C123">D122+NPV(Assump!D12,Model!E122:CN122)</f>
        <v>1320804.2061741778</v>
      </c>
      <c r="D123" s="92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</row>
    <row r="124" spans="1:93" ht="12.75" customHeight="1">
      <c r="A124" s="90"/>
      <c r="B124" s="96" t="s">
        <v>219</v>
      </c>
      <c r="C124" s="96">
        <f>SUM(D124:CN124)</f>
        <v>795565.25000000012</v>
      </c>
      <c r="D124" s="106">
        <f t="shared" ref="D124:CN124" si="629">D84</f>
        <v>0</v>
      </c>
      <c r="E124" s="96">
        <f t="shared" si="629"/>
        <v>0</v>
      </c>
      <c r="F124" s="96">
        <f t="shared" si="629"/>
        <v>0</v>
      </c>
      <c r="G124" s="96">
        <f t="shared" si="629"/>
        <v>581.66666666666674</v>
      </c>
      <c r="H124" s="96">
        <f t="shared" si="629"/>
        <v>0</v>
      </c>
      <c r="I124" s="96">
        <f t="shared" si="629"/>
        <v>3958.3333333333339</v>
      </c>
      <c r="J124" s="96">
        <f t="shared" si="629"/>
        <v>3958.3333333333339</v>
      </c>
      <c r="K124" s="96">
        <f t="shared" si="629"/>
        <v>3958.3333333333339</v>
      </c>
      <c r="L124" s="96">
        <f t="shared" si="629"/>
        <v>4807.7777777777774</v>
      </c>
      <c r="M124" s="96">
        <f t="shared" si="629"/>
        <v>44919.154861111121</v>
      </c>
      <c r="N124" s="96">
        <f t="shared" si="629"/>
        <v>47504.888194444444</v>
      </c>
      <c r="O124" s="96">
        <f t="shared" si="629"/>
        <v>52245.075694444444</v>
      </c>
      <c r="P124" s="96">
        <f t="shared" si="629"/>
        <v>59965.169444444451</v>
      </c>
      <c r="Q124" s="96">
        <f t="shared" si="629"/>
        <v>76934.435069444458</v>
      </c>
      <c r="R124" s="96">
        <f t="shared" si="629"/>
        <v>81708.060069444458</v>
      </c>
      <c r="S124" s="96">
        <f t="shared" si="629"/>
        <v>83403.861111111124</v>
      </c>
      <c r="T124" s="96">
        <f t="shared" si="629"/>
        <v>64753.39444444445</v>
      </c>
      <c r="U124" s="96">
        <f t="shared" si="629"/>
        <v>79088.651111111118</v>
      </c>
      <c r="V124" s="96">
        <f t="shared" si="629"/>
        <v>68458.697777777779</v>
      </c>
      <c r="W124" s="96">
        <f t="shared" si="629"/>
        <v>64597.834444444452</v>
      </c>
      <c r="X124" s="96">
        <f t="shared" si="629"/>
        <v>54721.583333333343</v>
      </c>
      <c r="Y124" s="96">
        <f t="shared" si="629"/>
        <v>0</v>
      </c>
      <c r="Z124" s="96">
        <f t="shared" si="629"/>
        <v>0</v>
      </c>
      <c r="AA124" s="96">
        <f t="shared" si="629"/>
        <v>0</v>
      </c>
      <c r="AB124" s="96">
        <f t="shared" si="629"/>
        <v>0</v>
      </c>
      <c r="AC124" s="96">
        <f t="shared" si="629"/>
        <v>0</v>
      </c>
      <c r="AD124" s="96">
        <f t="shared" si="629"/>
        <v>0</v>
      </c>
      <c r="AE124" s="96">
        <f t="shared" si="629"/>
        <v>0</v>
      </c>
      <c r="AF124" s="96">
        <f t="shared" si="629"/>
        <v>0</v>
      </c>
      <c r="AG124" s="96">
        <f t="shared" si="629"/>
        <v>0</v>
      </c>
      <c r="AH124" s="96">
        <f t="shared" si="629"/>
        <v>0</v>
      </c>
      <c r="AI124" s="96">
        <f t="shared" si="629"/>
        <v>0</v>
      </c>
      <c r="AJ124" s="96">
        <f t="shared" si="629"/>
        <v>0</v>
      </c>
      <c r="AK124" s="96">
        <f t="shared" si="629"/>
        <v>0</v>
      </c>
      <c r="AL124" s="96">
        <f t="shared" si="629"/>
        <v>0</v>
      </c>
      <c r="AM124" s="96">
        <f t="shared" si="629"/>
        <v>0</v>
      </c>
      <c r="AN124" s="96">
        <f t="shared" si="629"/>
        <v>0</v>
      </c>
      <c r="AO124" s="96">
        <f t="shared" si="629"/>
        <v>0</v>
      </c>
      <c r="AP124" s="96">
        <f t="shared" si="629"/>
        <v>0</v>
      </c>
      <c r="AQ124" s="96">
        <f t="shared" si="629"/>
        <v>0</v>
      </c>
      <c r="AR124" s="96">
        <f t="shared" si="629"/>
        <v>0</v>
      </c>
      <c r="AS124" s="96">
        <f t="shared" si="629"/>
        <v>0</v>
      </c>
      <c r="AT124" s="96">
        <f t="shared" si="629"/>
        <v>0</v>
      </c>
      <c r="AU124" s="96">
        <f t="shared" si="629"/>
        <v>0</v>
      </c>
      <c r="AV124" s="96">
        <f t="shared" si="629"/>
        <v>0</v>
      </c>
      <c r="AW124" s="96">
        <f t="shared" si="629"/>
        <v>0</v>
      </c>
      <c r="AX124" s="96">
        <f t="shared" si="629"/>
        <v>0</v>
      </c>
      <c r="AY124" s="96">
        <f t="shared" si="629"/>
        <v>0</v>
      </c>
      <c r="AZ124" s="96">
        <f t="shared" si="629"/>
        <v>0</v>
      </c>
      <c r="BA124" s="96">
        <f t="shared" si="629"/>
        <v>0</v>
      </c>
      <c r="BB124" s="96">
        <f t="shared" si="629"/>
        <v>0</v>
      </c>
      <c r="BC124" s="96">
        <f t="shared" si="629"/>
        <v>0</v>
      </c>
      <c r="BD124" s="96">
        <f t="shared" si="629"/>
        <v>0</v>
      </c>
      <c r="BE124" s="96">
        <f t="shared" si="629"/>
        <v>0</v>
      </c>
      <c r="BF124" s="96">
        <f t="shared" si="629"/>
        <v>0</v>
      </c>
      <c r="BG124" s="96">
        <f t="shared" si="629"/>
        <v>0</v>
      </c>
      <c r="BH124" s="96">
        <f t="shared" si="629"/>
        <v>0</v>
      </c>
      <c r="BI124" s="96">
        <f t="shared" si="629"/>
        <v>0</v>
      </c>
      <c r="BJ124" s="96">
        <f t="shared" si="629"/>
        <v>0</v>
      </c>
      <c r="BK124" s="96">
        <f t="shared" si="629"/>
        <v>0</v>
      </c>
      <c r="BL124" s="96">
        <f t="shared" si="629"/>
        <v>0</v>
      </c>
      <c r="BM124" s="96">
        <f t="shared" si="629"/>
        <v>0</v>
      </c>
      <c r="BN124" s="96">
        <f t="shared" si="629"/>
        <v>0</v>
      </c>
      <c r="BO124" s="96">
        <f t="shared" si="629"/>
        <v>0</v>
      </c>
      <c r="BP124" s="96">
        <f t="shared" si="629"/>
        <v>0</v>
      </c>
      <c r="BQ124" s="96">
        <f t="shared" si="629"/>
        <v>0</v>
      </c>
      <c r="BR124" s="96">
        <f t="shared" si="629"/>
        <v>0</v>
      </c>
      <c r="BS124" s="96">
        <f t="shared" si="629"/>
        <v>0</v>
      </c>
      <c r="BT124" s="96">
        <f t="shared" si="629"/>
        <v>0</v>
      </c>
      <c r="BU124" s="96">
        <f t="shared" si="629"/>
        <v>0</v>
      </c>
      <c r="BV124" s="96">
        <f t="shared" si="629"/>
        <v>0</v>
      </c>
      <c r="BW124" s="96">
        <f t="shared" si="629"/>
        <v>0</v>
      </c>
      <c r="BX124" s="96">
        <f t="shared" si="629"/>
        <v>0</v>
      </c>
      <c r="BY124" s="96">
        <f t="shared" si="629"/>
        <v>0</v>
      </c>
      <c r="BZ124" s="96">
        <f t="shared" si="629"/>
        <v>0</v>
      </c>
      <c r="CA124" s="96">
        <f t="shared" si="629"/>
        <v>0</v>
      </c>
      <c r="CB124" s="96">
        <f t="shared" si="629"/>
        <v>0</v>
      </c>
      <c r="CC124" s="96">
        <f t="shared" si="629"/>
        <v>0</v>
      </c>
      <c r="CD124" s="96">
        <f t="shared" si="629"/>
        <v>0</v>
      </c>
      <c r="CE124" s="96">
        <f t="shared" si="629"/>
        <v>0</v>
      </c>
      <c r="CF124" s="96">
        <f t="shared" si="629"/>
        <v>0</v>
      </c>
      <c r="CG124" s="96">
        <f t="shared" si="629"/>
        <v>0</v>
      </c>
      <c r="CH124" s="96">
        <f t="shared" si="629"/>
        <v>0</v>
      </c>
      <c r="CI124" s="96">
        <f t="shared" si="629"/>
        <v>0</v>
      </c>
      <c r="CJ124" s="96">
        <f t="shared" si="629"/>
        <v>0</v>
      </c>
      <c r="CK124" s="96">
        <f t="shared" si="629"/>
        <v>0</v>
      </c>
      <c r="CL124" s="96">
        <f t="shared" si="629"/>
        <v>0</v>
      </c>
      <c r="CM124" s="96">
        <f t="shared" si="629"/>
        <v>0</v>
      </c>
      <c r="CN124" s="96">
        <f t="shared" si="629"/>
        <v>0</v>
      </c>
      <c r="CO124" s="90"/>
    </row>
    <row r="125" spans="1:93" ht="12.75" customHeight="1">
      <c r="A125" s="90"/>
      <c r="B125" s="96" t="s">
        <v>220</v>
      </c>
      <c r="C125" s="96">
        <f t="array" ref="C125">D124+NPV(Assump!D12,Model!E124:CN124)</f>
        <v>518823.65688893362</v>
      </c>
      <c r="D125" s="92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</row>
    <row r="126" spans="1:93" ht="12.75" customHeight="1">
      <c r="A126" s="90"/>
      <c r="B126" s="96" t="s">
        <v>221</v>
      </c>
      <c r="C126" s="96">
        <f>C123-C124</f>
        <v>525238.9561741777</v>
      </c>
      <c r="D126" s="92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>
        <f>MAX(-BB66,(Assump!$D$65-(BB81+BB85+BB87+BB89+BB90+BB91+BA95)))</f>
        <v>-72144.637631974721</v>
      </c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</row>
    <row r="127" spans="1:93" ht="12.75" customHeight="1">
      <c r="A127" s="35"/>
      <c r="B127" s="96" t="s">
        <v>222</v>
      </c>
      <c r="C127" s="107">
        <f>C123/C125</f>
        <v>2.5457671188207343</v>
      </c>
      <c r="D127" s="60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</row>
    <row r="128" spans="1:93" ht="12.75" customHeight="1">
      <c r="A128" s="35"/>
      <c r="B128" s="90"/>
      <c r="C128" s="90"/>
      <c r="D128" s="60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</row>
    <row r="129" spans="1:93" ht="12.75" customHeight="1" outlineLevel="1">
      <c r="A129" s="35"/>
      <c r="B129" s="35" t="s">
        <v>223</v>
      </c>
      <c r="C129" s="35"/>
      <c r="D129" s="60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</row>
    <row r="130" spans="1:93" ht="12.75" customHeight="1" outlineLevel="1">
      <c r="A130" s="35"/>
      <c r="B130" s="37" t="s">
        <v>224</v>
      </c>
      <c r="C130" s="37"/>
      <c r="D130" s="92">
        <f>-SUM(Y80:BL80)-SUM(Y78:BL78)-SUM(Y57:BL57)-SUM(Y58:BL58)-SUM(Y30:BL30)-SUM(Y31:BL31)/(1+Assump!D24)*Assump!D24-SUM(Y42:BL42)*'ФОТ 1 этап'!I330</f>
        <v>3037282.2187955473</v>
      </c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</row>
    <row r="131" spans="1:93" ht="12.75" customHeight="1" outlineLevel="1">
      <c r="A131" s="35"/>
      <c r="B131" s="35"/>
      <c r="C131" s="35"/>
      <c r="D131" s="60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</row>
    <row r="132" spans="1:93" ht="12.75" customHeight="1" outlineLevel="1">
      <c r="A132" s="35"/>
      <c r="B132" s="35" t="s">
        <v>164</v>
      </c>
      <c r="C132" s="35"/>
      <c r="D132" s="60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</row>
    <row r="133" spans="1:93" ht="12.75" customHeight="1" outlineLevel="1">
      <c r="A133" s="35"/>
      <c r="B133" s="49" t="s">
        <v>160</v>
      </c>
      <c r="C133" s="50">
        <f t="shared" ref="C133:C140" si="630">SUM(D133:CN133)</f>
        <v>14545267.481728278</v>
      </c>
      <c r="D133" s="53">
        <f t="shared" ref="D133:AI133" si="631">D60</f>
        <v>0</v>
      </c>
      <c r="E133" s="50">
        <f t="shared" si="631"/>
        <v>0</v>
      </c>
      <c r="F133" s="50">
        <f t="shared" si="631"/>
        <v>0</v>
      </c>
      <c r="G133" s="50">
        <f t="shared" si="631"/>
        <v>0</v>
      </c>
      <c r="H133" s="50">
        <f t="shared" si="631"/>
        <v>-700</v>
      </c>
      <c r="I133" s="50">
        <f t="shared" si="631"/>
        <v>-700</v>
      </c>
      <c r="J133" s="50">
        <f t="shared" si="631"/>
        <v>-700</v>
      </c>
      <c r="K133" s="50">
        <f t="shared" si="631"/>
        <v>-700</v>
      </c>
      <c r="L133" s="50">
        <f t="shared" si="631"/>
        <v>-700</v>
      </c>
      <c r="M133" s="50">
        <f t="shared" si="631"/>
        <v>-700</v>
      </c>
      <c r="N133" s="50">
        <f t="shared" si="631"/>
        <v>-700</v>
      </c>
      <c r="O133" s="50">
        <f t="shared" si="631"/>
        <v>-700</v>
      </c>
      <c r="P133" s="50">
        <f t="shared" si="631"/>
        <v>-700</v>
      </c>
      <c r="Q133" s="50">
        <f t="shared" si="631"/>
        <v>-700</v>
      </c>
      <c r="R133" s="50">
        <f t="shared" si="631"/>
        <v>-700</v>
      </c>
      <c r="S133" s="50">
        <f t="shared" si="631"/>
        <v>-700</v>
      </c>
      <c r="T133" s="50">
        <f t="shared" si="631"/>
        <v>-700</v>
      </c>
      <c r="U133" s="50">
        <f t="shared" si="631"/>
        <v>-700</v>
      </c>
      <c r="V133" s="50">
        <f t="shared" si="631"/>
        <v>-700</v>
      </c>
      <c r="W133" s="50">
        <f t="shared" si="631"/>
        <v>172984.95422996787</v>
      </c>
      <c r="X133" s="50">
        <f t="shared" si="631"/>
        <v>216411.88274976771</v>
      </c>
      <c r="Y133" s="50">
        <f t="shared" si="631"/>
        <v>103306.52503103718</v>
      </c>
      <c r="Z133" s="50">
        <f t="shared" si="631"/>
        <v>136567.71610079444</v>
      </c>
      <c r="AA133" s="50">
        <f t="shared" si="631"/>
        <v>180046.49109449371</v>
      </c>
      <c r="AB133" s="50">
        <f t="shared" si="631"/>
        <v>225465.61309527647</v>
      </c>
      <c r="AC133" s="50">
        <f t="shared" si="631"/>
        <v>107112.99621750794</v>
      </c>
      <c r="AD133" s="50">
        <f t="shared" si="631"/>
        <v>151780.63840431947</v>
      </c>
      <c r="AE133" s="50">
        <f t="shared" si="631"/>
        <v>198937.32227878046</v>
      </c>
      <c r="AF133" s="50">
        <f t="shared" si="631"/>
        <v>248069.06345878987</v>
      </c>
      <c r="AG133" s="50">
        <f t="shared" si="631"/>
        <v>119880.59770324988</v>
      </c>
      <c r="AH133" s="50">
        <f t="shared" si="631"/>
        <v>191219.26357174822</v>
      </c>
      <c r="AI133" s="50">
        <f t="shared" si="631"/>
        <v>237553.20142911974</v>
      </c>
      <c r="AJ133" s="50">
        <f t="shared" ref="AJ133:BO133" si="632">AJ60</f>
        <v>102244.36199574558</v>
      </c>
      <c r="AK133" s="50">
        <f t="shared" si="632"/>
        <v>162487.42384007465</v>
      </c>
      <c r="AL133" s="50">
        <f t="shared" si="632"/>
        <v>211152.48219467566</v>
      </c>
      <c r="AM133" s="50">
        <f t="shared" si="632"/>
        <v>261304.06452210341</v>
      </c>
      <c r="AN133" s="50">
        <f t="shared" si="632"/>
        <v>115115.65418148333</v>
      </c>
      <c r="AO133" s="50">
        <f t="shared" si="632"/>
        <v>204016.95418023507</v>
      </c>
      <c r="AP133" s="50">
        <f t="shared" si="632"/>
        <v>251801.89347592971</v>
      </c>
      <c r="AQ133" s="50">
        <f t="shared" si="632"/>
        <v>108206.23020776622</v>
      </c>
      <c r="AR133" s="50">
        <f t="shared" si="632"/>
        <v>159291.39778214347</v>
      </c>
      <c r="AS133" s="50">
        <f t="shared" si="632"/>
        <v>225071.75634438713</v>
      </c>
      <c r="AT133" s="50">
        <f t="shared" si="632"/>
        <v>276848.17480563029</v>
      </c>
      <c r="AU133" s="50">
        <f t="shared" si="632"/>
        <v>121740.09433574308</v>
      </c>
      <c r="AV133" s="50">
        <f t="shared" si="632"/>
        <v>202307.90960415581</v>
      </c>
      <c r="AW133" s="50">
        <f t="shared" si="632"/>
        <v>267884.80693028611</v>
      </c>
      <c r="AX133" s="50">
        <f t="shared" si="632"/>
        <v>116208.71761174728</v>
      </c>
      <c r="AY133" s="50">
        <f t="shared" si="632"/>
        <v>168144.58281603619</v>
      </c>
      <c r="AZ133" s="50">
        <f t="shared" si="632"/>
        <v>223796.48208960152</v>
      </c>
      <c r="BA133" s="50">
        <f t="shared" si="632"/>
        <v>294321.12950408278</v>
      </c>
      <c r="BB133" s="50">
        <f t="shared" si="632"/>
        <v>130538.20722410263</v>
      </c>
      <c r="BC133" s="50">
        <f t="shared" si="632"/>
        <v>213332.87581372896</v>
      </c>
      <c r="BD133" s="50">
        <f t="shared" si="632"/>
        <v>268100.26692853577</v>
      </c>
      <c r="BE133" s="50">
        <f t="shared" si="632"/>
        <v>125794.31298699755</v>
      </c>
      <c r="BF133" s="50">
        <f t="shared" si="632"/>
        <v>179387.79902028892</v>
      </c>
      <c r="BG133" s="50">
        <f t="shared" si="632"/>
        <v>235917.88028725586</v>
      </c>
      <c r="BH133" s="50">
        <f t="shared" si="632"/>
        <v>295175.99144094985</v>
      </c>
      <c r="BI133" s="50">
        <f t="shared" si="632"/>
        <v>140992.12129328703</v>
      </c>
      <c r="BJ133" s="50">
        <f t="shared" si="632"/>
        <v>226966.6295043389</v>
      </c>
      <c r="BK133" s="50">
        <f t="shared" si="632"/>
        <v>282459.95790013613</v>
      </c>
      <c r="BL133" s="50">
        <f t="shared" si="632"/>
        <v>117506.29919843389</v>
      </c>
      <c r="BM133" s="50">
        <f t="shared" si="632"/>
        <v>192443.62910326492</v>
      </c>
      <c r="BN133" s="50">
        <f t="shared" si="632"/>
        <v>250818.5631798383</v>
      </c>
      <c r="BO133" s="50">
        <f t="shared" si="632"/>
        <v>310913.72734677012</v>
      </c>
      <c r="BP133" s="50">
        <f t="shared" ref="BP133:CN133" si="633">BP60</f>
        <v>132711.63627548283</v>
      </c>
      <c r="BQ133" s="50">
        <f t="shared" si="633"/>
        <v>242568.80935669871</v>
      </c>
      <c r="BR133" s="50">
        <f t="shared" si="633"/>
        <v>299832.30760057352</v>
      </c>
      <c r="BS133" s="50">
        <f t="shared" si="633"/>
        <v>124386.02213615773</v>
      </c>
      <c r="BT133" s="50">
        <f t="shared" si="633"/>
        <v>185945.73974917678</v>
      </c>
      <c r="BU133" s="50">
        <f t="shared" si="633"/>
        <v>267789.11837341357</v>
      </c>
      <c r="BV133" s="50">
        <f t="shared" si="633"/>
        <v>329860.55659311078</v>
      </c>
      <c r="BW133" s="50">
        <f t="shared" si="633"/>
        <v>140378.37129328979</v>
      </c>
      <c r="BX133" s="50">
        <f t="shared" si="633"/>
        <v>237747.70030216029</v>
      </c>
      <c r="BY133" s="50">
        <f t="shared" si="633"/>
        <v>319438.11760549794</v>
      </c>
      <c r="BZ133" s="50">
        <f t="shared" si="633"/>
        <v>134165.84674921777</v>
      </c>
      <c r="CA133" s="50">
        <f t="shared" si="633"/>
        <v>196302.2624282107</v>
      </c>
      <c r="CB133" s="50">
        <f t="shared" si="633"/>
        <v>263358.07212093275</v>
      </c>
      <c r="CC133" s="50">
        <f t="shared" si="633"/>
        <v>351161.57501749007</v>
      </c>
      <c r="CD133" s="50">
        <f t="shared" si="633"/>
        <v>151125.16302281909</v>
      </c>
      <c r="CE133" s="50">
        <f t="shared" si="633"/>
        <v>250723.8076207627</v>
      </c>
      <c r="CF133" s="50">
        <f t="shared" si="633"/>
        <v>316675.02103340439</v>
      </c>
      <c r="CG133" s="50">
        <f t="shared" si="633"/>
        <v>145885.6154497219</v>
      </c>
      <c r="CH133" s="50">
        <f t="shared" si="633"/>
        <v>210020.96585602916</v>
      </c>
      <c r="CI133" s="50">
        <f t="shared" si="633"/>
        <v>277645.65897298907</v>
      </c>
      <c r="CJ133" s="50">
        <f t="shared" si="633"/>
        <v>349024.42602071824</v>
      </c>
      <c r="CK133" s="50">
        <f t="shared" si="633"/>
        <v>163906.55759373866</v>
      </c>
      <c r="CL133" s="50">
        <f t="shared" si="633"/>
        <v>267348.09130682924</v>
      </c>
      <c r="CM133" s="50">
        <f t="shared" si="633"/>
        <v>333660.96432072547</v>
      </c>
      <c r="CN133" s="50">
        <f t="shared" si="633"/>
        <v>132476.43191452001</v>
      </c>
      <c r="CO133" s="35"/>
    </row>
    <row r="134" spans="1:93" ht="12.75" customHeight="1" outlineLevel="1">
      <c r="A134" s="35"/>
      <c r="B134" s="63" t="s">
        <v>55</v>
      </c>
      <c r="C134" s="35">
        <f t="shared" si="630"/>
        <v>-1518806.3863636379</v>
      </c>
      <c r="D134" s="60">
        <f t="shared" ref="D134:AI134" si="634">D62</f>
        <v>0</v>
      </c>
      <c r="E134" s="35">
        <f t="shared" si="634"/>
        <v>0</v>
      </c>
      <c r="F134" s="35">
        <f t="shared" si="634"/>
        <v>0</v>
      </c>
      <c r="G134" s="35">
        <f t="shared" si="634"/>
        <v>0</v>
      </c>
      <c r="H134" s="35">
        <f t="shared" si="634"/>
        <v>0</v>
      </c>
      <c r="I134" s="35">
        <f t="shared" si="634"/>
        <v>0</v>
      </c>
      <c r="J134" s="35">
        <f t="shared" si="634"/>
        <v>0</v>
      </c>
      <c r="K134" s="35">
        <f t="shared" si="634"/>
        <v>0</v>
      </c>
      <c r="L134" s="35">
        <f t="shared" si="634"/>
        <v>0</v>
      </c>
      <c r="M134" s="35">
        <f t="shared" si="634"/>
        <v>0</v>
      </c>
      <c r="N134" s="35">
        <f t="shared" si="634"/>
        <v>0</v>
      </c>
      <c r="O134" s="35">
        <f t="shared" si="634"/>
        <v>0</v>
      </c>
      <c r="P134" s="35">
        <f t="shared" si="634"/>
        <v>0</v>
      </c>
      <c r="Q134" s="35">
        <f t="shared" si="634"/>
        <v>0</v>
      </c>
      <c r="R134" s="35">
        <f t="shared" si="634"/>
        <v>0</v>
      </c>
      <c r="S134" s="35">
        <f t="shared" si="634"/>
        <v>0</v>
      </c>
      <c r="T134" s="35">
        <f t="shared" si="634"/>
        <v>0</v>
      </c>
      <c r="U134" s="35">
        <f t="shared" si="634"/>
        <v>0</v>
      </c>
      <c r="V134" s="35">
        <f t="shared" si="634"/>
        <v>0</v>
      </c>
      <c r="W134" s="35">
        <f t="shared" si="634"/>
        <v>-21697.234090909089</v>
      </c>
      <c r="X134" s="35">
        <f t="shared" si="634"/>
        <v>-21697.234090909089</v>
      </c>
      <c r="Y134" s="35">
        <f t="shared" si="634"/>
        <v>-21697.234090909089</v>
      </c>
      <c r="Z134" s="35">
        <f t="shared" si="634"/>
        <v>-21697.234090909089</v>
      </c>
      <c r="AA134" s="35">
        <f t="shared" si="634"/>
        <v>-21697.234090909089</v>
      </c>
      <c r="AB134" s="35">
        <f t="shared" si="634"/>
        <v>-21697.234090909089</v>
      </c>
      <c r="AC134" s="35">
        <f t="shared" si="634"/>
        <v>-21697.234090909089</v>
      </c>
      <c r="AD134" s="35">
        <f t="shared" si="634"/>
        <v>-21697.234090909089</v>
      </c>
      <c r="AE134" s="35">
        <f t="shared" si="634"/>
        <v>-21697.234090909089</v>
      </c>
      <c r="AF134" s="35">
        <f t="shared" si="634"/>
        <v>-21697.234090909089</v>
      </c>
      <c r="AG134" s="35">
        <f t="shared" si="634"/>
        <v>-21697.234090909089</v>
      </c>
      <c r="AH134" s="35">
        <f t="shared" si="634"/>
        <v>-21697.234090909089</v>
      </c>
      <c r="AI134" s="35">
        <f t="shared" si="634"/>
        <v>-21697.234090909089</v>
      </c>
      <c r="AJ134" s="35">
        <f t="shared" ref="AJ134:BO134" si="635">AJ62</f>
        <v>-21697.234090909089</v>
      </c>
      <c r="AK134" s="35">
        <f t="shared" si="635"/>
        <v>-21697.234090909089</v>
      </c>
      <c r="AL134" s="35">
        <f t="shared" si="635"/>
        <v>-21697.234090909089</v>
      </c>
      <c r="AM134" s="35">
        <f t="shared" si="635"/>
        <v>-21697.234090909089</v>
      </c>
      <c r="AN134" s="35">
        <f t="shared" si="635"/>
        <v>-21697.234090909089</v>
      </c>
      <c r="AO134" s="35">
        <f t="shared" si="635"/>
        <v>-21697.234090909089</v>
      </c>
      <c r="AP134" s="35">
        <f t="shared" si="635"/>
        <v>-21697.234090909089</v>
      </c>
      <c r="AQ134" s="35">
        <f t="shared" si="635"/>
        <v>-21697.234090909089</v>
      </c>
      <c r="AR134" s="35">
        <f t="shared" si="635"/>
        <v>-21697.234090909089</v>
      </c>
      <c r="AS134" s="35">
        <f t="shared" si="635"/>
        <v>-21697.234090909089</v>
      </c>
      <c r="AT134" s="35">
        <f t="shared" si="635"/>
        <v>-21697.234090909089</v>
      </c>
      <c r="AU134" s="35">
        <f t="shared" si="635"/>
        <v>-21697.234090909089</v>
      </c>
      <c r="AV134" s="35">
        <f t="shared" si="635"/>
        <v>-21697.234090909089</v>
      </c>
      <c r="AW134" s="35">
        <f t="shared" si="635"/>
        <v>-21697.234090909089</v>
      </c>
      <c r="AX134" s="35">
        <f t="shared" si="635"/>
        <v>-21697.234090909089</v>
      </c>
      <c r="AY134" s="35">
        <f t="shared" si="635"/>
        <v>-21697.234090909089</v>
      </c>
      <c r="AZ134" s="35">
        <f t="shared" si="635"/>
        <v>-21697.234090909089</v>
      </c>
      <c r="BA134" s="35">
        <f t="shared" si="635"/>
        <v>-21697.234090909089</v>
      </c>
      <c r="BB134" s="35">
        <f t="shared" si="635"/>
        <v>-21697.234090909089</v>
      </c>
      <c r="BC134" s="35">
        <f t="shared" si="635"/>
        <v>-21697.234090909089</v>
      </c>
      <c r="BD134" s="35">
        <f t="shared" si="635"/>
        <v>-21697.234090909089</v>
      </c>
      <c r="BE134" s="35">
        <f t="shared" si="635"/>
        <v>-21697.234090909089</v>
      </c>
      <c r="BF134" s="35">
        <f t="shared" si="635"/>
        <v>-21697.234090909089</v>
      </c>
      <c r="BG134" s="35">
        <f t="shared" si="635"/>
        <v>-21697.234090909089</v>
      </c>
      <c r="BH134" s="35">
        <f t="shared" si="635"/>
        <v>-21697.234090909089</v>
      </c>
      <c r="BI134" s="35">
        <f t="shared" si="635"/>
        <v>-21697.234090909089</v>
      </c>
      <c r="BJ134" s="35">
        <f t="shared" si="635"/>
        <v>-21697.234090909089</v>
      </c>
      <c r="BK134" s="35">
        <f t="shared" si="635"/>
        <v>-21697.234090909089</v>
      </c>
      <c r="BL134" s="35">
        <f t="shared" si="635"/>
        <v>-21697.234090909089</v>
      </c>
      <c r="BM134" s="35">
        <f t="shared" si="635"/>
        <v>-21697.234090909089</v>
      </c>
      <c r="BN134" s="35">
        <f t="shared" si="635"/>
        <v>-21697.234090909089</v>
      </c>
      <c r="BO134" s="35">
        <f t="shared" si="635"/>
        <v>-21697.234090909089</v>
      </c>
      <c r="BP134" s="35">
        <f t="shared" ref="BP134:CN134" si="636">BP62</f>
        <v>-21697.234090909089</v>
      </c>
      <c r="BQ134" s="35">
        <f t="shared" si="636"/>
        <v>-21697.234090909089</v>
      </c>
      <c r="BR134" s="35">
        <f t="shared" si="636"/>
        <v>-21697.234090909089</v>
      </c>
      <c r="BS134" s="35">
        <f t="shared" si="636"/>
        <v>-21697.234090909089</v>
      </c>
      <c r="BT134" s="35">
        <f t="shared" si="636"/>
        <v>-21697.234090909089</v>
      </c>
      <c r="BU134" s="35">
        <f t="shared" si="636"/>
        <v>-21697.234090909089</v>
      </c>
      <c r="BV134" s="35">
        <f t="shared" si="636"/>
        <v>-21697.234090909089</v>
      </c>
      <c r="BW134" s="35">
        <f t="shared" si="636"/>
        <v>-21697.234090909089</v>
      </c>
      <c r="BX134" s="35">
        <f t="shared" si="636"/>
        <v>-21697.234090909089</v>
      </c>
      <c r="BY134" s="35">
        <f t="shared" si="636"/>
        <v>-21697.234090909089</v>
      </c>
      <c r="BZ134" s="35">
        <f t="shared" si="636"/>
        <v>-21697.234090909089</v>
      </c>
      <c r="CA134" s="35">
        <f t="shared" si="636"/>
        <v>-21697.234090909089</v>
      </c>
      <c r="CB134" s="35">
        <f t="shared" si="636"/>
        <v>-21697.234090909089</v>
      </c>
      <c r="CC134" s="35">
        <f t="shared" si="636"/>
        <v>-21697.234090909089</v>
      </c>
      <c r="CD134" s="35">
        <f t="shared" si="636"/>
        <v>-21697.234090909089</v>
      </c>
      <c r="CE134" s="35">
        <f t="shared" si="636"/>
        <v>-21697.234090909089</v>
      </c>
      <c r="CF134" s="35">
        <f t="shared" si="636"/>
        <v>-21697.234090909089</v>
      </c>
      <c r="CG134" s="35">
        <f t="shared" si="636"/>
        <v>-21697.234090909089</v>
      </c>
      <c r="CH134" s="35">
        <f t="shared" si="636"/>
        <v>-21697.234090909089</v>
      </c>
      <c r="CI134" s="35">
        <f t="shared" si="636"/>
        <v>-21697.234090909089</v>
      </c>
      <c r="CJ134" s="35">
        <f t="shared" si="636"/>
        <v>-21697.234090909089</v>
      </c>
      <c r="CK134" s="35">
        <f t="shared" si="636"/>
        <v>-21697.234090909089</v>
      </c>
      <c r="CL134" s="35">
        <f t="shared" si="636"/>
        <v>-21697.234090909089</v>
      </c>
      <c r="CM134" s="35">
        <f t="shared" si="636"/>
        <v>-21697.234090909089</v>
      </c>
      <c r="CN134" s="35">
        <f t="shared" si="636"/>
        <v>-21697.234090909089</v>
      </c>
      <c r="CO134" s="35"/>
    </row>
    <row r="135" spans="1:93" ht="12.75" customHeight="1" outlineLevel="1">
      <c r="A135" s="35"/>
      <c r="B135" s="63" t="s">
        <v>162</v>
      </c>
      <c r="C135" s="35">
        <f t="shared" si="630"/>
        <v>-1923705.6546557876</v>
      </c>
      <c r="D135" s="60">
        <f t="shared" ref="D135:CN135" si="637">D165</f>
        <v>0</v>
      </c>
      <c r="E135" s="35">
        <f t="shared" si="637"/>
        <v>0</v>
      </c>
      <c r="F135" s="35">
        <f t="shared" si="637"/>
        <v>0</v>
      </c>
      <c r="G135" s="35">
        <f t="shared" si="637"/>
        <v>0</v>
      </c>
      <c r="H135" s="35">
        <f t="shared" si="637"/>
        <v>0</v>
      </c>
      <c r="I135" s="35">
        <f t="shared" si="637"/>
        <v>0</v>
      </c>
      <c r="J135" s="35">
        <f t="shared" si="637"/>
        <v>0</v>
      </c>
      <c r="K135" s="35">
        <f t="shared" si="637"/>
        <v>0</v>
      </c>
      <c r="L135" s="35">
        <f t="shared" si="637"/>
        <v>0</v>
      </c>
      <c r="M135" s="35">
        <f t="shared" si="637"/>
        <v>0</v>
      </c>
      <c r="N135" s="35">
        <f t="shared" si="637"/>
        <v>-317.3077343749988</v>
      </c>
      <c r="O135" s="35">
        <f t="shared" si="637"/>
        <v>-7063.3892968749979</v>
      </c>
      <c r="P135" s="35">
        <f t="shared" si="637"/>
        <v>-15718.513242187495</v>
      </c>
      <c r="Q135" s="35">
        <f t="shared" si="637"/>
        <v>-24910.67</v>
      </c>
      <c r="R135" s="35">
        <f t="shared" si="637"/>
        <v>-34293.604374999995</v>
      </c>
      <c r="S135" s="35">
        <f t="shared" si="637"/>
        <v>-41578.361249999994</v>
      </c>
      <c r="T135" s="35">
        <f t="shared" si="637"/>
        <v>-50475.834500000004</v>
      </c>
      <c r="U135" s="35">
        <f t="shared" si="637"/>
        <v>-58177.438000000002</v>
      </c>
      <c r="V135" s="35">
        <f t="shared" si="637"/>
        <v>-65444.694374999999</v>
      </c>
      <c r="W135" s="35">
        <f t="shared" si="637"/>
        <v>-71600.872499999998</v>
      </c>
      <c r="X135" s="35">
        <f t="shared" si="637"/>
        <v>-70447.765583100714</v>
      </c>
      <c r="Y135" s="35">
        <f t="shared" si="637"/>
        <v>-68455.422241216729</v>
      </c>
      <c r="Z135" s="35">
        <f t="shared" si="637"/>
        <v>-67987.809338477935</v>
      </c>
      <c r="AA135" s="35">
        <f t="shared" si="637"/>
        <v>-67167.73772924162</v>
      </c>
      <c r="AB135" s="35">
        <f t="shared" si="637"/>
        <v>-65766.148168168656</v>
      </c>
      <c r="AC135" s="35">
        <f t="shared" si="637"/>
        <v>-63881.903289335605</v>
      </c>
      <c r="AD135" s="35">
        <f t="shared" si="637"/>
        <v>-63311.93295785143</v>
      </c>
      <c r="AE135" s="35">
        <f t="shared" si="637"/>
        <v>-62339.08795244887</v>
      </c>
      <c r="AF135" s="35">
        <f t="shared" si="637"/>
        <v>-60719.890556318962</v>
      </c>
      <c r="AG135" s="35">
        <f t="shared" si="637"/>
        <v>-58460.766568099061</v>
      </c>
      <c r="AH135" s="35">
        <f t="shared" si="637"/>
        <v>-57618.64225537295</v>
      </c>
      <c r="AI135" s="35">
        <f t="shared" si="637"/>
        <v>-56062.126031280226</v>
      </c>
      <c r="AJ135" s="35">
        <f t="shared" si="637"/>
        <v>-53870.297158680987</v>
      </c>
      <c r="AK135" s="35">
        <f t="shared" si="637"/>
        <v>-53184.897288893328</v>
      </c>
      <c r="AL135" s="35">
        <f t="shared" si="637"/>
        <v>-51901.279369758282</v>
      </c>
      <c r="AM135" s="35">
        <f t="shared" si="637"/>
        <v>-49957.833422609132</v>
      </c>
      <c r="AN135" s="35">
        <f t="shared" si="637"/>
        <v>-47362.879194243324</v>
      </c>
      <c r="AO135" s="35">
        <f t="shared" si="637"/>
        <v>-46385.197291364188</v>
      </c>
      <c r="AP135" s="35">
        <f t="shared" si="637"/>
        <v>-44471.136772389691</v>
      </c>
      <c r="AQ135" s="35">
        <f t="shared" si="637"/>
        <v>-41918.435554974239</v>
      </c>
      <c r="AR135" s="35">
        <f t="shared" si="637"/>
        <v>-40955.612306044255</v>
      </c>
      <c r="AS135" s="35">
        <f t="shared" si="637"/>
        <v>-39508.393322074939</v>
      </c>
      <c r="AT135" s="35">
        <f t="shared" si="637"/>
        <v>-37175.800214897223</v>
      </c>
      <c r="AU135" s="35">
        <f t="shared" si="637"/>
        <v>-34181.306305023427</v>
      </c>
      <c r="AV135" s="35">
        <f t="shared" si="637"/>
        <v>-32896.784443818207</v>
      </c>
      <c r="AW135" s="35">
        <f t="shared" si="637"/>
        <v>-30781.229124408826</v>
      </c>
      <c r="AX135" s="35">
        <f t="shared" si="637"/>
        <v>-27786.66056153028</v>
      </c>
      <c r="AY135" s="35">
        <f t="shared" si="637"/>
        <v>-26491.028032715309</v>
      </c>
      <c r="AZ135" s="35">
        <f t="shared" si="637"/>
        <v>-24700.513490102094</v>
      </c>
      <c r="BA135" s="35">
        <f t="shared" si="637"/>
        <v>-22136.94736648953</v>
      </c>
      <c r="BB135" s="35">
        <f t="shared" si="637"/>
        <v>-18660.176093225145</v>
      </c>
      <c r="BC135" s="35">
        <f t="shared" si="637"/>
        <v>-17069.810755585833</v>
      </c>
      <c r="BD135" s="35">
        <f t="shared" si="637"/>
        <v>-14687.763655552051</v>
      </c>
      <c r="BE135" s="35">
        <f t="shared" si="637"/>
        <v>-11584.126772309139</v>
      </c>
      <c r="BF135" s="35">
        <f t="shared" si="637"/>
        <v>-9947.5977615408574</v>
      </c>
      <c r="BG135" s="35">
        <f t="shared" si="637"/>
        <v>-7853.8859790815532</v>
      </c>
      <c r="BH135" s="35">
        <f t="shared" si="637"/>
        <v>-5011.113854205817</v>
      </c>
      <c r="BI135" s="35">
        <f t="shared" si="637"/>
        <v>-1425.0306199198976</v>
      </c>
      <c r="BJ135" s="35">
        <f t="shared" si="637"/>
        <v>0</v>
      </c>
      <c r="BK135" s="35">
        <f t="shared" si="637"/>
        <v>0</v>
      </c>
      <c r="BL135" s="35">
        <f t="shared" si="637"/>
        <v>0</v>
      </c>
      <c r="BM135" s="35">
        <f t="shared" si="637"/>
        <v>0</v>
      </c>
      <c r="BN135" s="35">
        <f t="shared" si="637"/>
        <v>0</v>
      </c>
      <c r="BO135" s="35">
        <f t="shared" si="637"/>
        <v>0</v>
      </c>
      <c r="BP135" s="35">
        <f t="shared" si="637"/>
        <v>0</v>
      </c>
      <c r="BQ135" s="35">
        <f t="shared" si="637"/>
        <v>0</v>
      </c>
      <c r="BR135" s="35">
        <f t="shared" si="637"/>
        <v>0</v>
      </c>
      <c r="BS135" s="35">
        <f t="shared" si="637"/>
        <v>0</v>
      </c>
      <c r="BT135" s="35">
        <f t="shared" si="637"/>
        <v>0</v>
      </c>
      <c r="BU135" s="35">
        <f t="shared" si="637"/>
        <v>0</v>
      </c>
      <c r="BV135" s="35">
        <f t="shared" si="637"/>
        <v>0</v>
      </c>
      <c r="BW135" s="35">
        <f t="shared" si="637"/>
        <v>0</v>
      </c>
      <c r="BX135" s="35">
        <f t="shared" si="637"/>
        <v>0</v>
      </c>
      <c r="BY135" s="35">
        <f t="shared" si="637"/>
        <v>0</v>
      </c>
      <c r="BZ135" s="35">
        <f t="shared" si="637"/>
        <v>0</v>
      </c>
      <c r="CA135" s="35">
        <f t="shared" si="637"/>
        <v>0</v>
      </c>
      <c r="CB135" s="35">
        <f t="shared" si="637"/>
        <v>0</v>
      </c>
      <c r="CC135" s="35">
        <f t="shared" si="637"/>
        <v>0</v>
      </c>
      <c r="CD135" s="35">
        <f t="shared" si="637"/>
        <v>0</v>
      </c>
      <c r="CE135" s="35">
        <f t="shared" si="637"/>
        <v>0</v>
      </c>
      <c r="CF135" s="35">
        <f t="shared" si="637"/>
        <v>0</v>
      </c>
      <c r="CG135" s="35">
        <f t="shared" si="637"/>
        <v>0</v>
      </c>
      <c r="CH135" s="35">
        <f t="shared" si="637"/>
        <v>0</v>
      </c>
      <c r="CI135" s="35">
        <f t="shared" si="637"/>
        <v>0</v>
      </c>
      <c r="CJ135" s="35">
        <f t="shared" si="637"/>
        <v>0</v>
      </c>
      <c r="CK135" s="35">
        <f t="shared" si="637"/>
        <v>0</v>
      </c>
      <c r="CL135" s="35">
        <f t="shared" si="637"/>
        <v>0</v>
      </c>
      <c r="CM135" s="35">
        <f t="shared" si="637"/>
        <v>0</v>
      </c>
      <c r="CN135" s="35">
        <f t="shared" si="637"/>
        <v>0</v>
      </c>
      <c r="CO135" s="35"/>
    </row>
    <row r="136" spans="1:93" ht="12.75" customHeight="1" outlineLevel="1">
      <c r="A136" s="35"/>
      <c r="B136" s="70" t="s">
        <v>225</v>
      </c>
      <c r="C136" s="70">
        <f t="shared" si="630"/>
        <v>11102755.440708857</v>
      </c>
      <c r="D136" s="71">
        <f t="shared" ref="D136:CN136" si="638">SUM(D133:D135)</f>
        <v>0</v>
      </c>
      <c r="E136" s="70">
        <f t="shared" si="638"/>
        <v>0</v>
      </c>
      <c r="F136" s="70">
        <f t="shared" si="638"/>
        <v>0</v>
      </c>
      <c r="G136" s="70">
        <f t="shared" si="638"/>
        <v>0</v>
      </c>
      <c r="H136" s="70">
        <f t="shared" si="638"/>
        <v>-700</v>
      </c>
      <c r="I136" s="70">
        <f t="shared" si="638"/>
        <v>-700</v>
      </c>
      <c r="J136" s="70">
        <f t="shared" si="638"/>
        <v>-700</v>
      </c>
      <c r="K136" s="70">
        <f t="shared" si="638"/>
        <v>-700</v>
      </c>
      <c r="L136" s="70">
        <f t="shared" si="638"/>
        <v>-700</v>
      </c>
      <c r="M136" s="70">
        <f t="shared" si="638"/>
        <v>-700</v>
      </c>
      <c r="N136" s="70">
        <f t="shared" si="638"/>
        <v>-1017.3077343749987</v>
      </c>
      <c r="O136" s="70">
        <f t="shared" si="638"/>
        <v>-7763.3892968749979</v>
      </c>
      <c r="P136" s="70">
        <f t="shared" si="638"/>
        <v>-16418.513242187495</v>
      </c>
      <c r="Q136" s="70">
        <f t="shared" si="638"/>
        <v>-25610.67</v>
      </c>
      <c r="R136" s="70">
        <f t="shared" si="638"/>
        <v>-34993.604374999995</v>
      </c>
      <c r="S136" s="70">
        <f t="shared" si="638"/>
        <v>-42278.361249999994</v>
      </c>
      <c r="T136" s="70">
        <f t="shared" si="638"/>
        <v>-51175.834500000004</v>
      </c>
      <c r="U136" s="70">
        <f t="shared" si="638"/>
        <v>-58877.438000000002</v>
      </c>
      <c r="V136" s="70">
        <f t="shared" si="638"/>
        <v>-66144.694374999992</v>
      </c>
      <c r="W136" s="70">
        <f t="shared" si="638"/>
        <v>79686.847639058775</v>
      </c>
      <c r="X136" s="70">
        <f t="shared" si="638"/>
        <v>124266.8830757579</v>
      </c>
      <c r="Y136" s="70">
        <f t="shared" si="638"/>
        <v>13153.868698911363</v>
      </c>
      <c r="Z136" s="70">
        <f t="shared" si="638"/>
        <v>46882.672671407418</v>
      </c>
      <c r="AA136" s="70">
        <f t="shared" si="638"/>
        <v>91181.519274342994</v>
      </c>
      <c r="AB136" s="70">
        <f t="shared" si="638"/>
        <v>138002.23083619872</v>
      </c>
      <c r="AC136" s="70">
        <f t="shared" si="638"/>
        <v>21533.858837263251</v>
      </c>
      <c r="AD136" s="70">
        <f t="shared" si="638"/>
        <v>66771.471355558955</v>
      </c>
      <c r="AE136" s="70">
        <f t="shared" si="638"/>
        <v>114901.00023542249</v>
      </c>
      <c r="AF136" s="70">
        <f t="shared" si="638"/>
        <v>165651.93881156179</v>
      </c>
      <c r="AG136" s="70">
        <f t="shared" si="638"/>
        <v>39722.597044241731</v>
      </c>
      <c r="AH136" s="70">
        <f t="shared" si="638"/>
        <v>111903.38722546617</v>
      </c>
      <c r="AI136" s="70">
        <f t="shared" si="638"/>
        <v>159793.84130693041</v>
      </c>
      <c r="AJ136" s="70">
        <f t="shared" si="638"/>
        <v>26676.830746155509</v>
      </c>
      <c r="AK136" s="70">
        <f t="shared" si="638"/>
        <v>87605.292460272234</v>
      </c>
      <c r="AL136" s="70">
        <f t="shared" si="638"/>
        <v>137553.96873400826</v>
      </c>
      <c r="AM136" s="70">
        <f t="shared" si="638"/>
        <v>189648.99700858517</v>
      </c>
      <c r="AN136" s="70">
        <f t="shared" si="638"/>
        <v>46055.540896330924</v>
      </c>
      <c r="AO136" s="70">
        <f t="shared" si="638"/>
        <v>135934.52279796178</v>
      </c>
      <c r="AP136" s="70">
        <f t="shared" si="638"/>
        <v>185633.52261263091</v>
      </c>
      <c r="AQ136" s="70">
        <f t="shared" si="638"/>
        <v>44590.560561882892</v>
      </c>
      <c r="AR136" s="70">
        <f t="shared" si="638"/>
        <v>96638.551385190105</v>
      </c>
      <c r="AS136" s="70">
        <f t="shared" si="638"/>
        <v>163866.1289314031</v>
      </c>
      <c r="AT136" s="70">
        <f t="shared" si="638"/>
        <v>217975.14049982396</v>
      </c>
      <c r="AU136" s="70">
        <f t="shared" si="638"/>
        <v>65861.553939810576</v>
      </c>
      <c r="AV136" s="70">
        <f t="shared" si="638"/>
        <v>147713.8910694285</v>
      </c>
      <c r="AW136" s="70">
        <f t="shared" si="638"/>
        <v>215406.34371496818</v>
      </c>
      <c r="AX136" s="70">
        <f t="shared" si="638"/>
        <v>66724.822959307916</v>
      </c>
      <c r="AY136" s="70">
        <f t="shared" si="638"/>
        <v>119956.32069241177</v>
      </c>
      <c r="AZ136" s="70">
        <f t="shared" si="638"/>
        <v>177398.73450859031</v>
      </c>
      <c r="BA136" s="70">
        <f t="shared" si="638"/>
        <v>250486.94804668418</v>
      </c>
      <c r="BB136" s="70">
        <f t="shared" si="638"/>
        <v>90180.797039968398</v>
      </c>
      <c r="BC136" s="70">
        <f t="shared" si="638"/>
        <v>174565.83096723401</v>
      </c>
      <c r="BD136" s="70">
        <f t="shared" si="638"/>
        <v>231715.26918207461</v>
      </c>
      <c r="BE136" s="70">
        <f t="shared" si="638"/>
        <v>92512.952123779323</v>
      </c>
      <c r="BF136" s="70">
        <f t="shared" si="638"/>
        <v>147742.96716783897</v>
      </c>
      <c r="BG136" s="70">
        <f t="shared" si="638"/>
        <v>206366.7602172652</v>
      </c>
      <c r="BH136" s="70">
        <f t="shared" si="638"/>
        <v>268467.64349583496</v>
      </c>
      <c r="BI136" s="70">
        <f t="shared" si="638"/>
        <v>117869.85658245804</v>
      </c>
      <c r="BJ136" s="70">
        <f t="shared" si="638"/>
        <v>205269.3954134298</v>
      </c>
      <c r="BK136" s="70">
        <f t="shared" si="638"/>
        <v>260762.72380922703</v>
      </c>
      <c r="BL136" s="70">
        <f t="shared" si="638"/>
        <v>95809.065107524802</v>
      </c>
      <c r="BM136" s="70">
        <f t="shared" si="638"/>
        <v>170746.39501235582</v>
      </c>
      <c r="BN136" s="70">
        <f t="shared" si="638"/>
        <v>229121.3290889292</v>
      </c>
      <c r="BO136" s="70">
        <f t="shared" si="638"/>
        <v>289216.49325586105</v>
      </c>
      <c r="BP136" s="70">
        <f t="shared" si="638"/>
        <v>111014.40218457374</v>
      </c>
      <c r="BQ136" s="70">
        <f t="shared" si="638"/>
        <v>220871.57526578961</v>
      </c>
      <c r="BR136" s="70">
        <f t="shared" si="638"/>
        <v>278135.07350966445</v>
      </c>
      <c r="BS136" s="70">
        <f t="shared" si="638"/>
        <v>102688.78804524864</v>
      </c>
      <c r="BT136" s="70">
        <f t="shared" si="638"/>
        <v>164248.50565826768</v>
      </c>
      <c r="BU136" s="70">
        <f t="shared" si="638"/>
        <v>246091.88428250447</v>
      </c>
      <c r="BV136" s="70">
        <f t="shared" si="638"/>
        <v>308163.32250220171</v>
      </c>
      <c r="BW136" s="70">
        <f t="shared" si="638"/>
        <v>118681.13720238071</v>
      </c>
      <c r="BX136" s="70">
        <f t="shared" si="638"/>
        <v>216050.46621125119</v>
      </c>
      <c r="BY136" s="70">
        <f t="shared" si="638"/>
        <v>297740.88351458887</v>
      </c>
      <c r="BZ136" s="70">
        <f t="shared" si="638"/>
        <v>112468.61265830869</v>
      </c>
      <c r="CA136" s="70">
        <f t="shared" si="638"/>
        <v>174605.0283373016</v>
      </c>
      <c r="CB136" s="70">
        <f t="shared" si="638"/>
        <v>241660.83803002365</v>
      </c>
      <c r="CC136" s="70">
        <f t="shared" si="638"/>
        <v>329464.340926581</v>
      </c>
      <c r="CD136" s="70">
        <f t="shared" si="638"/>
        <v>129427.92893191001</v>
      </c>
      <c r="CE136" s="70">
        <f t="shared" si="638"/>
        <v>229026.5735298536</v>
      </c>
      <c r="CF136" s="70">
        <f t="shared" si="638"/>
        <v>294977.78694249532</v>
      </c>
      <c r="CG136" s="70">
        <f t="shared" si="638"/>
        <v>124188.38135881281</v>
      </c>
      <c r="CH136" s="70">
        <f t="shared" si="638"/>
        <v>188323.73176512006</v>
      </c>
      <c r="CI136" s="70">
        <f t="shared" si="638"/>
        <v>255948.42488207997</v>
      </c>
      <c r="CJ136" s="70">
        <f t="shared" si="638"/>
        <v>327327.19192980917</v>
      </c>
      <c r="CK136" s="70">
        <f t="shared" si="638"/>
        <v>142209.32350282956</v>
      </c>
      <c r="CL136" s="70">
        <f t="shared" si="638"/>
        <v>245650.85721592014</v>
      </c>
      <c r="CM136" s="70">
        <f t="shared" si="638"/>
        <v>311963.7302298164</v>
      </c>
      <c r="CN136" s="70">
        <f t="shared" si="638"/>
        <v>110779.19782361093</v>
      </c>
      <c r="CO136" s="35"/>
    </row>
    <row r="137" spans="1:93" ht="12.75" customHeight="1" outlineLevel="1">
      <c r="A137" s="35"/>
      <c r="B137" s="63" t="s">
        <v>226</v>
      </c>
      <c r="C137" s="35">
        <f t="shared" si="630"/>
        <v>-308479.81277343747</v>
      </c>
      <c r="D137" s="60">
        <f t="shared" ref="D137:CN137" si="639">D145</f>
        <v>0</v>
      </c>
      <c r="E137" s="35">
        <f t="shared" si="639"/>
        <v>0</v>
      </c>
      <c r="F137" s="35">
        <f t="shared" si="639"/>
        <v>0</v>
      </c>
      <c r="G137" s="35">
        <f t="shared" si="639"/>
        <v>0</v>
      </c>
      <c r="H137" s="35">
        <f t="shared" si="639"/>
        <v>0</v>
      </c>
      <c r="I137" s="35">
        <f t="shared" si="639"/>
        <v>0</v>
      </c>
      <c r="J137" s="35">
        <f t="shared" si="639"/>
        <v>0</v>
      </c>
      <c r="K137" s="35">
        <f t="shared" si="639"/>
        <v>0</v>
      </c>
      <c r="L137" s="35">
        <f t="shared" si="639"/>
        <v>0</v>
      </c>
      <c r="M137" s="35">
        <f t="shared" si="639"/>
        <v>0</v>
      </c>
      <c r="N137" s="35">
        <f t="shared" si="639"/>
        <v>0</v>
      </c>
      <c r="O137" s="35">
        <f t="shared" si="639"/>
        <v>0</v>
      </c>
      <c r="P137" s="35">
        <f t="shared" si="639"/>
        <v>0</v>
      </c>
      <c r="Q137" s="35">
        <f t="shared" si="639"/>
        <v>0</v>
      </c>
      <c r="R137" s="35">
        <f t="shared" si="639"/>
        <v>0</v>
      </c>
      <c r="S137" s="35">
        <f t="shared" si="639"/>
        <v>0</v>
      </c>
      <c r="T137" s="35">
        <f t="shared" si="639"/>
        <v>0</v>
      </c>
      <c r="U137" s="35">
        <f t="shared" si="639"/>
        <v>0</v>
      </c>
      <c r="V137" s="35">
        <f t="shared" si="639"/>
        <v>0</v>
      </c>
      <c r="W137" s="35">
        <f t="shared" si="639"/>
        <v>-79686.847639058775</v>
      </c>
      <c r="X137" s="35">
        <f t="shared" si="639"/>
        <v>-124266.8830757579</v>
      </c>
      <c r="Y137" s="35">
        <f t="shared" si="639"/>
        <v>-13153.868698911363</v>
      </c>
      <c r="Z137" s="35">
        <f t="shared" si="639"/>
        <v>-46882.672671407418</v>
      </c>
      <c r="AA137" s="35">
        <f t="shared" si="639"/>
        <v>-44489.540688302019</v>
      </c>
      <c r="AB137" s="35">
        <f t="shared" si="639"/>
        <v>0</v>
      </c>
      <c r="AC137" s="35">
        <f t="shared" si="639"/>
        <v>0</v>
      </c>
      <c r="AD137" s="35">
        <f t="shared" si="639"/>
        <v>0</v>
      </c>
      <c r="AE137" s="35">
        <f t="shared" si="639"/>
        <v>0</v>
      </c>
      <c r="AF137" s="35">
        <f t="shared" si="639"/>
        <v>0</v>
      </c>
      <c r="AG137" s="35">
        <f t="shared" si="639"/>
        <v>0</v>
      </c>
      <c r="AH137" s="35">
        <f t="shared" si="639"/>
        <v>0</v>
      </c>
      <c r="AI137" s="35">
        <f t="shared" si="639"/>
        <v>0</v>
      </c>
      <c r="AJ137" s="35">
        <f t="shared" si="639"/>
        <v>0</v>
      </c>
      <c r="AK137" s="35">
        <f t="shared" si="639"/>
        <v>0</v>
      </c>
      <c r="AL137" s="35">
        <f t="shared" si="639"/>
        <v>0</v>
      </c>
      <c r="AM137" s="35">
        <f t="shared" si="639"/>
        <v>0</v>
      </c>
      <c r="AN137" s="35">
        <f t="shared" si="639"/>
        <v>0</v>
      </c>
      <c r="AO137" s="35">
        <f t="shared" si="639"/>
        <v>0</v>
      </c>
      <c r="AP137" s="35">
        <f t="shared" si="639"/>
        <v>0</v>
      </c>
      <c r="AQ137" s="35">
        <f t="shared" si="639"/>
        <v>0</v>
      </c>
      <c r="AR137" s="35">
        <f t="shared" si="639"/>
        <v>0</v>
      </c>
      <c r="AS137" s="35">
        <f t="shared" si="639"/>
        <v>0</v>
      </c>
      <c r="AT137" s="35">
        <f t="shared" si="639"/>
        <v>0</v>
      </c>
      <c r="AU137" s="35">
        <f t="shared" si="639"/>
        <v>0</v>
      </c>
      <c r="AV137" s="35">
        <f t="shared" si="639"/>
        <v>0</v>
      </c>
      <c r="AW137" s="35">
        <f t="shared" si="639"/>
        <v>0</v>
      </c>
      <c r="AX137" s="35">
        <f t="shared" si="639"/>
        <v>0</v>
      </c>
      <c r="AY137" s="35">
        <f t="shared" si="639"/>
        <v>0</v>
      </c>
      <c r="AZ137" s="35">
        <f t="shared" si="639"/>
        <v>0</v>
      </c>
      <c r="BA137" s="35">
        <f t="shared" si="639"/>
        <v>0</v>
      </c>
      <c r="BB137" s="35">
        <f t="shared" si="639"/>
        <v>0</v>
      </c>
      <c r="BC137" s="35">
        <f t="shared" si="639"/>
        <v>0</v>
      </c>
      <c r="BD137" s="35">
        <f t="shared" si="639"/>
        <v>0</v>
      </c>
      <c r="BE137" s="35">
        <f t="shared" si="639"/>
        <v>0</v>
      </c>
      <c r="BF137" s="35">
        <f t="shared" si="639"/>
        <v>0</v>
      </c>
      <c r="BG137" s="35">
        <f t="shared" si="639"/>
        <v>0</v>
      </c>
      <c r="BH137" s="35">
        <f t="shared" si="639"/>
        <v>0</v>
      </c>
      <c r="BI137" s="35">
        <f t="shared" si="639"/>
        <v>0</v>
      </c>
      <c r="BJ137" s="35">
        <f t="shared" si="639"/>
        <v>0</v>
      </c>
      <c r="BK137" s="35">
        <f t="shared" si="639"/>
        <v>0</v>
      </c>
      <c r="BL137" s="35">
        <f t="shared" si="639"/>
        <v>0</v>
      </c>
      <c r="BM137" s="35">
        <f t="shared" si="639"/>
        <v>0</v>
      </c>
      <c r="BN137" s="35">
        <f t="shared" si="639"/>
        <v>0</v>
      </c>
      <c r="BO137" s="35">
        <f t="shared" si="639"/>
        <v>0</v>
      </c>
      <c r="BP137" s="35">
        <f t="shared" si="639"/>
        <v>0</v>
      </c>
      <c r="BQ137" s="35">
        <f t="shared" si="639"/>
        <v>0</v>
      </c>
      <c r="BR137" s="35">
        <f t="shared" si="639"/>
        <v>0</v>
      </c>
      <c r="BS137" s="35">
        <f t="shared" si="639"/>
        <v>0</v>
      </c>
      <c r="BT137" s="35">
        <f t="shared" si="639"/>
        <v>0</v>
      </c>
      <c r="BU137" s="35">
        <f t="shared" si="639"/>
        <v>0</v>
      </c>
      <c r="BV137" s="35">
        <f t="shared" si="639"/>
        <v>0</v>
      </c>
      <c r="BW137" s="35">
        <f t="shared" si="639"/>
        <v>0</v>
      </c>
      <c r="BX137" s="35">
        <f t="shared" si="639"/>
        <v>0</v>
      </c>
      <c r="BY137" s="35">
        <f t="shared" si="639"/>
        <v>0</v>
      </c>
      <c r="BZ137" s="35">
        <f t="shared" si="639"/>
        <v>0</v>
      </c>
      <c r="CA137" s="35">
        <f t="shared" si="639"/>
        <v>0</v>
      </c>
      <c r="CB137" s="35">
        <f t="shared" si="639"/>
        <v>0</v>
      </c>
      <c r="CC137" s="35">
        <f t="shared" si="639"/>
        <v>0</v>
      </c>
      <c r="CD137" s="35">
        <f t="shared" si="639"/>
        <v>0</v>
      </c>
      <c r="CE137" s="35">
        <f t="shared" si="639"/>
        <v>0</v>
      </c>
      <c r="CF137" s="35">
        <f t="shared" si="639"/>
        <v>0</v>
      </c>
      <c r="CG137" s="35">
        <f t="shared" si="639"/>
        <v>0</v>
      </c>
      <c r="CH137" s="35">
        <f t="shared" si="639"/>
        <v>0</v>
      </c>
      <c r="CI137" s="35">
        <f t="shared" si="639"/>
        <v>0</v>
      </c>
      <c r="CJ137" s="35">
        <f t="shared" si="639"/>
        <v>0</v>
      </c>
      <c r="CK137" s="35">
        <f t="shared" si="639"/>
        <v>0</v>
      </c>
      <c r="CL137" s="35">
        <f t="shared" si="639"/>
        <v>0</v>
      </c>
      <c r="CM137" s="35">
        <f t="shared" si="639"/>
        <v>0</v>
      </c>
      <c r="CN137" s="35">
        <f t="shared" si="639"/>
        <v>0</v>
      </c>
      <c r="CO137" s="35"/>
    </row>
    <row r="138" spans="1:93" ht="12.75" customHeight="1" outlineLevel="1">
      <c r="A138" s="35"/>
      <c r="B138" s="70" t="s">
        <v>227</v>
      </c>
      <c r="C138" s="70">
        <f t="shared" si="630"/>
        <v>10794275.627935417</v>
      </c>
      <c r="D138" s="71">
        <f t="shared" ref="D138:CN138" si="640">SUM(D136:D137)</f>
        <v>0</v>
      </c>
      <c r="E138" s="70">
        <f t="shared" si="640"/>
        <v>0</v>
      </c>
      <c r="F138" s="70">
        <f t="shared" si="640"/>
        <v>0</v>
      </c>
      <c r="G138" s="70">
        <f t="shared" si="640"/>
        <v>0</v>
      </c>
      <c r="H138" s="70">
        <f t="shared" si="640"/>
        <v>-700</v>
      </c>
      <c r="I138" s="70">
        <f t="shared" si="640"/>
        <v>-700</v>
      </c>
      <c r="J138" s="70">
        <f t="shared" si="640"/>
        <v>-700</v>
      </c>
      <c r="K138" s="70">
        <f t="shared" si="640"/>
        <v>-700</v>
      </c>
      <c r="L138" s="70">
        <f t="shared" si="640"/>
        <v>-700</v>
      </c>
      <c r="M138" s="70">
        <f t="shared" si="640"/>
        <v>-700</v>
      </c>
      <c r="N138" s="70">
        <f t="shared" si="640"/>
        <v>-1017.3077343749987</v>
      </c>
      <c r="O138" s="70">
        <f t="shared" si="640"/>
        <v>-7763.3892968749979</v>
      </c>
      <c r="P138" s="70">
        <f t="shared" si="640"/>
        <v>-16418.513242187495</v>
      </c>
      <c r="Q138" s="70">
        <f t="shared" si="640"/>
        <v>-25610.67</v>
      </c>
      <c r="R138" s="70">
        <f t="shared" si="640"/>
        <v>-34993.604374999995</v>
      </c>
      <c r="S138" s="70">
        <f t="shared" si="640"/>
        <v>-42278.361249999994</v>
      </c>
      <c r="T138" s="70">
        <f t="shared" si="640"/>
        <v>-51175.834500000004</v>
      </c>
      <c r="U138" s="70">
        <f t="shared" si="640"/>
        <v>-58877.438000000002</v>
      </c>
      <c r="V138" s="70">
        <f t="shared" si="640"/>
        <v>-66144.694374999992</v>
      </c>
      <c r="W138" s="70">
        <f t="shared" si="640"/>
        <v>0</v>
      </c>
      <c r="X138" s="70">
        <f t="shared" si="640"/>
        <v>0</v>
      </c>
      <c r="Y138" s="70">
        <f t="shared" si="640"/>
        <v>0</v>
      </c>
      <c r="Z138" s="70">
        <f t="shared" si="640"/>
        <v>0</v>
      </c>
      <c r="AA138" s="70">
        <f t="shared" si="640"/>
        <v>46691.978586040976</v>
      </c>
      <c r="AB138" s="70">
        <f t="shared" si="640"/>
        <v>138002.23083619872</v>
      </c>
      <c r="AC138" s="70">
        <f t="shared" si="640"/>
        <v>21533.858837263251</v>
      </c>
      <c r="AD138" s="70">
        <f t="shared" si="640"/>
        <v>66771.471355558955</v>
      </c>
      <c r="AE138" s="70">
        <f t="shared" si="640"/>
        <v>114901.00023542249</v>
      </c>
      <c r="AF138" s="70">
        <f t="shared" si="640"/>
        <v>165651.93881156179</v>
      </c>
      <c r="AG138" s="70">
        <f t="shared" si="640"/>
        <v>39722.597044241731</v>
      </c>
      <c r="AH138" s="70">
        <f t="shared" si="640"/>
        <v>111903.38722546617</v>
      </c>
      <c r="AI138" s="70">
        <f t="shared" si="640"/>
        <v>159793.84130693041</v>
      </c>
      <c r="AJ138" s="70">
        <f t="shared" si="640"/>
        <v>26676.830746155509</v>
      </c>
      <c r="AK138" s="70">
        <f t="shared" si="640"/>
        <v>87605.292460272234</v>
      </c>
      <c r="AL138" s="70">
        <f t="shared" si="640"/>
        <v>137553.96873400826</v>
      </c>
      <c r="AM138" s="70">
        <f t="shared" si="640"/>
        <v>189648.99700858517</v>
      </c>
      <c r="AN138" s="70">
        <f t="shared" si="640"/>
        <v>46055.540896330924</v>
      </c>
      <c r="AO138" s="70">
        <f t="shared" si="640"/>
        <v>135934.52279796178</v>
      </c>
      <c r="AP138" s="70">
        <f t="shared" si="640"/>
        <v>185633.52261263091</v>
      </c>
      <c r="AQ138" s="70">
        <f t="shared" si="640"/>
        <v>44590.560561882892</v>
      </c>
      <c r="AR138" s="70">
        <f t="shared" si="640"/>
        <v>96638.551385190105</v>
      </c>
      <c r="AS138" s="70">
        <f t="shared" si="640"/>
        <v>163866.1289314031</v>
      </c>
      <c r="AT138" s="70">
        <f t="shared" si="640"/>
        <v>217975.14049982396</v>
      </c>
      <c r="AU138" s="70">
        <f t="shared" si="640"/>
        <v>65861.553939810576</v>
      </c>
      <c r="AV138" s="70">
        <f t="shared" si="640"/>
        <v>147713.8910694285</v>
      </c>
      <c r="AW138" s="70">
        <f t="shared" si="640"/>
        <v>215406.34371496818</v>
      </c>
      <c r="AX138" s="70">
        <f t="shared" si="640"/>
        <v>66724.822959307916</v>
      </c>
      <c r="AY138" s="70">
        <f t="shared" si="640"/>
        <v>119956.32069241177</v>
      </c>
      <c r="AZ138" s="70">
        <f t="shared" si="640"/>
        <v>177398.73450859031</v>
      </c>
      <c r="BA138" s="70">
        <f t="shared" si="640"/>
        <v>250486.94804668418</v>
      </c>
      <c r="BB138" s="70">
        <f t="shared" si="640"/>
        <v>90180.797039968398</v>
      </c>
      <c r="BC138" s="70">
        <f t="shared" si="640"/>
        <v>174565.83096723401</v>
      </c>
      <c r="BD138" s="70">
        <f t="shared" si="640"/>
        <v>231715.26918207461</v>
      </c>
      <c r="BE138" s="70">
        <f t="shared" si="640"/>
        <v>92512.952123779323</v>
      </c>
      <c r="BF138" s="70">
        <f t="shared" si="640"/>
        <v>147742.96716783897</v>
      </c>
      <c r="BG138" s="70">
        <f t="shared" si="640"/>
        <v>206366.7602172652</v>
      </c>
      <c r="BH138" s="70">
        <f t="shared" si="640"/>
        <v>268467.64349583496</v>
      </c>
      <c r="BI138" s="70">
        <f t="shared" si="640"/>
        <v>117869.85658245804</v>
      </c>
      <c r="BJ138" s="70">
        <f t="shared" si="640"/>
        <v>205269.3954134298</v>
      </c>
      <c r="BK138" s="70">
        <f t="shared" si="640"/>
        <v>260762.72380922703</v>
      </c>
      <c r="BL138" s="70">
        <f t="shared" si="640"/>
        <v>95809.065107524802</v>
      </c>
      <c r="BM138" s="70">
        <f t="shared" si="640"/>
        <v>170746.39501235582</v>
      </c>
      <c r="BN138" s="70">
        <f t="shared" si="640"/>
        <v>229121.3290889292</v>
      </c>
      <c r="BO138" s="70">
        <f t="shared" si="640"/>
        <v>289216.49325586105</v>
      </c>
      <c r="BP138" s="70">
        <f t="shared" si="640"/>
        <v>111014.40218457374</v>
      </c>
      <c r="BQ138" s="70">
        <f t="shared" si="640"/>
        <v>220871.57526578961</v>
      </c>
      <c r="BR138" s="70">
        <f t="shared" si="640"/>
        <v>278135.07350966445</v>
      </c>
      <c r="BS138" s="70">
        <f t="shared" si="640"/>
        <v>102688.78804524864</v>
      </c>
      <c r="BT138" s="70">
        <f t="shared" si="640"/>
        <v>164248.50565826768</v>
      </c>
      <c r="BU138" s="70">
        <f t="shared" si="640"/>
        <v>246091.88428250447</v>
      </c>
      <c r="BV138" s="70">
        <f t="shared" si="640"/>
        <v>308163.32250220171</v>
      </c>
      <c r="BW138" s="70">
        <f t="shared" si="640"/>
        <v>118681.13720238071</v>
      </c>
      <c r="BX138" s="70">
        <f t="shared" si="640"/>
        <v>216050.46621125119</v>
      </c>
      <c r="BY138" s="70">
        <f t="shared" si="640"/>
        <v>297740.88351458887</v>
      </c>
      <c r="BZ138" s="70">
        <f t="shared" si="640"/>
        <v>112468.61265830869</v>
      </c>
      <c r="CA138" s="70">
        <f t="shared" si="640"/>
        <v>174605.0283373016</v>
      </c>
      <c r="CB138" s="70">
        <f t="shared" si="640"/>
        <v>241660.83803002365</v>
      </c>
      <c r="CC138" s="70">
        <f t="shared" si="640"/>
        <v>329464.340926581</v>
      </c>
      <c r="CD138" s="70">
        <f t="shared" si="640"/>
        <v>129427.92893191001</v>
      </c>
      <c r="CE138" s="70">
        <f t="shared" si="640"/>
        <v>229026.5735298536</v>
      </c>
      <c r="CF138" s="70">
        <f t="shared" si="640"/>
        <v>294977.78694249532</v>
      </c>
      <c r="CG138" s="70">
        <f t="shared" si="640"/>
        <v>124188.38135881281</v>
      </c>
      <c r="CH138" s="70">
        <f t="shared" si="640"/>
        <v>188323.73176512006</v>
      </c>
      <c r="CI138" s="70">
        <f t="shared" si="640"/>
        <v>255948.42488207997</v>
      </c>
      <c r="CJ138" s="70">
        <f t="shared" si="640"/>
        <v>327327.19192980917</v>
      </c>
      <c r="CK138" s="70">
        <f t="shared" si="640"/>
        <v>142209.32350282956</v>
      </c>
      <c r="CL138" s="70">
        <f t="shared" si="640"/>
        <v>245650.85721592014</v>
      </c>
      <c r="CM138" s="70">
        <f t="shared" si="640"/>
        <v>311963.7302298164</v>
      </c>
      <c r="CN138" s="70">
        <f t="shared" si="640"/>
        <v>110779.19782361093</v>
      </c>
      <c r="CO138" s="35"/>
    </row>
    <row r="139" spans="1:93" ht="12.75" customHeight="1" outlineLevel="1">
      <c r="A139" s="35"/>
      <c r="B139" s="108" t="s">
        <v>164</v>
      </c>
      <c r="C139" s="74">
        <f t="shared" si="630"/>
        <v>-2074719.5892305851</v>
      </c>
      <c r="D139" s="109">
        <f>-MAX(D138,0)*Assump!$D$27</f>
        <v>0</v>
      </c>
      <c r="E139" s="74">
        <f>-MAX(E138,0)*Assump!$D$27</f>
        <v>0</v>
      </c>
      <c r="F139" s="74">
        <f>-MAX(F138,0)*Assump!$D$27</f>
        <v>0</v>
      </c>
      <c r="G139" s="74">
        <f>-MAX(G138,0)*Assump!$D$27</f>
        <v>0</v>
      </c>
      <c r="H139" s="74">
        <f>-MAX(H138,0)*Assump!$D$27</f>
        <v>0</v>
      </c>
      <c r="I139" s="74">
        <f>-MAX(I138,0)*Assump!$D$27</f>
        <v>0</v>
      </c>
      <c r="J139" s="74">
        <f>-MAX(J138,0)*Assump!$D$27</f>
        <v>0</v>
      </c>
      <c r="K139" s="74">
        <f>-MAX(K138,0)*Assump!$D$27</f>
        <v>0</v>
      </c>
      <c r="L139" s="74">
        <f>-MAX(L138,0)*Assump!$D$27</f>
        <v>0</v>
      </c>
      <c r="M139" s="74">
        <f>-MAX(M138,0)*Assump!$D$27</f>
        <v>0</v>
      </c>
      <c r="N139" s="74">
        <f>-MAX(N138,0)*Assump!$D$27</f>
        <v>0</v>
      </c>
      <c r="O139" s="74">
        <f>-MAX(O138,0)*Assump!$D$27</f>
        <v>0</v>
      </c>
      <c r="P139" s="74">
        <f>-MAX(P138,0)*Assump!$D$27</f>
        <v>0</v>
      </c>
      <c r="Q139" s="74">
        <f>-MAX(Q138,0)*Assump!$D$27</f>
        <v>0</v>
      </c>
      <c r="R139" s="74">
        <f>-MAX(R138,0)*Assump!$D$27</f>
        <v>0</v>
      </c>
      <c r="S139" s="74">
        <f>-MAX(S138,0)*Assump!$D$27</f>
        <v>0</v>
      </c>
      <c r="T139" s="74">
        <f>-MAX(T138,0)*Assump!$D$27</f>
        <v>0</v>
      </c>
      <c r="U139" s="74">
        <f>-MAX(U138,0)*Assump!$D$27</f>
        <v>0</v>
      </c>
      <c r="V139" s="74">
        <f>-MAX(V138,0)*Assump!$D$27</f>
        <v>0</v>
      </c>
      <c r="W139" s="74">
        <f>-MAX(W138,0)*Assump!$D$27</f>
        <v>0</v>
      </c>
      <c r="X139" s="74">
        <f>-MAX(X138,0)*Assump!$D$27</f>
        <v>0</v>
      </c>
      <c r="Y139" s="74" cm="1">
        <f t="array" ref="Y139">_xlfn.IFS(Model!Y9&lt;=Assump!$D$54+28,-MAX(Y138,0)*Assump!$D$26,Model!Y9&gt;Assump!$D$54+28,-MAX(Y138,0)*Assump!$D$27)</f>
        <v>0</v>
      </c>
      <c r="Z139" s="74" cm="1">
        <f t="array" ref="Z139">_xlfn.IFS(Model!Z9&lt;=Assump!$D$54+28,-MAX(Z138,0)*Assump!$D$26,Model!Z9&gt;Assump!$D$54+28,-MAX(Z138,0)*Assump!$D$27)</f>
        <v>0</v>
      </c>
      <c r="AA139" s="74" cm="1">
        <f t="array" ref="AA139">_xlfn.IFS(Model!AA9&lt;=Assump!$D$54+28,-MAX(AA138,0)*Assump!$D$26,Model!AA9&gt;Assump!$D$54+28,-MAX(AA138,0)*Assump!$D$27)</f>
        <v>-7237.2566808363508</v>
      </c>
      <c r="AB139" s="74" cm="1">
        <f t="array" ref="AB139">_xlfn.IFS(Model!AB9&lt;=Assump!$D$54+28,-MAX(AB138,0)*Assump!$D$26,Model!AB9&gt;Assump!$D$54+28,-MAX(AB138,0)*Assump!$D$27)</f>
        <v>-21390.345779610801</v>
      </c>
      <c r="AC139" s="74" cm="1">
        <f t="array" ref="AC139">_xlfn.IFS(Model!AC9&lt;=Assump!$D$54+28,-MAX(AC138,0)*Assump!$D$26,Model!AC9&gt;Assump!$D$54+28,-MAX(AC138,0)*Assump!$D$27)</f>
        <v>-3337.7481197758038</v>
      </c>
      <c r="AD139" s="74" cm="1">
        <f t="array" ref="AD139">_xlfn.IFS(Model!AD9&lt;=Assump!$D$54+28,-MAX(AD138,0)*Assump!$D$26,Model!AD9&gt;Assump!$D$54+28,-MAX(AD138,0)*Assump!$D$27)</f>
        <v>-10349.578060111638</v>
      </c>
      <c r="AE139" s="74" cm="1">
        <f t="array" ref="AE139">_xlfn.IFS(Model!AE9&lt;=Assump!$D$54+28,-MAX(AE138,0)*Assump!$D$26,Model!AE9&gt;Assump!$D$54+28,-MAX(AE138,0)*Assump!$D$27)</f>
        <v>-17809.655036490483</v>
      </c>
      <c r="AF139" s="74" cm="1">
        <f t="array" ref="AF139">_xlfn.IFS(Model!AF9&lt;=Assump!$D$54+28,-MAX(AF138,0)*Assump!$D$26,Model!AF9&gt;Assump!$D$54+28,-MAX(AF138,0)*Assump!$D$27)</f>
        <v>-25676.050515792078</v>
      </c>
      <c r="AG139" s="74" cm="1">
        <f t="array" ref="AG139">_xlfn.IFS(Model!AG9&lt;=Assump!$D$54+28,-MAX(AG138,0)*Assump!$D$26,Model!AG9&gt;Assump!$D$54+28,-MAX(AG138,0)*Assump!$D$27)</f>
        <v>-6157.0025418574687</v>
      </c>
      <c r="AH139" s="74" cm="1">
        <f t="array" ref="AH139">_xlfn.IFS(Model!AH9&lt;=Assump!$D$54+28,-MAX(AH138,0)*Assump!$D$26,Model!AH9&gt;Assump!$D$54+28,-MAX(AH138,0)*Assump!$D$27)</f>
        <v>-17345.025019947258</v>
      </c>
      <c r="AI139" s="74" cm="1">
        <f t="array" ref="AI139">_xlfn.IFS(Model!AI9&lt;=Assump!$D$54+28,-MAX(AI138,0)*Assump!$D$26,Model!AI9&gt;Assump!$D$54+28,-MAX(AI138,0)*Assump!$D$27)</f>
        <v>-24768.045402574215</v>
      </c>
      <c r="AJ139" s="74" cm="1">
        <f t="array" ref="AJ139">_xlfn.IFS(Model!AJ9&lt;=Assump!$D$54+28,-MAX(AJ138,0)*Assump!$D$26,Model!AJ9&gt;Assump!$D$54+28,-MAX(AJ138,0)*Assump!$D$27)</f>
        <v>-4134.9087656541042</v>
      </c>
      <c r="AK139" s="74" cm="1">
        <f t="array" ref="AK139">_xlfn.IFS(Model!AK9&lt;=Assump!$D$54+28,-MAX(AK138,0)*Assump!$D$26,Model!AK9&gt;Assump!$D$54+28,-MAX(AK138,0)*Assump!$D$27)</f>
        <v>-13578.820331342196</v>
      </c>
      <c r="AL139" s="74" cm="1">
        <f t="array" ref="AL139">_xlfn.IFS(Model!AL9&lt;=Assump!$D$54+28,-MAX(AL138,0)*Assump!$D$26,Model!AL9&gt;Assump!$D$54+28,-MAX(AL138,0)*Assump!$D$27)</f>
        <v>-21320.865153771279</v>
      </c>
      <c r="AM139" s="74" cm="1">
        <f t="array" ref="AM139">_xlfn.IFS(Model!AM9&lt;=Assump!$D$54+28,-MAX(AM138,0)*Assump!$D$26,Model!AM9&gt;Assump!$D$54+28,-MAX(AM138,0)*Assump!$D$27)</f>
        <v>-29395.5945363307</v>
      </c>
      <c r="AN139" s="74" cm="1">
        <f t="array" ref="AN139">_xlfn.IFS(Model!AN9&lt;=Assump!$D$54+28,-MAX(AN138,0)*Assump!$D$26,Model!AN9&gt;Assump!$D$54+28,-MAX(AN138,0)*Assump!$D$27)</f>
        <v>-7138.6088389312936</v>
      </c>
      <c r="AO139" s="74" cm="1">
        <f t="array" ref="AO139">_xlfn.IFS(Model!AO9&lt;=Assump!$D$54+28,-MAX(AO138,0)*Assump!$D$26,Model!AO9&gt;Assump!$D$54+28,-MAX(AO138,0)*Assump!$D$27)</f>
        <v>-21069.851033684074</v>
      </c>
      <c r="AP139" s="74" cm="1">
        <f t="array" ref="AP139">_xlfn.IFS(Model!AP9&lt;=Assump!$D$54+28,-MAX(AP138,0)*Assump!$D$26,Model!AP9&gt;Assump!$D$54+28,-MAX(AP138,0)*Assump!$D$27)</f>
        <v>-28773.19600495779</v>
      </c>
      <c r="AQ139" s="74" cm="1">
        <f t="array" ref="AQ139">_xlfn.IFS(Model!AQ9&lt;=Assump!$D$54+28,-MAX(AQ138,0)*Assump!$D$26,Model!AQ9&gt;Assump!$D$54+28,-MAX(AQ138,0)*Assump!$D$27)</f>
        <v>-6911.5368870918483</v>
      </c>
      <c r="AR139" s="74" cm="1">
        <f t="array" ref="AR139">_xlfn.IFS(Model!AR9&lt;=Assump!$D$54+28,-MAX(AR138,0)*Assump!$D$26,Model!AR9&gt;Assump!$D$54+28,-MAX(AR138,0)*Assump!$D$27)</f>
        <v>-14978.975464704467</v>
      </c>
      <c r="AS139" s="74" cm="1">
        <f t="array" ref="AS139">_xlfn.IFS(Model!AS9&lt;=Assump!$D$54+28,-MAX(AS138,0)*Assump!$D$26,Model!AS9&gt;Assump!$D$54+28,-MAX(AS138,0)*Assump!$D$27)</f>
        <v>-25399.249984367481</v>
      </c>
      <c r="AT139" s="74" cm="1">
        <f t="array" ref="AT139">_xlfn.IFS(Model!AT9&lt;=Assump!$D$54+28,-MAX(AT138,0)*Assump!$D$26,Model!AT9&gt;Assump!$D$54+28,-MAX(AT138,0)*Assump!$D$27)</f>
        <v>-33786.146777472713</v>
      </c>
      <c r="AU139" s="74" cm="1">
        <f t="array" ref="AU139">_xlfn.IFS(Model!AU9&lt;=Assump!$D$54+28,-MAX(AU138,0)*Assump!$D$26,Model!AU9&gt;Assump!$D$54+28,-MAX(AU138,0)*Assump!$D$27)</f>
        <v>-10208.540860670639</v>
      </c>
      <c r="AV139" s="74" cm="1">
        <f t="array" ref="AV139">_xlfn.IFS(Model!AV9&lt;=Assump!$D$54+28,-MAX(AV138,0)*Assump!$D$26,Model!AV9&gt;Assump!$D$54+28,-MAX(AV138,0)*Assump!$D$27)</f>
        <v>-22895.653115761419</v>
      </c>
      <c r="AW139" s="74" cm="1">
        <f t="array" ref="AW139">_xlfn.IFS(Model!AW9&lt;=Assump!$D$54+28,-MAX(AW138,0)*Assump!$D$26,Model!AW9&gt;Assump!$D$54+28,-MAX(AW138,0)*Assump!$D$27)</f>
        <v>-33387.983275820072</v>
      </c>
      <c r="AX139" s="74" cm="1">
        <f t="array" ref="AX139">_xlfn.IFS(Model!AX9&lt;=Assump!$D$54+28,-MAX(AX138,0)*Assump!$D$26,Model!AX9&gt;Assump!$D$54+28,-MAX(AX138,0)*Assump!$D$27)</f>
        <v>-10342.347558692727</v>
      </c>
      <c r="AY139" s="74" cm="1">
        <f t="array" ref="AY139">_xlfn.IFS(Model!AY9&lt;=Assump!$D$54+28,-MAX(AY138,0)*Assump!$D$26,Model!AY9&gt;Assump!$D$54+28,-MAX(AY138,0)*Assump!$D$27)</f>
        <v>-18593.229707323822</v>
      </c>
      <c r="AZ139" s="74" cm="1">
        <f t="array" ref="AZ139">_xlfn.IFS(Model!AZ9&lt;=Assump!$D$54+28,-MAX(AZ138,0)*Assump!$D$26,Model!AZ9&gt;Assump!$D$54+28,-MAX(AZ138,0)*Assump!$D$27)</f>
        <v>-27496.803848831496</v>
      </c>
      <c r="BA139" s="74" cm="1">
        <f t="array" ref="BA139">_xlfn.IFS(Model!BA9&lt;=Assump!$D$54+28,-MAX(BA138,0)*Assump!$D$26,Model!BA9&gt;Assump!$D$54+28,-MAX(BA138,0)*Assump!$D$27)</f>
        <v>-38825.476947236049</v>
      </c>
      <c r="BB139" s="74" cm="1">
        <f t="array" ref="BB139">_xlfn.IFS(Model!BB9&lt;=Assump!$D$54+28,-MAX(BB138,0)*Assump!$D$26,Model!BB9&gt;Assump!$D$54+28,-MAX(BB138,0)*Assump!$D$27)</f>
        <v>-18036.15940799368</v>
      </c>
      <c r="BC139" s="74" cm="1">
        <f t="array" ref="BC139">_xlfn.IFS(Model!BC9&lt;=Assump!$D$54+28,-MAX(BC138,0)*Assump!$D$26,Model!BC9&gt;Assump!$D$54+28,-MAX(BC138,0)*Assump!$D$27)</f>
        <v>-34913.166193446807</v>
      </c>
      <c r="BD139" s="74" cm="1">
        <f t="array" ref="BD139">_xlfn.IFS(Model!BD9&lt;=Assump!$D$54+28,-MAX(BD138,0)*Assump!$D$26,Model!BD9&gt;Assump!$D$54+28,-MAX(BD138,0)*Assump!$D$27)</f>
        <v>-46343.053836414925</v>
      </c>
      <c r="BE139" s="74" cm="1">
        <f t="array" ref="BE139">_xlfn.IFS(Model!BE9&lt;=Assump!$D$54+28,-MAX(BE138,0)*Assump!$D$26,Model!BE9&gt;Assump!$D$54+28,-MAX(BE138,0)*Assump!$D$27)</f>
        <v>-18502.590424755865</v>
      </c>
      <c r="BF139" s="74" cm="1">
        <f t="array" ref="BF139">_xlfn.IFS(Model!BF9&lt;=Assump!$D$54+28,-MAX(BF138,0)*Assump!$D$26,Model!BF9&gt;Assump!$D$54+28,-MAX(BF138,0)*Assump!$D$27)</f>
        <v>-29548.593433567796</v>
      </c>
      <c r="BG139" s="74" cm="1">
        <f t="array" ref="BG139">_xlfn.IFS(Model!BG9&lt;=Assump!$D$54+28,-MAX(BG138,0)*Assump!$D$26,Model!BG9&gt;Assump!$D$54+28,-MAX(BG138,0)*Assump!$D$27)</f>
        <v>-41273.352043453044</v>
      </c>
      <c r="BH139" s="74" cm="1">
        <f t="array" ref="BH139">_xlfn.IFS(Model!BH9&lt;=Assump!$D$54+28,-MAX(BH138,0)*Assump!$D$26,Model!BH9&gt;Assump!$D$54+28,-MAX(BH138,0)*Assump!$D$27)</f>
        <v>-53693.528699166993</v>
      </c>
      <c r="BI139" s="74" cm="1">
        <f t="array" ref="BI139">_xlfn.IFS(Model!BI9&lt;=Assump!$D$54+28,-MAX(BI138,0)*Assump!$D$26,Model!BI9&gt;Assump!$D$54+28,-MAX(BI138,0)*Assump!$D$27)</f>
        <v>-23573.97131649161</v>
      </c>
      <c r="BJ139" s="74" cm="1">
        <f t="array" ref="BJ139">_xlfn.IFS(Model!BJ9&lt;=Assump!$D$54+28,-MAX(BJ138,0)*Assump!$D$26,Model!BJ9&gt;Assump!$D$54+28,-MAX(BJ138,0)*Assump!$D$27)</f>
        <v>-41053.879082685962</v>
      </c>
      <c r="BK139" s="74" cm="1">
        <f t="array" ref="BK139">_xlfn.IFS(Model!BK9&lt;=Assump!$D$54+28,-MAX(BK138,0)*Assump!$D$26,Model!BK9&gt;Assump!$D$54+28,-MAX(BK138,0)*Assump!$D$27)</f>
        <v>-52152.544761845405</v>
      </c>
      <c r="BL139" s="74" cm="1">
        <f t="array" ref="BL139">_xlfn.IFS(Model!BL9&lt;=Assump!$D$54+28,-MAX(BL138,0)*Assump!$D$26,Model!BL9&gt;Assump!$D$54+28,-MAX(BL138,0)*Assump!$D$27)</f>
        <v>-19161.81302150496</v>
      </c>
      <c r="BM139" s="74" cm="1">
        <f t="array" ref="BM139">_xlfn.IFS(Model!BM9&lt;=Assump!$D$54+28,-MAX(BM138,0)*Assump!$D$26,Model!BM9&gt;Assump!$D$54+28,-MAX(BM138,0)*Assump!$D$27)</f>
        <v>-34149.279002471165</v>
      </c>
      <c r="BN139" s="74" cm="1">
        <f t="array" ref="BN139">_xlfn.IFS(Model!BN9&lt;=Assump!$D$54+28,-MAX(BN138,0)*Assump!$D$26,Model!BN9&gt;Assump!$D$54+28,-MAX(BN138,0)*Assump!$D$27)</f>
        <v>-45824.265817785839</v>
      </c>
      <c r="BO139" s="74" cm="1">
        <f t="array" ref="BO139">_xlfn.IFS(Model!BO9&lt;=Assump!$D$54+28,-MAX(BO138,0)*Assump!$D$26,Model!BO9&gt;Assump!$D$54+28,-MAX(BO138,0)*Assump!$D$27)</f>
        <v>-57843.298651172212</v>
      </c>
      <c r="BP139" s="74" cm="1">
        <f t="array" ref="BP139">_xlfn.IFS(Model!BP9&lt;=Assump!$D$54+28,-MAX(BP138,0)*Assump!$D$26,Model!BP9&gt;Assump!$D$54+28,-MAX(BP138,0)*Assump!$D$27)</f>
        <v>-22202.880436914751</v>
      </c>
      <c r="BQ139" s="74" cm="1">
        <f t="array" ref="BQ139">_xlfn.IFS(Model!BQ9&lt;=Assump!$D$54+28,-MAX(BQ138,0)*Assump!$D$26,Model!BQ9&gt;Assump!$D$54+28,-MAX(BQ138,0)*Assump!$D$27)</f>
        <v>-44174.315053157923</v>
      </c>
      <c r="BR139" s="74" cm="1">
        <f t="array" ref="BR139">_xlfn.IFS(Model!BR9&lt;=Assump!$D$54+28,-MAX(BR138,0)*Assump!$D$26,Model!BR9&gt;Assump!$D$54+28,-MAX(BR138,0)*Assump!$D$27)</f>
        <v>-55627.014701932894</v>
      </c>
      <c r="BS139" s="74" cm="1">
        <f t="array" ref="BS139">_xlfn.IFS(Model!BS9&lt;=Assump!$D$54+28,-MAX(BS138,0)*Assump!$D$26,Model!BS9&gt;Assump!$D$54+28,-MAX(BS138,0)*Assump!$D$27)</f>
        <v>-20537.757609049731</v>
      </c>
      <c r="BT139" s="74" cm="1">
        <f t="array" ref="BT139">_xlfn.IFS(Model!BT9&lt;=Assump!$D$54+28,-MAX(BT138,0)*Assump!$D$26,Model!BT9&gt;Assump!$D$54+28,-MAX(BT138,0)*Assump!$D$27)</f>
        <v>-32849.701131653535</v>
      </c>
      <c r="BU139" s="74" cm="1">
        <f t="array" ref="BU139">_xlfn.IFS(Model!BU9&lt;=Assump!$D$54+28,-MAX(BU138,0)*Assump!$D$26,Model!BU9&gt;Assump!$D$54+28,-MAX(BU138,0)*Assump!$D$27)</f>
        <v>-49218.376856500894</v>
      </c>
      <c r="BV139" s="74" cm="1">
        <f t="array" ref="BV139">_xlfn.IFS(Model!BV9&lt;=Assump!$D$54+28,-MAX(BV138,0)*Assump!$D$26,Model!BV9&gt;Assump!$D$54+28,-MAX(BV138,0)*Assump!$D$27)</f>
        <v>-61632.664500440347</v>
      </c>
      <c r="BW139" s="74" cm="1">
        <f t="array" ref="BW139">_xlfn.IFS(Model!BW9&lt;=Assump!$D$54+28,-MAX(BW138,0)*Assump!$D$26,Model!BW9&gt;Assump!$D$54+28,-MAX(BW138,0)*Assump!$D$27)</f>
        <v>-23736.227440476141</v>
      </c>
      <c r="BX139" s="74" cm="1">
        <f t="array" ref="BX139">_xlfn.IFS(Model!BX9&lt;=Assump!$D$54+28,-MAX(BX138,0)*Assump!$D$26,Model!BX9&gt;Assump!$D$54+28,-MAX(BX138,0)*Assump!$D$27)</f>
        <v>-43210.093242250237</v>
      </c>
      <c r="BY139" s="74" cm="1">
        <f t="array" ref="BY139">_xlfn.IFS(Model!BY9&lt;=Assump!$D$54+28,-MAX(BY138,0)*Assump!$D$26,Model!BY9&gt;Assump!$D$54+28,-MAX(BY138,0)*Assump!$D$27)</f>
        <v>-59548.176702917779</v>
      </c>
      <c r="BZ139" s="74" cm="1">
        <f t="array" ref="BZ139">_xlfn.IFS(Model!BZ9&lt;=Assump!$D$54+28,-MAX(BZ138,0)*Assump!$D$26,Model!BZ9&gt;Assump!$D$54+28,-MAX(BZ138,0)*Assump!$D$27)</f>
        <v>-22493.722531661741</v>
      </c>
      <c r="CA139" s="74" cm="1">
        <f t="array" ref="CA139">_xlfn.IFS(Model!CA9&lt;=Assump!$D$54+28,-MAX(CA138,0)*Assump!$D$26,Model!CA9&gt;Assump!$D$54+28,-MAX(CA138,0)*Assump!$D$27)</f>
        <v>-34921.005667460318</v>
      </c>
      <c r="CB139" s="74" cm="1">
        <f t="array" ref="CB139">_xlfn.IFS(Model!CB9&lt;=Assump!$D$54+28,-MAX(CB138,0)*Assump!$D$26,Model!CB9&gt;Assump!$D$54+28,-MAX(CB138,0)*Assump!$D$27)</f>
        <v>-48332.167606004732</v>
      </c>
      <c r="CC139" s="74" cm="1">
        <f t="array" ref="CC139">_xlfn.IFS(Model!CC9&lt;=Assump!$D$54+28,-MAX(CC138,0)*Assump!$D$26,Model!CC9&gt;Assump!$D$54+28,-MAX(CC138,0)*Assump!$D$27)</f>
        <v>-65892.868185316198</v>
      </c>
      <c r="CD139" s="74" cm="1">
        <f t="array" ref="CD139">_xlfn.IFS(Model!CD9&lt;=Assump!$D$54+28,-MAX(CD138,0)*Assump!$D$26,Model!CD9&gt;Assump!$D$54+28,-MAX(CD138,0)*Assump!$D$27)</f>
        <v>-25885.585786382002</v>
      </c>
      <c r="CE139" s="74" cm="1">
        <f t="array" ref="CE139">_xlfn.IFS(Model!CE9&lt;=Assump!$D$54+28,-MAX(CE138,0)*Assump!$D$26,Model!CE9&gt;Assump!$D$54+28,-MAX(CE138,0)*Assump!$D$27)</f>
        <v>-45805.314705970726</v>
      </c>
      <c r="CF139" s="74" cm="1">
        <f t="array" ref="CF139">_xlfn.IFS(Model!CF9&lt;=Assump!$D$54+28,-MAX(CF138,0)*Assump!$D$26,Model!CF9&gt;Assump!$D$54+28,-MAX(CF138,0)*Assump!$D$27)</f>
        <v>-58995.557388499066</v>
      </c>
      <c r="CG139" s="74" cm="1">
        <f t="array" ref="CG139">_xlfn.IFS(Model!CG9&lt;=Assump!$D$54+28,-MAX(CG138,0)*Assump!$D$26,Model!CG9&gt;Assump!$D$54+28,-MAX(CG138,0)*Assump!$D$27)</f>
        <v>-24837.676271762564</v>
      </c>
      <c r="CH139" s="74" cm="1">
        <f t="array" ref="CH139">_xlfn.IFS(Model!CH9&lt;=Assump!$D$54+28,-MAX(CH138,0)*Assump!$D$26,Model!CH9&gt;Assump!$D$54+28,-MAX(CH138,0)*Assump!$D$27)</f>
        <v>-37664.746353024013</v>
      </c>
      <c r="CI139" s="74" cm="1">
        <f t="array" ref="CI139">_xlfn.IFS(Model!CI9&lt;=Assump!$D$54+28,-MAX(CI138,0)*Assump!$D$26,Model!CI9&gt;Assump!$D$54+28,-MAX(CI138,0)*Assump!$D$27)</f>
        <v>-51189.684976416</v>
      </c>
      <c r="CJ139" s="74" cm="1">
        <f t="array" ref="CJ139">_xlfn.IFS(Model!CJ9&lt;=Assump!$D$54+28,-MAX(CJ138,0)*Assump!$D$26,Model!CJ9&gt;Assump!$D$54+28,-MAX(CJ138,0)*Assump!$D$27)</f>
        <v>-65465.438385961839</v>
      </c>
      <c r="CK139" s="74" cm="1">
        <f t="array" ref="CK139">_xlfn.IFS(Model!CK9&lt;=Assump!$D$54+28,-MAX(CK138,0)*Assump!$D$26,Model!CK9&gt;Assump!$D$54+28,-MAX(CK138,0)*Assump!$D$27)</f>
        <v>-28441.864700565915</v>
      </c>
      <c r="CL139" s="74" cm="1">
        <f t="array" ref="CL139">_xlfn.IFS(Model!CL9&lt;=Assump!$D$54+28,-MAX(CL138,0)*Assump!$D$26,Model!CL9&gt;Assump!$D$54+28,-MAX(CL138,0)*Assump!$D$27)</f>
        <v>-49130.17144318403</v>
      </c>
      <c r="CM139" s="74" cm="1">
        <f t="array" ref="CM139">_xlfn.IFS(Model!CM9&lt;=Assump!$D$54+28,-MAX(CM138,0)*Assump!$D$26,Model!CM9&gt;Assump!$D$54+28,-MAX(CM138,0)*Assump!$D$27)</f>
        <v>-62392.746045963286</v>
      </c>
      <c r="CN139" s="74" cm="1">
        <f t="array" ref="CN139">_xlfn.IFS(Model!CN9&lt;=Assump!$D$54+28,-MAX(CN138,0)*Assump!$D$26,Model!CN9&gt;Assump!$D$54+28,-MAX(CN138,0)*Assump!$D$27)</f>
        <v>-22155.839564722188</v>
      </c>
      <c r="CO139" s="35"/>
    </row>
    <row r="140" spans="1:93" ht="12.75" customHeight="1" outlineLevel="1">
      <c r="A140" s="35"/>
      <c r="B140" s="444" t="s">
        <v>630</v>
      </c>
      <c r="C140" s="74">
        <f t="shared" si="630"/>
        <v>293865.62982869224</v>
      </c>
      <c r="D140" s="109"/>
      <c r="E140" s="74">
        <f>IF(E9&lt;Assump!$D$54,Model!E165*Assump!$D$27+'операционные  расходы 1 этап'!$B$42*Assump!$D$27,'операционные  расходы 1 этап'!$B$42*Assump!$D$27)</f>
        <v>4339.4468181818183</v>
      </c>
      <c r="F140" s="74">
        <f>IF(F9&lt;Assump!$D$54,Model!F165*Assump!$D$27+'операционные  расходы 1 этап'!$B$42*Assump!$D$27,'операционные  расходы 1 этап'!$B$42*Assump!$D$27)</f>
        <v>4339.4468181818183</v>
      </c>
      <c r="G140" s="74">
        <f>IF(G9&lt;Assump!$D$54,Model!G165*Assump!$D$27+'операционные  расходы 1 этап'!$B$42*Assump!$D$27,'операционные  расходы 1 этап'!$B$42*Assump!$D$27)</f>
        <v>4339.4468181818183</v>
      </c>
      <c r="H140" s="74">
        <f>IF(H9&lt;Assump!$D$54,Model!H165*Assump!$D$27+'операционные  расходы 1 этап'!$B$42*Assump!$D$27,'операционные  расходы 1 этап'!$B$42*Assump!$D$27)</f>
        <v>4339.4468181818183</v>
      </c>
      <c r="I140" s="74">
        <f>IF(I9&lt;Assump!$D$54,Model!I165*Assump!$D$27+'операционные  расходы 1 этап'!$B$42*Assump!$D$27,'операционные  расходы 1 этап'!$B$42*Assump!$D$27)</f>
        <v>4339.4468181818183</v>
      </c>
      <c r="J140" s="74">
        <f>IF(J9&lt;Assump!$D$54,Model!J165*Assump!$D$27+'операционные  расходы 1 этап'!$B$42*Assump!$D$27,'операционные  расходы 1 этап'!$B$42*Assump!$D$27)</f>
        <v>4339.4468181818183</v>
      </c>
      <c r="K140" s="74">
        <f>IF(K9&lt;Assump!$D$54,Model!K165*Assump!$D$27+'операционные  расходы 1 этап'!$B$42*Assump!$D$27,'операционные  расходы 1 этап'!$B$42*Assump!$D$27)</f>
        <v>4339.4468181818183</v>
      </c>
      <c r="L140" s="74">
        <f>IF(L9&lt;Assump!$D$54,Model!L165*Assump!$D$27+'операционные  расходы 1 этап'!$B$42*Assump!$D$27,'операционные  расходы 1 этап'!$B$42*Assump!$D$27)</f>
        <v>4339.4468181818183</v>
      </c>
      <c r="M140" s="74">
        <f>IF(M9&lt;Assump!$D$54,Model!M165*Assump!$D$27+'операционные  расходы 1 этап'!$B$42*Assump!$D$27,'операционные  расходы 1 этап'!$B$42*Assump!$D$27)</f>
        <v>4339.4468181818183</v>
      </c>
      <c r="N140" s="74">
        <f>IF(N9&lt;Assump!$D$54,Model!N165*Assump!$D$27+'операционные  расходы 1 этап'!$B$42*Assump!$D$27,'операционные  расходы 1 этап'!$B$42*Assump!$D$27)</f>
        <v>4275.9852713068185</v>
      </c>
      <c r="O140" s="74">
        <f>IF(O9&lt;Assump!$D$54,Model!O165*Assump!$D$27+'операционные  расходы 1 этап'!$B$42*Assump!$D$27,'операционные  расходы 1 этап'!$B$42*Assump!$D$27)</f>
        <v>2926.7689588068188</v>
      </c>
      <c r="P140" s="74">
        <f>IF(P9&lt;Assump!$D$54,Model!P165*Assump!$D$27+'операционные  расходы 1 этап'!$B$42*Assump!$D$27,'операционные  расходы 1 этап'!$B$42*Assump!$D$27)</f>
        <v>1195.7441697443192</v>
      </c>
      <c r="Q140" s="74">
        <f>IF(Q9&lt;Assump!$D$54,Model!Q165*Assump!$D$27+'операционные  расходы 1 этап'!$B$42*Assump!$D$27,'операционные  расходы 1 этап'!$B$42*Assump!$D$27)</f>
        <v>-642.68718181818167</v>
      </c>
      <c r="R140" s="74">
        <f>IF(R9&lt;Assump!$D$54,Model!R165*Assump!$D$27+'операционные  расходы 1 этап'!$B$42*Assump!$D$27,'операционные  расходы 1 этап'!$B$42*Assump!$D$27)</f>
        <v>-2519.2740568181807</v>
      </c>
      <c r="S140" s="74">
        <f>IF(S9&lt;Assump!$D$54,Model!S165*Assump!$D$27+'операционные  расходы 1 этап'!$B$42*Assump!$D$27,'операционные  расходы 1 этап'!$B$42*Assump!$D$27)</f>
        <v>-3976.2254318181813</v>
      </c>
      <c r="T140" s="74">
        <f>IF(T9&lt;Assump!$D$54,Model!T165*Assump!$D$27+'операционные  расходы 1 этап'!$B$42*Assump!$D$27,'операционные  расходы 1 этап'!$B$42*Assump!$D$27)</f>
        <v>-5755.7200818181836</v>
      </c>
      <c r="U140" s="74">
        <f>IF(U9&lt;Assump!$D$54,Model!U165*Assump!$D$27+'операционные  расходы 1 этап'!$B$42*Assump!$D$27,'операционные  расходы 1 этап'!$B$42*Assump!$D$27)</f>
        <v>-7296.040781818182</v>
      </c>
      <c r="V140" s="74">
        <f>IF(V9&lt;Assump!$D$54,Model!V165*Assump!$D$27+'операционные  расходы 1 этап'!$B$42*Assump!$D$27,'операционные  расходы 1 этап'!$B$42*Assump!$D$27)</f>
        <v>-8749.4920568181806</v>
      </c>
      <c r="W140" s="74">
        <f>IF(W9&lt;Assump!$D$54,Model!W165*Assump!$D$27+'операционные  расходы 1 этап'!$B$42*Assump!$D$27,'операционные  расходы 1 этап'!$B$42*Assump!$D$27)</f>
        <v>-9980.7276818181817</v>
      </c>
      <c r="X140" s="74">
        <f>IF(X9&lt;Assump!$D$54,Model!X165*Assump!$D$27+'операционные  расходы 1 этап'!$B$42*Assump!$D$27,'операционные  расходы 1 этап'!$B$42*Assump!$D$27)</f>
        <v>-9750.1062984383243</v>
      </c>
      <c r="Y140" s="74">
        <f>IF(Y9&lt;Assump!$D$54,Model!Y165*Assump!$D$27+'операционные  расходы 1 этап'!$B$42*Assump!$D$27,'операционные  расходы 1 этап'!$B$42*Assump!$D$27)</f>
        <v>4339.4468181818183</v>
      </c>
      <c r="Z140" s="74">
        <f>IF(Z9&lt;Assump!$D$54,Model!Z165*Assump!$D$27+'операционные  расходы 1 этап'!$B$42*Assump!$D$27,'операционные  расходы 1 этап'!$B$42*Assump!$D$27)</f>
        <v>4339.4468181818183</v>
      </c>
      <c r="AA140" s="74">
        <f>IF(AA9&lt;Assump!$D$54,Model!AA165*Assump!$D$27+'операционные  расходы 1 этап'!$B$42*Assump!$D$27,'операционные  расходы 1 этап'!$B$42*Assump!$D$27)</f>
        <v>4339.4468181818183</v>
      </c>
      <c r="AB140" s="74">
        <f>IF(AB9&lt;Assump!$D$54,Model!AB165*Assump!$D$27+'операционные  расходы 1 этап'!$B$42*Assump!$D$27,'операционные  расходы 1 этап'!$B$42*Assump!$D$27)</f>
        <v>4339.4468181818183</v>
      </c>
      <c r="AC140" s="74">
        <f>IF(AC9&lt;Assump!$D$54,Model!AC165*Assump!$D$27+'операционные  расходы 1 этап'!$B$42*Assump!$D$27,'операционные  расходы 1 этап'!$B$42*Assump!$D$27)</f>
        <v>4339.4468181818183</v>
      </c>
      <c r="AD140" s="74">
        <f>IF(AD9&lt;Assump!$D$54,Model!AD165*Assump!$D$27+'операционные  расходы 1 этап'!$B$42*Assump!$D$27,'операционные  расходы 1 этап'!$B$42*Assump!$D$27)</f>
        <v>4339.4468181818183</v>
      </c>
      <c r="AE140" s="74">
        <f>IF(AE9&lt;Assump!$D$54,Model!AE165*Assump!$D$27+'операционные  расходы 1 этап'!$B$42*Assump!$D$27,'операционные  расходы 1 этап'!$B$42*Assump!$D$27)</f>
        <v>4339.4468181818183</v>
      </c>
      <c r="AF140" s="74">
        <f>IF(AF9&lt;Assump!$D$54,Model!AF165*Assump!$D$27+'операционные  расходы 1 этап'!$B$42*Assump!$D$27,'операционные  расходы 1 этап'!$B$42*Assump!$D$27)</f>
        <v>4339.4468181818183</v>
      </c>
      <c r="AG140" s="74">
        <f>IF(AG9&lt;Assump!$D$54,Model!AG165*Assump!$D$27+'операционные  расходы 1 этап'!$B$42*Assump!$D$27,'операционные  расходы 1 этап'!$B$42*Assump!$D$27)</f>
        <v>4339.4468181818183</v>
      </c>
      <c r="AH140" s="74">
        <f>IF(AH9&lt;Assump!$D$54,Model!AH165*Assump!$D$27+'операционные  расходы 1 этап'!$B$42*Assump!$D$27,'операционные  расходы 1 этап'!$B$42*Assump!$D$27)</f>
        <v>4339.4468181818183</v>
      </c>
      <c r="AI140" s="74">
        <f>IF(AI9&lt;Assump!$D$54,Model!AI165*Assump!$D$27+'операционные  расходы 1 этап'!$B$42*Assump!$D$27,'операционные  расходы 1 этап'!$B$42*Assump!$D$27)</f>
        <v>4339.4468181818183</v>
      </c>
      <c r="AJ140" s="74">
        <f>IF(AJ9&lt;Assump!$D$54,Model!AJ165*Assump!$D$27+'операционные  расходы 1 этап'!$B$42*Assump!$D$27,'операционные  расходы 1 этап'!$B$42*Assump!$D$27)</f>
        <v>4339.4468181818183</v>
      </c>
      <c r="AK140" s="74">
        <f>IF(AK9&lt;Assump!$D$54,Model!AK165*Assump!$D$27+'операционные  расходы 1 этап'!$B$42*Assump!$D$27,'операционные  расходы 1 этап'!$B$42*Assump!$D$27)</f>
        <v>4339.4468181818183</v>
      </c>
      <c r="AL140" s="74">
        <f>IF(AL9&lt;Assump!$D$54,Model!AL165*Assump!$D$27+'операционные  расходы 1 этап'!$B$42*Assump!$D$27,'операционные  расходы 1 этап'!$B$42*Assump!$D$27)</f>
        <v>4339.4468181818183</v>
      </c>
      <c r="AM140" s="74">
        <f>IF(AM9&lt;Assump!$D$54,Model!AM165*Assump!$D$27+'операционные  расходы 1 этап'!$B$42*Assump!$D$27,'операционные  расходы 1 этап'!$B$42*Assump!$D$27)</f>
        <v>4339.4468181818183</v>
      </c>
      <c r="AN140" s="74">
        <f>IF(AN9&lt;Assump!$D$54,Model!AN165*Assump!$D$27+'операционные  расходы 1 этап'!$B$42*Assump!$D$27,'операционные  расходы 1 этап'!$B$42*Assump!$D$27)</f>
        <v>4339.4468181818183</v>
      </c>
      <c r="AO140" s="74">
        <f>IF(AO9&lt;Assump!$D$54,Model!AO165*Assump!$D$27+'операционные  расходы 1 этап'!$B$42*Assump!$D$27,'операционные  расходы 1 этап'!$B$42*Assump!$D$27)</f>
        <v>4339.4468181818183</v>
      </c>
      <c r="AP140" s="74">
        <f>IF(AP9&lt;Assump!$D$54,Model!AP165*Assump!$D$27+'операционные  расходы 1 этап'!$B$42*Assump!$D$27,'операционные  расходы 1 этап'!$B$42*Assump!$D$27)</f>
        <v>4339.4468181818183</v>
      </c>
      <c r="AQ140" s="74">
        <f>IF(AQ9&lt;Assump!$D$54,Model!AQ165*Assump!$D$27+'операционные  расходы 1 этап'!$B$42*Assump!$D$27,'операционные  расходы 1 этап'!$B$42*Assump!$D$27)</f>
        <v>4339.4468181818183</v>
      </c>
      <c r="AR140" s="74">
        <f>IF(AR9&lt;Assump!$D$54,Model!AR165*Assump!$D$27+'операционные  расходы 1 этап'!$B$42*Assump!$D$27,'операционные  расходы 1 этап'!$B$42*Assump!$D$27)</f>
        <v>4339.4468181818183</v>
      </c>
      <c r="AS140" s="74">
        <f>IF(AS9&lt;Assump!$D$54,Model!AS165*Assump!$D$27+'операционные  расходы 1 этап'!$B$42*Assump!$D$27,'операционные  расходы 1 этап'!$B$42*Assump!$D$27)</f>
        <v>4339.4468181818183</v>
      </c>
      <c r="AT140" s="74">
        <f>IF(AT9&lt;Assump!$D$54,Model!AT165*Assump!$D$27+'операционные  расходы 1 этап'!$B$42*Assump!$D$27,'операционные  расходы 1 этап'!$B$42*Assump!$D$27)</f>
        <v>4339.4468181818183</v>
      </c>
      <c r="AU140" s="74">
        <f>IF(AU9&lt;Assump!$D$54,Model!AU165*Assump!$D$27+'операционные  расходы 1 этап'!$B$42*Assump!$D$27,'операционные  расходы 1 этап'!$B$42*Assump!$D$27)</f>
        <v>4339.4468181818183</v>
      </c>
      <c r="AV140" s="74">
        <f>IF(AV9&lt;Assump!$D$54,Model!AV165*Assump!$D$27+'операционные  расходы 1 этап'!$B$42*Assump!$D$27,'операционные  расходы 1 этап'!$B$42*Assump!$D$27)</f>
        <v>4339.4468181818183</v>
      </c>
      <c r="AW140" s="74">
        <f>IF(AW9&lt;Assump!$D$54,Model!AW165*Assump!$D$27+'операционные  расходы 1 этап'!$B$42*Assump!$D$27,'операционные  расходы 1 этап'!$B$42*Assump!$D$27)</f>
        <v>4339.4468181818183</v>
      </c>
      <c r="AX140" s="74">
        <f>IF(AX9&lt;Assump!$D$54,Model!AX165*Assump!$D$27+'операционные  расходы 1 этап'!$B$42*Assump!$D$27,'операционные  расходы 1 этап'!$B$42*Assump!$D$27)</f>
        <v>4339.4468181818183</v>
      </c>
      <c r="AY140" s="74">
        <f>IF(AY9&lt;Assump!$D$54,Model!AY165*Assump!$D$27+'операционные  расходы 1 этап'!$B$42*Assump!$D$27,'операционные  расходы 1 этап'!$B$42*Assump!$D$27)</f>
        <v>4339.4468181818183</v>
      </c>
      <c r="AZ140" s="74">
        <f>IF(AZ9&lt;Assump!$D$54,Model!AZ165*Assump!$D$27+'операционные  расходы 1 этап'!$B$42*Assump!$D$27,'операционные  расходы 1 этап'!$B$42*Assump!$D$27)</f>
        <v>4339.4468181818183</v>
      </c>
      <c r="BA140" s="74">
        <f>IF(BA9&lt;Assump!$D$54,Model!BA165*Assump!$D$27+'операционные  расходы 1 этап'!$B$42*Assump!$D$27,'операционные  расходы 1 этап'!$B$42*Assump!$D$27)</f>
        <v>4339.4468181818183</v>
      </c>
      <c r="BB140" s="74">
        <f>IF(BB9&lt;Assump!$D$54,Model!BB165*Assump!$D$27+'операционные  расходы 1 этап'!$B$42*Assump!$D$27,'операционные  расходы 1 этап'!$B$42*Assump!$D$27)</f>
        <v>4339.4468181818183</v>
      </c>
      <c r="BC140" s="74">
        <f>IF(BC9&lt;Assump!$D$54,Model!BC165*Assump!$D$27+'операционные  расходы 1 этап'!$B$42*Assump!$D$27,'операционные  расходы 1 этап'!$B$42*Assump!$D$27)</f>
        <v>4339.4468181818183</v>
      </c>
      <c r="BD140" s="74">
        <f>IF(BD9&lt;Assump!$D$54,Model!BD165*Assump!$D$27+'операционные  расходы 1 этап'!$B$42*Assump!$D$27,'операционные  расходы 1 этап'!$B$42*Assump!$D$27)</f>
        <v>4339.4468181818183</v>
      </c>
      <c r="BE140" s="74">
        <f>IF(BE9&lt;Assump!$D$54,Model!BE165*Assump!$D$27+'операционные  расходы 1 этап'!$B$42*Assump!$D$27,'операционные  расходы 1 этап'!$B$42*Assump!$D$27)</f>
        <v>4339.4468181818183</v>
      </c>
      <c r="BF140" s="74">
        <f>IF(BF9&lt;Assump!$D$54,Model!BF165*Assump!$D$27+'операционные  расходы 1 этап'!$B$42*Assump!$D$27,'операционные  расходы 1 этап'!$B$42*Assump!$D$27)</f>
        <v>4339.4468181818183</v>
      </c>
      <c r="BG140" s="74">
        <f>IF(BG9&lt;Assump!$D$54,Model!BG165*Assump!$D$27+'операционные  расходы 1 этап'!$B$42*Assump!$D$27,'операционные  расходы 1 этап'!$B$42*Assump!$D$27)</f>
        <v>4339.4468181818183</v>
      </c>
      <c r="BH140" s="74">
        <f>IF(BH9&lt;Assump!$D$54,Model!BH165*Assump!$D$27+'операционные  расходы 1 этап'!$B$42*Assump!$D$27,'операционные  расходы 1 этап'!$B$42*Assump!$D$27)</f>
        <v>4339.4468181818183</v>
      </c>
      <c r="BI140" s="74">
        <f>IF(BI9&lt;Assump!$D$54,Model!BI165*Assump!$D$27+'операционные  расходы 1 этап'!$B$42*Assump!$D$27,'операционные  расходы 1 этап'!$B$42*Assump!$D$27)</f>
        <v>4339.4468181818183</v>
      </c>
      <c r="BJ140" s="74">
        <f>IF(BJ9&lt;Assump!$D$54,Model!BJ165*Assump!$D$27+'операционные  расходы 1 этап'!$B$42*Assump!$D$27,'операционные  расходы 1 этап'!$B$42*Assump!$D$27)</f>
        <v>4339.4468181818183</v>
      </c>
      <c r="BK140" s="74">
        <f>IF(BK9&lt;Assump!$D$54,Model!BK165*Assump!$D$27+'операционные  расходы 1 этап'!$B$42*Assump!$D$27,'операционные  расходы 1 этап'!$B$42*Assump!$D$27)</f>
        <v>4339.4468181818183</v>
      </c>
      <c r="BL140" s="74">
        <f>IF(BL9&lt;Assump!$D$54,Model!BL165*Assump!$D$27+'операционные  расходы 1 этап'!$B$42*Assump!$D$27,'операционные  расходы 1 этап'!$B$42*Assump!$D$27)</f>
        <v>4339.4468181818183</v>
      </c>
      <c r="BM140" s="74">
        <f>IF(BM9&lt;Assump!$D$54,Model!BM165*Assump!$D$27+'операционные  расходы 1 этап'!$B$42*Assump!$D$27,'операционные  расходы 1 этап'!$B$42*Assump!$D$27)</f>
        <v>4339.4468181818183</v>
      </c>
      <c r="BN140" s="74">
        <f>IF(BN9&lt;Assump!$D$54,Model!BN165*Assump!$D$27+'операционные  расходы 1 этап'!$B$42*Assump!$D$27,'операционные  расходы 1 этап'!$B$42*Assump!$D$27)</f>
        <v>4339.4468181818183</v>
      </c>
      <c r="BO140" s="74">
        <f>IF(BO9&lt;Assump!$D$54,Model!BO165*Assump!$D$27+'операционные  расходы 1 этап'!$B$42*Assump!$D$27,'операционные  расходы 1 этап'!$B$42*Assump!$D$27)</f>
        <v>4339.4468181818183</v>
      </c>
      <c r="BP140" s="74">
        <f>IF(BP9&lt;Assump!$D$54,Model!BP165*Assump!$D$27+'операционные  расходы 1 этап'!$B$42*Assump!$D$27,'операционные  расходы 1 этап'!$B$42*Assump!$D$27)</f>
        <v>4339.4468181818183</v>
      </c>
      <c r="BQ140" s="74">
        <f>IF(BQ9&lt;Assump!$D$54,Model!BQ165*Assump!$D$27+'операционные  расходы 1 этап'!$B$42*Assump!$D$27,'операционные  расходы 1 этап'!$B$42*Assump!$D$27)</f>
        <v>4339.4468181818183</v>
      </c>
      <c r="BR140" s="74">
        <f>IF(BR9&lt;Assump!$D$54,Model!BR165*Assump!$D$27+'операционные  расходы 1 этап'!$B$42*Assump!$D$27,'операционные  расходы 1 этап'!$B$42*Assump!$D$27)</f>
        <v>4339.4468181818183</v>
      </c>
      <c r="BS140" s="74">
        <f>IF(BS9&lt;Assump!$D$54,Model!BS165*Assump!$D$27+'операционные  расходы 1 этап'!$B$42*Assump!$D$27,'операционные  расходы 1 этап'!$B$42*Assump!$D$27)</f>
        <v>4339.4468181818183</v>
      </c>
      <c r="BT140" s="74">
        <f>IF(BT9&lt;Assump!$D$54,Model!BT165*Assump!$D$27+'операционные  расходы 1 этап'!$B$42*Assump!$D$27,'операционные  расходы 1 этап'!$B$42*Assump!$D$27)</f>
        <v>4339.4468181818183</v>
      </c>
      <c r="BU140" s="74">
        <f>IF(BU9&lt;Assump!$D$54,Model!BU165*Assump!$D$27+'операционные  расходы 1 этап'!$B$42*Assump!$D$27,'операционные  расходы 1 этап'!$B$42*Assump!$D$27)</f>
        <v>4339.4468181818183</v>
      </c>
      <c r="BV140" s="74">
        <f>IF(BV9&lt;Assump!$D$54,Model!BV165*Assump!$D$27+'операционные  расходы 1 этап'!$B$42*Assump!$D$27,'операционные  расходы 1 этап'!$B$42*Assump!$D$27)</f>
        <v>4339.4468181818183</v>
      </c>
      <c r="BW140" s="74">
        <f>IF(BW9&lt;Assump!$D$54,Model!BW165*Assump!$D$27+'операционные  расходы 1 этап'!$B$42*Assump!$D$27,'операционные  расходы 1 этап'!$B$42*Assump!$D$27)</f>
        <v>4339.4468181818183</v>
      </c>
      <c r="BX140" s="74">
        <f>IF(BX9&lt;Assump!$D$54,Model!BX165*Assump!$D$27+'операционные  расходы 1 этап'!$B$42*Assump!$D$27,'операционные  расходы 1 этап'!$B$42*Assump!$D$27)</f>
        <v>4339.4468181818183</v>
      </c>
      <c r="BY140" s="74">
        <f>IF(BY9&lt;Assump!$D$54,Model!BY165*Assump!$D$27+'операционные  расходы 1 этап'!$B$42*Assump!$D$27,'операционные  расходы 1 этап'!$B$42*Assump!$D$27)</f>
        <v>4339.4468181818183</v>
      </c>
      <c r="BZ140" s="74">
        <f>IF(BZ9&lt;Assump!$D$54,Model!BZ165*Assump!$D$27+'операционные  расходы 1 этап'!$B$42*Assump!$D$27,'операционные  расходы 1 этап'!$B$42*Assump!$D$27)</f>
        <v>4339.4468181818183</v>
      </c>
      <c r="CA140" s="74">
        <f>IF(CA9&lt;Assump!$D$54,Model!CA165*Assump!$D$27+'операционные  расходы 1 этап'!$B$42*Assump!$D$27,'операционные  расходы 1 этап'!$B$42*Assump!$D$27)</f>
        <v>4339.4468181818183</v>
      </c>
      <c r="CB140" s="74">
        <f>IF(CB9&lt;Assump!$D$54,Model!CB165*Assump!$D$27+'операционные  расходы 1 этап'!$B$42*Assump!$D$27,'операционные  расходы 1 этап'!$B$42*Assump!$D$27)</f>
        <v>4339.4468181818183</v>
      </c>
      <c r="CC140" s="74">
        <f>IF(CC9&lt;Assump!$D$54,Model!CC165*Assump!$D$27+'операционные  расходы 1 этап'!$B$42*Assump!$D$27,'операционные  расходы 1 этап'!$B$42*Assump!$D$27)</f>
        <v>4339.4468181818183</v>
      </c>
      <c r="CD140" s="74">
        <f>IF(CD9&lt;Assump!$D$54,Model!CD165*Assump!$D$27+'операционные  расходы 1 этап'!$B$42*Assump!$D$27,'операционные  расходы 1 этап'!$B$42*Assump!$D$27)</f>
        <v>4339.4468181818183</v>
      </c>
      <c r="CE140" s="74">
        <f>IF(CE9&lt;Assump!$D$54,Model!CE165*Assump!$D$27+'операционные  расходы 1 этап'!$B$42*Assump!$D$27,'операционные  расходы 1 этап'!$B$42*Assump!$D$27)</f>
        <v>4339.4468181818183</v>
      </c>
      <c r="CF140" s="74">
        <f>IF(CF9&lt;Assump!$D$54,Model!CF165*Assump!$D$27+'операционные  расходы 1 этап'!$B$42*Assump!$D$27,'операционные  расходы 1 этап'!$B$42*Assump!$D$27)</f>
        <v>4339.4468181818183</v>
      </c>
      <c r="CG140" s="74">
        <f>IF(CG9&lt;Assump!$D$54,Model!CG165*Assump!$D$27+'операционные  расходы 1 этап'!$B$42*Assump!$D$27,'операционные  расходы 1 этап'!$B$42*Assump!$D$27)</f>
        <v>4339.4468181818183</v>
      </c>
      <c r="CH140" s="74">
        <f>IF(CH9&lt;Assump!$D$54,Model!CH165*Assump!$D$27+'операционные  расходы 1 этап'!$B$42*Assump!$D$27,'операционные  расходы 1 этап'!$B$42*Assump!$D$27)</f>
        <v>4339.4468181818183</v>
      </c>
      <c r="CI140" s="74">
        <f>IF(CI9&lt;Assump!$D$54,Model!CI165*Assump!$D$27+'операционные  расходы 1 этап'!$B$42*Assump!$D$27,'операционные  расходы 1 этап'!$B$42*Assump!$D$27)</f>
        <v>4339.4468181818183</v>
      </c>
      <c r="CJ140" s="74">
        <f>IF(CJ9&lt;Assump!$D$54,Model!CJ165*Assump!$D$27+'операционные  расходы 1 этап'!$B$42*Assump!$D$27,'операционные  расходы 1 этап'!$B$42*Assump!$D$27)</f>
        <v>4339.4468181818183</v>
      </c>
      <c r="CK140" s="74">
        <f>IF(CK9&lt;Assump!$D$54,Model!CK165*Assump!$D$27+'операционные  расходы 1 этап'!$B$42*Assump!$D$27,'операционные  расходы 1 этап'!$B$42*Assump!$D$27)</f>
        <v>4339.4468181818183</v>
      </c>
      <c r="CL140" s="74">
        <f>IF(CL9&lt;Assump!$D$54,Model!CL165*Assump!$D$27+'операционные  расходы 1 этап'!$B$42*Assump!$D$27,'операционные  расходы 1 этап'!$B$42*Assump!$D$27)</f>
        <v>4339.4468181818183</v>
      </c>
      <c r="CM140" s="74">
        <f>IF(CM9&lt;Assump!$D$54,Model!CM165*Assump!$D$27+'операционные  расходы 1 этап'!$B$42*Assump!$D$27,'операционные  расходы 1 этап'!$B$42*Assump!$D$27)</f>
        <v>4339.4468181818183</v>
      </c>
      <c r="CN140" s="74">
        <f>IF(CN9&lt;Assump!$D$54,Model!CN165*Assump!$D$27+'операционные  расходы 1 этап'!$B$42*Assump!$D$27,'операционные  расходы 1 этап'!$B$42*Assump!$D$27)</f>
        <v>4339.4468181818183</v>
      </c>
      <c r="CO140" s="35"/>
    </row>
    <row r="141" spans="1:93" ht="12.75" customHeight="1" outlineLevel="1">
      <c r="A141" s="35"/>
      <c r="B141" s="63"/>
      <c r="C141" s="35"/>
      <c r="D141" s="60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</row>
    <row r="142" spans="1:93" ht="12.75" customHeight="1" outlineLevel="1">
      <c r="A142" s="35"/>
      <c r="B142" s="35" t="s">
        <v>226</v>
      </c>
      <c r="C142" s="35"/>
      <c r="D142" s="60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</row>
    <row r="143" spans="1:93" ht="12.75" customHeight="1" outlineLevel="1">
      <c r="A143" s="35"/>
      <c r="B143" s="49" t="s">
        <v>228</v>
      </c>
      <c r="C143" s="50"/>
      <c r="D143" s="53"/>
      <c r="E143" s="50">
        <f t="shared" ref="E143:CN143" si="641">D146</f>
        <v>0</v>
      </c>
      <c r="F143" s="50">
        <f t="shared" si="641"/>
        <v>0</v>
      </c>
      <c r="G143" s="50">
        <f t="shared" si="641"/>
        <v>0</v>
      </c>
      <c r="H143" s="50">
        <f t="shared" si="641"/>
        <v>0</v>
      </c>
      <c r="I143" s="50">
        <f t="shared" si="641"/>
        <v>700</v>
      </c>
      <c r="J143" s="50">
        <f t="shared" si="641"/>
        <v>1400</v>
      </c>
      <c r="K143" s="50">
        <f t="shared" si="641"/>
        <v>2100</v>
      </c>
      <c r="L143" s="50">
        <f t="shared" si="641"/>
        <v>2800</v>
      </c>
      <c r="M143" s="50">
        <f t="shared" si="641"/>
        <v>3500</v>
      </c>
      <c r="N143" s="50">
        <f t="shared" si="641"/>
        <v>4200</v>
      </c>
      <c r="O143" s="50">
        <f t="shared" si="641"/>
        <v>5217.3077343749992</v>
      </c>
      <c r="P143" s="50">
        <f t="shared" si="641"/>
        <v>12980.697031249998</v>
      </c>
      <c r="Q143" s="50">
        <f t="shared" si="641"/>
        <v>29399.210273437493</v>
      </c>
      <c r="R143" s="50">
        <f t="shared" si="641"/>
        <v>55009.880273437491</v>
      </c>
      <c r="S143" s="50">
        <f t="shared" si="641"/>
        <v>90003.484648437487</v>
      </c>
      <c r="T143" s="50">
        <f t="shared" si="641"/>
        <v>132281.84589843749</v>
      </c>
      <c r="U143" s="50">
        <f t="shared" si="641"/>
        <v>183457.68039843749</v>
      </c>
      <c r="V143" s="50">
        <f t="shared" si="641"/>
        <v>242335.11839843748</v>
      </c>
      <c r="W143" s="50">
        <f t="shared" si="641"/>
        <v>308479.81277343747</v>
      </c>
      <c r="X143" s="50">
        <f t="shared" si="641"/>
        <v>228792.9651343787</v>
      </c>
      <c r="Y143" s="50">
        <f t="shared" si="641"/>
        <v>104526.0820586208</v>
      </c>
      <c r="Z143" s="50">
        <f t="shared" si="641"/>
        <v>91372.213359709436</v>
      </c>
      <c r="AA143" s="50">
        <f t="shared" si="641"/>
        <v>44489.540688302019</v>
      </c>
      <c r="AB143" s="50">
        <f t="shared" si="641"/>
        <v>0</v>
      </c>
      <c r="AC143" s="50">
        <f t="shared" si="641"/>
        <v>0</v>
      </c>
      <c r="AD143" s="50">
        <f t="shared" si="641"/>
        <v>0</v>
      </c>
      <c r="AE143" s="50">
        <f t="shared" si="641"/>
        <v>0</v>
      </c>
      <c r="AF143" s="50">
        <f t="shared" si="641"/>
        <v>0</v>
      </c>
      <c r="AG143" s="50">
        <f t="shared" si="641"/>
        <v>0</v>
      </c>
      <c r="AH143" s="50">
        <f t="shared" si="641"/>
        <v>0</v>
      </c>
      <c r="AI143" s="50">
        <f t="shared" si="641"/>
        <v>0</v>
      </c>
      <c r="AJ143" s="50">
        <f t="shared" si="641"/>
        <v>0</v>
      </c>
      <c r="AK143" s="50">
        <f t="shared" si="641"/>
        <v>0</v>
      </c>
      <c r="AL143" s="50">
        <f t="shared" si="641"/>
        <v>0</v>
      </c>
      <c r="AM143" s="50">
        <f t="shared" si="641"/>
        <v>0</v>
      </c>
      <c r="AN143" s="50">
        <f t="shared" si="641"/>
        <v>0</v>
      </c>
      <c r="AO143" s="50">
        <f t="shared" si="641"/>
        <v>0</v>
      </c>
      <c r="AP143" s="50">
        <f t="shared" si="641"/>
        <v>0</v>
      </c>
      <c r="AQ143" s="50">
        <f t="shared" si="641"/>
        <v>0</v>
      </c>
      <c r="AR143" s="50">
        <f t="shared" si="641"/>
        <v>0</v>
      </c>
      <c r="AS143" s="50">
        <f t="shared" si="641"/>
        <v>0</v>
      </c>
      <c r="AT143" s="50">
        <f t="shared" si="641"/>
        <v>0</v>
      </c>
      <c r="AU143" s="50">
        <f t="shared" si="641"/>
        <v>0</v>
      </c>
      <c r="AV143" s="50">
        <f t="shared" si="641"/>
        <v>0</v>
      </c>
      <c r="AW143" s="50">
        <f t="shared" si="641"/>
        <v>0</v>
      </c>
      <c r="AX143" s="50">
        <f t="shared" si="641"/>
        <v>0</v>
      </c>
      <c r="AY143" s="50">
        <f t="shared" si="641"/>
        <v>0</v>
      </c>
      <c r="AZ143" s="50">
        <f t="shared" si="641"/>
        <v>0</v>
      </c>
      <c r="BA143" s="50">
        <f t="shared" si="641"/>
        <v>0</v>
      </c>
      <c r="BB143" s="50">
        <f t="shared" si="641"/>
        <v>0</v>
      </c>
      <c r="BC143" s="50">
        <f t="shared" si="641"/>
        <v>0</v>
      </c>
      <c r="BD143" s="50">
        <f t="shared" si="641"/>
        <v>0</v>
      </c>
      <c r="BE143" s="50">
        <f t="shared" si="641"/>
        <v>0</v>
      </c>
      <c r="BF143" s="50">
        <f t="shared" si="641"/>
        <v>0</v>
      </c>
      <c r="BG143" s="50">
        <f t="shared" si="641"/>
        <v>0</v>
      </c>
      <c r="BH143" s="50">
        <f t="shared" si="641"/>
        <v>0</v>
      </c>
      <c r="BI143" s="50">
        <f t="shared" si="641"/>
        <v>0</v>
      </c>
      <c r="BJ143" s="50">
        <f t="shared" si="641"/>
        <v>0</v>
      </c>
      <c r="BK143" s="50">
        <f t="shared" si="641"/>
        <v>0</v>
      </c>
      <c r="BL143" s="50">
        <f t="shared" si="641"/>
        <v>0</v>
      </c>
      <c r="BM143" s="50">
        <f t="shared" si="641"/>
        <v>0</v>
      </c>
      <c r="BN143" s="50">
        <f t="shared" si="641"/>
        <v>0</v>
      </c>
      <c r="BO143" s="50">
        <f t="shared" si="641"/>
        <v>0</v>
      </c>
      <c r="BP143" s="50">
        <f t="shared" si="641"/>
        <v>0</v>
      </c>
      <c r="BQ143" s="50">
        <f t="shared" si="641"/>
        <v>0</v>
      </c>
      <c r="BR143" s="50">
        <f t="shared" si="641"/>
        <v>0</v>
      </c>
      <c r="BS143" s="50">
        <f t="shared" si="641"/>
        <v>0</v>
      </c>
      <c r="BT143" s="50">
        <f t="shared" si="641"/>
        <v>0</v>
      </c>
      <c r="BU143" s="50">
        <f t="shared" si="641"/>
        <v>0</v>
      </c>
      <c r="BV143" s="50">
        <f t="shared" si="641"/>
        <v>0</v>
      </c>
      <c r="BW143" s="50">
        <f t="shared" si="641"/>
        <v>0</v>
      </c>
      <c r="BX143" s="50">
        <f t="shared" si="641"/>
        <v>0</v>
      </c>
      <c r="BY143" s="50">
        <f t="shared" si="641"/>
        <v>0</v>
      </c>
      <c r="BZ143" s="50">
        <f t="shared" si="641"/>
        <v>0</v>
      </c>
      <c r="CA143" s="50">
        <f t="shared" si="641"/>
        <v>0</v>
      </c>
      <c r="CB143" s="50">
        <f t="shared" si="641"/>
        <v>0</v>
      </c>
      <c r="CC143" s="50">
        <f t="shared" si="641"/>
        <v>0</v>
      </c>
      <c r="CD143" s="50">
        <f t="shared" si="641"/>
        <v>0</v>
      </c>
      <c r="CE143" s="50">
        <f t="shared" si="641"/>
        <v>0</v>
      </c>
      <c r="CF143" s="50">
        <f t="shared" si="641"/>
        <v>0</v>
      </c>
      <c r="CG143" s="50">
        <f t="shared" si="641"/>
        <v>0</v>
      </c>
      <c r="CH143" s="50">
        <f t="shared" si="641"/>
        <v>0</v>
      </c>
      <c r="CI143" s="50">
        <f t="shared" si="641"/>
        <v>0</v>
      </c>
      <c r="CJ143" s="50">
        <f t="shared" si="641"/>
        <v>0</v>
      </c>
      <c r="CK143" s="50">
        <f t="shared" si="641"/>
        <v>0</v>
      </c>
      <c r="CL143" s="50">
        <f t="shared" si="641"/>
        <v>0</v>
      </c>
      <c r="CM143" s="50">
        <f t="shared" si="641"/>
        <v>0</v>
      </c>
      <c r="CN143" s="50">
        <f t="shared" si="641"/>
        <v>0</v>
      </c>
      <c r="CO143" s="35"/>
    </row>
    <row r="144" spans="1:93" ht="12.75" customHeight="1" outlineLevel="1">
      <c r="A144" s="35"/>
      <c r="B144" s="63" t="s">
        <v>226</v>
      </c>
      <c r="C144" s="35">
        <f t="shared" ref="C144:C145" si="642">SUM(D144:CN144)</f>
        <v>308479.81277343747</v>
      </c>
      <c r="D144" s="60">
        <f t="shared" ref="D144:CN144" si="643">-MIN(D136,0)</f>
        <v>0</v>
      </c>
      <c r="E144" s="35">
        <f t="shared" si="643"/>
        <v>0</v>
      </c>
      <c r="F144" s="35">
        <f t="shared" si="643"/>
        <v>0</v>
      </c>
      <c r="G144" s="35">
        <f t="shared" si="643"/>
        <v>0</v>
      </c>
      <c r="H144" s="35">
        <f t="shared" si="643"/>
        <v>700</v>
      </c>
      <c r="I144" s="35">
        <f t="shared" si="643"/>
        <v>700</v>
      </c>
      <c r="J144" s="35">
        <f t="shared" si="643"/>
        <v>700</v>
      </c>
      <c r="K144" s="35">
        <f t="shared" si="643"/>
        <v>700</v>
      </c>
      <c r="L144" s="35">
        <f t="shared" si="643"/>
        <v>700</v>
      </c>
      <c r="M144" s="35">
        <f t="shared" si="643"/>
        <v>700</v>
      </c>
      <c r="N144" s="35">
        <f t="shared" si="643"/>
        <v>1017.3077343749987</v>
      </c>
      <c r="O144" s="35">
        <f t="shared" si="643"/>
        <v>7763.3892968749979</v>
      </c>
      <c r="P144" s="35">
        <f t="shared" si="643"/>
        <v>16418.513242187495</v>
      </c>
      <c r="Q144" s="35">
        <f t="shared" si="643"/>
        <v>25610.67</v>
      </c>
      <c r="R144" s="35">
        <f t="shared" si="643"/>
        <v>34993.604374999995</v>
      </c>
      <c r="S144" s="35">
        <f t="shared" si="643"/>
        <v>42278.361249999994</v>
      </c>
      <c r="T144" s="35">
        <f t="shared" si="643"/>
        <v>51175.834500000004</v>
      </c>
      <c r="U144" s="35">
        <f t="shared" si="643"/>
        <v>58877.438000000002</v>
      </c>
      <c r="V144" s="35">
        <f t="shared" si="643"/>
        <v>66144.694374999992</v>
      </c>
      <c r="W144" s="35">
        <f t="shared" si="643"/>
        <v>0</v>
      </c>
      <c r="X144" s="35">
        <f t="shared" si="643"/>
        <v>0</v>
      </c>
      <c r="Y144" s="35">
        <f t="shared" si="643"/>
        <v>0</v>
      </c>
      <c r="Z144" s="35">
        <f t="shared" si="643"/>
        <v>0</v>
      </c>
      <c r="AA144" s="35">
        <f t="shared" si="643"/>
        <v>0</v>
      </c>
      <c r="AB144" s="35">
        <f t="shared" si="643"/>
        <v>0</v>
      </c>
      <c r="AC144" s="35">
        <f t="shared" si="643"/>
        <v>0</v>
      </c>
      <c r="AD144" s="35">
        <f t="shared" si="643"/>
        <v>0</v>
      </c>
      <c r="AE144" s="35">
        <f t="shared" si="643"/>
        <v>0</v>
      </c>
      <c r="AF144" s="35">
        <f t="shared" si="643"/>
        <v>0</v>
      </c>
      <c r="AG144" s="35">
        <f t="shared" si="643"/>
        <v>0</v>
      </c>
      <c r="AH144" s="35">
        <f t="shared" si="643"/>
        <v>0</v>
      </c>
      <c r="AI144" s="35">
        <f t="shared" si="643"/>
        <v>0</v>
      </c>
      <c r="AJ144" s="35">
        <f t="shared" si="643"/>
        <v>0</v>
      </c>
      <c r="AK144" s="35">
        <f t="shared" si="643"/>
        <v>0</v>
      </c>
      <c r="AL144" s="35">
        <f t="shared" si="643"/>
        <v>0</v>
      </c>
      <c r="AM144" s="35">
        <f t="shared" si="643"/>
        <v>0</v>
      </c>
      <c r="AN144" s="35">
        <f t="shared" si="643"/>
        <v>0</v>
      </c>
      <c r="AO144" s="35">
        <f t="shared" si="643"/>
        <v>0</v>
      </c>
      <c r="AP144" s="35">
        <f t="shared" si="643"/>
        <v>0</v>
      </c>
      <c r="AQ144" s="35">
        <f t="shared" si="643"/>
        <v>0</v>
      </c>
      <c r="AR144" s="35">
        <f t="shared" si="643"/>
        <v>0</v>
      </c>
      <c r="AS144" s="35">
        <f t="shared" si="643"/>
        <v>0</v>
      </c>
      <c r="AT144" s="35">
        <f t="shared" si="643"/>
        <v>0</v>
      </c>
      <c r="AU144" s="35">
        <f t="shared" si="643"/>
        <v>0</v>
      </c>
      <c r="AV144" s="35">
        <f t="shared" si="643"/>
        <v>0</v>
      </c>
      <c r="AW144" s="35">
        <f t="shared" si="643"/>
        <v>0</v>
      </c>
      <c r="AX144" s="35">
        <f t="shared" si="643"/>
        <v>0</v>
      </c>
      <c r="AY144" s="35">
        <f t="shared" si="643"/>
        <v>0</v>
      </c>
      <c r="AZ144" s="35">
        <f t="shared" si="643"/>
        <v>0</v>
      </c>
      <c r="BA144" s="35">
        <f t="shared" si="643"/>
        <v>0</v>
      </c>
      <c r="BB144" s="35">
        <f t="shared" si="643"/>
        <v>0</v>
      </c>
      <c r="BC144" s="35">
        <f t="shared" si="643"/>
        <v>0</v>
      </c>
      <c r="BD144" s="35">
        <f t="shared" si="643"/>
        <v>0</v>
      </c>
      <c r="BE144" s="35">
        <f t="shared" si="643"/>
        <v>0</v>
      </c>
      <c r="BF144" s="35">
        <f t="shared" si="643"/>
        <v>0</v>
      </c>
      <c r="BG144" s="35">
        <f t="shared" si="643"/>
        <v>0</v>
      </c>
      <c r="BH144" s="35">
        <f t="shared" si="643"/>
        <v>0</v>
      </c>
      <c r="BI144" s="35">
        <f t="shared" si="643"/>
        <v>0</v>
      </c>
      <c r="BJ144" s="35">
        <f t="shared" si="643"/>
        <v>0</v>
      </c>
      <c r="BK144" s="35">
        <f t="shared" si="643"/>
        <v>0</v>
      </c>
      <c r="BL144" s="35">
        <f t="shared" si="643"/>
        <v>0</v>
      </c>
      <c r="BM144" s="35">
        <f t="shared" si="643"/>
        <v>0</v>
      </c>
      <c r="BN144" s="35">
        <f t="shared" si="643"/>
        <v>0</v>
      </c>
      <c r="BO144" s="35">
        <f t="shared" si="643"/>
        <v>0</v>
      </c>
      <c r="BP144" s="35">
        <f t="shared" si="643"/>
        <v>0</v>
      </c>
      <c r="BQ144" s="35">
        <f t="shared" si="643"/>
        <v>0</v>
      </c>
      <c r="BR144" s="35">
        <f t="shared" si="643"/>
        <v>0</v>
      </c>
      <c r="BS144" s="35">
        <f t="shared" si="643"/>
        <v>0</v>
      </c>
      <c r="BT144" s="35">
        <f t="shared" si="643"/>
        <v>0</v>
      </c>
      <c r="BU144" s="35">
        <f t="shared" si="643"/>
        <v>0</v>
      </c>
      <c r="BV144" s="35">
        <f t="shared" si="643"/>
        <v>0</v>
      </c>
      <c r="BW144" s="35">
        <f t="shared" si="643"/>
        <v>0</v>
      </c>
      <c r="BX144" s="35">
        <f t="shared" si="643"/>
        <v>0</v>
      </c>
      <c r="BY144" s="35">
        <f t="shared" si="643"/>
        <v>0</v>
      </c>
      <c r="BZ144" s="35">
        <f t="shared" si="643"/>
        <v>0</v>
      </c>
      <c r="CA144" s="35">
        <f t="shared" si="643"/>
        <v>0</v>
      </c>
      <c r="CB144" s="35">
        <f t="shared" si="643"/>
        <v>0</v>
      </c>
      <c r="CC144" s="35">
        <f t="shared" si="643"/>
        <v>0</v>
      </c>
      <c r="CD144" s="35">
        <f t="shared" si="643"/>
        <v>0</v>
      </c>
      <c r="CE144" s="35">
        <f t="shared" si="643"/>
        <v>0</v>
      </c>
      <c r="CF144" s="35">
        <f t="shared" si="643"/>
        <v>0</v>
      </c>
      <c r="CG144" s="35">
        <f t="shared" si="643"/>
        <v>0</v>
      </c>
      <c r="CH144" s="35">
        <f t="shared" si="643"/>
        <v>0</v>
      </c>
      <c r="CI144" s="35">
        <f t="shared" si="643"/>
        <v>0</v>
      </c>
      <c r="CJ144" s="35">
        <f t="shared" si="643"/>
        <v>0</v>
      </c>
      <c r="CK144" s="35">
        <f t="shared" si="643"/>
        <v>0</v>
      </c>
      <c r="CL144" s="35">
        <f t="shared" si="643"/>
        <v>0</v>
      </c>
      <c r="CM144" s="35">
        <f t="shared" si="643"/>
        <v>0</v>
      </c>
      <c r="CN144" s="35">
        <f t="shared" si="643"/>
        <v>0</v>
      </c>
      <c r="CO144" s="35"/>
    </row>
    <row r="145" spans="1:93" ht="12.75" customHeight="1" outlineLevel="1">
      <c r="A145" s="35"/>
      <c r="B145" s="63" t="s">
        <v>229</v>
      </c>
      <c r="C145" s="35">
        <f t="shared" si="642"/>
        <v>-308479.81277343747</v>
      </c>
      <c r="D145" s="60">
        <f t="shared" ref="D145:CN145" si="644">IF(D136&gt;0,-MIN(SUM(D143:D144),D136),0)</f>
        <v>0</v>
      </c>
      <c r="E145" s="35">
        <f t="shared" si="644"/>
        <v>0</v>
      </c>
      <c r="F145" s="35">
        <f t="shared" si="644"/>
        <v>0</v>
      </c>
      <c r="G145" s="35">
        <f t="shared" si="644"/>
        <v>0</v>
      </c>
      <c r="H145" s="35">
        <f t="shared" si="644"/>
        <v>0</v>
      </c>
      <c r="I145" s="35">
        <f t="shared" si="644"/>
        <v>0</v>
      </c>
      <c r="J145" s="35">
        <f t="shared" si="644"/>
        <v>0</v>
      </c>
      <c r="K145" s="35">
        <f t="shared" si="644"/>
        <v>0</v>
      </c>
      <c r="L145" s="35">
        <f t="shared" si="644"/>
        <v>0</v>
      </c>
      <c r="M145" s="35">
        <f t="shared" si="644"/>
        <v>0</v>
      </c>
      <c r="N145" s="35">
        <f t="shared" si="644"/>
        <v>0</v>
      </c>
      <c r="O145" s="35">
        <f t="shared" si="644"/>
        <v>0</v>
      </c>
      <c r="P145" s="35">
        <f t="shared" si="644"/>
        <v>0</v>
      </c>
      <c r="Q145" s="35">
        <f t="shared" si="644"/>
        <v>0</v>
      </c>
      <c r="R145" s="35">
        <f t="shared" si="644"/>
        <v>0</v>
      </c>
      <c r="S145" s="35">
        <f t="shared" si="644"/>
        <v>0</v>
      </c>
      <c r="T145" s="35">
        <f t="shared" si="644"/>
        <v>0</v>
      </c>
      <c r="U145" s="35">
        <f t="shared" si="644"/>
        <v>0</v>
      </c>
      <c r="V145" s="35">
        <f t="shared" si="644"/>
        <v>0</v>
      </c>
      <c r="W145" s="35">
        <f t="shared" si="644"/>
        <v>-79686.847639058775</v>
      </c>
      <c r="X145" s="35">
        <f t="shared" si="644"/>
        <v>-124266.8830757579</v>
      </c>
      <c r="Y145" s="35">
        <f t="shared" si="644"/>
        <v>-13153.868698911363</v>
      </c>
      <c r="Z145" s="35">
        <f t="shared" si="644"/>
        <v>-46882.672671407418</v>
      </c>
      <c r="AA145" s="35">
        <f t="shared" si="644"/>
        <v>-44489.540688302019</v>
      </c>
      <c r="AB145" s="35">
        <f t="shared" si="644"/>
        <v>0</v>
      </c>
      <c r="AC145" s="35">
        <f t="shared" si="644"/>
        <v>0</v>
      </c>
      <c r="AD145" s="35">
        <f t="shared" si="644"/>
        <v>0</v>
      </c>
      <c r="AE145" s="35">
        <f t="shared" si="644"/>
        <v>0</v>
      </c>
      <c r="AF145" s="35">
        <f t="shared" si="644"/>
        <v>0</v>
      </c>
      <c r="AG145" s="35">
        <f t="shared" si="644"/>
        <v>0</v>
      </c>
      <c r="AH145" s="35">
        <f t="shared" si="644"/>
        <v>0</v>
      </c>
      <c r="AI145" s="35">
        <f t="shared" si="644"/>
        <v>0</v>
      </c>
      <c r="AJ145" s="35">
        <f t="shared" si="644"/>
        <v>0</v>
      </c>
      <c r="AK145" s="35">
        <f t="shared" si="644"/>
        <v>0</v>
      </c>
      <c r="AL145" s="35">
        <f t="shared" si="644"/>
        <v>0</v>
      </c>
      <c r="AM145" s="35">
        <f t="shared" si="644"/>
        <v>0</v>
      </c>
      <c r="AN145" s="35">
        <f t="shared" si="644"/>
        <v>0</v>
      </c>
      <c r="AO145" s="35">
        <f t="shared" si="644"/>
        <v>0</v>
      </c>
      <c r="AP145" s="35">
        <f t="shared" si="644"/>
        <v>0</v>
      </c>
      <c r="AQ145" s="35">
        <f t="shared" si="644"/>
        <v>0</v>
      </c>
      <c r="AR145" s="35">
        <f t="shared" si="644"/>
        <v>0</v>
      </c>
      <c r="AS145" s="35">
        <f t="shared" si="644"/>
        <v>0</v>
      </c>
      <c r="AT145" s="35">
        <f t="shared" si="644"/>
        <v>0</v>
      </c>
      <c r="AU145" s="35">
        <f t="shared" si="644"/>
        <v>0</v>
      </c>
      <c r="AV145" s="35">
        <f t="shared" si="644"/>
        <v>0</v>
      </c>
      <c r="AW145" s="35">
        <f t="shared" si="644"/>
        <v>0</v>
      </c>
      <c r="AX145" s="35">
        <f t="shared" si="644"/>
        <v>0</v>
      </c>
      <c r="AY145" s="35">
        <f t="shared" si="644"/>
        <v>0</v>
      </c>
      <c r="AZ145" s="35">
        <f t="shared" si="644"/>
        <v>0</v>
      </c>
      <c r="BA145" s="35">
        <f t="shared" si="644"/>
        <v>0</v>
      </c>
      <c r="BB145" s="35">
        <f t="shared" si="644"/>
        <v>0</v>
      </c>
      <c r="BC145" s="35">
        <f t="shared" si="644"/>
        <v>0</v>
      </c>
      <c r="BD145" s="35">
        <f t="shared" si="644"/>
        <v>0</v>
      </c>
      <c r="BE145" s="35">
        <f t="shared" si="644"/>
        <v>0</v>
      </c>
      <c r="BF145" s="35">
        <f t="shared" si="644"/>
        <v>0</v>
      </c>
      <c r="BG145" s="35">
        <f t="shared" si="644"/>
        <v>0</v>
      </c>
      <c r="BH145" s="35">
        <f t="shared" si="644"/>
        <v>0</v>
      </c>
      <c r="BI145" s="35">
        <f t="shared" si="644"/>
        <v>0</v>
      </c>
      <c r="BJ145" s="35">
        <f t="shared" si="644"/>
        <v>0</v>
      </c>
      <c r="BK145" s="35">
        <f t="shared" si="644"/>
        <v>0</v>
      </c>
      <c r="BL145" s="35">
        <f t="shared" si="644"/>
        <v>0</v>
      </c>
      <c r="BM145" s="35">
        <f t="shared" si="644"/>
        <v>0</v>
      </c>
      <c r="BN145" s="35">
        <f t="shared" si="644"/>
        <v>0</v>
      </c>
      <c r="BO145" s="35">
        <f t="shared" si="644"/>
        <v>0</v>
      </c>
      <c r="BP145" s="35">
        <f t="shared" si="644"/>
        <v>0</v>
      </c>
      <c r="BQ145" s="35">
        <f t="shared" si="644"/>
        <v>0</v>
      </c>
      <c r="BR145" s="35">
        <f t="shared" si="644"/>
        <v>0</v>
      </c>
      <c r="BS145" s="35">
        <f t="shared" si="644"/>
        <v>0</v>
      </c>
      <c r="BT145" s="35">
        <f t="shared" si="644"/>
        <v>0</v>
      </c>
      <c r="BU145" s="35">
        <f t="shared" si="644"/>
        <v>0</v>
      </c>
      <c r="BV145" s="35">
        <f t="shared" si="644"/>
        <v>0</v>
      </c>
      <c r="BW145" s="35">
        <f t="shared" si="644"/>
        <v>0</v>
      </c>
      <c r="BX145" s="35">
        <f t="shared" si="644"/>
        <v>0</v>
      </c>
      <c r="BY145" s="35">
        <f t="shared" si="644"/>
        <v>0</v>
      </c>
      <c r="BZ145" s="35">
        <f t="shared" si="644"/>
        <v>0</v>
      </c>
      <c r="CA145" s="35">
        <f t="shared" si="644"/>
        <v>0</v>
      </c>
      <c r="CB145" s="35">
        <f t="shared" si="644"/>
        <v>0</v>
      </c>
      <c r="CC145" s="35">
        <f t="shared" si="644"/>
        <v>0</v>
      </c>
      <c r="CD145" s="35">
        <f t="shared" si="644"/>
        <v>0</v>
      </c>
      <c r="CE145" s="35">
        <f t="shared" si="644"/>
        <v>0</v>
      </c>
      <c r="CF145" s="35">
        <f t="shared" si="644"/>
        <v>0</v>
      </c>
      <c r="CG145" s="35">
        <f t="shared" si="644"/>
        <v>0</v>
      </c>
      <c r="CH145" s="35">
        <f t="shared" si="644"/>
        <v>0</v>
      </c>
      <c r="CI145" s="35">
        <f t="shared" si="644"/>
        <v>0</v>
      </c>
      <c r="CJ145" s="35">
        <f t="shared" si="644"/>
        <v>0</v>
      </c>
      <c r="CK145" s="35">
        <f t="shared" si="644"/>
        <v>0</v>
      </c>
      <c r="CL145" s="35">
        <f t="shared" si="644"/>
        <v>0</v>
      </c>
      <c r="CM145" s="35">
        <f t="shared" si="644"/>
        <v>0</v>
      </c>
      <c r="CN145" s="35">
        <f t="shared" si="644"/>
        <v>0</v>
      </c>
      <c r="CO145" s="35"/>
    </row>
    <row r="146" spans="1:93" ht="12.75" customHeight="1" outlineLevel="1">
      <c r="A146" s="35"/>
      <c r="B146" s="54" t="s">
        <v>230</v>
      </c>
      <c r="C146" s="55"/>
      <c r="D146" s="58">
        <f t="shared" ref="D146:CN146" si="645">SUM(D143:D145)</f>
        <v>0</v>
      </c>
      <c r="E146" s="55">
        <f t="shared" si="645"/>
        <v>0</v>
      </c>
      <c r="F146" s="55">
        <f t="shared" si="645"/>
        <v>0</v>
      </c>
      <c r="G146" s="55">
        <f t="shared" si="645"/>
        <v>0</v>
      </c>
      <c r="H146" s="55">
        <f t="shared" si="645"/>
        <v>700</v>
      </c>
      <c r="I146" s="55">
        <f t="shared" si="645"/>
        <v>1400</v>
      </c>
      <c r="J146" s="55">
        <f t="shared" si="645"/>
        <v>2100</v>
      </c>
      <c r="K146" s="55">
        <f t="shared" si="645"/>
        <v>2800</v>
      </c>
      <c r="L146" s="55">
        <f t="shared" si="645"/>
        <v>3500</v>
      </c>
      <c r="M146" s="55">
        <f t="shared" si="645"/>
        <v>4200</v>
      </c>
      <c r="N146" s="55">
        <f t="shared" si="645"/>
        <v>5217.3077343749992</v>
      </c>
      <c r="O146" s="55">
        <f t="shared" si="645"/>
        <v>12980.697031249998</v>
      </c>
      <c r="P146" s="55">
        <f t="shared" si="645"/>
        <v>29399.210273437493</v>
      </c>
      <c r="Q146" s="55">
        <f t="shared" si="645"/>
        <v>55009.880273437491</v>
      </c>
      <c r="R146" s="55">
        <f t="shared" si="645"/>
        <v>90003.484648437487</v>
      </c>
      <c r="S146" s="55">
        <f t="shared" si="645"/>
        <v>132281.84589843749</v>
      </c>
      <c r="T146" s="55">
        <f t="shared" si="645"/>
        <v>183457.68039843749</v>
      </c>
      <c r="U146" s="55">
        <f t="shared" si="645"/>
        <v>242335.11839843748</v>
      </c>
      <c r="V146" s="55">
        <f t="shared" si="645"/>
        <v>308479.81277343747</v>
      </c>
      <c r="W146" s="55">
        <f t="shared" si="645"/>
        <v>228792.9651343787</v>
      </c>
      <c r="X146" s="55">
        <f t="shared" si="645"/>
        <v>104526.0820586208</v>
      </c>
      <c r="Y146" s="55">
        <f t="shared" si="645"/>
        <v>91372.213359709436</v>
      </c>
      <c r="Z146" s="55">
        <f t="shared" si="645"/>
        <v>44489.540688302019</v>
      </c>
      <c r="AA146" s="55">
        <f t="shared" si="645"/>
        <v>0</v>
      </c>
      <c r="AB146" s="55">
        <f t="shared" si="645"/>
        <v>0</v>
      </c>
      <c r="AC146" s="55">
        <f t="shared" si="645"/>
        <v>0</v>
      </c>
      <c r="AD146" s="55">
        <f t="shared" si="645"/>
        <v>0</v>
      </c>
      <c r="AE146" s="55">
        <f t="shared" si="645"/>
        <v>0</v>
      </c>
      <c r="AF146" s="55">
        <f t="shared" si="645"/>
        <v>0</v>
      </c>
      <c r="AG146" s="55">
        <f t="shared" si="645"/>
        <v>0</v>
      </c>
      <c r="AH146" s="55">
        <f t="shared" si="645"/>
        <v>0</v>
      </c>
      <c r="AI146" s="55">
        <f t="shared" si="645"/>
        <v>0</v>
      </c>
      <c r="AJ146" s="55">
        <f t="shared" si="645"/>
        <v>0</v>
      </c>
      <c r="AK146" s="55">
        <f t="shared" si="645"/>
        <v>0</v>
      </c>
      <c r="AL146" s="55">
        <f t="shared" si="645"/>
        <v>0</v>
      </c>
      <c r="AM146" s="55">
        <f t="shared" si="645"/>
        <v>0</v>
      </c>
      <c r="AN146" s="55">
        <f t="shared" si="645"/>
        <v>0</v>
      </c>
      <c r="AO146" s="55">
        <f t="shared" si="645"/>
        <v>0</v>
      </c>
      <c r="AP146" s="55">
        <f t="shared" si="645"/>
        <v>0</v>
      </c>
      <c r="AQ146" s="55">
        <f t="shared" si="645"/>
        <v>0</v>
      </c>
      <c r="AR146" s="55">
        <f t="shared" si="645"/>
        <v>0</v>
      </c>
      <c r="AS146" s="55">
        <f t="shared" si="645"/>
        <v>0</v>
      </c>
      <c r="AT146" s="55">
        <f t="shared" si="645"/>
        <v>0</v>
      </c>
      <c r="AU146" s="55">
        <f t="shared" si="645"/>
        <v>0</v>
      </c>
      <c r="AV146" s="55">
        <f t="shared" si="645"/>
        <v>0</v>
      </c>
      <c r="AW146" s="55">
        <f t="shared" si="645"/>
        <v>0</v>
      </c>
      <c r="AX146" s="55">
        <f t="shared" si="645"/>
        <v>0</v>
      </c>
      <c r="AY146" s="55">
        <f t="shared" si="645"/>
        <v>0</v>
      </c>
      <c r="AZ146" s="55">
        <f t="shared" si="645"/>
        <v>0</v>
      </c>
      <c r="BA146" s="55">
        <f t="shared" si="645"/>
        <v>0</v>
      </c>
      <c r="BB146" s="55">
        <f t="shared" si="645"/>
        <v>0</v>
      </c>
      <c r="BC146" s="55">
        <f t="shared" si="645"/>
        <v>0</v>
      </c>
      <c r="BD146" s="55">
        <f t="shared" si="645"/>
        <v>0</v>
      </c>
      <c r="BE146" s="55">
        <f t="shared" si="645"/>
        <v>0</v>
      </c>
      <c r="BF146" s="55">
        <f t="shared" si="645"/>
        <v>0</v>
      </c>
      <c r="BG146" s="55">
        <f t="shared" si="645"/>
        <v>0</v>
      </c>
      <c r="BH146" s="55">
        <f t="shared" si="645"/>
        <v>0</v>
      </c>
      <c r="BI146" s="55">
        <f t="shared" si="645"/>
        <v>0</v>
      </c>
      <c r="BJ146" s="55">
        <f t="shared" si="645"/>
        <v>0</v>
      </c>
      <c r="BK146" s="55">
        <f t="shared" si="645"/>
        <v>0</v>
      </c>
      <c r="BL146" s="55">
        <f t="shared" si="645"/>
        <v>0</v>
      </c>
      <c r="BM146" s="55">
        <f t="shared" si="645"/>
        <v>0</v>
      </c>
      <c r="BN146" s="55">
        <f t="shared" si="645"/>
        <v>0</v>
      </c>
      <c r="BO146" s="55">
        <f t="shared" si="645"/>
        <v>0</v>
      </c>
      <c r="BP146" s="55">
        <f t="shared" si="645"/>
        <v>0</v>
      </c>
      <c r="BQ146" s="55">
        <f t="shared" si="645"/>
        <v>0</v>
      </c>
      <c r="BR146" s="55">
        <f t="shared" si="645"/>
        <v>0</v>
      </c>
      <c r="BS146" s="55">
        <f t="shared" si="645"/>
        <v>0</v>
      </c>
      <c r="BT146" s="55">
        <f t="shared" si="645"/>
        <v>0</v>
      </c>
      <c r="BU146" s="55">
        <f t="shared" si="645"/>
        <v>0</v>
      </c>
      <c r="BV146" s="55">
        <f t="shared" si="645"/>
        <v>0</v>
      </c>
      <c r="BW146" s="55">
        <f t="shared" si="645"/>
        <v>0</v>
      </c>
      <c r="BX146" s="55">
        <f t="shared" si="645"/>
        <v>0</v>
      </c>
      <c r="BY146" s="55">
        <f t="shared" si="645"/>
        <v>0</v>
      </c>
      <c r="BZ146" s="55">
        <f t="shared" si="645"/>
        <v>0</v>
      </c>
      <c r="CA146" s="55">
        <f t="shared" si="645"/>
        <v>0</v>
      </c>
      <c r="CB146" s="55">
        <f t="shared" si="645"/>
        <v>0</v>
      </c>
      <c r="CC146" s="55">
        <f t="shared" si="645"/>
        <v>0</v>
      </c>
      <c r="CD146" s="55">
        <f t="shared" si="645"/>
        <v>0</v>
      </c>
      <c r="CE146" s="55">
        <f t="shared" si="645"/>
        <v>0</v>
      </c>
      <c r="CF146" s="55">
        <f t="shared" si="645"/>
        <v>0</v>
      </c>
      <c r="CG146" s="55">
        <f t="shared" si="645"/>
        <v>0</v>
      </c>
      <c r="CH146" s="55">
        <f t="shared" si="645"/>
        <v>0</v>
      </c>
      <c r="CI146" s="55">
        <f t="shared" si="645"/>
        <v>0</v>
      </c>
      <c r="CJ146" s="55">
        <f t="shared" si="645"/>
        <v>0</v>
      </c>
      <c r="CK146" s="55">
        <f t="shared" si="645"/>
        <v>0</v>
      </c>
      <c r="CL146" s="55">
        <f t="shared" si="645"/>
        <v>0</v>
      </c>
      <c r="CM146" s="55">
        <f t="shared" si="645"/>
        <v>0</v>
      </c>
      <c r="CN146" s="55">
        <f t="shared" si="645"/>
        <v>0</v>
      </c>
      <c r="CO146" s="35"/>
    </row>
    <row r="147" spans="1:93" ht="12.75" customHeight="1" outlineLevel="1">
      <c r="A147" s="35"/>
      <c r="B147" s="35"/>
      <c r="C147" s="35"/>
      <c r="D147" s="60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</row>
    <row r="148" spans="1:93" ht="12.75" customHeight="1" outlineLevel="1">
      <c r="A148" s="35"/>
      <c r="B148" s="35" t="s">
        <v>231</v>
      </c>
      <c r="C148" s="35"/>
      <c r="D148" s="60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</row>
    <row r="149" spans="1:93" ht="12.75" customHeight="1" outlineLevel="1">
      <c r="A149" s="35"/>
      <c r="B149" s="49" t="s">
        <v>228</v>
      </c>
      <c r="C149" s="50"/>
      <c r="D149" s="53">
        <v>0</v>
      </c>
      <c r="E149" s="50">
        <f t="shared" ref="E149:CN149" si="646">D152</f>
        <v>0</v>
      </c>
      <c r="F149" s="50">
        <f t="shared" si="646"/>
        <v>0</v>
      </c>
      <c r="G149" s="50">
        <f t="shared" si="646"/>
        <v>0</v>
      </c>
      <c r="H149" s="50">
        <f t="shared" si="646"/>
        <v>0</v>
      </c>
      <c r="I149" s="50">
        <f t="shared" si="646"/>
        <v>0</v>
      </c>
      <c r="J149" s="50">
        <f t="shared" si="646"/>
        <v>0</v>
      </c>
      <c r="K149" s="50">
        <f t="shared" si="646"/>
        <v>0</v>
      </c>
      <c r="L149" s="50">
        <f t="shared" si="646"/>
        <v>0</v>
      </c>
      <c r="M149" s="50">
        <f t="shared" si="646"/>
        <v>0</v>
      </c>
      <c r="N149" s="50">
        <f t="shared" si="646"/>
        <v>0</v>
      </c>
      <c r="O149" s="50">
        <f t="shared" si="646"/>
        <v>0</v>
      </c>
      <c r="P149" s="50">
        <f t="shared" si="646"/>
        <v>0</v>
      </c>
      <c r="Q149" s="50">
        <f t="shared" si="646"/>
        <v>0</v>
      </c>
      <c r="R149" s="50">
        <f t="shared" si="646"/>
        <v>0</v>
      </c>
      <c r="S149" s="50">
        <f t="shared" si="646"/>
        <v>0</v>
      </c>
      <c r="T149" s="50">
        <f t="shared" si="646"/>
        <v>0</v>
      </c>
      <c r="U149" s="50">
        <f t="shared" si="646"/>
        <v>0</v>
      </c>
      <c r="V149" s="50">
        <f t="shared" si="646"/>
        <v>0</v>
      </c>
      <c r="W149" s="50">
        <f t="shared" si="646"/>
        <v>568.49263480589161</v>
      </c>
      <c r="X149" s="50">
        <f t="shared" si="646"/>
        <v>0</v>
      </c>
      <c r="Y149" s="50">
        <f t="shared" si="646"/>
        <v>0</v>
      </c>
      <c r="Z149" s="50">
        <f t="shared" si="646"/>
        <v>0</v>
      </c>
      <c r="AA149" s="50">
        <f t="shared" si="646"/>
        <v>0</v>
      </c>
      <c r="AB149" s="50">
        <f t="shared" si="646"/>
        <v>0</v>
      </c>
      <c r="AC149" s="50">
        <f t="shared" si="646"/>
        <v>0</v>
      </c>
      <c r="AD149" s="50">
        <f t="shared" si="646"/>
        <v>0</v>
      </c>
      <c r="AE149" s="50">
        <f t="shared" si="646"/>
        <v>0</v>
      </c>
      <c r="AF149" s="50">
        <f t="shared" si="646"/>
        <v>0</v>
      </c>
      <c r="AG149" s="50">
        <f t="shared" si="646"/>
        <v>0</v>
      </c>
      <c r="AH149" s="50">
        <f t="shared" si="646"/>
        <v>0</v>
      </c>
      <c r="AI149" s="50">
        <f t="shared" si="646"/>
        <v>0</v>
      </c>
      <c r="AJ149" s="50">
        <f t="shared" si="646"/>
        <v>0</v>
      </c>
      <c r="AK149" s="50">
        <f t="shared" si="646"/>
        <v>0</v>
      </c>
      <c r="AL149" s="50">
        <f t="shared" si="646"/>
        <v>0</v>
      </c>
      <c r="AM149" s="50">
        <f t="shared" si="646"/>
        <v>0</v>
      </c>
      <c r="AN149" s="50">
        <f t="shared" si="646"/>
        <v>0</v>
      </c>
      <c r="AO149" s="50">
        <f t="shared" si="646"/>
        <v>0</v>
      </c>
      <c r="AP149" s="50">
        <f t="shared" si="646"/>
        <v>0</v>
      </c>
      <c r="AQ149" s="50">
        <f t="shared" si="646"/>
        <v>0</v>
      </c>
      <c r="AR149" s="50">
        <f t="shared" si="646"/>
        <v>0</v>
      </c>
      <c r="AS149" s="50">
        <f t="shared" si="646"/>
        <v>0</v>
      </c>
      <c r="AT149" s="50">
        <f t="shared" si="646"/>
        <v>0</v>
      </c>
      <c r="AU149" s="50">
        <f t="shared" si="646"/>
        <v>0</v>
      </c>
      <c r="AV149" s="50">
        <f t="shared" si="646"/>
        <v>0</v>
      </c>
      <c r="AW149" s="50">
        <f t="shared" si="646"/>
        <v>0</v>
      </c>
      <c r="AX149" s="50">
        <f t="shared" si="646"/>
        <v>0</v>
      </c>
      <c r="AY149" s="50">
        <f t="shared" si="646"/>
        <v>0</v>
      </c>
      <c r="AZ149" s="50">
        <f t="shared" si="646"/>
        <v>0</v>
      </c>
      <c r="BA149" s="50">
        <f t="shared" si="646"/>
        <v>0</v>
      </c>
      <c r="BB149" s="50">
        <f t="shared" si="646"/>
        <v>0</v>
      </c>
      <c r="BC149" s="50">
        <f t="shared" si="646"/>
        <v>0</v>
      </c>
      <c r="BD149" s="50">
        <f t="shared" si="646"/>
        <v>0</v>
      </c>
      <c r="BE149" s="50">
        <f t="shared" si="646"/>
        <v>0</v>
      </c>
      <c r="BF149" s="50">
        <f t="shared" si="646"/>
        <v>0</v>
      </c>
      <c r="BG149" s="50">
        <f t="shared" si="646"/>
        <v>0</v>
      </c>
      <c r="BH149" s="50">
        <f t="shared" si="646"/>
        <v>0</v>
      </c>
      <c r="BI149" s="50">
        <f t="shared" si="646"/>
        <v>0</v>
      </c>
      <c r="BJ149" s="50">
        <f t="shared" si="646"/>
        <v>0</v>
      </c>
      <c r="BK149" s="50">
        <f t="shared" si="646"/>
        <v>0</v>
      </c>
      <c r="BL149" s="50">
        <f t="shared" si="646"/>
        <v>0</v>
      </c>
      <c r="BM149" s="50">
        <f t="shared" si="646"/>
        <v>0</v>
      </c>
      <c r="BN149" s="50">
        <f t="shared" si="646"/>
        <v>0</v>
      </c>
      <c r="BO149" s="50">
        <f t="shared" si="646"/>
        <v>0</v>
      </c>
      <c r="BP149" s="50">
        <f t="shared" si="646"/>
        <v>0</v>
      </c>
      <c r="BQ149" s="50">
        <f t="shared" si="646"/>
        <v>0</v>
      </c>
      <c r="BR149" s="50">
        <f t="shared" si="646"/>
        <v>0</v>
      </c>
      <c r="BS149" s="50">
        <f t="shared" si="646"/>
        <v>0</v>
      </c>
      <c r="BT149" s="50">
        <f t="shared" si="646"/>
        <v>0</v>
      </c>
      <c r="BU149" s="50">
        <f t="shared" si="646"/>
        <v>0</v>
      </c>
      <c r="BV149" s="50">
        <f t="shared" si="646"/>
        <v>0</v>
      </c>
      <c r="BW149" s="50">
        <f t="shared" si="646"/>
        <v>0</v>
      </c>
      <c r="BX149" s="50">
        <f t="shared" si="646"/>
        <v>0</v>
      </c>
      <c r="BY149" s="50">
        <f t="shared" si="646"/>
        <v>0</v>
      </c>
      <c r="BZ149" s="50">
        <f t="shared" si="646"/>
        <v>0</v>
      </c>
      <c r="CA149" s="50">
        <f t="shared" si="646"/>
        <v>0</v>
      </c>
      <c r="CB149" s="50">
        <f t="shared" si="646"/>
        <v>0</v>
      </c>
      <c r="CC149" s="50">
        <f t="shared" si="646"/>
        <v>0</v>
      </c>
      <c r="CD149" s="50">
        <f t="shared" si="646"/>
        <v>0</v>
      </c>
      <c r="CE149" s="50">
        <f t="shared" si="646"/>
        <v>0</v>
      </c>
      <c r="CF149" s="50">
        <f t="shared" si="646"/>
        <v>0</v>
      </c>
      <c r="CG149" s="50">
        <f t="shared" si="646"/>
        <v>0</v>
      </c>
      <c r="CH149" s="50">
        <f t="shared" si="646"/>
        <v>0</v>
      </c>
      <c r="CI149" s="50">
        <f t="shared" si="646"/>
        <v>0</v>
      </c>
      <c r="CJ149" s="50">
        <f t="shared" si="646"/>
        <v>0</v>
      </c>
      <c r="CK149" s="50">
        <f t="shared" si="646"/>
        <v>0</v>
      </c>
      <c r="CL149" s="50">
        <f t="shared" si="646"/>
        <v>0</v>
      </c>
      <c r="CM149" s="50">
        <f t="shared" si="646"/>
        <v>0</v>
      </c>
      <c r="CN149" s="50">
        <f t="shared" si="646"/>
        <v>0</v>
      </c>
      <c r="CO149" s="35"/>
    </row>
    <row r="150" spans="1:93" ht="12.75" customHeight="1" outlineLevel="1">
      <c r="A150" s="35"/>
      <c r="B150" s="63" t="s">
        <v>232</v>
      </c>
      <c r="C150" s="35">
        <f t="shared" ref="C150:C151" si="647">SUM(D150:CN150)</f>
        <v>1348816.1110597649</v>
      </c>
      <c r="D150" s="60">
        <f>-SUM(D32:D35,D37:D40,D43:D55)*Assump!$D$25-D75/(1+Assump!$D$25)*Assump!$D$25</f>
        <v>0</v>
      </c>
      <c r="E150" s="35">
        <f>-SUM(E32:E35,E37:E40,E43:E55)*Assump!$D$25-E75/(1+Assump!$D$25)*Assump!$D$25</f>
        <v>0</v>
      </c>
      <c r="F150" s="35">
        <f>-SUM(F32:F35,F37:F40,F43:F55)*Assump!$D$25-F75/(1+Assump!$D$25)*Assump!$D$25</f>
        <v>0</v>
      </c>
      <c r="G150" s="35">
        <f>-SUM(G32:G35,G37:G40,G43:G55)*Assump!$D$25-G75/(1+Assump!$D$25)*Assump!$D$25</f>
        <v>0</v>
      </c>
      <c r="H150" s="35">
        <f>-SUM(H32:H35,H37:H40,H43:H55)*Assump!$D$25-H75/(1+Assump!$D$25)*Assump!$D$25</f>
        <v>0</v>
      </c>
      <c r="I150" s="35">
        <f>-SUM(I32:I35,I37:I40,I43:I55)*Assump!$D$25-I75/(1+Assump!$D$25)*Assump!$D$25</f>
        <v>0</v>
      </c>
      <c r="J150" s="35">
        <f>-SUM(J32:J35,J37:J40,J43:J55)*Assump!$D$25-J75/(1+Assump!$D$25)*Assump!$D$25</f>
        <v>0</v>
      </c>
      <c r="K150" s="35">
        <f>-SUM(K32:K35,K37:K40,K43:K55)*Assump!$D$25-K75/(1+Assump!$D$25)*Assump!$D$25</f>
        <v>0</v>
      </c>
      <c r="L150" s="35">
        <f>-SUM(L32:L35,L37:L40,L43:L55)*Assump!$D$25-L75/(1+Assump!$D$25)*Assump!$D$25</f>
        <v>0</v>
      </c>
      <c r="M150" s="35">
        <f>-SUM(M32:M35,M37:M40,M43:M55)*Assump!$D$25-M75/(1+Assump!$D$25)*Assump!$D$25</f>
        <v>0</v>
      </c>
      <c r="N150" s="35">
        <f>-SUM(N32:N35,N37:N40,N43:N55)*Assump!$D$25-N75/(1+Assump!$D$25)*Assump!$D$25</f>
        <v>0</v>
      </c>
      <c r="O150" s="35">
        <f>-SUM(O32:O35,O37:O40,O43:O55)*Assump!$D$25-O75/(1+Assump!$D$25)*Assump!$D$25</f>
        <v>0</v>
      </c>
      <c r="P150" s="35">
        <f>-SUM(P32:P35,P37:P40,P43:P55)*Assump!$D$25-P75/(1+Assump!$D$25)*Assump!$D$25</f>
        <v>0</v>
      </c>
      <c r="Q150" s="35">
        <f>-SUM(Q32:Q35,Q37:Q40,Q43:Q55)*Assump!$D$25-Q75/(1+Assump!$D$25)*Assump!$D$25</f>
        <v>0</v>
      </c>
      <c r="R150" s="35">
        <f>-SUM(R32:R35,R37:R40,R43:R55)*Assump!$D$25-R75/(1+Assump!$D$25)*Assump!$D$25</f>
        <v>0</v>
      </c>
      <c r="S150" s="35">
        <f>-SUM(S32:S35,S37:S40,S43:S55)*Assump!$D$25-S75/(1+Assump!$D$25)*Assump!$D$25</f>
        <v>0</v>
      </c>
      <c r="T150" s="35">
        <f>-SUM(T32:T35,T37:T40,T43:T55)*Assump!$D$25-T75/(1+Assump!$D$25)*Assump!$D$25</f>
        <v>0</v>
      </c>
      <c r="U150" s="35">
        <f>-SUM(U32:U35,U37:U40,U43:U55)*Assump!$D$25-U75/(1+Assump!$D$25)*Assump!$D$25</f>
        <v>0</v>
      </c>
      <c r="V150" s="35">
        <f>-SUM(V32:V35,V37:V40,V43:V55)*Assump!$D$25-V75/(1+Assump!$D$25)*Assump!$D$25</f>
        <v>568.49263480589161</v>
      </c>
      <c r="W150" s="35">
        <f>-SUM(W32:W35,W37:W40,W43:W55)*Assump!$D$25-W75/(1+Assump!$D$25)*Assump!$D$25</f>
        <v>14141.237588362179</v>
      </c>
      <c r="X150" s="35">
        <f>-SUM(X32:X35,X37:X40,X43:X55)*Assump!$D$25-X75/(1+Assump!$D$25)*Assump!$D$25</f>
        <v>15371.384304693818</v>
      </c>
      <c r="Y150" s="35">
        <f>-SUM(Y32:Y35,Y37:Y40,Y43:Y55)*Assump!$D$25-Y75/(1+Assump!$D$25)*Assump!$D$25</f>
        <v>11042.047207170559</v>
      </c>
      <c r="Z150" s="35">
        <f>-SUM(Z32:Z35,Z37:Z40,Z43:Z55)*Assump!$D$25-Z75/(1+Assump!$D$25)*Assump!$D$25</f>
        <v>12800.284365400248</v>
      </c>
      <c r="AA150" s="35">
        <f>-SUM(AA32:AA35,AA37:AA40,AA43:AA55)*Assump!$D$25-AA75/(1+Assump!$D$25)*Assump!$D$25</f>
        <v>14836.048341541884</v>
      </c>
      <c r="AB150" s="35">
        <f>-SUM(AB32:AB35,AB37:AB40,AB43:AB55)*Assump!$D$25-AB75/(1+Assump!$D$25)*Assump!$D$25</f>
        <v>16126.879760755148</v>
      </c>
      <c r="AC150" s="35">
        <f>-SUM(AC32:AC35,AC37:AC40,AC43:AC55)*Assump!$D$25-AC75/(1+Assump!$D$25)*Assump!$D$25</f>
        <v>11596.016320839188</v>
      </c>
      <c r="AD150" s="35">
        <f>-SUM(AD32:AD35,AD37:AD40,AD43:AD55)*Assump!$D$25-AD75/(1+Assump!$D$25)*Assump!$D$25</f>
        <v>13594.703097053294</v>
      </c>
      <c r="AE150" s="35">
        <f>-SUM(AE32:AE35,AE37:AE40,AE43:AE55)*Assump!$D$25-AE75/(1+Assump!$D$25)*Assump!$D$25</f>
        <v>15758.642304946898</v>
      </c>
      <c r="AF150" s="35">
        <f>-SUM(AF32:AF35,AF37:AF40,AF43:AF55)*Assump!$D$25-AF75/(1+Assump!$D$25)*Assump!$D$25</f>
        <v>17126.861264089792</v>
      </c>
      <c r="AG150" s="35">
        <f>-SUM(AG32:AG35,AG37:AG40,AG43:AG55)*Assump!$D$25-AG75/(1+Assump!$D$25)*Assump!$D$25</f>
        <v>12386.992115261834</v>
      </c>
      <c r="AH150" s="35">
        <f>-SUM(AH32:AH35,AH37:AH40,AH43:AH55)*Assump!$D$25-AH75/(1+Assump!$D$25)*Assump!$D$25</f>
        <v>15285.59921850204</v>
      </c>
      <c r="AI150" s="35">
        <f>-SUM(AI32:AI35,AI37:AI40,AI43:AI55)*Assump!$D$25-AI75/(1+Assump!$D$25)*Assump!$D$25</f>
        <v>16960.918116385525</v>
      </c>
      <c r="AJ150" s="35">
        <f>-SUM(AJ32:AJ35,AJ37:AJ40,AJ43:AJ55)*Assump!$D$25-AJ75/(1+Assump!$D$25)*Assump!$D$25</f>
        <v>13940.177969811022</v>
      </c>
      <c r="AK150" s="35">
        <f>-SUM(AK32:AK35,AK37:AK40,AK43:AK55)*Assump!$D$25-AK75/(1+Assump!$D$25)*Assump!$D$25</f>
        <v>13889.554275953247</v>
      </c>
      <c r="AL150" s="35">
        <f>-SUM(AL32:AL35,AL37:AL40,AL43:AL55)*Assump!$D$25-AL75/(1+Assump!$D$25)*Assump!$D$25</f>
        <v>16239.71030307147</v>
      </c>
      <c r="AM150" s="35">
        <f>-SUM(AM32:AM35,AM37:AM40,AM43:AM55)*Assump!$D$25-AM75/(1+Assump!$D$25)*Assump!$D$25</f>
        <v>18012.283413266534</v>
      </c>
      <c r="AN150" s="35">
        <f>-SUM(AN32:AN35,AN37:AN40,AN43:AN55)*Assump!$D$25-AN75/(1+Assump!$D$25)*Assump!$D$25</f>
        <v>14858.920595601294</v>
      </c>
      <c r="AO150" s="35">
        <f>-SUM(AO32:AO35,AO37:AO40,AO43:AO55)*Assump!$D$25-AO75/(1+Assump!$D$25)*Assump!$D$25</f>
        <v>15645.751004676802</v>
      </c>
      <c r="AP150" s="35">
        <f>-SUM(AP32:AP35,AP37:AP40,AP43:AP55)*Assump!$D$25-AP75/(1+Assump!$D$25)*Assump!$D$25</f>
        <v>17486.756699225887</v>
      </c>
      <c r="AQ150" s="35">
        <f>-SUM(AQ32:AQ35,AQ37:AQ40,AQ43:AQ55)*Assump!$D$25-AQ75/(1+Assump!$D$25)*Assump!$D$25</f>
        <v>14667.719908572435</v>
      </c>
      <c r="AR150" s="35">
        <f>-SUM(AR32:AR35,AR37:AR40,AR43:AR55)*Assump!$D$25-AR75/(1+Assump!$D$25)*Assump!$D$25</f>
        <v>16529.239808056096</v>
      </c>
      <c r="AS150" s="35">
        <f>-SUM(AS32:AS35,AS37:AS40,AS43:AS55)*Assump!$D$25-AS75/(1+Assump!$D$25)*Assump!$D$25</f>
        <v>16627.361234737178</v>
      </c>
      <c r="AT150" s="35">
        <f>-SUM(AT32:AT35,AT37:AT40,AT43:AT55)*Assump!$D$25-AT75/(1+Assump!$D$25)*Assump!$D$25</f>
        <v>18574.579894801995</v>
      </c>
      <c r="AU150" s="35">
        <f>-SUM(AU32:AU35,AU37:AU40,AU43:AU55)*Assump!$D$25-AU75/(1+Assump!$D$25)*Assump!$D$25</f>
        <v>15633.926317665761</v>
      </c>
      <c r="AV150" s="35">
        <f>-SUM(AV32:AV35,AV37:AV40,AV43:AV55)*Assump!$D$25-AV75/(1+Assump!$D$25)*Assump!$D$25</f>
        <v>18470.506764131089</v>
      </c>
      <c r="AW150" s="35">
        <f>-SUM(AW32:AW35,AW37:AW40,AW43:AW55)*Assump!$D$25-AW75/(1+Assump!$D$25)*Assump!$D$25</f>
        <v>17915.543221524935</v>
      </c>
      <c r="AX150" s="35">
        <f>-SUM(AX32:AX35,AX37:AX40,AX43:AX55)*Assump!$D$25-AX75/(1+Assump!$D$25)*Assump!$D$25</f>
        <v>15045.872330416805</v>
      </c>
      <c r="AY150" s="35">
        <f>-SUM(AY32:AY35,AY37:AY40,AY43:AY55)*Assump!$D$25-AY75/(1+Assump!$D$25)*Assump!$D$25</f>
        <v>17389.364475357528</v>
      </c>
      <c r="AZ150" s="35">
        <f>-SUM(AZ32:AZ35,AZ37:AZ40,AZ43:AZ55)*Assump!$D$25-AZ75/(1+Assump!$D$25)*Assump!$D$25</f>
        <v>19603.320916155502</v>
      </c>
      <c r="BA150" s="35">
        <f>-SUM(BA32:BA35,BA37:BA40,BA43:BA55)*Assump!$D$25-BA75/(1+Assump!$D$25)*Assump!$D$25</f>
        <v>19035.480011246731</v>
      </c>
      <c r="BB150" s="35">
        <f>-SUM(BB32:BB35,BB37:BB40,BB43:BB55)*Assump!$D$25-BB75/(1+Assump!$D$25)*Assump!$D$25</f>
        <v>16042.627381285583</v>
      </c>
      <c r="BC150" s="35">
        <f>-SUM(BC32:BC35,BC37:BC40,BC43:BC55)*Assump!$D$25-BC75/(1+Assump!$D$25)*Assump!$D$25</f>
        <v>19429.377913081196</v>
      </c>
      <c r="BD150" s="35">
        <f>-SUM(BD32:BD35,BD37:BD40,BD43:BD55)*Assump!$D$25-BD75/(1+Assump!$D$25)*Assump!$D$25</f>
        <v>21063.141583266715</v>
      </c>
      <c r="BE150" s="35">
        <f>-SUM(BE32:BE35,BE37:BE40,BE43:BE55)*Assump!$D$25-BE75/(1+Assump!$D$25)*Assump!$D$25</f>
        <v>15306.945624727507</v>
      </c>
      <c r="BF150" s="35">
        <f>-SUM(BF32:BF35,BF37:BF40,BF43:BF55)*Assump!$D$25-BF75/(1+Assump!$D$25)*Assump!$D$25</f>
        <v>17867.187684248755</v>
      </c>
      <c r="BG150" s="35">
        <f>-SUM(BG32:BG35,BG37:BG40,BG43:BG55)*Assump!$D$25-BG75/(1+Assump!$D$25)*Assump!$D$25</f>
        <v>20620.600063244005</v>
      </c>
      <c r="BH150" s="35">
        <f>-SUM(BH32:BH35,BH37:BH40,BH43:BH55)*Assump!$D$25-BH75/(1+Assump!$D$25)*Assump!$D$25</f>
        <v>22351.666272507886</v>
      </c>
      <c r="BI150" s="35">
        <f>-SUM(BI32:BI35,BI37:BI40,BI43:BI55)*Assump!$D$25-BI75/(1+Assump!$D$25)*Assump!$D$25</f>
        <v>16328.977412029215</v>
      </c>
      <c r="BJ150" s="35">
        <f>-SUM(BJ32:BJ35,BJ37:BJ40,BJ43:BJ55)*Assump!$D$25-BJ75/(1+Assump!$D$25)*Assump!$D$25</f>
        <v>19989.619543114786</v>
      </c>
      <c r="BK150" s="35">
        <f>-SUM(BK32:BK35,BK37:BK40,BK43:BK55)*Assump!$D$25-BK75/(1+Assump!$D$25)*Assump!$D$25</f>
        <v>22155.267418774823</v>
      </c>
      <c r="BL150" s="35">
        <f>-SUM(BL32:BL35,BL37:BL40,BL43:BL55)*Assump!$D$25-BL75/(1+Assump!$D$25)*Assump!$D$25</f>
        <v>18554.925779697638</v>
      </c>
      <c r="BM150" s="35">
        <f>-SUM(BM32:BM35,BM37:BM40,BM43:BM55)*Assump!$D$25-BM75/(1+Assump!$D$25)*Assump!$D$25</f>
        <v>18218.976663224519</v>
      </c>
      <c r="BN150" s="35">
        <f>-SUM(BN32:BN35,BN37:BN40,BN43:BN55)*Assump!$D$25-BN75/(1+Assump!$D$25)*Assump!$D$25</f>
        <v>21219.841437504718</v>
      </c>
      <c r="BO150" s="35">
        <f>-SUM(BO32:BO35,BO37:BO40,BO43:BO55)*Assump!$D$25-BO75/(1+Assump!$D$25)*Assump!$D$25</f>
        <v>23510.166780295291</v>
      </c>
      <c r="BP150" s="35">
        <f>-SUM(BP32:BP35,BP37:BP40,BP43:BP55)*Assump!$D$25-BP75/(1+Assump!$D$25)*Assump!$D$25</f>
        <v>19752.190800051125</v>
      </c>
      <c r="BQ150" s="35">
        <f>-SUM(BQ32:BQ35,BQ37:BQ40,BQ43:BQ55)*Assump!$D$25-BQ75/(1+Assump!$D$25)*Assump!$D$25</f>
        <v>20420.45159477201</v>
      </c>
      <c r="BR150" s="35">
        <f>-SUM(BR32:BR35,BR37:BR40,BR43:BR55)*Assump!$D$25-BR75/(1+Assump!$D$25)*Assump!$D$25</f>
        <v>22809.652729366986</v>
      </c>
      <c r="BS150" s="35">
        <f>-SUM(BS32:BS35,BS37:BS40,BS43:BS55)*Assump!$D$25-BS75/(1+Assump!$D$25)*Assump!$D$25</f>
        <v>19525.63512255262</v>
      </c>
      <c r="BT150" s="35">
        <f>-SUM(BT32:BT35,BT37:BT40,BT43:BT55)*Assump!$D$25-BT75/(1+Assump!$D$25)*Assump!$D$25</f>
        <v>21867.028239677213</v>
      </c>
      <c r="BU150" s="35">
        <f>-SUM(BU32:BU35,BU37:BU40,BU43:BU55)*Assump!$D$25-BU75/(1+Assump!$D$25)*Assump!$D$25</f>
        <v>21683.752137606516</v>
      </c>
      <c r="BV150" s="35">
        <f>-SUM(BV32:BV35,BV37:BV40,BV43:BV55)*Assump!$D$25-BV75/(1+Assump!$D$25)*Assump!$D$25</f>
        <v>24209.628155946149</v>
      </c>
      <c r="BW150" s="35">
        <f>-SUM(BW32:BW35,BW37:BW40,BW43:BW55)*Assump!$D$25-BW75/(1+Assump!$D$25)*Assump!$D$25</f>
        <v>20784.911546617288</v>
      </c>
      <c r="BX150" s="35">
        <f>-SUM(BX32:BX35,BX37:BX40,BX43:BX55)*Assump!$D$25-BX75/(1+Assump!$D$25)*Assump!$D$25</f>
        <v>24315.432054966659</v>
      </c>
      <c r="BY150" s="35">
        <f>-SUM(BY32:BY35,BY37:BY40,BY43:BY55)*Assump!$D$25-BY75/(1+Assump!$D$25)*Assump!$D$25</f>
        <v>23323.199925473229</v>
      </c>
      <c r="BZ150" s="35">
        <f>-SUM(BZ32:BZ35,BZ37:BZ40,BZ43:BZ55)*Assump!$D$25-BZ75/(1+Assump!$D$25)*Assump!$D$25</f>
        <v>20002.067567148162</v>
      </c>
      <c r="CA150" s="35">
        <f>-SUM(CA32:CA35,CA37:CA40,CA43:CA55)*Assump!$D$25-CA75/(1+Assump!$D$25)*Assump!$D$25</f>
        <v>23007.746418552873</v>
      </c>
      <c r="CB150" s="35">
        <f>-SUM(CB32:CB35,CB37:CB40,CB43:CB55)*Assump!$D$25-CB75/(1+Assump!$D$25)*Assump!$D$25</f>
        <v>25785.595518965689</v>
      </c>
      <c r="CC150" s="35">
        <f>-SUM(CC32:CC35,CC37:CC40,CC43:CC55)*Assump!$D$25-CC75/(1+Assump!$D$25)*Assump!$D$25</f>
        <v>24761.827351363241</v>
      </c>
      <c r="CD150" s="35">
        <f>-SUM(CD32:CD35,CD37:CD40,CD43:CD55)*Assump!$D$25-CD75/(1+Assump!$D$25)*Assump!$D$25</f>
        <v>21299.315346839459</v>
      </c>
      <c r="CE150" s="35">
        <f>-SUM(CE32:CE35,CE37:CE40,CE43:CE55)*Assump!$D$25-CE75/(1+Assump!$D$25)*Assump!$D$25</f>
        <v>25580.938762951369</v>
      </c>
      <c r="CF150" s="35">
        <f>-SUM(CF32:CF35,CF37:CF40,CF43:CF55)*Assump!$D$25-CF75/(1+Assump!$D$25)*Assump!$D$25</f>
        <v>27657.898484949681</v>
      </c>
      <c r="CG150" s="35">
        <f>-SUM(CG32:CG35,CG37:CG40,CG43:CG55)*Assump!$D$25-CG75/(1+Assump!$D$25)*Assump!$D$25</f>
        <v>20310.974622506346</v>
      </c>
      <c r="CH150" s="35">
        <f>-SUM(CH32:CH35,CH37:CH40,CH43:CH55)*Assump!$D$25-CH75/(1+Assump!$D$25)*Assump!$D$25</f>
        <v>23607.049873516382</v>
      </c>
      <c r="CI150" s="35">
        <f>-SUM(CI32:CI35,CI37:CI40,CI43:CI55)*Assump!$D$25-CI75/(1+Assump!$D$25)*Assump!$D$25</f>
        <v>27127.097155412172</v>
      </c>
      <c r="CJ150" s="35">
        <f>-SUM(CJ32:CJ35,CJ37:CJ40,CJ43:CJ55)*Assump!$D$25-CJ75/(1+Assump!$D$25)*Assump!$D$25</f>
        <v>29326.884210294338</v>
      </c>
      <c r="CK150" s="35">
        <f>-SUM(CK32:CK35,CK37:CK40,CK43:CK55)*Assump!$D$25-CK75/(1+Assump!$D$25)*Assump!$D$25</f>
        <v>21638.524975032244</v>
      </c>
      <c r="CL150" s="35">
        <f>-SUM(CL32:CL35,CL37:CL40,CL43:CL55)*Assump!$D$25-CL75/(1+Assump!$D$25)*Assump!$D$25</f>
        <v>26281.347641836601</v>
      </c>
      <c r="CM150" s="35">
        <f>-SUM(CM32:CM35,CM37:CM40,CM43:CM55)*Assump!$D$25-CM75/(1+Assump!$D$25)*Assump!$D$25</f>
        <v>29095.626362720279</v>
      </c>
      <c r="CN150" s="35">
        <f>-SUM(CN32:CN35,CN37:CN40,CN43:CN55)*Assump!$D$25-CN75/(1+Assump!$D$25)*Assump!$D$25</f>
        <v>24819.837119562737</v>
      </c>
      <c r="CO150" s="35"/>
    </row>
    <row r="151" spans="1:93" ht="12.75" customHeight="1" outlineLevel="1">
      <c r="A151" s="35"/>
      <c r="B151" s="63" t="s">
        <v>233</v>
      </c>
      <c r="C151" s="35">
        <f t="shared" si="647"/>
        <v>-4824765.1002241382</v>
      </c>
      <c r="D151" s="60">
        <f>-SUM(D19:D26)*Assump!$D$25</f>
        <v>0</v>
      </c>
      <c r="E151" s="35">
        <f>-SUM(E19:E26)*Assump!$D$25</f>
        <v>0</v>
      </c>
      <c r="F151" s="35">
        <f>-SUM(F19:F26)*Assump!$D$25</f>
        <v>0</v>
      </c>
      <c r="G151" s="35">
        <f>-SUM(G19:G26)*Assump!$D$25</f>
        <v>0</v>
      </c>
      <c r="H151" s="35">
        <f>-SUM(H19:H26)*Assump!$D$25</f>
        <v>0</v>
      </c>
      <c r="I151" s="35">
        <f>-SUM(I19:I26)*Assump!$D$25</f>
        <v>0</v>
      </c>
      <c r="J151" s="35">
        <f>-SUM(J19:J26)*Assump!$D$25</f>
        <v>0</v>
      </c>
      <c r="K151" s="35">
        <f>-SUM(K19:K26)*Assump!$D$25</f>
        <v>0</v>
      </c>
      <c r="L151" s="35">
        <f>-SUM(L19:L26)*Assump!$D$25</f>
        <v>0</v>
      </c>
      <c r="M151" s="35">
        <f>-SUM(M19:M26)*Assump!$D$25</f>
        <v>0</v>
      </c>
      <c r="N151" s="35">
        <f>-SUM(N19:N26)*Assump!$D$25</f>
        <v>0</v>
      </c>
      <c r="O151" s="35">
        <f>-SUM(O19:O26)*Assump!$D$25</f>
        <v>0</v>
      </c>
      <c r="P151" s="35">
        <f>-SUM(P19:P26)*Assump!$D$25</f>
        <v>0</v>
      </c>
      <c r="Q151" s="35">
        <f>-SUM(Q19:Q26)*Assump!$D$25</f>
        <v>0</v>
      </c>
      <c r="R151" s="35">
        <f>-SUM(R19:R26)*Assump!$D$25</f>
        <v>0</v>
      </c>
      <c r="S151" s="35">
        <f>-SUM(S19:S26)*Assump!$D$25</f>
        <v>0</v>
      </c>
      <c r="T151" s="35">
        <f>-SUM(T19:T26)*Assump!$D$25</f>
        <v>0</v>
      </c>
      <c r="U151" s="35">
        <f>-SUM(U19:U26)*Assump!$D$25</f>
        <v>0</v>
      </c>
      <c r="V151" s="35">
        <f>-SUM(V19:V26)*Assump!$D$25</f>
        <v>0</v>
      </c>
      <c r="W151" s="35">
        <f>-SUM(W19:W26)*Assump!$D$25</f>
        <v>-55477.960321577651</v>
      </c>
      <c r="X151" s="35">
        <f>-SUM(X19:X26)*Assump!$D$25</f>
        <v>-67018.771060642946</v>
      </c>
      <c r="Y151" s="35">
        <f>-SUM(Y19:Y26)*Assump!$D$25</f>
        <v>-36410.828503900593</v>
      </c>
      <c r="Z151" s="35">
        <f>-SUM(Z19:Z26)*Assump!$D$25</f>
        <v>-46076.543360722688</v>
      </c>
      <c r="AA151" s="35">
        <f>-SUM(AA19:AA26)*Assump!$D$25</f>
        <v>-57816.910919127113</v>
      </c>
      <c r="AB151" s="35">
        <f>-SUM(AB19:AB26)*Assump!$D$25</f>
        <v>-69896.884706666853</v>
      </c>
      <c r="AC151" s="35">
        <f>-SUM(AC19:AC26)*Assump!$D$25</f>
        <v>-37844.808442717978</v>
      </c>
      <c r="AD151" s="35">
        <f>-SUM(AD19:AD26)*Assump!$D$25</f>
        <v>-50159.434332037614</v>
      </c>
      <c r="AE151" s="35">
        <f>-SUM(AE19:AE26)*Assump!$D$25</f>
        <v>-62826.077482610453</v>
      </c>
      <c r="AF151" s="35">
        <f>-SUM(AF19:AF26)*Assump!$D$25</f>
        <v>-75825.356614397897</v>
      </c>
      <c r="AG151" s="35">
        <f>-SUM(AG19:AG26)*Assump!$D$25</f>
        <v>-41306.38234185896</v>
      </c>
      <c r="AH151" s="35">
        <f>-SUM(AH19:AH26)*Assump!$D$25</f>
        <v>-60707.756465083483</v>
      </c>
      <c r="AI151" s="35">
        <f>-SUM(AI19:AI26)*Assump!$D$25</f>
        <v>-73391.728942000191</v>
      </c>
      <c r="AJ151" s="35">
        <f>-SUM(AJ19:AJ26)*Assump!$D$25</f>
        <v>-39737.048864853874</v>
      </c>
      <c r="AK151" s="35">
        <f>-SUM(AK19:AK26)*Assump!$D$25</f>
        <v>-52667.406048639496</v>
      </c>
      <c r="AL151" s="35">
        <f>-SUM(AL19:AL26)*Assump!$D$25</f>
        <v>-65967.381356740967</v>
      </c>
      <c r="AM151" s="35">
        <f>-SUM(AM19:AM26)*Assump!$D$25</f>
        <v>-79616.624445117806</v>
      </c>
      <c r="AN151" s="35">
        <f>-SUM(AN19:AN26)*Assump!$D$25</f>
        <v>-43371.701458951902</v>
      </c>
      <c r="AO151" s="35">
        <f>-SUM(AO19:AO26)*Assump!$D$25</f>
        <v>-63743.144288337651</v>
      </c>
      <c r="AP151" s="35">
        <f>-SUM(AP19:AP26)*Assump!$D$25</f>
        <v>-77061.315389100215</v>
      </c>
      <c r="AQ151" s="35">
        <f>-SUM(AQ19:AQ26)*Assump!$D$25</f>
        <v>-41723.901308096574</v>
      </c>
      <c r="AR151" s="35">
        <f>-SUM(AR19:AR26)*Assump!$D$25</f>
        <v>-55300.776351071465</v>
      </c>
      <c r="AS151" s="35">
        <f>-SUM(AS19:AS26)*Assump!$D$25</f>
        <v>-69265.750424578015</v>
      </c>
      <c r="AT151" s="35">
        <f>-SUM(AT19:AT26)*Assump!$D$25</f>
        <v>-83597.455667373695</v>
      </c>
      <c r="AU151" s="35">
        <f>-SUM(AU19:AU26)*Assump!$D$25</f>
        <v>-45540.286531899503</v>
      </c>
      <c r="AV151" s="35">
        <f>-SUM(AV19:AV26)*Assump!$D$25</f>
        <v>-66930.301502754548</v>
      </c>
      <c r="AW151" s="35">
        <f>-SUM(AW19:AW26)*Assump!$D$25</f>
        <v>-80914.381158555232</v>
      </c>
      <c r="AX151" s="35">
        <f>-SUM(AX19:AX26)*Assump!$D$25</f>
        <v>-43810.096373501408</v>
      </c>
      <c r="AY151" s="35">
        <f>-SUM(AY19:AY26)*Assump!$D$25</f>
        <v>-58065.815168625049</v>
      </c>
      <c r="AZ151" s="35">
        <f>-SUM(AZ19:AZ26)*Assump!$D$25</f>
        <v>-72729.037945806922</v>
      </c>
      <c r="BA151" s="35">
        <f>-SUM(BA19:BA26)*Assump!$D$25</f>
        <v>-87777.328450742367</v>
      </c>
      <c r="BB151" s="35">
        <f>-SUM(BB19:BB26)*Assump!$D$25</f>
        <v>-47817.300858494476</v>
      </c>
      <c r="BC151" s="35">
        <f>-SUM(BC19:BC26)*Assump!$D$25</f>
        <v>-70276.81657789227</v>
      </c>
      <c r="BD151" s="35">
        <f>-SUM(BD19:BD26)*Assump!$D$25</f>
        <v>-84960.100216482999</v>
      </c>
      <c r="BE151" s="35">
        <f>-SUM(BE19:BE26)*Assump!$D$25</f>
        <v>-46000.60119217648</v>
      </c>
      <c r="BF151" s="35">
        <f>-SUM(BF19:BF26)*Assump!$D$25</f>
        <v>-60969.105927056298</v>
      </c>
      <c r="BG151" s="35">
        <f>-SUM(BG19:BG26)*Assump!$D$25</f>
        <v>-76365.489843097268</v>
      </c>
      <c r="BH151" s="35">
        <f>-SUM(BH19:BH26)*Assump!$D$25</f>
        <v>-92166.194873279514</v>
      </c>
      <c r="BI151" s="35">
        <f>-SUM(BI19:BI26)*Assump!$D$25</f>
        <v>-50208.165901419197</v>
      </c>
      <c r="BJ151" s="35">
        <f>-SUM(BJ19:BJ26)*Assump!$D$25</f>
        <v>-73790.657406786893</v>
      </c>
      <c r="BK151" s="35">
        <f>-SUM(BK19:BK26)*Assump!$D$25</f>
        <v>-89208.105227307155</v>
      </c>
      <c r="BL151" s="35">
        <f>-SUM(BL19:BL26)*Assump!$D$25</f>
        <v>-48300.6312517853</v>
      </c>
      <c r="BM151" s="35">
        <f>-SUM(BM19:BM26)*Assump!$D$25</f>
        <v>-64017.561223409117</v>
      </c>
      <c r="BN151" s="35">
        <f>-SUM(BN19:BN26)*Assump!$D$25</f>
        <v>-80183.764335252141</v>
      </c>
      <c r="BO151" s="35">
        <f>-SUM(BO19:BO26)*Assump!$D$25</f>
        <v>-96774.504616943479</v>
      </c>
      <c r="BP151" s="35">
        <f>-SUM(BP19:BP26)*Assump!$D$25</f>
        <v>-52718.574196490168</v>
      </c>
      <c r="BQ151" s="35">
        <f>-SUM(BQ19:BQ26)*Assump!$D$25</f>
        <v>-77480.190277126239</v>
      </c>
      <c r="BR151" s="35">
        <f>-SUM(BR19:BR26)*Assump!$D$25</f>
        <v>-93668.510488672502</v>
      </c>
      <c r="BS151" s="35">
        <f>-SUM(BS19:BS26)*Assump!$D$25</f>
        <v>-50715.662814374577</v>
      </c>
      <c r="BT151" s="35">
        <f>-SUM(BT19:BT26)*Assump!$D$25</f>
        <v>-67218.439284579581</v>
      </c>
      <c r="BU151" s="35">
        <f>-SUM(BU19:BU26)*Assump!$D$25</f>
        <v>-84192.952552014773</v>
      </c>
      <c r="BV151" s="35">
        <f>-SUM(BV19:BV26)*Assump!$D$25</f>
        <v>-101613.22984779067</v>
      </c>
      <c r="BW151" s="35">
        <f>-SUM(BW19:BW26)*Assump!$D$25</f>
        <v>-55354.502906314679</v>
      </c>
      <c r="BX151" s="35">
        <f>-SUM(BX19:BX26)*Assump!$D$25</f>
        <v>-81354.199790982559</v>
      </c>
      <c r="BY151" s="35">
        <f>-SUM(BY19:BY26)*Assump!$D$25</f>
        <v>-98351.93601310614</v>
      </c>
      <c r="BZ151" s="35">
        <f>-SUM(BZ19:BZ26)*Assump!$D$25</f>
        <v>-53251.445955093302</v>
      </c>
      <c r="CA151" s="35">
        <f>-SUM(CA19:CA26)*Assump!$D$25</f>
        <v>-70579.361248808564</v>
      </c>
      <c r="CB151" s="35">
        <f>-SUM(CB19:CB26)*Assump!$D$25</f>
        <v>-88402.600179615503</v>
      </c>
      <c r="CC151" s="35">
        <f>-SUM(CC19:CC26)*Assump!$D$25</f>
        <v>-106693.89134018021</v>
      </c>
      <c r="CD151" s="35">
        <f>-SUM(CD19:CD26)*Assump!$D$25</f>
        <v>-58122.228051630409</v>
      </c>
      <c r="CE151" s="35">
        <f>-SUM(CE19:CE26)*Assump!$D$25</f>
        <v>-85421.909780531685</v>
      </c>
      <c r="CF151" s="35">
        <f>-SUM(CF19:CF26)*Assump!$D$25</f>
        <v>-103269.53281376144</v>
      </c>
      <c r="CG151" s="35">
        <f>-SUM(CG19:CG26)*Assump!$D$25</f>
        <v>-55914.018252847978</v>
      </c>
      <c r="CH151" s="35">
        <f>-SUM(CH19:CH26)*Assump!$D$25</f>
        <v>-74108.329311248992</v>
      </c>
      <c r="CI151" s="35">
        <f>-SUM(CI19:CI26)*Assump!$D$25</f>
        <v>-92822.730188596281</v>
      </c>
      <c r="CJ151" s="35">
        <f>-SUM(CJ19:CJ26)*Assump!$D$25</f>
        <v>-112028.5859071892</v>
      </c>
      <c r="CK151" s="35">
        <f>-SUM(CK19:CK26)*Assump!$D$25</f>
        <v>-61028.339454211935</v>
      </c>
      <c r="CL151" s="35">
        <f>-SUM(CL19:CL26)*Assump!$D$25</f>
        <v>-89693.005269558271</v>
      </c>
      <c r="CM151" s="35">
        <f>-SUM(CM19:CM26)*Assump!$D$25</f>
        <v>-108433.00945444952</v>
      </c>
      <c r="CN151" s="35">
        <f>-SUM(CN19:CN26)*Assump!$D$25</f>
        <v>-58709.719165490373</v>
      </c>
      <c r="CO151" s="35"/>
    </row>
    <row r="152" spans="1:93" ht="12.75" customHeight="1" outlineLevel="1">
      <c r="A152" s="88"/>
      <c r="B152" s="110" t="s">
        <v>230</v>
      </c>
      <c r="C152" s="111"/>
      <c r="D152" s="58">
        <f t="shared" ref="D152:CN152" si="648">MAX(SUM(D149:D151),0)</f>
        <v>0</v>
      </c>
      <c r="E152" s="111">
        <f t="shared" si="648"/>
        <v>0</v>
      </c>
      <c r="F152" s="111">
        <f t="shared" si="648"/>
        <v>0</v>
      </c>
      <c r="G152" s="111">
        <f t="shared" si="648"/>
        <v>0</v>
      </c>
      <c r="H152" s="111">
        <f t="shared" si="648"/>
        <v>0</v>
      </c>
      <c r="I152" s="111">
        <f t="shared" si="648"/>
        <v>0</v>
      </c>
      <c r="J152" s="111">
        <f t="shared" si="648"/>
        <v>0</v>
      </c>
      <c r="K152" s="111">
        <f t="shared" si="648"/>
        <v>0</v>
      </c>
      <c r="L152" s="111">
        <f t="shared" si="648"/>
        <v>0</v>
      </c>
      <c r="M152" s="111">
        <f t="shared" si="648"/>
        <v>0</v>
      </c>
      <c r="N152" s="111">
        <f t="shared" si="648"/>
        <v>0</v>
      </c>
      <c r="O152" s="111">
        <f t="shared" si="648"/>
        <v>0</v>
      </c>
      <c r="P152" s="111">
        <f t="shared" si="648"/>
        <v>0</v>
      </c>
      <c r="Q152" s="111">
        <f t="shared" si="648"/>
        <v>0</v>
      </c>
      <c r="R152" s="111">
        <f t="shared" si="648"/>
        <v>0</v>
      </c>
      <c r="S152" s="111">
        <f t="shared" si="648"/>
        <v>0</v>
      </c>
      <c r="T152" s="111">
        <f t="shared" si="648"/>
        <v>0</v>
      </c>
      <c r="U152" s="111">
        <f t="shared" si="648"/>
        <v>0</v>
      </c>
      <c r="V152" s="111">
        <f t="shared" si="648"/>
        <v>568.49263480589161</v>
      </c>
      <c r="W152" s="111">
        <f t="shared" si="648"/>
        <v>0</v>
      </c>
      <c r="X152" s="111">
        <f t="shared" si="648"/>
        <v>0</v>
      </c>
      <c r="Y152" s="111">
        <f t="shared" si="648"/>
        <v>0</v>
      </c>
      <c r="Z152" s="111">
        <f t="shared" si="648"/>
        <v>0</v>
      </c>
      <c r="AA152" s="111">
        <f t="shared" si="648"/>
        <v>0</v>
      </c>
      <c r="AB152" s="111">
        <f t="shared" si="648"/>
        <v>0</v>
      </c>
      <c r="AC152" s="111">
        <f t="shared" si="648"/>
        <v>0</v>
      </c>
      <c r="AD152" s="111">
        <f t="shared" si="648"/>
        <v>0</v>
      </c>
      <c r="AE152" s="111">
        <f t="shared" si="648"/>
        <v>0</v>
      </c>
      <c r="AF152" s="111">
        <f t="shared" si="648"/>
        <v>0</v>
      </c>
      <c r="AG152" s="111">
        <f t="shared" si="648"/>
        <v>0</v>
      </c>
      <c r="AH152" s="111">
        <f t="shared" si="648"/>
        <v>0</v>
      </c>
      <c r="AI152" s="111">
        <f t="shared" si="648"/>
        <v>0</v>
      </c>
      <c r="AJ152" s="111">
        <f t="shared" si="648"/>
        <v>0</v>
      </c>
      <c r="AK152" s="55">
        <f t="shared" si="648"/>
        <v>0</v>
      </c>
      <c r="AL152" s="111">
        <f t="shared" si="648"/>
        <v>0</v>
      </c>
      <c r="AM152" s="111">
        <f t="shared" si="648"/>
        <v>0</v>
      </c>
      <c r="AN152" s="111">
        <f t="shared" si="648"/>
        <v>0</v>
      </c>
      <c r="AO152" s="111">
        <f t="shared" si="648"/>
        <v>0</v>
      </c>
      <c r="AP152" s="111">
        <f t="shared" si="648"/>
        <v>0</v>
      </c>
      <c r="AQ152" s="111">
        <f t="shared" si="648"/>
        <v>0</v>
      </c>
      <c r="AR152" s="111">
        <f t="shared" si="648"/>
        <v>0</v>
      </c>
      <c r="AS152" s="111">
        <f t="shared" si="648"/>
        <v>0</v>
      </c>
      <c r="AT152" s="111">
        <f t="shared" si="648"/>
        <v>0</v>
      </c>
      <c r="AU152" s="111">
        <f t="shared" si="648"/>
        <v>0</v>
      </c>
      <c r="AV152" s="111">
        <f t="shared" si="648"/>
        <v>0</v>
      </c>
      <c r="AW152" s="111">
        <f t="shared" si="648"/>
        <v>0</v>
      </c>
      <c r="AX152" s="111">
        <f t="shared" si="648"/>
        <v>0</v>
      </c>
      <c r="AY152" s="111">
        <f t="shared" si="648"/>
        <v>0</v>
      </c>
      <c r="AZ152" s="111">
        <f t="shared" si="648"/>
        <v>0</v>
      </c>
      <c r="BA152" s="111">
        <f t="shared" si="648"/>
        <v>0</v>
      </c>
      <c r="BB152" s="111">
        <f t="shared" si="648"/>
        <v>0</v>
      </c>
      <c r="BC152" s="111">
        <f t="shared" si="648"/>
        <v>0</v>
      </c>
      <c r="BD152" s="111">
        <f t="shared" si="648"/>
        <v>0</v>
      </c>
      <c r="BE152" s="111">
        <f t="shared" si="648"/>
        <v>0</v>
      </c>
      <c r="BF152" s="111">
        <f t="shared" si="648"/>
        <v>0</v>
      </c>
      <c r="BG152" s="111">
        <f t="shared" si="648"/>
        <v>0</v>
      </c>
      <c r="BH152" s="111">
        <f t="shared" si="648"/>
        <v>0</v>
      </c>
      <c r="BI152" s="111">
        <f t="shared" si="648"/>
        <v>0</v>
      </c>
      <c r="BJ152" s="111">
        <f t="shared" si="648"/>
        <v>0</v>
      </c>
      <c r="BK152" s="111">
        <f t="shared" si="648"/>
        <v>0</v>
      </c>
      <c r="BL152" s="111">
        <f t="shared" si="648"/>
        <v>0</v>
      </c>
      <c r="BM152" s="111">
        <f t="shared" si="648"/>
        <v>0</v>
      </c>
      <c r="BN152" s="111">
        <f t="shared" si="648"/>
        <v>0</v>
      </c>
      <c r="BO152" s="111">
        <f t="shared" si="648"/>
        <v>0</v>
      </c>
      <c r="BP152" s="111">
        <f t="shared" si="648"/>
        <v>0</v>
      </c>
      <c r="BQ152" s="111">
        <f t="shared" si="648"/>
        <v>0</v>
      </c>
      <c r="BR152" s="111">
        <f t="shared" si="648"/>
        <v>0</v>
      </c>
      <c r="BS152" s="111">
        <f t="shared" si="648"/>
        <v>0</v>
      </c>
      <c r="BT152" s="111">
        <f t="shared" si="648"/>
        <v>0</v>
      </c>
      <c r="BU152" s="111">
        <f t="shared" si="648"/>
        <v>0</v>
      </c>
      <c r="BV152" s="111">
        <f t="shared" si="648"/>
        <v>0</v>
      </c>
      <c r="BW152" s="111">
        <f t="shared" si="648"/>
        <v>0</v>
      </c>
      <c r="BX152" s="111">
        <f t="shared" si="648"/>
        <v>0</v>
      </c>
      <c r="BY152" s="111">
        <f t="shared" si="648"/>
        <v>0</v>
      </c>
      <c r="BZ152" s="111">
        <f t="shared" si="648"/>
        <v>0</v>
      </c>
      <c r="CA152" s="111">
        <f t="shared" si="648"/>
        <v>0</v>
      </c>
      <c r="CB152" s="111">
        <f t="shared" si="648"/>
        <v>0</v>
      </c>
      <c r="CC152" s="111">
        <f t="shared" si="648"/>
        <v>0</v>
      </c>
      <c r="CD152" s="111">
        <f t="shared" si="648"/>
        <v>0</v>
      </c>
      <c r="CE152" s="111">
        <f t="shared" si="648"/>
        <v>0</v>
      </c>
      <c r="CF152" s="111">
        <f t="shared" si="648"/>
        <v>0</v>
      </c>
      <c r="CG152" s="111">
        <f t="shared" si="648"/>
        <v>0</v>
      </c>
      <c r="CH152" s="111">
        <f t="shared" si="648"/>
        <v>0</v>
      </c>
      <c r="CI152" s="111">
        <f t="shared" si="648"/>
        <v>0</v>
      </c>
      <c r="CJ152" s="111">
        <f t="shared" si="648"/>
        <v>0</v>
      </c>
      <c r="CK152" s="111">
        <f t="shared" si="648"/>
        <v>0</v>
      </c>
      <c r="CL152" s="111">
        <f t="shared" si="648"/>
        <v>0</v>
      </c>
      <c r="CM152" s="111">
        <f t="shared" si="648"/>
        <v>0</v>
      </c>
      <c r="CN152" s="111">
        <f t="shared" si="648"/>
        <v>0</v>
      </c>
      <c r="CO152" s="88"/>
    </row>
    <row r="153" spans="1:93" ht="12.75" customHeight="1" outlineLevel="1">
      <c r="A153" s="88"/>
      <c r="B153" s="89"/>
      <c r="C153" s="88"/>
      <c r="D153" s="60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35"/>
      <c r="AL153" s="88"/>
      <c r="AM153" s="88"/>
      <c r="AN153" s="88"/>
      <c r="AO153" s="88"/>
      <c r="AP153" s="88"/>
      <c r="AQ153" s="88"/>
      <c r="AR153" s="88"/>
      <c r="AS153" s="88"/>
      <c r="AT153" s="88"/>
      <c r="AU153" s="88"/>
      <c r="AV153" s="88"/>
      <c r="AW153" s="88"/>
      <c r="AX153" s="88"/>
      <c r="AY153" s="88"/>
      <c r="AZ153" s="88"/>
      <c r="BA153" s="88"/>
      <c r="BB153" s="88"/>
      <c r="BC153" s="88"/>
      <c r="BD153" s="88"/>
      <c r="BE153" s="88"/>
      <c r="BF153" s="88"/>
      <c r="BG153" s="88"/>
      <c r="BH153" s="88"/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88"/>
      <c r="BT153" s="88"/>
      <c r="BU153" s="88"/>
      <c r="BV153" s="88"/>
      <c r="BW153" s="88"/>
      <c r="BX153" s="88"/>
      <c r="BY153" s="88"/>
      <c r="BZ153" s="88"/>
      <c r="CA153" s="88"/>
      <c r="CB153" s="88"/>
      <c r="CC153" s="88"/>
      <c r="CD153" s="88"/>
      <c r="CE153" s="88"/>
      <c r="CF153" s="88"/>
      <c r="CG153" s="88"/>
      <c r="CH153" s="88"/>
      <c r="CI153" s="88"/>
      <c r="CJ153" s="88"/>
      <c r="CK153" s="88"/>
      <c r="CL153" s="88"/>
      <c r="CM153" s="88"/>
      <c r="CN153" s="88"/>
      <c r="CO153" s="88"/>
    </row>
    <row r="154" spans="1:93" ht="12.75" customHeight="1" outlineLevel="1">
      <c r="A154" s="35"/>
      <c r="B154" s="35" t="s">
        <v>234</v>
      </c>
      <c r="C154" s="35"/>
      <c r="D154" s="60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</row>
    <row r="155" spans="1:93" ht="12.75" customHeight="1" outlineLevel="1">
      <c r="A155" s="35"/>
      <c r="B155" s="49" t="s">
        <v>228</v>
      </c>
      <c r="C155" s="50"/>
      <c r="D155" s="53">
        <v>0</v>
      </c>
      <c r="E155" s="50">
        <f t="shared" ref="E155:CN155" si="649">D158</f>
        <v>0</v>
      </c>
      <c r="F155" s="50">
        <f t="shared" si="649"/>
        <v>-581.66666666666674</v>
      </c>
      <c r="G155" s="50">
        <f t="shared" si="649"/>
        <v>-581.66666666666674</v>
      </c>
      <c r="H155" s="50">
        <f t="shared" si="649"/>
        <v>-3958.3333333333339</v>
      </c>
      <c r="I155" s="50">
        <f t="shared" si="649"/>
        <v>-7916.6666666666679</v>
      </c>
      <c r="J155" s="50">
        <f t="shared" si="649"/>
        <v>-7916.6666666666679</v>
      </c>
      <c r="K155" s="50">
        <f t="shared" si="649"/>
        <v>-8766.1111111111113</v>
      </c>
      <c r="L155" s="50">
        <f t="shared" si="649"/>
        <v>-49726.932638888895</v>
      </c>
      <c r="M155" s="50">
        <f t="shared" si="649"/>
        <v>-92424.04305555555</v>
      </c>
      <c r="N155" s="50">
        <f t="shared" si="649"/>
        <v>-99749.963888888873</v>
      </c>
      <c r="O155" s="50">
        <f t="shared" si="649"/>
        <v>-112210.24513888889</v>
      </c>
      <c r="P155" s="50">
        <f t="shared" si="649"/>
        <v>-136899.60451388892</v>
      </c>
      <c r="Q155" s="50">
        <f t="shared" si="649"/>
        <v>-158642.49513888892</v>
      </c>
      <c r="R155" s="50">
        <f t="shared" si="649"/>
        <v>-165111.9211805556</v>
      </c>
      <c r="S155" s="50">
        <f t="shared" si="649"/>
        <v>-148157.25555555557</v>
      </c>
      <c r="T155" s="50">
        <f t="shared" si="649"/>
        <v>-143842.04555555555</v>
      </c>
      <c r="U155" s="50">
        <f t="shared" si="649"/>
        <v>-147547.3488888889</v>
      </c>
      <c r="V155" s="50">
        <f t="shared" si="649"/>
        <v>-133056.53222222225</v>
      </c>
      <c r="W155" s="50">
        <f t="shared" si="649"/>
        <v>-119319.41777777781</v>
      </c>
      <c r="X155" s="50">
        <f t="shared" si="649"/>
        <v>-54721.583333333358</v>
      </c>
      <c r="Y155" s="50">
        <f t="shared" si="649"/>
        <v>0</v>
      </c>
      <c r="Z155" s="50">
        <f t="shared" si="649"/>
        <v>0</v>
      </c>
      <c r="AA155" s="50">
        <f t="shared" si="649"/>
        <v>0</v>
      </c>
      <c r="AB155" s="50">
        <f t="shared" si="649"/>
        <v>0</v>
      </c>
      <c r="AC155" s="50">
        <f t="shared" si="649"/>
        <v>0</v>
      </c>
      <c r="AD155" s="50">
        <f t="shared" si="649"/>
        <v>0</v>
      </c>
      <c r="AE155" s="50">
        <f t="shared" si="649"/>
        <v>0</v>
      </c>
      <c r="AF155" s="50">
        <f t="shared" si="649"/>
        <v>0</v>
      </c>
      <c r="AG155" s="50">
        <f t="shared" si="649"/>
        <v>0</v>
      </c>
      <c r="AH155" s="50">
        <f t="shared" si="649"/>
        <v>0</v>
      </c>
      <c r="AI155" s="50">
        <f t="shared" si="649"/>
        <v>0</v>
      </c>
      <c r="AJ155" s="50">
        <f t="shared" si="649"/>
        <v>0</v>
      </c>
      <c r="AK155" s="50">
        <f t="shared" si="649"/>
        <v>0</v>
      </c>
      <c r="AL155" s="50">
        <f t="shared" si="649"/>
        <v>0</v>
      </c>
      <c r="AM155" s="50">
        <f t="shared" si="649"/>
        <v>0</v>
      </c>
      <c r="AN155" s="50">
        <f t="shared" si="649"/>
        <v>0</v>
      </c>
      <c r="AO155" s="50">
        <f t="shared" si="649"/>
        <v>0</v>
      </c>
      <c r="AP155" s="50">
        <f t="shared" si="649"/>
        <v>0</v>
      </c>
      <c r="AQ155" s="50">
        <f t="shared" si="649"/>
        <v>0</v>
      </c>
      <c r="AR155" s="50">
        <f t="shared" si="649"/>
        <v>0</v>
      </c>
      <c r="AS155" s="50">
        <f t="shared" si="649"/>
        <v>0</v>
      </c>
      <c r="AT155" s="50">
        <f t="shared" si="649"/>
        <v>0</v>
      </c>
      <c r="AU155" s="50">
        <f t="shared" si="649"/>
        <v>0</v>
      </c>
      <c r="AV155" s="50">
        <f t="shared" si="649"/>
        <v>0</v>
      </c>
      <c r="AW155" s="50">
        <f t="shared" si="649"/>
        <v>0</v>
      </c>
      <c r="AX155" s="50">
        <f t="shared" si="649"/>
        <v>0</v>
      </c>
      <c r="AY155" s="50">
        <f t="shared" si="649"/>
        <v>0</v>
      </c>
      <c r="AZ155" s="50">
        <f t="shared" si="649"/>
        <v>0</v>
      </c>
      <c r="BA155" s="50">
        <f t="shared" si="649"/>
        <v>0</v>
      </c>
      <c r="BB155" s="50">
        <f t="shared" si="649"/>
        <v>0</v>
      </c>
      <c r="BC155" s="50">
        <f t="shared" si="649"/>
        <v>0</v>
      </c>
      <c r="BD155" s="50">
        <f t="shared" si="649"/>
        <v>0</v>
      </c>
      <c r="BE155" s="50">
        <f t="shared" si="649"/>
        <v>0</v>
      </c>
      <c r="BF155" s="50">
        <f t="shared" si="649"/>
        <v>0</v>
      </c>
      <c r="BG155" s="50">
        <f t="shared" si="649"/>
        <v>0</v>
      </c>
      <c r="BH155" s="50">
        <f t="shared" si="649"/>
        <v>0</v>
      </c>
      <c r="BI155" s="50">
        <f t="shared" si="649"/>
        <v>0</v>
      </c>
      <c r="BJ155" s="50">
        <f t="shared" si="649"/>
        <v>0</v>
      </c>
      <c r="BK155" s="50">
        <f t="shared" si="649"/>
        <v>0</v>
      </c>
      <c r="BL155" s="50">
        <f t="shared" si="649"/>
        <v>0</v>
      </c>
      <c r="BM155" s="50">
        <f t="shared" si="649"/>
        <v>0</v>
      </c>
      <c r="BN155" s="50">
        <f t="shared" si="649"/>
        <v>0</v>
      </c>
      <c r="BO155" s="50">
        <f t="shared" si="649"/>
        <v>0</v>
      </c>
      <c r="BP155" s="50">
        <f t="shared" si="649"/>
        <v>0</v>
      </c>
      <c r="BQ155" s="50">
        <f t="shared" si="649"/>
        <v>0</v>
      </c>
      <c r="BR155" s="50">
        <f t="shared" si="649"/>
        <v>0</v>
      </c>
      <c r="BS155" s="50">
        <f t="shared" si="649"/>
        <v>0</v>
      </c>
      <c r="BT155" s="50">
        <f t="shared" si="649"/>
        <v>0</v>
      </c>
      <c r="BU155" s="50">
        <f t="shared" si="649"/>
        <v>0</v>
      </c>
      <c r="BV155" s="50">
        <f t="shared" si="649"/>
        <v>0</v>
      </c>
      <c r="BW155" s="50">
        <f t="shared" si="649"/>
        <v>0</v>
      </c>
      <c r="BX155" s="50">
        <f t="shared" si="649"/>
        <v>0</v>
      </c>
      <c r="BY155" s="50">
        <f t="shared" si="649"/>
        <v>0</v>
      </c>
      <c r="BZ155" s="50">
        <f t="shared" si="649"/>
        <v>0</v>
      </c>
      <c r="CA155" s="50">
        <f t="shared" si="649"/>
        <v>0</v>
      </c>
      <c r="CB155" s="50">
        <f t="shared" si="649"/>
        <v>0</v>
      </c>
      <c r="CC155" s="50">
        <f t="shared" si="649"/>
        <v>0</v>
      </c>
      <c r="CD155" s="50">
        <f t="shared" si="649"/>
        <v>0</v>
      </c>
      <c r="CE155" s="50">
        <f t="shared" si="649"/>
        <v>0</v>
      </c>
      <c r="CF155" s="50">
        <f t="shared" si="649"/>
        <v>0</v>
      </c>
      <c r="CG155" s="50">
        <f t="shared" si="649"/>
        <v>0</v>
      </c>
      <c r="CH155" s="50">
        <f t="shared" si="649"/>
        <v>0</v>
      </c>
      <c r="CI155" s="50">
        <f t="shared" si="649"/>
        <v>0</v>
      </c>
      <c r="CJ155" s="50">
        <f t="shared" si="649"/>
        <v>0</v>
      </c>
      <c r="CK155" s="50">
        <f t="shared" si="649"/>
        <v>0</v>
      </c>
      <c r="CL155" s="50">
        <f t="shared" si="649"/>
        <v>0</v>
      </c>
      <c r="CM155" s="50">
        <f t="shared" si="649"/>
        <v>0</v>
      </c>
      <c r="CN155" s="50">
        <f t="shared" si="649"/>
        <v>0</v>
      </c>
      <c r="CO155" s="35"/>
    </row>
    <row r="156" spans="1:93" ht="12.75" customHeight="1" outlineLevel="1">
      <c r="A156" s="35"/>
      <c r="B156" s="63" t="s">
        <v>235</v>
      </c>
      <c r="C156" s="35">
        <f t="shared" ref="C156:C157" si="650">SUM(D156:CN156)</f>
        <v>-795565.25000000012</v>
      </c>
      <c r="D156" s="60">
        <f>D83/(1+Assump!$D$25)*Assump!$D$25</f>
        <v>0</v>
      </c>
      <c r="E156" s="35">
        <f>E83/(1+Assump!$D$25)*Assump!$D$25</f>
        <v>-581.66666666666674</v>
      </c>
      <c r="F156" s="35">
        <f>F83/(1+Assump!$D$25)*Assump!$D$25</f>
        <v>0</v>
      </c>
      <c r="G156" s="35">
        <f>G83/(1+Assump!$D$25)*Assump!$D$25</f>
        <v>-3958.3333333333339</v>
      </c>
      <c r="H156" s="35">
        <f>H83/(1+Assump!$D$25)*Assump!$D$25</f>
        <v>-3958.3333333333339</v>
      </c>
      <c r="I156" s="35">
        <f>I83/(1+Assump!$D$25)*Assump!$D$25</f>
        <v>-3958.3333333333339</v>
      </c>
      <c r="J156" s="35">
        <f>J83/(1+Assump!$D$25)*Assump!$D$25</f>
        <v>-4807.7777777777774</v>
      </c>
      <c r="K156" s="35">
        <f>K83/(1+Assump!$D$25)*Assump!$D$25</f>
        <v>-44919.154861111121</v>
      </c>
      <c r="L156" s="35">
        <f>L83/(1+Assump!$D$25)*Assump!$D$25</f>
        <v>-47504.888194444444</v>
      </c>
      <c r="M156" s="35">
        <f>M83/(1+Assump!$D$25)*Assump!$D$25</f>
        <v>-52245.075694444444</v>
      </c>
      <c r="N156" s="35">
        <f>N83/(1+Assump!$D$25)*Assump!$D$25</f>
        <v>-59965.169444444451</v>
      </c>
      <c r="O156" s="35">
        <f>O83/(1+Assump!$D$25)*Assump!$D$25</f>
        <v>-76934.435069444458</v>
      </c>
      <c r="P156" s="35">
        <f>P83/(1+Assump!$D$25)*Assump!$D$25</f>
        <v>-81708.060069444458</v>
      </c>
      <c r="Q156" s="35">
        <f>Q83/(1+Assump!$D$25)*Assump!$D$25</f>
        <v>-83403.861111111124</v>
      </c>
      <c r="R156" s="35">
        <f>R83/(1+Assump!$D$25)*Assump!$D$25</f>
        <v>-64753.39444444445</v>
      </c>
      <c r="S156" s="35">
        <f>S83/(1+Assump!$D$25)*Assump!$D$25</f>
        <v>-79088.651111111118</v>
      </c>
      <c r="T156" s="35">
        <f>T83/(1+Assump!$D$25)*Assump!$D$25</f>
        <v>-68458.697777777779</v>
      </c>
      <c r="U156" s="35">
        <f>U83/(1+Assump!$D$25)*Assump!$D$25</f>
        <v>-64597.834444444452</v>
      </c>
      <c r="V156" s="35">
        <f>V83/(1+Assump!$D$25)*Assump!$D$25</f>
        <v>-54721.583333333343</v>
      </c>
      <c r="W156" s="35">
        <f>W83/(1+Assump!$D$25)*Assump!$D$25</f>
        <v>0</v>
      </c>
      <c r="X156" s="35">
        <f>X83/(1+Assump!$D$25)*Assump!$D$25</f>
        <v>0</v>
      </c>
      <c r="Y156" s="35">
        <f>Y83/(1+Assump!$D$25)*Assump!$D$25</f>
        <v>0</v>
      </c>
      <c r="Z156" s="35">
        <f>Z83/(1+Assump!$D$25)*Assump!$D$25</f>
        <v>0</v>
      </c>
      <c r="AA156" s="35">
        <f>AA83/(1+Assump!$D$25)*Assump!$D$25</f>
        <v>0</v>
      </c>
      <c r="AB156" s="35">
        <f>AB83/(1+Assump!$D$25)*Assump!$D$25</f>
        <v>0</v>
      </c>
      <c r="AC156" s="35">
        <f>AC83/(1+Assump!$D$25)*Assump!$D$25</f>
        <v>0</v>
      </c>
      <c r="AD156" s="35">
        <f>AD83/(1+Assump!$D$25)*Assump!$D$25</f>
        <v>0</v>
      </c>
      <c r="AE156" s="35">
        <f>AE83/(1+Assump!$D$25)*Assump!$D$25</f>
        <v>0</v>
      </c>
      <c r="AF156" s="35">
        <f>AF83/(1+Assump!$D$25)*Assump!$D$25</f>
        <v>0</v>
      </c>
      <c r="AG156" s="35">
        <f>AG83/(1+Assump!$D$25)*Assump!$D$25</f>
        <v>0</v>
      </c>
      <c r="AH156" s="35">
        <f>AH83/(1+Assump!$D$25)*Assump!$D$25</f>
        <v>0</v>
      </c>
      <c r="AI156" s="35">
        <f>AI83/(1+Assump!$D$25)*Assump!$D$25</f>
        <v>0</v>
      </c>
      <c r="AJ156" s="35">
        <f>AJ83/(1+Assump!$D$25)*Assump!$D$25</f>
        <v>0</v>
      </c>
      <c r="AK156" s="35">
        <f>AK83/(1+Assump!$D$25)*Assump!$D$25</f>
        <v>0</v>
      </c>
      <c r="AL156" s="35">
        <f>AL83/(1+Assump!$D$25)*Assump!$D$25</f>
        <v>0</v>
      </c>
      <c r="AM156" s="35">
        <f>AM83/(1+Assump!$D$25)*Assump!$D$25</f>
        <v>0</v>
      </c>
      <c r="AN156" s="35">
        <f>AN83/(1+Assump!$D$25)*Assump!$D$25</f>
        <v>0</v>
      </c>
      <c r="AO156" s="35">
        <f>AO83/(1+Assump!$D$25)*Assump!$D$25</f>
        <v>0</v>
      </c>
      <c r="AP156" s="35">
        <f>AP83/(1+Assump!$D$25)*Assump!$D$25</f>
        <v>0</v>
      </c>
      <c r="AQ156" s="35">
        <f>AQ83/(1+Assump!$D$25)*Assump!$D$25</f>
        <v>0</v>
      </c>
      <c r="AR156" s="35">
        <f>AR83/(1+Assump!$D$25)*Assump!$D$25</f>
        <v>0</v>
      </c>
      <c r="AS156" s="35">
        <f>AS83/(1+Assump!$D$25)*Assump!$D$25</f>
        <v>0</v>
      </c>
      <c r="AT156" s="35">
        <f>AT83/(1+Assump!$D$25)*Assump!$D$25</f>
        <v>0</v>
      </c>
      <c r="AU156" s="35">
        <f>AU83/(1+Assump!$D$25)*Assump!$D$25</f>
        <v>0</v>
      </c>
      <c r="AV156" s="35">
        <f>AV83/(1+Assump!$D$25)*Assump!$D$25</f>
        <v>0</v>
      </c>
      <c r="AW156" s="35">
        <f>AW83/(1+Assump!$D$25)*Assump!$D$25</f>
        <v>0</v>
      </c>
      <c r="AX156" s="35">
        <f>AX83/(1+Assump!$D$25)*Assump!$D$25</f>
        <v>0</v>
      </c>
      <c r="AY156" s="35">
        <f>AY83/(1+Assump!$D$25)*Assump!$D$25</f>
        <v>0</v>
      </c>
      <c r="AZ156" s="35">
        <f>AZ83/(1+Assump!$D$25)*Assump!$D$25</f>
        <v>0</v>
      </c>
      <c r="BA156" s="35">
        <f>BA83/(1+Assump!$D$25)*Assump!$D$25</f>
        <v>0</v>
      </c>
      <c r="BB156" s="35">
        <f>BB83/(1+Assump!$D$25)*Assump!$D$25</f>
        <v>0</v>
      </c>
      <c r="BC156" s="35">
        <f>BC83/(1+Assump!$D$25)*Assump!$D$25</f>
        <v>0</v>
      </c>
      <c r="BD156" s="35">
        <f>BD83/(1+Assump!$D$25)*Assump!$D$25</f>
        <v>0</v>
      </c>
      <c r="BE156" s="35">
        <f>BE83/(1+Assump!$D$25)*Assump!$D$25</f>
        <v>0</v>
      </c>
      <c r="BF156" s="35">
        <f>BF83/(1+Assump!$D$25)*Assump!$D$25</f>
        <v>0</v>
      </c>
      <c r="BG156" s="35">
        <f>BG83/(1+Assump!$D$25)*Assump!$D$25</f>
        <v>0</v>
      </c>
      <c r="BH156" s="35">
        <f>BH83/(1+Assump!$D$25)*Assump!$D$25</f>
        <v>0</v>
      </c>
      <c r="BI156" s="35">
        <f>BI83/(1+Assump!$D$25)*Assump!$D$25</f>
        <v>0</v>
      </c>
      <c r="BJ156" s="35">
        <f>BJ83/(1+Assump!$D$25)*Assump!$D$25</f>
        <v>0</v>
      </c>
      <c r="BK156" s="35">
        <f>BK83/(1+Assump!$D$25)*Assump!$D$25</f>
        <v>0</v>
      </c>
      <c r="BL156" s="35">
        <f>BL83/(1+Assump!$D$25)*Assump!$D$25</f>
        <v>0</v>
      </c>
      <c r="BM156" s="35">
        <f>BM83/(1+Assump!$D$25)*Assump!$D$25</f>
        <v>0</v>
      </c>
      <c r="BN156" s="35">
        <f>BN83/(1+Assump!$D$25)*Assump!$D$25</f>
        <v>0</v>
      </c>
      <c r="BO156" s="35">
        <f>BO83/(1+Assump!$D$25)*Assump!$D$25</f>
        <v>0</v>
      </c>
      <c r="BP156" s="35">
        <f>BP83/(1+Assump!$D$25)*Assump!$D$25</f>
        <v>0</v>
      </c>
      <c r="BQ156" s="35">
        <f>BQ83/(1+Assump!$D$25)*Assump!$D$25</f>
        <v>0</v>
      </c>
      <c r="BR156" s="35">
        <f>BR83/(1+Assump!$D$25)*Assump!$D$25</f>
        <v>0</v>
      </c>
      <c r="BS156" s="35">
        <f>BS83/(1+Assump!$D$25)*Assump!$D$25</f>
        <v>0</v>
      </c>
      <c r="BT156" s="35">
        <f>BT83/(1+Assump!$D$25)*Assump!$D$25</f>
        <v>0</v>
      </c>
      <c r="BU156" s="35">
        <f>BU83/(1+Assump!$D$25)*Assump!$D$25</f>
        <v>0</v>
      </c>
      <c r="BV156" s="35">
        <f>BV83/(1+Assump!$D$25)*Assump!$D$25</f>
        <v>0</v>
      </c>
      <c r="BW156" s="35">
        <f>BW83/(1+Assump!$D$25)*Assump!$D$25</f>
        <v>0</v>
      </c>
      <c r="BX156" s="35">
        <f>BX83/(1+Assump!$D$25)*Assump!$D$25</f>
        <v>0</v>
      </c>
      <c r="BY156" s="35">
        <f>BY83/(1+Assump!$D$25)*Assump!$D$25</f>
        <v>0</v>
      </c>
      <c r="BZ156" s="35">
        <f>BZ83/(1+Assump!$D$25)*Assump!$D$25</f>
        <v>0</v>
      </c>
      <c r="CA156" s="35">
        <f>CA83/(1+Assump!$D$25)*Assump!$D$25</f>
        <v>0</v>
      </c>
      <c r="CB156" s="35">
        <f>CB83/(1+Assump!$D$25)*Assump!$D$25</f>
        <v>0</v>
      </c>
      <c r="CC156" s="35">
        <f>CC83/(1+Assump!$D$25)*Assump!$D$25</f>
        <v>0</v>
      </c>
      <c r="CD156" s="35">
        <f>CD83/(1+Assump!$D$25)*Assump!$D$25</f>
        <v>0</v>
      </c>
      <c r="CE156" s="35">
        <f>CE83/(1+Assump!$D$25)*Assump!$D$25</f>
        <v>0</v>
      </c>
      <c r="CF156" s="35">
        <f>CF83/(1+Assump!$D$25)*Assump!$D$25</f>
        <v>0</v>
      </c>
      <c r="CG156" s="35">
        <f>CG83/(1+Assump!$D$25)*Assump!$D$25</f>
        <v>0</v>
      </c>
      <c r="CH156" s="35">
        <f>CH83/(1+Assump!$D$25)*Assump!$D$25</f>
        <v>0</v>
      </c>
      <c r="CI156" s="35">
        <f>CI83/(1+Assump!$D$25)*Assump!$D$25</f>
        <v>0</v>
      </c>
      <c r="CJ156" s="35">
        <f>CJ83/(1+Assump!$D$25)*Assump!$D$25</f>
        <v>0</v>
      </c>
      <c r="CK156" s="35">
        <f>CK83/(1+Assump!$D$25)*Assump!$D$25</f>
        <v>0</v>
      </c>
      <c r="CL156" s="35">
        <f>CL83/(1+Assump!$D$25)*Assump!$D$25</f>
        <v>0</v>
      </c>
      <c r="CM156" s="35">
        <f>CM83/(1+Assump!$D$25)*Assump!$D$25</f>
        <v>0</v>
      </c>
      <c r="CN156" s="35">
        <f>CN83/(1+Assump!$D$25)*Assump!$D$25</f>
        <v>0</v>
      </c>
      <c r="CO156" s="35"/>
    </row>
    <row r="157" spans="1:93" ht="12.75" customHeight="1" outlineLevel="1">
      <c r="A157" s="35"/>
      <c r="B157" s="63" t="s">
        <v>236</v>
      </c>
      <c r="C157" s="35">
        <f t="shared" si="650"/>
        <v>795565.25000000012</v>
      </c>
      <c r="D157" s="60">
        <f t="shared" ref="D157:CN157" si="651">D84</f>
        <v>0</v>
      </c>
      <c r="E157" s="35">
        <f t="shared" si="651"/>
        <v>0</v>
      </c>
      <c r="F157" s="35">
        <f t="shared" si="651"/>
        <v>0</v>
      </c>
      <c r="G157" s="35">
        <f t="shared" si="651"/>
        <v>581.66666666666674</v>
      </c>
      <c r="H157" s="35">
        <f t="shared" si="651"/>
        <v>0</v>
      </c>
      <c r="I157" s="35">
        <f t="shared" si="651"/>
        <v>3958.3333333333339</v>
      </c>
      <c r="J157" s="35">
        <f t="shared" si="651"/>
        <v>3958.3333333333339</v>
      </c>
      <c r="K157" s="35">
        <f t="shared" si="651"/>
        <v>3958.3333333333339</v>
      </c>
      <c r="L157" s="35">
        <f t="shared" si="651"/>
        <v>4807.7777777777774</v>
      </c>
      <c r="M157" s="35">
        <f t="shared" si="651"/>
        <v>44919.154861111121</v>
      </c>
      <c r="N157" s="35">
        <f t="shared" si="651"/>
        <v>47504.888194444444</v>
      </c>
      <c r="O157" s="35">
        <f t="shared" si="651"/>
        <v>52245.075694444444</v>
      </c>
      <c r="P157" s="35">
        <f t="shared" si="651"/>
        <v>59965.169444444451</v>
      </c>
      <c r="Q157" s="35">
        <f t="shared" si="651"/>
        <v>76934.435069444458</v>
      </c>
      <c r="R157" s="35">
        <f t="shared" si="651"/>
        <v>81708.060069444458</v>
      </c>
      <c r="S157" s="35">
        <f t="shared" si="651"/>
        <v>83403.861111111124</v>
      </c>
      <c r="T157" s="35">
        <f t="shared" si="651"/>
        <v>64753.39444444445</v>
      </c>
      <c r="U157" s="35">
        <f t="shared" si="651"/>
        <v>79088.651111111118</v>
      </c>
      <c r="V157" s="35">
        <f t="shared" si="651"/>
        <v>68458.697777777779</v>
      </c>
      <c r="W157" s="35">
        <f t="shared" si="651"/>
        <v>64597.834444444452</v>
      </c>
      <c r="X157" s="35">
        <f t="shared" si="651"/>
        <v>54721.583333333343</v>
      </c>
      <c r="Y157" s="35">
        <f t="shared" si="651"/>
        <v>0</v>
      </c>
      <c r="Z157" s="35">
        <f t="shared" si="651"/>
        <v>0</v>
      </c>
      <c r="AA157" s="35">
        <f t="shared" si="651"/>
        <v>0</v>
      </c>
      <c r="AB157" s="35">
        <f t="shared" si="651"/>
        <v>0</v>
      </c>
      <c r="AC157" s="35">
        <f t="shared" si="651"/>
        <v>0</v>
      </c>
      <c r="AD157" s="35">
        <f t="shared" si="651"/>
        <v>0</v>
      </c>
      <c r="AE157" s="35">
        <f t="shared" si="651"/>
        <v>0</v>
      </c>
      <c r="AF157" s="35">
        <f t="shared" si="651"/>
        <v>0</v>
      </c>
      <c r="AG157" s="35">
        <f t="shared" si="651"/>
        <v>0</v>
      </c>
      <c r="AH157" s="35">
        <f t="shared" si="651"/>
        <v>0</v>
      </c>
      <c r="AI157" s="35">
        <f t="shared" si="651"/>
        <v>0</v>
      </c>
      <c r="AJ157" s="35">
        <f t="shared" si="651"/>
        <v>0</v>
      </c>
      <c r="AK157" s="35">
        <f t="shared" si="651"/>
        <v>0</v>
      </c>
      <c r="AL157" s="35">
        <f t="shared" si="651"/>
        <v>0</v>
      </c>
      <c r="AM157" s="35">
        <f t="shared" si="651"/>
        <v>0</v>
      </c>
      <c r="AN157" s="35">
        <f t="shared" si="651"/>
        <v>0</v>
      </c>
      <c r="AO157" s="35">
        <f t="shared" si="651"/>
        <v>0</v>
      </c>
      <c r="AP157" s="35">
        <f t="shared" si="651"/>
        <v>0</v>
      </c>
      <c r="AQ157" s="35">
        <f t="shared" si="651"/>
        <v>0</v>
      </c>
      <c r="AR157" s="35">
        <f t="shared" si="651"/>
        <v>0</v>
      </c>
      <c r="AS157" s="35">
        <f t="shared" si="651"/>
        <v>0</v>
      </c>
      <c r="AT157" s="35">
        <f t="shared" si="651"/>
        <v>0</v>
      </c>
      <c r="AU157" s="35">
        <f t="shared" si="651"/>
        <v>0</v>
      </c>
      <c r="AV157" s="35">
        <f t="shared" si="651"/>
        <v>0</v>
      </c>
      <c r="AW157" s="35">
        <f t="shared" si="651"/>
        <v>0</v>
      </c>
      <c r="AX157" s="35">
        <f t="shared" si="651"/>
        <v>0</v>
      </c>
      <c r="AY157" s="35">
        <f t="shared" si="651"/>
        <v>0</v>
      </c>
      <c r="AZ157" s="35">
        <f t="shared" si="651"/>
        <v>0</v>
      </c>
      <c r="BA157" s="35">
        <f t="shared" si="651"/>
        <v>0</v>
      </c>
      <c r="BB157" s="35">
        <f t="shared" si="651"/>
        <v>0</v>
      </c>
      <c r="BC157" s="35">
        <f t="shared" si="651"/>
        <v>0</v>
      </c>
      <c r="BD157" s="35">
        <f t="shared" si="651"/>
        <v>0</v>
      </c>
      <c r="BE157" s="35">
        <f t="shared" si="651"/>
        <v>0</v>
      </c>
      <c r="BF157" s="35">
        <f t="shared" si="651"/>
        <v>0</v>
      </c>
      <c r="BG157" s="35">
        <f t="shared" si="651"/>
        <v>0</v>
      </c>
      <c r="BH157" s="35">
        <f t="shared" si="651"/>
        <v>0</v>
      </c>
      <c r="BI157" s="35">
        <f t="shared" si="651"/>
        <v>0</v>
      </c>
      <c r="BJ157" s="35">
        <f t="shared" si="651"/>
        <v>0</v>
      </c>
      <c r="BK157" s="35">
        <f t="shared" si="651"/>
        <v>0</v>
      </c>
      <c r="BL157" s="35">
        <f t="shared" si="651"/>
        <v>0</v>
      </c>
      <c r="BM157" s="35">
        <f t="shared" si="651"/>
        <v>0</v>
      </c>
      <c r="BN157" s="35">
        <f t="shared" si="651"/>
        <v>0</v>
      </c>
      <c r="BO157" s="35">
        <f t="shared" si="651"/>
        <v>0</v>
      </c>
      <c r="BP157" s="35">
        <f t="shared" si="651"/>
        <v>0</v>
      </c>
      <c r="BQ157" s="35">
        <f t="shared" si="651"/>
        <v>0</v>
      </c>
      <c r="BR157" s="35">
        <f t="shared" si="651"/>
        <v>0</v>
      </c>
      <c r="BS157" s="35">
        <f t="shared" si="651"/>
        <v>0</v>
      </c>
      <c r="BT157" s="35">
        <f t="shared" si="651"/>
        <v>0</v>
      </c>
      <c r="BU157" s="35">
        <f t="shared" si="651"/>
        <v>0</v>
      </c>
      <c r="BV157" s="35">
        <f t="shared" si="651"/>
        <v>0</v>
      </c>
      <c r="BW157" s="35">
        <f t="shared" si="651"/>
        <v>0</v>
      </c>
      <c r="BX157" s="35">
        <f t="shared" si="651"/>
        <v>0</v>
      </c>
      <c r="BY157" s="35">
        <f t="shared" si="651"/>
        <v>0</v>
      </c>
      <c r="BZ157" s="35">
        <f t="shared" si="651"/>
        <v>0</v>
      </c>
      <c r="CA157" s="35">
        <f t="shared" si="651"/>
        <v>0</v>
      </c>
      <c r="CB157" s="35">
        <f t="shared" si="651"/>
        <v>0</v>
      </c>
      <c r="CC157" s="35">
        <f t="shared" si="651"/>
        <v>0</v>
      </c>
      <c r="CD157" s="35">
        <f t="shared" si="651"/>
        <v>0</v>
      </c>
      <c r="CE157" s="35">
        <f t="shared" si="651"/>
        <v>0</v>
      </c>
      <c r="CF157" s="35">
        <f t="shared" si="651"/>
        <v>0</v>
      </c>
      <c r="CG157" s="35">
        <f t="shared" si="651"/>
        <v>0</v>
      </c>
      <c r="CH157" s="35">
        <f t="shared" si="651"/>
        <v>0</v>
      </c>
      <c r="CI157" s="35">
        <f t="shared" si="651"/>
        <v>0</v>
      </c>
      <c r="CJ157" s="35">
        <f t="shared" si="651"/>
        <v>0</v>
      </c>
      <c r="CK157" s="35">
        <f t="shared" si="651"/>
        <v>0</v>
      </c>
      <c r="CL157" s="35">
        <f t="shared" si="651"/>
        <v>0</v>
      </c>
      <c r="CM157" s="35">
        <f t="shared" si="651"/>
        <v>0</v>
      </c>
      <c r="CN157" s="35">
        <f t="shared" si="651"/>
        <v>0</v>
      </c>
      <c r="CO157" s="35"/>
    </row>
    <row r="158" spans="1:93" ht="12.75" customHeight="1" outlineLevel="1">
      <c r="A158" s="88"/>
      <c r="B158" s="110" t="s">
        <v>230</v>
      </c>
      <c r="C158" s="111"/>
      <c r="D158" s="58">
        <f t="shared" ref="D158:CN158" si="652">SUM(D155:D157)</f>
        <v>0</v>
      </c>
      <c r="E158" s="111">
        <f t="shared" si="652"/>
        <v>-581.66666666666674</v>
      </c>
      <c r="F158" s="111">
        <f t="shared" si="652"/>
        <v>-581.66666666666674</v>
      </c>
      <c r="G158" s="111">
        <f t="shared" si="652"/>
        <v>-3958.3333333333339</v>
      </c>
      <c r="H158" s="111">
        <f t="shared" si="652"/>
        <v>-7916.6666666666679</v>
      </c>
      <c r="I158" s="111">
        <f t="shared" si="652"/>
        <v>-7916.6666666666679</v>
      </c>
      <c r="J158" s="111">
        <f t="shared" si="652"/>
        <v>-8766.1111111111113</v>
      </c>
      <c r="K158" s="111">
        <f t="shared" si="652"/>
        <v>-49726.932638888895</v>
      </c>
      <c r="L158" s="111">
        <f t="shared" si="652"/>
        <v>-92424.04305555555</v>
      </c>
      <c r="M158" s="111">
        <f t="shared" si="652"/>
        <v>-99749.963888888873</v>
      </c>
      <c r="N158" s="111">
        <f t="shared" si="652"/>
        <v>-112210.24513888889</v>
      </c>
      <c r="O158" s="111">
        <f t="shared" si="652"/>
        <v>-136899.60451388892</v>
      </c>
      <c r="P158" s="111">
        <f t="shared" si="652"/>
        <v>-158642.49513888892</v>
      </c>
      <c r="Q158" s="111">
        <f t="shared" si="652"/>
        <v>-165111.9211805556</v>
      </c>
      <c r="R158" s="111">
        <f t="shared" si="652"/>
        <v>-148157.25555555557</v>
      </c>
      <c r="S158" s="111">
        <f t="shared" si="652"/>
        <v>-143842.04555555555</v>
      </c>
      <c r="T158" s="111">
        <f t="shared" si="652"/>
        <v>-147547.3488888889</v>
      </c>
      <c r="U158" s="111">
        <f t="shared" si="652"/>
        <v>-133056.53222222225</v>
      </c>
      <c r="V158" s="111">
        <f t="shared" si="652"/>
        <v>-119319.41777777781</v>
      </c>
      <c r="W158" s="111">
        <f t="shared" si="652"/>
        <v>-54721.583333333358</v>
      </c>
      <c r="X158" s="111">
        <f t="shared" si="652"/>
        <v>0</v>
      </c>
      <c r="Y158" s="111">
        <f t="shared" si="652"/>
        <v>0</v>
      </c>
      <c r="Z158" s="111">
        <f t="shared" si="652"/>
        <v>0</v>
      </c>
      <c r="AA158" s="111">
        <f t="shared" si="652"/>
        <v>0</v>
      </c>
      <c r="AB158" s="111">
        <f t="shared" si="652"/>
        <v>0</v>
      </c>
      <c r="AC158" s="111">
        <f t="shared" si="652"/>
        <v>0</v>
      </c>
      <c r="AD158" s="111">
        <f t="shared" si="652"/>
        <v>0</v>
      </c>
      <c r="AE158" s="111">
        <f t="shared" si="652"/>
        <v>0</v>
      </c>
      <c r="AF158" s="111">
        <f t="shared" si="652"/>
        <v>0</v>
      </c>
      <c r="AG158" s="111">
        <f t="shared" si="652"/>
        <v>0</v>
      </c>
      <c r="AH158" s="111">
        <f t="shared" si="652"/>
        <v>0</v>
      </c>
      <c r="AI158" s="111">
        <f t="shared" si="652"/>
        <v>0</v>
      </c>
      <c r="AJ158" s="111">
        <f t="shared" si="652"/>
        <v>0</v>
      </c>
      <c r="AK158" s="55">
        <f t="shared" si="652"/>
        <v>0</v>
      </c>
      <c r="AL158" s="111">
        <f t="shared" si="652"/>
        <v>0</v>
      </c>
      <c r="AM158" s="111">
        <f t="shared" si="652"/>
        <v>0</v>
      </c>
      <c r="AN158" s="111">
        <f t="shared" si="652"/>
        <v>0</v>
      </c>
      <c r="AO158" s="111">
        <f t="shared" si="652"/>
        <v>0</v>
      </c>
      <c r="AP158" s="111">
        <f t="shared" si="652"/>
        <v>0</v>
      </c>
      <c r="AQ158" s="111">
        <f t="shared" si="652"/>
        <v>0</v>
      </c>
      <c r="AR158" s="111">
        <f t="shared" si="652"/>
        <v>0</v>
      </c>
      <c r="AS158" s="111">
        <f t="shared" si="652"/>
        <v>0</v>
      </c>
      <c r="AT158" s="111">
        <f t="shared" si="652"/>
        <v>0</v>
      </c>
      <c r="AU158" s="111">
        <f t="shared" si="652"/>
        <v>0</v>
      </c>
      <c r="AV158" s="111">
        <f t="shared" si="652"/>
        <v>0</v>
      </c>
      <c r="AW158" s="111">
        <f t="shared" si="652"/>
        <v>0</v>
      </c>
      <c r="AX158" s="111">
        <f t="shared" si="652"/>
        <v>0</v>
      </c>
      <c r="AY158" s="111">
        <f t="shared" si="652"/>
        <v>0</v>
      </c>
      <c r="AZ158" s="111">
        <f t="shared" si="652"/>
        <v>0</v>
      </c>
      <c r="BA158" s="111">
        <f t="shared" si="652"/>
        <v>0</v>
      </c>
      <c r="BB158" s="111">
        <f t="shared" si="652"/>
        <v>0</v>
      </c>
      <c r="BC158" s="111">
        <f t="shared" si="652"/>
        <v>0</v>
      </c>
      <c r="BD158" s="111">
        <f t="shared" si="652"/>
        <v>0</v>
      </c>
      <c r="BE158" s="111">
        <f t="shared" si="652"/>
        <v>0</v>
      </c>
      <c r="BF158" s="111">
        <f t="shared" si="652"/>
        <v>0</v>
      </c>
      <c r="BG158" s="111">
        <f t="shared" si="652"/>
        <v>0</v>
      </c>
      <c r="BH158" s="111">
        <f t="shared" si="652"/>
        <v>0</v>
      </c>
      <c r="BI158" s="111">
        <f t="shared" si="652"/>
        <v>0</v>
      </c>
      <c r="BJ158" s="111">
        <f t="shared" si="652"/>
        <v>0</v>
      </c>
      <c r="BK158" s="111">
        <f t="shared" si="652"/>
        <v>0</v>
      </c>
      <c r="BL158" s="111">
        <f t="shared" si="652"/>
        <v>0</v>
      </c>
      <c r="BM158" s="111">
        <f t="shared" si="652"/>
        <v>0</v>
      </c>
      <c r="BN158" s="111">
        <f t="shared" si="652"/>
        <v>0</v>
      </c>
      <c r="BO158" s="111">
        <f t="shared" si="652"/>
        <v>0</v>
      </c>
      <c r="BP158" s="111">
        <f t="shared" si="652"/>
        <v>0</v>
      </c>
      <c r="BQ158" s="111">
        <f t="shared" si="652"/>
        <v>0</v>
      </c>
      <c r="BR158" s="111">
        <f t="shared" si="652"/>
        <v>0</v>
      </c>
      <c r="BS158" s="111">
        <f t="shared" si="652"/>
        <v>0</v>
      </c>
      <c r="BT158" s="111">
        <f t="shared" si="652"/>
        <v>0</v>
      </c>
      <c r="BU158" s="111">
        <f t="shared" si="652"/>
        <v>0</v>
      </c>
      <c r="BV158" s="111">
        <f t="shared" si="652"/>
        <v>0</v>
      </c>
      <c r="BW158" s="111">
        <f t="shared" si="652"/>
        <v>0</v>
      </c>
      <c r="BX158" s="111">
        <f t="shared" si="652"/>
        <v>0</v>
      </c>
      <c r="BY158" s="111">
        <f t="shared" si="652"/>
        <v>0</v>
      </c>
      <c r="BZ158" s="111">
        <f t="shared" si="652"/>
        <v>0</v>
      </c>
      <c r="CA158" s="111">
        <f t="shared" si="652"/>
        <v>0</v>
      </c>
      <c r="CB158" s="111">
        <f t="shared" si="652"/>
        <v>0</v>
      </c>
      <c r="CC158" s="111">
        <f t="shared" si="652"/>
        <v>0</v>
      </c>
      <c r="CD158" s="111">
        <f t="shared" si="652"/>
        <v>0</v>
      </c>
      <c r="CE158" s="111">
        <f t="shared" si="652"/>
        <v>0</v>
      </c>
      <c r="CF158" s="111">
        <f t="shared" si="652"/>
        <v>0</v>
      </c>
      <c r="CG158" s="111">
        <f t="shared" si="652"/>
        <v>0</v>
      </c>
      <c r="CH158" s="111">
        <f t="shared" si="652"/>
        <v>0</v>
      </c>
      <c r="CI158" s="111">
        <f t="shared" si="652"/>
        <v>0</v>
      </c>
      <c r="CJ158" s="111">
        <f t="shared" si="652"/>
        <v>0</v>
      </c>
      <c r="CK158" s="111">
        <f t="shared" si="652"/>
        <v>0</v>
      </c>
      <c r="CL158" s="111">
        <f t="shared" si="652"/>
        <v>0</v>
      </c>
      <c r="CM158" s="111">
        <f t="shared" si="652"/>
        <v>0</v>
      </c>
      <c r="CN158" s="111">
        <f t="shared" si="652"/>
        <v>0</v>
      </c>
      <c r="CO158" s="88"/>
    </row>
    <row r="159" spans="1:93" ht="12.75" customHeight="1" outlineLevel="1">
      <c r="A159" s="88"/>
      <c r="B159" s="89"/>
      <c r="C159" s="88"/>
      <c r="D159" s="60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35"/>
      <c r="AL159" s="88"/>
      <c r="AM159" s="88"/>
      <c r="AN159" s="88"/>
      <c r="AO159" s="88"/>
      <c r="AP159" s="88"/>
      <c r="AQ159" s="88"/>
      <c r="AR159" s="88"/>
      <c r="AS159" s="88"/>
      <c r="AT159" s="88"/>
      <c r="AU159" s="88"/>
      <c r="AV159" s="88"/>
      <c r="AW159" s="88"/>
      <c r="AX159" s="88"/>
      <c r="AY159" s="88"/>
      <c r="AZ159" s="88"/>
      <c r="BA159" s="88"/>
      <c r="BB159" s="88"/>
      <c r="BC159" s="88"/>
      <c r="BD159" s="88"/>
      <c r="BE159" s="88"/>
      <c r="BF159" s="88"/>
      <c r="BG159" s="88"/>
      <c r="BH159" s="88"/>
      <c r="BI159" s="88"/>
      <c r="BJ159" s="88"/>
      <c r="BK159" s="88"/>
      <c r="BL159" s="88"/>
      <c r="BM159" s="88"/>
      <c r="BN159" s="88"/>
      <c r="BO159" s="88"/>
      <c r="BP159" s="88"/>
      <c r="BQ159" s="88"/>
      <c r="BR159" s="88"/>
      <c r="BS159" s="88"/>
      <c r="BT159" s="88"/>
      <c r="BU159" s="88"/>
      <c r="BV159" s="88"/>
      <c r="BW159" s="88"/>
      <c r="BX159" s="88"/>
      <c r="BY159" s="88"/>
      <c r="BZ159" s="88"/>
      <c r="CA159" s="88"/>
      <c r="CB159" s="88"/>
      <c r="CC159" s="88"/>
      <c r="CD159" s="88"/>
      <c r="CE159" s="88"/>
      <c r="CF159" s="88"/>
      <c r="CG159" s="88"/>
      <c r="CH159" s="88"/>
      <c r="CI159" s="88"/>
      <c r="CJ159" s="88"/>
      <c r="CK159" s="88"/>
      <c r="CL159" s="88"/>
      <c r="CM159" s="88"/>
      <c r="CN159" s="88"/>
      <c r="CO159" s="88"/>
    </row>
    <row r="160" spans="1:93" ht="12.75" customHeight="1" outlineLevel="1">
      <c r="A160" s="35"/>
      <c r="B160" s="35" t="s">
        <v>237</v>
      </c>
      <c r="C160" s="35"/>
      <c r="D160" s="60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</row>
    <row r="161" spans="1:93" ht="12.75" customHeight="1" outlineLevel="1">
      <c r="A161" s="35"/>
      <c r="B161" s="49" t="s">
        <v>228</v>
      </c>
      <c r="C161" s="50"/>
      <c r="D161" s="53">
        <v>0</v>
      </c>
      <c r="E161" s="50">
        <f t="shared" ref="E161:CN161" si="653">D164</f>
        <v>0</v>
      </c>
      <c r="F161" s="50">
        <f t="shared" si="653"/>
        <v>0</v>
      </c>
      <c r="G161" s="50">
        <f t="shared" si="653"/>
        <v>0</v>
      </c>
      <c r="H161" s="50">
        <f t="shared" si="653"/>
        <v>0</v>
      </c>
      <c r="I161" s="50">
        <f t="shared" si="653"/>
        <v>0</v>
      </c>
      <c r="J161" s="50">
        <f t="shared" si="653"/>
        <v>0</v>
      </c>
      <c r="K161" s="50">
        <f t="shared" si="653"/>
        <v>0</v>
      </c>
      <c r="L161" s="50">
        <f t="shared" si="653"/>
        <v>0</v>
      </c>
      <c r="M161" s="50">
        <f t="shared" si="653"/>
        <v>0</v>
      </c>
      <c r="N161" s="50">
        <f t="shared" si="653"/>
        <v>16923.079166666605</v>
      </c>
      <c r="O161" s="50">
        <f t="shared" si="653"/>
        <v>376714.09583333321</v>
      </c>
      <c r="P161" s="50">
        <f t="shared" si="653"/>
        <v>838320.70624999981</v>
      </c>
      <c r="Q161" s="50">
        <f t="shared" si="653"/>
        <v>1328569.0666666667</v>
      </c>
      <c r="R161" s="50">
        <f t="shared" si="653"/>
        <v>1828992.2333333332</v>
      </c>
      <c r="S161" s="50">
        <f t="shared" si="653"/>
        <v>2217512.5999999996</v>
      </c>
      <c r="T161" s="50">
        <f t="shared" si="653"/>
        <v>2692044.5066666668</v>
      </c>
      <c r="U161" s="50">
        <f t="shared" si="653"/>
        <v>3102796.6933333334</v>
      </c>
      <c r="V161" s="50">
        <f t="shared" si="653"/>
        <v>3490383.7</v>
      </c>
      <c r="W161" s="50">
        <f t="shared" si="653"/>
        <v>3818713.2</v>
      </c>
      <c r="X161" s="50">
        <f t="shared" si="653"/>
        <v>3757214.1644320386</v>
      </c>
      <c r="Y161" s="50">
        <f t="shared" si="653"/>
        <v>3650955.8528648927</v>
      </c>
      <c r="Z161" s="50">
        <f t="shared" si="653"/>
        <v>3626016.4980521565</v>
      </c>
      <c r="AA161" s="50">
        <f t="shared" si="653"/>
        <v>3582279.3455595532</v>
      </c>
      <c r="AB161" s="50">
        <f t="shared" si="653"/>
        <v>3507527.9023023285</v>
      </c>
      <c r="AC161" s="50">
        <f t="shared" si="653"/>
        <v>3407034.8420978989</v>
      </c>
      <c r="AD161" s="50">
        <f t="shared" si="653"/>
        <v>3376636.4244187432</v>
      </c>
      <c r="AE161" s="50">
        <f t="shared" si="653"/>
        <v>3324751.35746394</v>
      </c>
      <c r="AF161" s="50">
        <f t="shared" si="653"/>
        <v>3238394.163003678</v>
      </c>
      <c r="AG161" s="50">
        <f t="shared" si="653"/>
        <v>3117907.5502986168</v>
      </c>
      <c r="AH161" s="50">
        <f t="shared" si="653"/>
        <v>3072994.2536198907</v>
      </c>
      <c r="AI161" s="50">
        <f t="shared" si="653"/>
        <v>2989980.0550016123</v>
      </c>
      <c r="AJ161" s="50">
        <f t="shared" si="653"/>
        <v>2873082.5151296528</v>
      </c>
      <c r="AK161" s="50">
        <f t="shared" si="653"/>
        <v>2836527.8554076441</v>
      </c>
      <c r="AL161" s="50">
        <f t="shared" si="653"/>
        <v>2768068.233053775</v>
      </c>
      <c r="AM161" s="50">
        <f t="shared" si="653"/>
        <v>2664417.7825391539</v>
      </c>
      <c r="AN161" s="50">
        <f t="shared" si="653"/>
        <v>2526020.2236929773</v>
      </c>
      <c r="AO161" s="50">
        <f t="shared" si="653"/>
        <v>2473877.1888727569</v>
      </c>
      <c r="AP161" s="50">
        <f t="shared" si="653"/>
        <v>2371793.9611941171</v>
      </c>
      <c r="AQ161" s="50">
        <f t="shared" si="653"/>
        <v>2235649.896265293</v>
      </c>
      <c r="AR161" s="50">
        <f t="shared" si="653"/>
        <v>2184299.322989027</v>
      </c>
      <c r="AS161" s="50">
        <f t="shared" si="653"/>
        <v>2107114.3105106633</v>
      </c>
      <c r="AT161" s="50">
        <f t="shared" si="653"/>
        <v>1982709.3447945188</v>
      </c>
      <c r="AU161" s="50">
        <f t="shared" si="653"/>
        <v>1823003.002934583</v>
      </c>
      <c r="AV161" s="50">
        <f t="shared" si="653"/>
        <v>1754495.1703369711</v>
      </c>
      <c r="AW161" s="50">
        <f t="shared" si="653"/>
        <v>1641665.5533018042</v>
      </c>
      <c r="AX161" s="50">
        <f t="shared" si="653"/>
        <v>1481955.2299482815</v>
      </c>
      <c r="AY161" s="50">
        <f t="shared" si="653"/>
        <v>1412854.8284114832</v>
      </c>
      <c r="AZ161" s="50">
        <f t="shared" si="653"/>
        <v>1317360.7194721117</v>
      </c>
      <c r="BA161" s="50">
        <f t="shared" si="653"/>
        <v>1180637.1928794417</v>
      </c>
      <c r="BB161" s="50">
        <f t="shared" si="653"/>
        <v>995209.39163867442</v>
      </c>
      <c r="BC161" s="50">
        <f t="shared" si="653"/>
        <v>910389.90696457785</v>
      </c>
      <c r="BD161" s="50">
        <f t="shared" si="653"/>
        <v>783347.3949627761</v>
      </c>
      <c r="BE161" s="50">
        <f t="shared" si="653"/>
        <v>617820.09452315408</v>
      </c>
      <c r="BF161" s="50">
        <f t="shared" si="653"/>
        <v>530538.54728217912</v>
      </c>
      <c r="BG161" s="50">
        <f t="shared" si="653"/>
        <v>418873.91888434952</v>
      </c>
      <c r="BH161" s="50">
        <f t="shared" si="653"/>
        <v>267259.40555764356</v>
      </c>
      <c r="BI161" s="50">
        <f t="shared" si="653"/>
        <v>76001.63306239454</v>
      </c>
      <c r="BJ161" s="50">
        <f t="shared" si="653"/>
        <v>0</v>
      </c>
      <c r="BK161" s="50">
        <f t="shared" si="653"/>
        <v>0</v>
      </c>
      <c r="BL161" s="50">
        <f t="shared" si="653"/>
        <v>0</v>
      </c>
      <c r="BM161" s="50">
        <f t="shared" si="653"/>
        <v>0</v>
      </c>
      <c r="BN161" s="50">
        <f t="shared" si="653"/>
        <v>0</v>
      </c>
      <c r="BO161" s="50">
        <f t="shared" si="653"/>
        <v>0</v>
      </c>
      <c r="BP161" s="50">
        <f t="shared" si="653"/>
        <v>0</v>
      </c>
      <c r="BQ161" s="50">
        <f t="shared" si="653"/>
        <v>0</v>
      </c>
      <c r="BR161" s="50">
        <f t="shared" si="653"/>
        <v>0</v>
      </c>
      <c r="BS161" s="50">
        <f t="shared" si="653"/>
        <v>0</v>
      </c>
      <c r="BT161" s="50">
        <f t="shared" si="653"/>
        <v>0</v>
      </c>
      <c r="BU161" s="50">
        <f t="shared" si="653"/>
        <v>0</v>
      </c>
      <c r="BV161" s="50">
        <f t="shared" si="653"/>
        <v>0</v>
      </c>
      <c r="BW161" s="50">
        <f t="shared" si="653"/>
        <v>0</v>
      </c>
      <c r="BX161" s="50">
        <f t="shared" si="653"/>
        <v>0</v>
      </c>
      <c r="BY161" s="50">
        <f t="shared" si="653"/>
        <v>0</v>
      </c>
      <c r="BZ161" s="50">
        <f t="shared" si="653"/>
        <v>0</v>
      </c>
      <c r="CA161" s="50">
        <f t="shared" si="653"/>
        <v>0</v>
      </c>
      <c r="CB161" s="50">
        <f t="shared" si="653"/>
        <v>0</v>
      </c>
      <c r="CC161" s="50">
        <f t="shared" si="653"/>
        <v>0</v>
      </c>
      <c r="CD161" s="50">
        <f t="shared" si="653"/>
        <v>0</v>
      </c>
      <c r="CE161" s="50">
        <f t="shared" si="653"/>
        <v>0</v>
      </c>
      <c r="CF161" s="50">
        <f t="shared" si="653"/>
        <v>0</v>
      </c>
      <c r="CG161" s="50">
        <f t="shared" si="653"/>
        <v>0</v>
      </c>
      <c r="CH161" s="50">
        <f t="shared" si="653"/>
        <v>0</v>
      </c>
      <c r="CI161" s="50">
        <f t="shared" si="653"/>
        <v>0</v>
      </c>
      <c r="CJ161" s="50">
        <f t="shared" si="653"/>
        <v>0</v>
      </c>
      <c r="CK161" s="50">
        <f t="shared" si="653"/>
        <v>0</v>
      </c>
      <c r="CL161" s="50">
        <f t="shared" si="653"/>
        <v>0</v>
      </c>
      <c r="CM161" s="50">
        <f t="shared" si="653"/>
        <v>0</v>
      </c>
      <c r="CN161" s="50">
        <f t="shared" si="653"/>
        <v>0</v>
      </c>
      <c r="CO161" s="35"/>
    </row>
    <row r="162" spans="1:93" ht="12.75" customHeight="1" outlineLevel="1">
      <c r="A162" s="35"/>
      <c r="B162" s="63" t="s">
        <v>184</v>
      </c>
      <c r="C162" s="35">
        <f t="shared" ref="C162:C163" si="654">SUM(D162:CN162)</f>
        <v>3818713.2</v>
      </c>
      <c r="D162" s="60">
        <f t="shared" ref="D162:CN162" si="655">D89</f>
        <v>0</v>
      </c>
      <c r="E162" s="35">
        <f t="shared" si="655"/>
        <v>0</v>
      </c>
      <c r="F162" s="35">
        <f t="shared" si="655"/>
        <v>0</v>
      </c>
      <c r="G162" s="35">
        <f t="shared" si="655"/>
        <v>0</v>
      </c>
      <c r="H162" s="35">
        <f t="shared" si="655"/>
        <v>0</v>
      </c>
      <c r="I162" s="35">
        <f t="shared" si="655"/>
        <v>0</v>
      </c>
      <c r="J162" s="35">
        <f t="shared" si="655"/>
        <v>0</v>
      </c>
      <c r="K162" s="35">
        <f t="shared" si="655"/>
        <v>0</v>
      </c>
      <c r="L162" s="35">
        <f t="shared" si="655"/>
        <v>0</v>
      </c>
      <c r="M162" s="35">
        <f t="shared" si="655"/>
        <v>16923.079166666605</v>
      </c>
      <c r="N162" s="35">
        <f t="shared" si="655"/>
        <v>359791.0166666666</v>
      </c>
      <c r="O162" s="35">
        <f t="shared" si="655"/>
        <v>461606.6104166666</v>
      </c>
      <c r="P162" s="35">
        <f>P89</f>
        <v>490248.36041666684</v>
      </c>
      <c r="Q162" s="35">
        <f>Q89</f>
        <v>500423.16666666651</v>
      </c>
      <c r="R162" s="35">
        <f t="shared" si="655"/>
        <v>388520.36666666646</v>
      </c>
      <c r="S162" s="35">
        <f t="shared" si="655"/>
        <v>474531.9066666672</v>
      </c>
      <c r="T162" s="35">
        <f t="shared" si="655"/>
        <v>410752.18666666653</v>
      </c>
      <c r="U162" s="35">
        <f t="shared" si="655"/>
        <v>387587.00666666683</v>
      </c>
      <c r="V162" s="35">
        <f t="shared" si="655"/>
        <v>328329.5</v>
      </c>
      <c r="W162" s="35">
        <f t="shared" si="655"/>
        <v>0</v>
      </c>
      <c r="X162" s="35">
        <f t="shared" si="655"/>
        <v>0</v>
      </c>
      <c r="Y162" s="35">
        <f t="shared" si="655"/>
        <v>0</v>
      </c>
      <c r="Z162" s="35">
        <f t="shared" si="655"/>
        <v>0</v>
      </c>
      <c r="AA162" s="35">
        <f t="shared" si="655"/>
        <v>0</v>
      </c>
      <c r="AB162" s="35">
        <f t="shared" si="655"/>
        <v>0</v>
      </c>
      <c r="AC162" s="35">
        <f t="shared" si="655"/>
        <v>0</v>
      </c>
      <c r="AD162" s="35">
        <f t="shared" si="655"/>
        <v>0</v>
      </c>
      <c r="AE162" s="35">
        <f t="shared" si="655"/>
        <v>0</v>
      </c>
      <c r="AF162" s="35">
        <f t="shared" si="655"/>
        <v>0</v>
      </c>
      <c r="AG162" s="35">
        <f t="shared" si="655"/>
        <v>0</v>
      </c>
      <c r="AH162" s="35">
        <f t="shared" si="655"/>
        <v>0</v>
      </c>
      <c r="AI162" s="35">
        <f t="shared" si="655"/>
        <v>0</v>
      </c>
      <c r="AJ162" s="35">
        <f t="shared" si="655"/>
        <v>0</v>
      </c>
      <c r="AK162" s="35">
        <f t="shared" si="655"/>
        <v>0</v>
      </c>
      <c r="AL162" s="35">
        <f t="shared" si="655"/>
        <v>0</v>
      </c>
      <c r="AM162" s="35">
        <f t="shared" si="655"/>
        <v>0</v>
      </c>
      <c r="AN162" s="35">
        <f t="shared" si="655"/>
        <v>0</v>
      </c>
      <c r="AO162" s="35">
        <f t="shared" si="655"/>
        <v>0</v>
      </c>
      <c r="AP162" s="35">
        <f t="shared" si="655"/>
        <v>0</v>
      </c>
      <c r="AQ162" s="35">
        <f t="shared" si="655"/>
        <v>0</v>
      </c>
      <c r="AR162" s="35">
        <f t="shared" si="655"/>
        <v>0</v>
      </c>
      <c r="AS162" s="35">
        <f t="shared" si="655"/>
        <v>0</v>
      </c>
      <c r="AT162" s="35">
        <f t="shared" si="655"/>
        <v>0</v>
      </c>
      <c r="AU162" s="35">
        <f t="shared" si="655"/>
        <v>0</v>
      </c>
      <c r="AV162" s="35">
        <f t="shared" si="655"/>
        <v>0</v>
      </c>
      <c r="AW162" s="35">
        <f t="shared" si="655"/>
        <v>0</v>
      </c>
      <c r="AX162" s="35">
        <f t="shared" si="655"/>
        <v>0</v>
      </c>
      <c r="AY162" s="35">
        <f t="shared" si="655"/>
        <v>0</v>
      </c>
      <c r="AZ162" s="35">
        <f t="shared" si="655"/>
        <v>0</v>
      </c>
      <c r="BA162" s="35">
        <f t="shared" si="655"/>
        <v>0</v>
      </c>
      <c r="BB162" s="35">
        <f t="shared" si="655"/>
        <v>0</v>
      </c>
      <c r="BC162" s="35">
        <f t="shared" si="655"/>
        <v>0</v>
      </c>
      <c r="BD162" s="35">
        <f t="shared" si="655"/>
        <v>0</v>
      </c>
      <c r="BE162" s="35">
        <f t="shared" si="655"/>
        <v>0</v>
      </c>
      <c r="BF162" s="35">
        <f t="shared" si="655"/>
        <v>0</v>
      </c>
      <c r="BG162" s="35">
        <f t="shared" si="655"/>
        <v>0</v>
      </c>
      <c r="BH162" s="35">
        <f t="shared" si="655"/>
        <v>0</v>
      </c>
      <c r="BI162" s="35">
        <f t="shared" si="655"/>
        <v>0</v>
      </c>
      <c r="BJ162" s="35">
        <f t="shared" si="655"/>
        <v>0</v>
      </c>
      <c r="BK162" s="35">
        <f t="shared" si="655"/>
        <v>0</v>
      </c>
      <c r="BL162" s="35">
        <f t="shared" si="655"/>
        <v>0</v>
      </c>
      <c r="BM162" s="35">
        <f t="shared" si="655"/>
        <v>0</v>
      </c>
      <c r="BN162" s="35">
        <f t="shared" si="655"/>
        <v>0</v>
      </c>
      <c r="BO162" s="35">
        <f t="shared" si="655"/>
        <v>0</v>
      </c>
      <c r="BP162" s="35">
        <f t="shared" si="655"/>
        <v>0</v>
      </c>
      <c r="BQ162" s="35">
        <f t="shared" si="655"/>
        <v>0</v>
      </c>
      <c r="BR162" s="35">
        <f t="shared" si="655"/>
        <v>0</v>
      </c>
      <c r="BS162" s="35">
        <f t="shared" si="655"/>
        <v>0</v>
      </c>
      <c r="BT162" s="35">
        <f t="shared" si="655"/>
        <v>0</v>
      </c>
      <c r="BU162" s="35">
        <f t="shared" si="655"/>
        <v>0</v>
      </c>
      <c r="BV162" s="35">
        <f t="shared" si="655"/>
        <v>0</v>
      </c>
      <c r="BW162" s="35">
        <f t="shared" si="655"/>
        <v>0</v>
      </c>
      <c r="BX162" s="35">
        <f t="shared" si="655"/>
        <v>0</v>
      </c>
      <c r="BY162" s="35">
        <f t="shared" si="655"/>
        <v>0</v>
      </c>
      <c r="BZ162" s="35">
        <f t="shared" si="655"/>
        <v>0</v>
      </c>
      <c r="CA162" s="35">
        <f t="shared" si="655"/>
        <v>0</v>
      </c>
      <c r="CB162" s="35">
        <f t="shared" si="655"/>
        <v>0</v>
      </c>
      <c r="CC162" s="35">
        <f t="shared" si="655"/>
        <v>0</v>
      </c>
      <c r="CD162" s="35">
        <f t="shared" si="655"/>
        <v>0</v>
      </c>
      <c r="CE162" s="35">
        <f t="shared" si="655"/>
        <v>0</v>
      </c>
      <c r="CF162" s="35">
        <f t="shared" si="655"/>
        <v>0</v>
      </c>
      <c r="CG162" s="35">
        <f t="shared" si="655"/>
        <v>0</v>
      </c>
      <c r="CH162" s="35">
        <f t="shared" si="655"/>
        <v>0</v>
      </c>
      <c r="CI162" s="35">
        <f t="shared" si="655"/>
        <v>0</v>
      </c>
      <c r="CJ162" s="35">
        <f t="shared" si="655"/>
        <v>0</v>
      </c>
      <c r="CK162" s="35">
        <f t="shared" si="655"/>
        <v>0</v>
      </c>
      <c r="CL162" s="35">
        <f t="shared" si="655"/>
        <v>0</v>
      </c>
      <c r="CM162" s="35">
        <f t="shared" si="655"/>
        <v>0</v>
      </c>
      <c r="CN162" s="35">
        <f t="shared" si="655"/>
        <v>0</v>
      </c>
      <c r="CO162" s="35"/>
    </row>
    <row r="163" spans="1:93" ht="12.75" customHeight="1" outlineLevel="1">
      <c r="A163" s="35"/>
      <c r="B163" s="63" t="s">
        <v>185</v>
      </c>
      <c r="C163" s="35">
        <f t="shared" si="654"/>
        <v>-3818713.1999999983</v>
      </c>
      <c r="D163" s="60">
        <f>-MIN(MAX(D81/Assump!$D$40+D165,0),SUM(D161:D162))</f>
        <v>0</v>
      </c>
      <c r="E163" s="35">
        <f>-MIN(MAX((E81)/Assump!$D$40+E165,0),SUM(E161:E162))</f>
        <v>0</v>
      </c>
      <c r="F163" s="35">
        <f>-MIN(MAX((F81)/Assump!$D$40+F165,0),SUM(F161:F162))</f>
        <v>0</v>
      </c>
      <c r="G163" s="35">
        <f>-MIN(MAX((G81)/Assump!$D$40+G165,0),SUM(G161:G162))</f>
        <v>0</v>
      </c>
      <c r="H163" s="35">
        <f>-MIN(MAX((H81)/Assump!$D$40+H165,0),SUM(H161:H162))</f>
        <v>0</v>
      </c>
      <c r="I163" s="35">
        <f>-MIN(MAX((I81)/Assump!$D$40+I165,0),SUM(I161:I162))</f>
        <v>0</v>
      </c>
      <c r="J163" s="35">
        <f>-MIN(MAX((J81)/Assump!$D$40+J165,0),SUM(J161:J162))</f>
        <v>0</v>
      </c>
      <c r="K163" s="35">
        <f>-MIN(MAX((K81)/Assump!$D$40+K165,0),SUM(K161:K162))</f>
        <v>0</v>
      </c>
      <c r="L163" s="35">
        <f>-MIN(MAX((L81)/Assump!$D$40+L165,0),SUM(L161:L162))</f>
        <v>0</v>
      </c>
      <c r="M163" s="35">
        <f>-MIN(MAX((M81)/Assump!$D$40+M165,0),SUM(M161:M162))</f>
        <v>0</v>
      </c>
      <c r="N163" s="35">
        <f>-MIN(MAX((N81)/Assump!$D$40+N165,0),SUM(N161:N162))</f>
        <v>0</v>
      </c>
      <c r="O163" s="35">
        <f>-MIN(MAX((O81)/Assump!$D$40+O165,0),SUM(O161:O162))</f>
        <v>0</v>
      </c>
      <c r="P163" s="35">
        <f>-MIN(MAX((P81)/Assump!$D$40+P165,0),SUM(P161:P162))</f>
        <v>0</v>
      </c>
      <c r="Q163" s="35">
        <f>-MIN(MAX((Q81)/Assump!$D$40+Q165,0),SUM(Q161:Q162))</f>
        <v>0</v>
      </c>
      <c r="R163" s="35">
        <f>-MIN(MAX((R81)/Assump!$D$40+R165,0),SUM(R161:R162))</f>
        <v>0</v>
      </c>
      <c r="S163" s="35">
        <f>-MIN(MAX((S81)/Assump!$D$40+S165,0),SUM(S161:S162))</f>
        <v>0</v>
      </c>
      <c r="T163" s="35">
        <f>-MIN(MAX((T81)/Assump!$D$40+T165,0),SUM(T161:T162))</f>
        <v>0</v>
      </c>
      <c r="U163" s="35">
        <f>-MIN(MAX((U81)/Assump!$D$40+U165,0),SUM(U161:U162))</f>
        <v>0</v>
      </c>
      <c r="V163" s="35">
        <f>-MIN(MAX((V81)/Assump!$D$40+V165,0),SUM(V161:V162))</f>
        <v>0</v>
      </c>
      <c r="W163" s="35">
        <f>-MIN(MAX((W81)/Assump!$D$40+W165,0),SUM(W161:W162))</f>
        <v>-61499.035567961633</v>
      </c>
      <c r="X163" s="35">
        <f>-MIN(MAX((X81)/Assump!$D$40+X165,0),SUM(X161:X162))</f>
        <v>-106258.31156714591</v>
      </c>
      <c r="Y163" s="35">
        <f>-MIN(MAX((Y81+Y84)/Assump!$D$40+Y165,0),SUM(Y161:Y162))</f>
        <v>-24939.354812736274</v>
      </c>
      <c r="Z163" s="35">
        <f>-MIN(MAX(Z81/Assump!$D$40+Z165,0),SUM(Z161:Z162))</f>
        <v>-43737.152492603142</v>
      </c>
      <c r="AA163" s="35">
        <f>-MIN(MAX(AA81/Assump!$D$40+AA165,0),SUM(AA161:AA162))</f>
        <v>-74751.443257224586</v>
      </c>
      <c r="AB163" s="35">
        <f>-MIN(MAX(AB81/Assump!$D$40+AB165,0),SUM(AB161:AB162))</f>
        <v>-100493.06020442965</v>
      </c>
      <c r="AC163" s="35">
        <f>-MIN(MAX(AC81/Assump!$D$40+AC165,0),SUM(AC161:AC162))</f>
        <v>-30398.417679155566</v>
      </c>
      <c r="AD163" s="35">
        <f>-MIN(MAX(AD81/Assump!$D$40+AD165,0),SUM(AD161:AD162))</f>
        <v>-51885.066954803246</v>
      </c>
      <c r="AE163" s="35">
        <f>-MIN(MAX(AE81/Assump!$D$40+AE165,0),SUM(AE161:AE162))</f>
        <v>-86357.194460262195</v>
      </c>
      <c r="AF163" s="35">
        <f>-MIN(MAX(AF81/Assump!$D$40+AF165,0),SUM(AF161:AF162))</f>
        <v>-120486.61270506128</v>
      </c>
      <c r="AG163" s="35">
        <f>-MIN(MAX(AG81/Assump!$D$40+AG165,0),SUM(AG161:AG162))</f>
        <v>-44913.296678726154</v>
      </c>
      <c r="AH163" s="35">
        <f>-MIN(MAX(AH81/Assump!$D$40+AH165,0),SUM(AH161:AH162))</f>
        <v>-83014.198618278489</v>
      </c>
      <c r="AI163" s="35">
        <f>-MIN(MAX(AI81/Assump!$D$40+AI165,0),SUM(AI161:AI162))</f>
        <v>-116897.53987195925</v>
      </c>
      <c r="AJ163" s="35">
        <f>-MIN(MAX(AJ81/Assump!$D$40+AJ165,0),SUM(AJ161:AJ162))</f>
        <v>-36554.659722008597</v>
      </c>
      <c r="AK163" s="35">
        <f>-MIN(MAX(AK81/Assump!$D$40+AK165,0),SUM(AK161:AK162))</f>
        <v>-68459.622353869141</v>
      </c>
      <c r="AL163" s="35">
        <f>-MIN(MAX(AL81/Assump!$D$40+AL165,0),SUM(AL161:AL162))</f>
        <v>-103650.45051462094</v>
      </c>
      <c r="AM163" s="35">
        <f>-MIN(MAX(AM81/Assump!$D$40+AM165,0),SUM(AM161:AM162))</f>
        <v>-138397.55884617654</v>
      </c>
      <c r="AN163" s="35">
        <f>-MIN(MAX(AN81/Assump!$D$40+AN165,0),SUM(AN161:AN162))</f>
        <v>-52143.034820220557</v>
      </c>
      <c r="AO163" s="35">
        <f>-MIN(MAX(AO81/Assump!$D$40+AO165,0),SUM(AO161:AO162))</f>
        <v>-102083.22767863964</v>
      </c>
      <c r="AP163" s="35">
        <f>-MIN(MAX(AP81/Assump!$D$40+AP165,0),SUM(AP161:AP162))</f>
        <v>-136144.06492882399</v>
      </c>
      <c r="AQ163" s="35">
        <f>-MIN(MAX(AQ81/Assump!$D$40+AQ165,0),SUM(AQ161:AQ162))</f>
        <v>-51350.573276266026</v>
      </c>
      <c r="AR163" s="35">
        <f>-MIN(MAX(AR81/Assump!$D$40+AR165,0),SUM(AR161:AR162))</f>
        <v>-77185.012478363671</v>
      </c>
      <c r="AS163" s="35">
        <f>-MIN(MAX(AS81/Assump!$D$40+AS165,0),SUM(AS161:AS162))</f>
        <v>-124404.96571614454</v>
      </c>
      <c r="AT163" s="35">
        <f>-MIN(MAX(AT81/Assump!$D$40+AT165,0),SUM(AT161:AT162))</f>
        <v>-159706.34185993584</v>
      </c>
      <c r="AU163" s="35">
        <f>-MIN(MAX(AU81/Assump!$D$40+AU165,0),SUM(AU161:AU162))</f>
        <v>-68507.832597611996</v>
      </c>
      <c r="AV163" s="35">
        <f>-MIN(MAX(AV81/Assump!$D$40+AV165,0),SUM(AV161:AV162))</f>
        <v>-112829.61703516683</v>
      </c>
      <c r="AW163" s="35">
        <f>-MIN(MAX(AW81/Assump!$D$40+AW165,0),SUM(AW161:AW162))</f>
        <v>-159710.32335352269</v>
      </c>
      <c r="AX163" s="35">
        <f>-MIN(MAX(AX81/Assump!$D$40+AX165,0),SUM(AX161:AX162))</f>
        <v>-69100.401536798323</v>
      </c>
      <c r="AY163" s="35">
        <f>-MIN(MAX(AY81/Assump!$D$40+AY165,0),SUM(AY161:AY162))</f>
        <v>-95494.108939371421</v>
      </c>
      <c r="AZ163" s="35">
        <f>-MIN(MAX(AZ81/Assump!$D$40+AZ165,0),SUM(AZ161:AZ162))</f>
        <v>-136723.52659267001</v>
      </c>
      <c r="BA163" s="35">
        <f>-MIN(MAX(BA81/Assump!$D$40+BA165,0),SUM(BA161:BA162))</f>
        <v>-185427.80124076721</v>
      </c>
      <c r="BB163" s="35">
        <f>-MIN(MAX(BB81/Assump!$D$40+BB165,0),SUM(BB161:BB162))</f>
        <v>-84819.484674096602</v>
      </c>
      <c r="BC163" s="35">
        <f>-MIN(MAX(BC81/Assump!$D$40+BC165,0),SUM(BC161:BC162))</f>
        <v>-127042.5120018017</v>
      </c>
      <c r="BD163" s="35">
        <f>-MIN(MAX(BD81/Assump!$D$40+BD165,0),SUM(BD161:BD162))</f>
        <v>-165527.30043962202</v>
      </c>
      <c r="BE163" s="35">
        <f>-MIN(MAX(BE81/Assump!$D$40+BE165,0),SUM(BE161:BE162))</f>
        <v>-87281.54724097492</v>
      </c>
      <c r="BF163" s="35">
        <f>-MIN(MAX(BF81/Assump!$D$40+BF165,0),SUM(BF161:BF162))</f>
        <v>-111664.62839782957</v>
      </c>
      <c r="BG163" s="35">
        <f>-MIN(MAX(BG81/Assump!$D$40+BG165,0),SUM(BG161:BG162))</f>
        <v>-151614.51332670596</v>
      </c>
      <c r="BH163" s="35">
        <f>-MIN(MAX(BH81/Assump!$D$40+BH165,0),SUM(BH161:BH162))</f>
        <v>-191257.77249524902</v>
      </c>
      <c r="BI163" s="35">
        <f>-MIN(MAX(BI81/Assump!$D$40+BI165,0),SUM(BI161:BI162))</f>
        <v>-76001.63306239454</v>
      </c>
      <c r="BJ163" s="35">
        <f>-MIN(MAX(BJ81/Assump!$D$40+BJ165,0),SUM(BJ161:BJ162))</f>
        <v>0</v>
      </c>
      <c r="BK163" s="35">
        <f>-MIN(MAX(BK81/Assump!$D$40+BK165,0),SUM(BK161:BK162))</f>
        <v>0</v>
      </c>
      <c r="BL163" s="35">
        <f>-MIN(MAX(BL81/Assump!$D$40+BL165,0),SUM(BL161:BL162))</f>
        <v>0</v>
      </c>
      <c r="BM163" s="35">
        <f>-MIN(MAX(BM81/Assump!$D$40+BM165,0),SUM(BM161:BM162))</f>
        <v>0</v>
      </c>
      <c r="BN163" s="35">
        <f>-MIN(MAX(BN81/Assump!$D$40+BN165,0),SUM(BN161:BN162))</f>
        <v>0</v>
      </c>
      <c r="BO163" s="35">
        <f>-MIN(MAX(BO81/Assump!$D$40+BO165,0),SUM(BO161:BO162))</f>
        <v>0</v>
      </c>
      <c r="BP163" s="35">
        <f>-MIN(MAX(BP81/Assump!$D$40+BP165,0),SUM(BP161:BP162))</f>
        <v>0</v>
      </c>
      <c r="BQ163" s="35">
        <f>-MIN(MAX(BQ81/Assump!$D$40+BQ165,0),SUM(BQ161:BQ162))</f>
        <v>0</v>
      </c>
      <c r="BR163" s="35">
        <f>-MIN(MAX(BR81/Assump!$D$40+BR165,0),SUM(BR161:BR162))</f>
        <v>0</v>
      </c>
      <c r="BS163" s="35">
        <f>-MIN(MAX(BS81/Assump!$D$40+BS165,0),SUM(BS161:BS162))</f>
        <v>0</v>
      </c>
      <c r="BT163" s="35">
        <f>-MIN(MAX(BT81/Assump!$D$40+BT165,0),SUM(BT161:BT162))</f>
        <v>0</v>
      </c>
      <c r="BU163" s="35">
        <f>-MIN(MAX(BU81/Assump!$D$40+BU165,0),SUM(BU161:BU162))</f>
        <v>0</v>
      </c>
      <c r="BV163" s="35">
        <f>-MIN(MAX(BV81/Assump!$D$40+BV165,0),SUM(BV161:BV162))</f>
        <v>0</v>
      </c>
      <c r="BW163" s="35">
        <f>-MIN(MAX(BW81/Assump!$D$40+BW165,0),SUM(BW161:BW162))</f>
        <v>0</v>
      </c>
      <c r="BX163" s="35">
        <f>-MIN(MAX(BX81/Assump!$D$40+BX165,0),SUM(BX161:BX162))</f>
        <v>0</v>
      </c>
      <c r="BY163" s="35">
        <f>-MIN(MAX(BY81/Assump!$D$40+BY165,0),SUM(BY161:BY162))</f>
        <v>0</v>
      </c>
      <c r="BZ163" s="35">
        <f>-MIN(MAX(BZ81/Assump!$D$40+BZ165,0),SUM(BZ161:BZ162))</f>
        <v>0</v>
      </c>
      <c r="CA163" s="35">
        <f>-MIN(MAX(CA81/Assump!$D$40+CA165,0),SUM(CA161:CA162))</f>
        <v>0</v>
      </c>
      <c r="CB163" s="35">
        <f>-MIN(MAX(CB81/Assump!$D$40+CB165,0),SUM(CB161:CB162))</f>
        <v>0</v>
      </c>
      <c r="CC163" s="35">
        <f>-MIN(MAX(CC81/Assump!$D$40+CC165,0),SUM(CC161:CC162))</f>
        <v>0</v>
      </c>
      <c r="CD163" s="35">
        <f>-MIN(MAX(CD81/Assump!$D$40+CD165,0),SUM(CD161:CD162))</f>
        <v>0</v>
      </c>
      <c r="CE163" s="35">
        <f>-MIN(MAX(CE81/Assump!$D$40+CE165,0),SUM(CE161:CE162))</f>
        <v>0</v>
      </c>
      <c r="CF163" s="35">
        <f>-MIN(MAX(CF81/Assump!$D$40+CF165,0),SUM(CF161:CF162))</f>
        <v>0</v>
      </c>
      <c r="CG163" s="35">
        <f>-MIN(MAX(CG81/Assump!$D$40+CG165,0),SUM(CG161:CG162))</f>
        <v>0</v>
      </c>
      <c r="CH163" s="35">
        <f>-MIN(MAX(CH81/Assump!$D$40+CH165,0),SUM(CH161:CH162))</f>
        <v>0</v>
      </c>
      <c r="CI163" s="35">
        <f>-MIN(MAX(CI81/Assump!$D$40+CI165,0),SUM(CI161:CI162))</f>
        <v>0</v>
      </c>
      <c r="CJ163" s="35">
        <f>-MIN(MAX(CJ81/Assump!$D$40+CJ165,0),SUM(CJ161:CJ162))</f>
        <v>0</v>
      </c>
      <c r="CK163" s="35">
        <f>-MIN(MAX(CK81/Assump!$D$40+CK165,0),SUM(CK161:CK162))</f>
        <v>0</v>
      </c>
      <c r="CL163" s="35">
        <f>-MIN(MAX(CL81/Assump!$D$40+CL165,0),SUM(CL161:CL162))</f>
        <v>0</v>
      </c>
      <c r="CM163" s="35">
        <f>-MIN(MAX(CM81/Assump!$D$40+CM165,0),SUM(CM161:CM162))</f>
        <v>0</v>
      </c>
      <c r="CN163" s="35">
        <f>-MIN(MAX(CN81/Assump!$D$40+CN165,0),SUM(CN161:CN162))</f>
        <v>0</v>
      </c>
      <c r="CO163" s="35"/>
    </row>
    <row r="164" spans="1:93" ht="12.75" customHeight="1" outlineLevel="1">
      <c r="A164" s="35"/>
      <c r="B164" s="54" t="s">
        <v>230</v>
      </c>
      <c r="C164" s="55"/>
      <c r="D164" s="58">
        <f t="shared" ref="D164:CN164" si="656">SUM(D161:D163)</f>
        <v>0</v>
      </c>
      <c r="E164" s="55">
        <f t="shared" si="656"/>
        <v>0</v>
      </c>
      <c r="F164" s="55">
        <f t="shared" si="656"/>
        <v>0</v>
      </c>
      <c r="G164" s="55">
        <f t="shared" si="656"/>
        <v>0</v>
      </c>
      <c r="H164" s="55">
        <f t="shared" si="656"/>
        <v>0</v>
      </c>
      <c r="I164" s="55">
        <f t="shared" si="656"/>
        <v>0</v>
      </c>
      <c r="J164" s="55">
        <f t="shared" si="656"/>
        <v>0</v>
      </c>
      <c r="K164" s="55">
        <f t="shared" si="656"/>
        <v>0</v>
      </c>
      <c r="L164" s="55">
        <f t="shared" si="656"/>
        <v>0</v>
      </c>
      <c r="M164" s="55">
        <f t="shared" si="656"/>
        <v>16923.079166666605</v>
      </c>
      <c r="N164" s="55">
        <f t="shared" si="656"/>
        <v>376714.09583333321</v>
      </c>
      <c r="O164" s="55">
        <f t="shared" si="656"/>
        <v>838320.70624999981</v>
      </c>
      <c r="P164" s="55">
        <f t="shared" si="656"/>
        <v>1328569.0666666667</v>
      </c>
      <c r="Q164" s="55">
        <f t="shared" si="656"/>
        <v>1828992.2333333332</v>
      </c>
      <c r="R164" s="55">
        <f t="shared" si="656"/>
        <v>2217512.5999999996</v>
      </c>
      <c r="S164" s="55">
        <f t="shared" si="656"/>
        <v>2692044.5066666668</v>
      </c>
      <c r="T164" s="55">
        <f t="shared" si="656"/>
        <v>3102796.6933333334</v>
      </c>
      <c r="U164" s="55">
        <f t="shared" si="656"/>
        <v>3490383.7</v>
      </c>
      <c r="V164" s="55">
        <f t="shared" si="656"/>
        <v>3818713.2</v>
      </c>
      <c r="W164" s="55">
        <f t="shared" si="656"/>
        <v>3757214.1644320386</v>
      </c>
      <c r="X164" s="55">
        <f t="shared" si="656"/>
        <v>3650955.8528648927</v>
      </c>
      <c r="Y164" s="55">
        <f t="shared" si="656"/>
        <v>3626016.4980521565</v>
      </c>
      <c r="Z164" s="55">
        <f t="shared" si="656"/>
        <v>3582279.3455595532</v>
      </c>
      <c r="AA164" s="55">
        <f t="shared" si="656"/>
        <v>3507527.9023023285</v>
      </c>
      <c r="AB164" s="55">
        <f t="shared" si="656"/>
        <v>3407034.8420978989</v>
      </c>
      <c r="AC164" s="55">
        <f t="shared" si="656"/>
        <v>3376636.4244187432</v>
      </c>
      <c r="AD164" s="55">
        <f t="shared" si="656"/>
        <v>3324751.35746394</v>
      </c>
      <c r="AE164" s="55">
        <f t="shared" si="656"/>
        <v>3238394.163003678</v>
      </c>
      <c r="AF164" s="55">
        <f t="shared" si="656"/>
        <v>3117907.5502986168</v>
      </c>
      <c r="AG164" s="55">
        <f t="shared" si="656"/>
        <v>3072994.2536198907</v>
      </c>
      <c r="AH164" s="55">
        <f t="shared" si="656"/>
        <v>2989980.0550016123</v>
      </c>
      <c r="AI164" s="55">
        <f t="shared" si="656"/>
        <v>2873082.5151296528</v>
      </c>
      <c r="AJ164" s="55">
        <f t="shared" si="656"/>
        <v>2836527.8554076441</v>
      </c>
      <c r="AK164" s="55">
        <f t="shared" si="656"/>
        <v>2768068.233053775</v>
      </c>
      <c r="AL164" s="55">
        <f t="shared" si="656"/>
        <v>2664417.7825391539</v>
      </c>
      <c r="AM164" s="55">
        <f t="shared" si="656"/>
        <v>2526020.2236929773</v>
      </c>
      <c r="AN164" s="55">
        <f t="shared" si="656"/>
        <v>2473877.1888727569</v>
      </c>
      <c r="AO164" s="55">
        <f t="shared" si="656"/>
        <v>2371793.9611941171</v>
      </c>
      <c r="AP164" s="55">
        <f t="shared" si="656"/>
        <v>2235649.896265293</v>
      </c>
      <c r="AQ164" s="55">
        <f t="shared" si="656"/>
        <v>2184299.322989027</v>
      </c>
      <c r="AR164" s="55">
        <f t="shared" si="656"/>
        <v>2107114.3105106633</v>
      </c>
      <c r="AS164" s="55">
        <f t="shared" si="656"/>
        <v>1982709.3447945188</v>
      </c>
      <c r="AT164" s="55">
        <f t="shared" si="656"/>
        <v>1823003.002934583</v>
      </c>
      <c r="AU164" s="55">
        <f t="shared" si="656"/>
        <v>1754495.1703369711</v>
      </c>
      <c r="AV164" s="55">
        <f t="shared" si="656"/>
        <v>1641665.5533018042</v>
      </c>
      <c r="AW164" s="55">
        <f t="shared" si="656"/>
        <v>1481955.2299482815</v>
      </c>
      <c r="AX164" s="55">
        <f t="shared" si="656"/>
        <v>1412854.8284114832</v>
      </c>
      <c r="AY164" s="55">
        <f t="shared" si="656"/>
        <v>1317360.7194721117</v>
      </c>
      <c r="AZ164" s="55">
        <f t="shared" si="656"/>
        <v>1180637.1928794417</v>
      </c>
      <c r="BA164" s="55">
        <f t="shared" si="656"/>
        <v>995209.39163867442</v>
      </c>
      <c r="BB164" s="55">
        <f t="shared" si="656"/>
        <v>910389.90696457785</v>
      </c>
      <c r="BC164" s="55">
        <f t="shared" si="656"/>
        <v>783347.3949627761</v>
      </c>
      <c r="BD164" s="55">
        <f t="shared" si="656"/>
        <v>617820.09452315408</v>
      </c>
      <c r="BE164" s="55">
        <f t="shared" si="656"/>
        <v>530538.54728217912</v>
      </c>
      <c r="BF164" s="55">
        <f t="shared" si="656"/>
        <v>418873.91888434952</v>
      </c>
      <c r="BG164" s="55">
        <f t="shared" si="656"/>
        <v>267259.40555764356</v>
      </c>
      <c r="BH164" s="55">
        <f t="shared" si="656"/>
        <v>76001.63306239454</v>
      </c>
      <c r="BI164" s="55">
        <f t="shared" si="656"/>
        <v>0</v>
      </c>
      <c r="BJ164" s="55">
        <f t="shared" si="656"/>
        <v>0</v>
      </c>
      <c r="BK164" s="55">
        <f t="shared" si="656"/>
        <v>0</v>
      </c>
      <c r="BL164" s="55">
        <f t="shared" si="656"/>
        <v>0</v>
      </c>
      <c r="BM164" s="55">
        <f t="shared" si="656"/>
        <v>0</v>
      </c>
      <c r="BN164" s="55">
        <f t="shared" si="656"/>
        <v>0</v>
      </c>
      <c r="BO164" s="55">
        <f t="shared" si="656"/>
        <v>0</v>
      </c>
      <c r="BP164" s="55">
        <f t="shared" si="656"/>
        <v>0</v>
      </c>
      <c r="BQ164" s="55">
        <f t="shared" si="656"/>
        <v>0</v>
      </c>
      <c r="BR164" s="55">
        <f t="shared" si="656"/>
        <v>0</v>
      </c>
      <c r="BS164" s="55">
        <f t="shared" si="656"/>
        <v>0</v>
      </c>
      <c r="BT164" s="55">
        <f t="shared" si="656"/>
        <v>0</v>
      </c>
      <c r="BU164" s="55">
        <f t="shared" si="656"/>
        <v>0</v>
      </c>
      <c r="BV164" s="55">
        <f t="shared" si="656"/>
        <v>0</v>
      </c>
      <c r="BW164" s="55">
        <f t="shared" si="656"/>
        <v>0</v>
      </c>
      <c r="BX164" s="55">
        <f t="shared" si="656"/>
        <v>0</v>
      </c>
      <c r="BY164" s="55">
        <f t="shared" si="656"/>
        <v>0</v>
      </c>
      <c r="BZ164" s="55">
        <f t="shared" si="656"/>
        <v>0</v>
      </c>
      <c r="CA164" s="55">
        <f t="shared" si="656"/>
        <v>0</v>
      </c>
      <c r="CB164" s="55">
        <f t="shared" si="656"/>
        <v>0</v>
      </c>
      <c r="CC164" s="55">
        <f t="shared" si="656"/>
        <v>0</v>
      </c>
      <c r="CD164" s="55">
        <f t="shared" si="656"/>
        <v>0</v>
      </c>
      <c r="CE164" s="55">
        <f t="shared" si="656"/>
        <v>0</v>
      </c>
      <c r="CF164" s="55">
        <f t="shared" si="656"/>
        <v>0</v>
      </c>
      <c r="CG164" s="55">
        <f t="shared" si="656"/>
        <v>0</v>
      </c>
      <c r="CH164" s="55">
        <f t="shared" si="656"/>
        <v>0</v>
      </c>
      <c r="CI164" s="55">
        <f t="shared" si="656"/>
        <v>0</v>
      </c>
      <c r="CJ164" s="55">
        <f t="shared" si="656"/>
        <v>0</v>
      </c>
      <c r="CK164" s="55">
        <f t="shared" si="656"/>
        <v>0</v>
      </c>
      <c r="CL164" s="55">
        <f t="shared" si="656"/>
        <v>0</v>
      </c>
      <c r="CM164" s="55">
        <f t="shared" si="656"/>
        <v>0</v>
      </c>
      <c r="CN164" s="55">
        <f t="shared" si="656"/>
        <v>0</v>
      </c>
      <c r="CO164" s="35"/>
    </row>
    <row r="165" spans="1:93" ht="12.75" customHeight="1" outlineLevel="1">
      <c r="A165" s="35"/>
      <c r="B165" s="63" t="s">
        <v>238</v>
      </c>
      <c r="C165" s="35">
        <f>SUM(D165:CN165)</f>
        <v>-1923705.6546557876</v>
      </c>
      <c r="D165" s="60">
        <f>-D161*Assump!$D$38</f>
        <v>0</v>
      </c>
      <c r="E165" s="35">
        <f>-E161*Assump!$D$38</f>
        <v>0</v>
      </c>
      <c r="F165" s="35">
        <f>-F161*Assump!$D$38</f>
        <v>0</v>
      </c>
      <c r="G165" s="35">
        <f>-G161*Assump!$D$38</f>
        <v>0</v>
      </c>
      <c r="H165" s="35">
        <f>-H161*Assump!$D$38</f>
        <v>0</v>
      </c>
      <c r="I165" s="35">
        <f>-I161*Assump!$D$38</f>
        <v>0</v>
      </c>
      <c r="J165" s="35">
        <f>-J161*Assump!$D$38</f>
        <v>0</v>
      </c>
      <c r="K165" s="35">
        <f>-K161*Assump!$D$38</f>
        <v>0</v>
      </c>
      <c r="L165" s="35">
        <f>-L161*Assump!$D$38</f>
        <v>0</v>
      </c>
      <c r="M165" s="35">
        <f>-M161*Assump!$D$38</f>
        <v>0</v>
      </c>
      <c r="N165" s="35">
        <f>-N161*Assump!$D$38</f>
        <v>-317.3077343749988</v>
      </c>
      <c r="O165" s="35">
        <f>-O161*Assump!$D$38</f>
        <v>-7063.3892968749979</v>
      </c>
      <c r="P165" s="35">
        <f>-P161*Assump!$D$38</f>
        <v>-15718.513242187495</v>
      </c>
      <c r="Q165" s="35">
        <f>-Q161*Assump!$D$38</f>
        <v>-24910.67</v>
      </c>
      <c r="R165" s="35">
        <f>-R161*Assump!$D$38</f>
        <v>-34293.604374999995</v>
      </c>
      <c r="S165" s="35">
        <f>-S161*Assump!$D$38</f>
        <v>-41578.361249999994</v>
      </c>
      <c r="T165" s="35">
        <f>-T161*Assump!$D$38</f>
        <v>-50475.834500000004</v>
      </c>
      <c r="U165" s="35">
        <f>-U161*Assump!$D$38</f>
        <v>-58177.438000000002</v>
      </c>
      <c r="V165" s="35">
        <f>-V161*Assump!$D$38</f>
        <v>-65444.694374999999</v>
      </c>
      <c r="W165" s="35">
        <f>-W161*Assump!$D$38</f>
        <v>-71600.872499999998</v>
      </c>
      <c r="X165" s="35">
        <f>-X161*Assump!$D$38</f>
        <v>-70447.765583100714</v>
      </c>
      <c r="Y165" s="35">
        <f>-Y161*Assump!$D$38</f>
        <v>-68455.422241216729</v>
      </c>
      <c r="Z165" s="35">
        <f>-Z161*Assump!$D$38</f>
        <v>-67987.809338477935</v>
      </c>
      <c r="AA165" s="35">
        <f>-AA161*Assump!$D$38</f>
        <v>-67167.73772924162</v>
      </c>
      <c r="AB165" s="35">
        <f>-AB161*Assump!$D$38</f>
        <v>-65766.148168168656</v>
      </c>
      <c r="AC165" s="35">
        <f>-AC161*Assump!$D$38</f>
        <v>-63881.903289335605</v>
      </c>
      <c r="AD165" s="35">
        <f>-AD161*Assump!$D$38</f>
        <v>-63311.93295785143</v>
      </c>
      <c r="AE165" s="35">
        <f>-AE161*Assump!$D$38</f>
        <v>-62339.08795244887</v>
      </c>
      <c r="AF165" s="35">
        <f>-AF161*Assump!$D$38</f>
        <v>-60719.890556318962</v>
      </c>
      <c r="AG165" s="35">
        <f>-AG161*Assump!$D$38</f>
        <v>-58460.766568099061</v>
      </c>
      <c r="AH165" s="35">
        <f>-AH161*Assump!$D$38</f>
        <v>-57618.64225537295</v>
      </c>
      <c r="AI165" s="35">
        <f>-AI161*Assump!$D$38</f>
        <v>-56062.126031280226</v>
      </c>
      <c r="AJ165" s="35">
        <f>-AJ161*Assump!$D$38</f>
        <v>-53870.297158680987</v>
      </c>
      <c r="AK165" s="35">
        <f>-AK161*Assump!$D$38</f>
        <v>-53184.897288893328</v>
      </c>
      <c r="AL165" s="35">
        <f>-AL161*Assump!$D$38</f>
        <v>-51901.279369758282</v>
      </c>
      <c r="AM165" s="35">
        <f>-AM161*Assump!$D$38</f>
        <v>-49957.833422609132</v>
      </c>
      <c r="AN165" s="35">
        <f>-AN161*Assump!$D$38</f>
        <v>-47362.879194243324</v>
      </c>
      <c r="AO165" s="35">
        <f>-AO161*Assump!$D$38</f>
        <v>-46385.197291364188</v>
      </c>
      <c r="AP165" s="35">
        <f>-AP161*Assump!$D$38</f>
        <v>-44471.136772389691</v>
      </c>
      <c r="AQ165" s="35">
        <f>-AQ161*Assump!$D$38</f>
        <v>-41918.435554974239</v>
      </c>
      <c r="AR165" s="35">
        <f>-AR161*Assump!$D$38</f>
        <v>-40955.612306044255</v>
      </c>
      <c r="AS165" s="35">
        <f>-AS161*Assump!$D$38</f>
        <v>-39508.393322074939</v>
      </c>
      <c r="AT165" s="35">
        <f>-AT161*Assump!$D$38</f>
        <v>-37175.800214897223</v>
      </c>
      <c r="AU165" s="35">
        <f>-AU161*Assump!$D$38</f>
        <v>-34181.306305023427</v>
      </c>
      <c r="AV165" s="35">
        <f>-AV161*Assump!$D$38</f>
        <v>-32896.784443818207</v>
      </c>
      <c r="AW165" s="35">
        <f>-AW161*Assump!$D$38</f>
        <v>-30781.229124408826</v>
      </c>
      <c r="AX165" s="35">
        <f>-AX161*Assump!$D$38</f>
        <v>-27786.66056153028</v>
      </c>
      <c r="AY165" s="35">
        <f>-AY161*Assump!$D$38</f>
        <v>-26491.028032715309</v>
      </c>
      <c r="AZ165" s="35">
        <f>-AZ161*Assump!$D$38</f>
        <v>-24700.513490102094</v>
      </c>
      <c r="BA165" s="35">
        <f>-BA161*Assump!$D$38</f>
        <v>-22136.94736648953</v>
      </c>
      <c r="BB165" s="35">
        <f>-BB161*Assump!$D$38</f>
        <v>-18660.176093225145</v>
      </c>
      <c r="BC165" s="35">
        <f>-BC161*Assump!$D$38</f>
        <v>-17069.810755585833</v>
      </c>
      <c r="BD165" s="35">
        <f>-BD161*Assump!$D$38</f>
        <v>-14687.763655552051</v>
      </c>
      <c r="BE165" s="35">
        <f>-BE161*Assump!$D$38</f>
        <v>-11584.126772309139</v>
      </c>
      <c r="BF165" s="35">
        <f>-BF161*Assump!$D$38</f>
        <v>-9947.5977615408574</v>
      </c>
      <c r="BG165" s="35">
        <f>-BG161*Assump!$D$38</f>
        <v>-7853.8859790815532</v>
      </c>
      <c r="BH165" s="35">
        <f>-BH161*Assump!$D$38</f>
        <v>-5011.113854205817</v>
      </c>
      <c r="BI165" s="35">
        <f>-BI161*Assump!$D$38</f>
        <v>-1425.0306199198976</v>
      </c>
      <c r="BJ165" s="35">
        <f>-BJ161*Assump!$D$38</f>
        <v>0</v>
      </c>
      <c r="BK165" s="35">
        <f>-BK161*Assump!$D$38</f>
        <v>0</v>
      </c>
      <c r="BL165" s="35">
        <f>-BL161*Assump!$D$38</f>
        <v>0</v>
      </c>
      <c r="BM165" s="35">
        <f>-BM161*Assump!$D$38</f>
        <v>0</v>
      </c>
      <c r="BN165" s="35">
        <f>-BN161*Assump!$D$38</f>
        <v>0</v>
      </c>
      <c r="BO165" s="35">
        <f>-BO161*Assump!$D$38</f>
        <v>0</v>
      </c>
      <c r="BP165" s="35">
        <f>-BP161*Assump!$D$38</f>
        <v>0</v>
      </c>
      <c r="BQ165" s="35">
        <f>-BQ161*Assump!$D$38</f>
        <v>0</v>
      </c>
      <c r="BR165" s="35">
        <f>-BR161*Assump!$D$38</f>
        <v>0</v>
      </c>
      <c r="BS165" s="35">
        <f>-BS161*Assump!$D$38</f>
        <v>0</v>
      </c>
      <c r="BT165" s="35">
        <f>-BT161*Assump!$D$38</f>
        <v>0</v>
      </c>
      <c r="BU165" s="35">
        <f>-BU161*Assump!$D$38</f>
        <v>0</v>
      </c>
      <c r="BV165" s="35">
        <f>-BV161*Assump!$D$38</f>
        <v>0</v>
      </c>
      <c r="BW165" s="35">
        <f>-BW161*Assump!$D$38</f>
        <v>0</v>
      </c>
      <c r="BX165" s="35">
        <f>-BX161*Assump!$D$38</f>
        <v>0</v>
      </c>
      <c r="BY165" s="35">
        <f>-BY161*Assump!$D$38</f>
        <v>0</v>
      </c>
      <c r="BZ165" s="35">
        <f>-BZ161*Assump!$D$38</f>
        <v>0</v>
      </c>
      <c r="CA165" s="35">
        <f>-CA161*Assump!$D$38</f>
        <v>0</v>
      </c>
      <c r="CB165" s="35">
        <f>-CB161*Assump!$D$38</f>
        <v>0</v>
      </c>
      <c r="CC165" s="35">
        <f>-CC161*Assump!$D$38</f>
        <v>0</v>
      </c>
      <c r="CD165" s="35">
        <f>-CD161*Assump!$D$38</f>
        <v>0</v>
      </c>
      <c r="CE165" s="35">
        <f>-CE161*Assump!$D$38</f>
        <v>0</v>
      </c>
      <c r="CF165" s="35">
        <f>-CF161*Assump!$D$38</f>
        <v>0</v>
      </c>
      <c r="CG165" s="35">
        <f>-CG161*Assump!$D$38</f>
        <v>0</v>
      </c>
      <c r="CH165" s="35">
        <f>-CH161*Assump!$D$38</f>
        <v>0</v>
      </c>
      <c r="CI165" s="35">
        <f>-CI161*Assump!$D$38</f>
        <v>0</v>
      </c>
      <c r="CJ165" s="35">
        <f>-CJ161*Assump!$D$38</f>
        <v>0</v>
      </c>
      <c r="CK165" s="35">
        <f>-CK161*Assump!$D$38</f>
        <v>0</v>
      </c>
      <c r="CL165" s="35">
        <f>-CL161*Assump!$D$38</f>
        <v>0</v>
      </c>
      <c r="CM165" s="35">
        <f>-CM161*Assump!$D$38</f>
        <v>0</v>
      </c>
      <c r="CN165" s="35">
        <f>-CN161*Assump!$D$38</f>
        <v>0</v>
      </c>
      <c r="CO165" s="35"/>
    </row>
    <row r="166" spans="1:93" ht="12.75" customHeight="1" outlineLevel="1">
      <c r="A166" s="35"/>
      <c r="B166" s="63"/>
      <c r="C166" s="35"/>
      <c r="D166" s="443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</row>
    <row r="167" spans="1:93" ht="12.75" customHeight="1">
      <c r="A167" s="35"/>
      <c r="B167" s="35"/>
      <c r="C167" s="35"/>
      <c r="D167" s="419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</row>
    <row r="168" spans="1:93" ht="12.75" customHeight="1">
      <c r="A168" s="112"/>
      <c r="B168" s="67" t="s">
        <v>239</v>
      </c>
      <c r="C168" s="113"/>
      <c r="D168" s="114" t="str">
        <f t="shared" ref="D168:AI168" si="657">D6</f>
        <v>0 период</v>
      </c>
      <c r="E168" s="115">
        <f t="shared" si="657"/>
        <v>45200</v>
      </c>
      <c r="F168" s="115">
        <f t="shared" si="657"/>
        <v>45292</v>
      </c>
      <c r="G168" s="115">
        <f t="shared" si="657"/>
        <v>45383</v>
      </c>
      <c r="H168" s="115">
        <f t="shared" si="657"/>
        <v>45474</v>
      </c>
      <c r="I168" s="115">
        <f t="shared" si="657"/>
        <v>45566</v>
      </c>
      <c r="J168" s="115">
        <f t="shared" si="657"/>
        <v>45658</v>
      </c>
      <c r="K168" s="115">
        <f t="shared" si="657"/>
        <v>45748</v>
      </c>
      <c r="L168" s="115">
        <f t="shared" si="657"/>
        <v>45839</v>
      </c>
      <c r="M168" s="115">
        <f t="shared" si="657"/>
        <v>45931</v>
      </c>
      <c r="N168" s="115">
        <f t="shared" si="657"/>
        <v>46023</v>
      </c>
      <c r="O168" s="115">
        <f t="shared" si="657"/>
        <v>46113</v>
      </c>
      <c r="P168" s="115">
        <f t="shared" si="657"/>
        <v>46204</v>
      </c>
      <c r="Q168" s="115">
        <f t="shared" si="657"/>
        <v>46296</v>
      </c>
      <c r="R168" s="115">
        <f t="shared" si="657"/>
        <v>46388</v>
      </c>
      <c r="S168" s="115">
        <f t="shared" si="657"/>
        <v>46478</v>
      </c>
      <c r="T168" s="115">
        <f t="shared" si="657"/>
        <v>46569</v>
      </c>
      <c r="U168" s="115">
        <f t="shared" si="657"/>
        <v>46661</v>
      </c>
      <c r="V168" s="115">
        <f t="shared" si="657"/>
        <v>46753</v>
      </c>
      <c r="W168" s="115">
        <f t="shared" si="657"/>
        <v>46844</v>
      </c>
      <c r="X168" s="115">
        <f t="shared" si="657"/>
        <v>46935</v>
      </c>
      <c r="Y168" s="115">
        <f t="shared" si="657"/>
        <v>47027</v>
      </c>
      <c r="Z168" s="115">
        <f t="shared" si="657"/>
        <v>47119</v>
      </c>
      <c r="AA168" s="115">
        <f t="shared" si="657"/>
        <v>47209</v>
      </c>
      <c r="AB168" s="115">
        <f t="shared" si="657"/>
        <v>47300</v>
      </c>
      <c r="AC168" s="115">
        <f t="shared" si="657"/>
        <v>47392</v>
      </c>
      <c r="AD168" s="115">
        <f t="shared" si="657"/>
        <v>47484</v>
      </c>
      <c r="AE168" s="115">
        <f t="shared" si="657"/>
        <v>47574</v>
      </c>
      <c r="AF168" s="115">
        <f t="shared" si="657"/>
        <v>47665</v>
      </c>
      <c r="AG168" s="115">
        <f t="shared" si="657"/>
        <v>47757</v>
      </c>
      <c r="AH168" s="115">
        <f t="shared" si="657"/>
        <v>47849</v>
      </c>
      <c r="AI168" s="115">
        <f t="shared" si="657"/>
        <v>47939</v>
      </c>
      <c r="AJ168" s="115">
        <f t="shared" ref="AJ168:BO168" si="658">AJ6</f>
        <v>48030</v>
      </c>
      <c r="AK168" s="115">
        <f t="shared" si="658"/>
        <v>48122</v>
      </c>
      <c r="AL168" s="115">
        <f t="shared" si="658"/>
        <v>48214</v>
      </c>
      <c r="AM168" s="115">
        <f t="shared" si="658"/>
        <v>48305</v>
      </c>
      <c r="AN168" s="115">
        <f t="shared" si="658"/>
        <v>48396</v>
      </c>
      <c r="AO168" s="115">
        <f t="shared" si="658"/>
        <v>48488</v>
      </c>
      <c r="AP168" s="115">
        <f t="shared" si="658"/>
        <v>48580</v>
      </c>
      <c r="AQ168" s="115">
        <f t="shared" si="658"/>
        <v>48670</v>
      </c>
      <c r="AR168" s="115">
        <f t="shared" si="658"/>
        <v>48761</v>
      </c>
      <c r="AS168" s="115">
        <f t="shared" si="658"/>
        <v>48853</v>
      </c>
      <c r="AT168" s="115">
        <f t="shared" si="658"/>
        <v>48945</v>
      </c>
      <c r="AU168" s="115">
        <f t="shared" si="658"/>
        <v>49035</v>
      </c>
      <c r="AV168" s="115">
        <f t="shared" si="658"/>
        <v>49126</v>
      </c>
      <c r="AW168" s="115">
        <f t="shared" si="658"/>
        <v>49218</v>
      </c>
      <c r="AX168" s="115">
        <f t="shared" si="658"/>
        <v>49310</v>
      </c>
      <c r="AY168" s="115">
        <f t="shared" si="658"/>
        <v>49400</v>
      </c>
      <c r="AZ168" s="115">
        <f t="shared" si="658"/>
        <v>49491</v>
      </c>
      <c r="BA168" s="115">
        <f t="shared" si="658"/>
        <v>49583</v>
      </c>
      <c r="BB168" s="115">
        <f t="shared" si="658"/>
        <v>49675</v>
      </c>
      <c r="BC168" s="115">
        <f t="shared" si="658"/>
        <v>49766</v>
      </c>
      <c r="BD168" s="115">
        <f t="shared" si="658"/>
        <v>49857</v>
      </c>
      <c r="BE168" s="115">
        <f t="shared" si="658"/>
        <v>49949</v>
      </c>
      <c r="BF168" s="115">
        <f t="shared" si="658"/>
        <v>50041</v>
      </c>
      <c r="BG168" s="115">
        <f t="shared" si="658"/>
        <v>50131</v>
      </c>
      <c r="BH168" s="115">
        <f t="shared" si="658"/>
        <v>50222</v>
      </c>
      <c r="BI168" s="115">
        <f t="shared" si="658"/>
        <v>50314</v>
      </c>
      <c r="BJ168" s="115">
        <f t="shared" si="658"/>
        <v>50406</v>
      </c>
      <c r="BK168" s="115">
        <f t="shared" si="658"/>
        <v>50496</v>
      </c>
      <c r="BL168" s="115">
        <f t="shared" si="658"/>
        <v>50587</v>
      </c>
      <c r="BM168" s="115">
        <f t="shared" si="658"/>
        <v>50679</v>
      </c>
      <c r="BN168" s="115">
        <f t="shared" si="658"/>
        <v>50771</v>
      </c>
      <c r="BO168" s="115">
        <f t="shared" si="658"/>
        <v>50861</v>
      </c>
      <c r="BP168" s="115">
        <f t="shared" ref="BP168:CN168" si="659">BP6</f>
        <v>50952</v>
      </c>
      <c r="BQ168" s="115">
        <f t="shared" si="659"/>
        <v>51044</v>
      </c>
      <c r="BR168" s="115">
        <f t="shared" si="659"/>
        <v>51136</v>
      </c>
      <c r="BS168" s="115">
        <f t="shared" si="659"/>
        <v>51227</v>
      </c>
      <c r="BT168" s="115">
        <f t="shared" si="659"/>
        <v>51318</v>
      </c>
      <c r="BU168" s="115">
        <f t="shared" si="659"/>
        <v>51410</v>
      </c>
      <c r="BV168" s="115">
        <f t="shared" si="659"/>
        <v>51502</v>
      </c>
      <c r="BW168" s="115">
        <f t="shared" si="659"/>
        <v>51592</v>
      </c>
      <c r="BX168" s="115">
        <f t="shared" si="659"/>
        <v>51683</v>
      </c>
      <c r="BY168" s="115">
        <f t="shared" si="659"/>
        <v>51775</v>
      </c>
      <c r="BZ168" s="115">
        <f t="shared" si="659"/>
        <v>51867</v>
      </c>
      <c r="CA168" s="115">
        <f t="shared" si="659"/>
        <v>51957</v>
      </c>
      <c r="CB168" s="115">
        <f t="shared" si="659"/>
        <v>52048</v>
      </c>
      <c r="CC168" s="115">
        <f t="shared" si="659"/>
        <v>52140</v>
      </c>
      <c r="CD168" s="115">
        <f t="shared" si="659"/>
        <v>52232</v>
      </c>
      <c r="CE168" s="115">
        <f t="shared" si="659"/>
        <v>52322</v>
      </c>
      <c r="CF168" s="115">
        <f t="shared" si="659"/>
        <v>52413</v>
      </c>
      <c r="CG168" s="115">
        <f t="shared" si="659"/>
        <v>52505</v>
      </c>
      <c r="CH168" s="115">
        <f t="shared" si="659"/>
        <v>52597</v>
      </c>
      <c r="CI168" s="115">
        <f t="shared" si="659"/>
        <v>52688</v>
      </c>
      <c r="CJ168" s="115">
        <f t="shared" si="659"/>
        <v>52779</v>
      </c>
      <c r="CK168" s="115">
        <f t="shared" si="659"/>
        <v>52871</v>
      </c>
      <c r="CL168" s="115">
        <f t="shared" si="659"/>
        <v>52963</v>
      </c>
      <c r="CM168" s="115">
        <f t="shared" si="659"/>
        <v>53053</v>
      </c>
      <c r="CN168" s="115">
        <f t="shared" si="659"/>
        <v>53144</v>
      </c>
      <c r="CO168" s="115"/>
    </row>
    <row r="169" spans="1:93" ht="12.75" customHeight="1">
      <c r="A169" s="112"/>
      <c r="B169" s="112" t="s">
        <v>240</v>
      </c>
      <c r="C169" s="112"/>
      <c r="D169" s="116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/>
      <c r="BJ169" s="112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  <c r="BU169" s="112"/>
      <c r="BV169" s="112"/>
      <c r="BW169" s="112"/>
      <c r="BX169" s="112"/>
      <c r="BY169" s="112"/>
      <c r="BZ169" s="112"/>
      <c r="CA169" s="112"/>
      <c r="CB169" s="112"/>
      <c r="CC169" s="112"/>
      <c r="CD169" s="112"/>
      <c r="CE169" s="112"/>
      <c r="CF169" s="112"/>
      <c r="CG169" s="112"/>
      <c r="CH169" s="112"/>
      <c r="CI169" s="112"/>
      <c r="CJ169" s="112"/>
      <c r="CK169" s="112"/>
      <c r="CL169" s="112"/>
      <c r="CM169" s="112"/>
      <c r="CN169" s="112"/>
      <c r="CO169" s="112"/>
    </row>
    <row r="170" spans="1:93" ht="12.75" customHeight="1">
      <c r="A170" s="112"/>
      <c r="B170" s="112" t="s">
        <v>241</v>
      </c>
      <c r="C170" s="112"/>
      <c r="D170" s="116">
        <f t="shared" ref="D170:CN170" si="660">SUM(D171:D174)</f>
        <v>954678.3</v>
      </c>
      <c r="E170" s="112">
        <f t="shared" si="660"/>
        <v>951769.96666666667</v>
      </c>
      <c r="F170" s="112">
        <f t="shared" si="660"/>
        <v>951769.96666666667</v>
      </c>
      <c r="G170" s="112">
        <f t="shared" si="660"/>
        <v>931978.3</v>
      </c>
      <c r="H170" s="112">
        <f t="shared" si="660"/>
        <v>911486.6333333333</v>
      </c>
      <c r="I170" s="112">
        <f t="shared" si="660"/>
        <v>890994.96666666667</v>
      </c>
      <c r="J170" s="112">
        <f t="shared" si="660"/>
        <v>866256.0777777778</v>
      </c>
      <c r="K170" s="112">
        <f t="shared" si="660"/>
        <v>640960.30347222229</v>
      </c>
      <c r="L170" s="112">
        <f t="shared" si="660"/>
        <v>402735.86249999999</v>
      </c>
      <c r="M170" s="112">
        <f t="shared" si="660"/>
        <v>157733.5631944444</v>
      </c>
      <c r="N170" s="112">
        <f t="shared" si="660"/>
        <v>216681.42490451375</v>
      </c>
      <c r="O170" s="112">
        <f t="shared" si="660"/>
        <v>285852.47067708313</v>
      </c>
      <c r="P170" s="112">
        <f t="shared" si="660"/>
        <v>351142.01750434027</v>
      </c>
      <c r="Q170" s="112">
        <f t="shared" si="660"/>
        <v>408935.20861545129</v>
      </c>
      <c r="R170" s="112">
        <f t="shared" si="660"/>
        <v>438694.99868489552</v>
      </c>
      <c r="S170" s="112">
        <f t="shared" si="660"/>
        <v>475505.28854600713</v>
      </c>
      <c r="T170" s="112">
        <f t="shared" si="660"/>
        <v>492788.15182378475</v>
      </c>
      <c r="U170" s="112">
        <f t="shared" si="660"/>
        <v>498508.54826822929</v>
      </c>
      <c r="V170" s="112">
        <f t="shared" si="660"/>
        <v>494401.21221402334</v>
      </c>
      <c r="W170" s="112">
        <f t="shared" si="660"/>
        <v>538177.25720831496</v>
      </c>
      <c r="X170" s="112">
        <f t="shared" si="660"/>
        <v>574230.17284239037</v>
      </c>
      <c r="Y170" s="112">
        <f t="shared" si="660"/>
        <v>584635.94868852734</v>
      </c>
      <c r="Z170" s="112">
        <f t="shared" si="660"/>
        <v>611249.98770346434</v>
      </c>
      <c r="AA170" s="112">
        <f t="shared" si="660"/>
        <v>643981.93272518052</v>
      </c>
      <c r="AB170" s="112">
        <f t="shared" si="660"/>
        <v>677972.59486283152</v>
      </c>
      <c r="AC170" s="112">
        <f t="shared" si="660"/>
        <v>670080.30737737636</v>
      </c>
      <c r="AD170" s="112">
        <f t="shared" si="660"/>
        <v>641859.56715785048</v>
      </c>
      <c r="AE170" s="112">
        <f t="shared" si="660"/>
        <v>579181.77186586743</v>
      </c>
      <c r="AF170" s="112">
        <f t="shared" si="660"/>
        <v>616248.15500466048</v>
      </c>
      <c r="AG170" s="112">
        <f t="shared" si="660"/>
        <v>628288.95735569031</v>
      </c>
      <c r="AH170" s="112">
        <f t="shared" si="660"/>
        <v>663697.35234395415</v>
      </c>
      <c r="AI170" s="112">
        <f t="shared" si="660"/>
        <v>699405.07955810183</v>
      </c>
      <c r="AJ170" s="112">
        <f t="shared" si="660"/>
        <v>707786.25766746758</v>
      </c>
      <c r="AK170" s="112">
        <f t="shared" si="660"/>
        <v>737259.99637670151</v>
      </c>
      <c r="AL170" s="112">
        <f t="shared" si="660"/>
        <v>773735.27529415255</v>
      </c>
      <c r="AM170" s="112">
        <f t="shared" si="660"/>
        <v>812852.51342335914</v>
      </c>
      <c r="AN170" s="112">
        <f t="shared" si="660"/>
        <v>822914.71597266535</v>
      </c>
      <c r="AO170" s="112">
        <f t="shared" si="660"/>
        <v>859953.09916670423</v>
      </c>
      <c r="AP170" s="112">
        <f t="shared" si="660"/>
        <v>897994.23881542764</v>
      </c>
      <c r="AQ170" s="112">
        <f t="shared" si="660"/>
        <v>906680.21246168669</v>
      </c>
      <c r="AR170" s="112">
        <f t="shared" si="660"/>
        <v>935072.86556806951</v>
      </c>
      <c r="AS170" s="112">
        <f t="shared" si="660"/>
        <v>973354.42960292497</v>
      </c>
      <c r="AT170" s="112">
        <f t="shared" si="660"/>
        <v>1014824.207247934</v>
      </c>
      <c r="AU170" s="112">
        <f t="shared" si="660"/>
        <v>1025259.6706186482</v>
      </c>
      <c r="AV170" s="112">
        <f t="shared" si="660"/>
        <v>1061398.681458283</v>
      </c>
      <c r="AW170" s="112">
        <f t="shared" si="660"/>
        <v>1101102.5634445373</v>
      </c>
      <c r="AX170" s="112">
        <f t="shared" si="660"/>
        <v>1110781.9536252792</v>
      </c>
      <c r="AY170" s="112">
        <f t="shared" si="660"/>
        <v>1140601.4472578606</v>
      </c>
      <c r="AZ170" s="112">
        <f t="shared" si="660"/>
        <v>1177871.1959255789</v>
      </c>
      <c r="BA170" s="112">
        <f t="shared" si="660"/>
        <v>1221101.0772788057</v>
      </c>
      <c r="BB170" s="112">
        <f t="shared" si="660"/>
        <v>1231896.8967887813</v>
      </c>
      <c r="BC170" s="112">
        <f t="shared" si="660"/>
        <v>1268686.6254208805</v>
      </c>
      <c r="BD170" s="112">
        <f t="shared" si="660"/>
        <v>1305578.9806921135</v>
      </c>
      <c r="BE170" s="112">
        <f t="shared" si="660"/>
        <v>1314988.2475096146</v>
      </c>
      <c r="BF170" s="112">
        <f t="shared" si="660"/>
        <v>1345606.2403405239</v>
      </c>
      <c r="BG170" s="112">
        <f t="shared" si="660"/>
        <v>1383191.703318614</v>
      </c>
      <c r="BH170" s="112">
        <f t="shared" si="660"/>
        <v>1423397.240147348</v>
      </c>
      <c r="BI170" s="112">
        <f t="shared" si="660"/>
        <v>1465444.4762277897</v>
      </c>
      <c r="BJ170" s="112">
        <f t="shared" si="660"/>
        <v>1489775.7090928757</v>
      </c>
      <c r="BK170" s="112">
        <f t="shared" si="660"/>
        <v>1506467.7766316845</v>
      </c>
      <c r="BL170" s="112">
        <f t="shared" si="660"/>
        <v>1529011.8317560907</v>
      </c>
      <c r="BM170" s="112">
        <f t="shared" si="660"/>
        <v>1553512.4004883191</v>
      </c>
      <c r="BN170" s="112">
        <f t="shared" si="660"/>
        <v>1577766.0029777242</v>
      </c>
      <c r="BO170" s="112">
        <f t="shared" si="660"/>
        <v>1594071.4463256889</v>
      </c>
      <c r="BP170" s="112">
        <f t="shared" si="660"/>
        <v>1617702.6374301838</v>
      </c>
      <c r="BQ170" s="112">
        <f t="shared" si="660"/>
        <v>1642373.9657291991</v>
      </c>
      <c r="BR170" s="112">
        <f t="shared" si="660"/>
        <v>1658888.4681981395</v>
      </c>
      <c r="BS170" s="112">
        <f t="shared" si="660"/>
        <v>1681388.2878859767</v>
      </c>
      <c r="BT170" s="112">
        <f t="shared" si="660"/>
        <v>1705784.9858066421</v>
      </c>
      <c r="BU170" s="112">
        <f t="shared" si="660"/>
        <v>1730548.2331773746</v>
      </c>
      <c r="BV170" s="112">
        <f t="shared" si="660"/>
        <v>1746520.3011813492</v>
      </c>
      <c r="BW170" s="112">
        <f t="shared" si="660"/>
        <v>1770153.8960431193</v>
      </c>
      <c r="BX170" s="112">
        <f t="shared" si="660"/>
        <v>1794832.9563778911</v>
      </c>
      <c r="BY170" s="112">
        <f t="shared" si="660"/>
        <v>1811301.8250243322</v>
      </c>
      <c r="BZ170" s="112">
        <f t="shared" si="660"/>
        <v>1833850.0134364776</v>
      </c>
      <c r="CA170" s="112">
        <f t="shared" si="660"/>
        <v>1858286.1204067054</v>
      </c>
      <c r="CB170" s="112">
        <f t="shared" si="660"/>
        <v>1882893.4107853703</v>
      </c>
      <c r="CC170" s="112">
        <f t="shared" si="660"/>
        <v>1898961.6833027103</v>
      </c>
      <c r="CD170" s="112">
        <f t="shared" si="660"/>
        <v>1922713.3266405598</v>
      </c>
      <c r="CE170" s="112">
        <f t="shared" si="660"/>
        <v>1947427.8626665734</v>
      </c>
      <c r="CF170" s="112">
        <f t="shared" si="660"/>
        <v>1963473.2434226666</v>
      </c>
      <c r="CG170" s="112">
        <f t="shared" si="660"/>
        <v>1986257.0018314139</v>
      </c>
      <c r="CH170" s="112">
        <f t="shared" si="660"/>
        <v>2010963.0998371823</v>
      </c>
      <c r="CI170" s="112">
        <f t="shared" si="660"/>
        <v>2035588.8945121404</v>
      </c>
      <c r="CJ170" s="112">
        <f t="shared" si="660"/>
        <v>2051198.8252132537</v>
      </c>
      <c r="CK170" s="112">
        <f t="shared" si="660"/>
        <v>2075394.8360174343</v>
      </c>
      <c r="CL170" s="112">
        <f t="shared" si="660"/>
        <v>2100293.7120808479</v>
      </c>
      <c r="CM170" s="112">
        <f t="shared" si="660"/>
        <v>2115907.134945388</v>
      </c>
      <c r="CN170" s="112">
        <f t="shared" si="660"/>
        <v>2138633.6852951446</v>
      </c>
      <c r="CO170" s="112"/>
    </row>
    <row r="171" spans="1:93" ht="12.75" customHeight="1">
      <c r="A171" s="117"/>
      <c r="B171" s="26" t="s">
        <v>242</v>
      </c>
      <c r="C171" s="117">
        <f>MAX(D171:CN171)</f>
        <v>2111537.6544510662</v>
      </c>
      <c r="D171" s="118">
        <f t="shared" ref="D171:AI171" si="661">D95</f>
        <v>954678.3</v>
      </c>
      <c r="E171" s="5">
        <f t="shared" si="661"/>
        <v>951188.3</v>
      </c>
      <c r="F171" s="5">
        <f t="shared" si="661"/>
        <v>951188.3</v>
      </c>
      <c r="G171" s="5">
        <f t="shared" si="661"/>
        <v>928019.96666666667</v>
      </c>
      <c r="H171" s="5">
        <f t="shared" si="661"/>
        <v>903569.96666666667</v>
      </c>
      <c r="I171" s="5">
        <f t="shared" si="661"/>
        <v>883078.3</v>
      </c>
      <c r="J171" s="5">
        <f t="shared" si="661"/>
        <v>857489.96666666667</v>
      </c>
      <c r="K171" s="5">
        <f t="shared" si="661"/>
        <v>591233.37083333335</v>
      </c>
      <c r="L171" s="5">
        <f t="shared" si="661"/>
        <v>310311.81944444444</v>
      </c>
      <c r="M171" s="5">
        <f t="shared" si="661"/>
        <v>57983.599305555515</v>
      </c>
      <c r="N171" s="5">
        <f t="shared" si="661"/>
        <v>104471.17976562487</v>
      </c>
      <c r="O171" s="5">
        <f t="shared" si="661"/>
        <v>148952.86616319424</v>
      </c>
      <c r="P171" s="5">
        <f t="shared" si="661"/>
        <v>192499.52236545138</v>
      </c>
      <c r="Q171" s="5">
        <f t="shared" si="661"/>
        <v>243823.2874348957</v>
      </c>
      <c r="R171" s="5">
        <f t="shared" si="661"/>
        <v>290537.74312933994</v>
      </c>
      <c r="S171" s="5">
        <f t="shared" si="661"/>
        <v>331663.24299045157</v>
      </c>
      <c r="T171" s="5">
        <f t="shared" si="661"/>
        <v>345240.80293489585</v>
      </c>
      <c r="U171" s="5">
        <f t="shared" si="661"/>
        <v>365452.01604600705</v>
      </c>
      <c r="V171" s="5">
        <f t="shared" si="661"/>
        <v>368325.41831133724</v>
      </c>
      <c r="W171" s="5">
        <f t="shared" si="661"/>
        <v>459543.234369374</v>
      </c>
      <c r="X171" s="5">
        <f t="shared" si="661"/>
        <v>549606.03313275671</v>
      </c>
      <c r="Y171" s="5">
        <f t="shared" si="661"/>
        <v>568284.98854354734</v>
      </c>
      <c r="Z171" s="5">
        <f t="shared" si="661"/>
        <v>590629.9809097636</v>
      </c>
      <c r="AA171" s="5">
        <f t="shared" si="661"/>
        <v>619013.81710705685</v>
      </c>
      <c r="AB171" s="5">
        <f t="shared" si="661"/>
        <v>652265.65878157644</v>
      </c>
      <c r="AC171" s="5">
        <f t="shared" si="661"/>
        <v>652925.61225778726</v>
      </c>
      <c r="AD171" s="5">
        <f t="shared" si="661"/>
        <v>619543.11894487089</v>
      </c>
      <c r="AE171" s="5">
        <f t="shared" si="661"/>
        <v>552191.03022848116</v>
      </c>
      <c r="AF171" s="5">
        <f t="shared" si="661"/>
        <v>588432.33088075719</v>
      </c>
      <c r="AG171" s="5">
        <f t="shared" si="661"/>
        <v>609107.14353012224</v>
      </c>
      <c r="AH171" s="5">
        <f t="shared" si="661"/>
        <v>637233.71170485253</v>
      </c>
      <c r="AI171" s="5">
        <f t="shared" si="661"/>
        <v>671825.64488550043</v>
      </c>
      <c r="AJ171" s="5">
        <f t="shared" ref="AJ171:BO171" si="662">AJ95</f>
        <v>689910.63626163837</v>
      </c>
      <c r="AK171" s="5">
        <f t="shared" si="662"/>
        <v>714239.54019019089</v>
      </c>
      <c r="AL171" s="5">
        <f t="shared" si="662"/>
        <v>745349.88616706675</v>
      </c>
      <c r="AM171" s="5">
        <f t="shared" si="662"/>
        <v>783020.96462082386</v>
      </c>
      <c r="AN171" s="5">
        <f t="shared" si="662"/>
        <v>802922.14742371661</v>
      </c>
      <c r="AO171" s="5">
        <f t="shared" si="662"/>
        <v>832615.83241771744</v>
      </c>
      <c r="AP171" s="5">
        <f t="shared" si="662"/>
        <v>868738.87275796011</v>
      </c>
      <c r="AQ171" s="5">
        <f t="shared" si="662"/>
        <v>887392.67452420818</v>
      </c>
      <c r="AR171" s="5">
        <f t="shared" si="662"/>
        <v>911020.79948108969</v>
      </c>
      <c r="AS171" s="5">
        <f t="shared" si="662"/>
        <v>943803.47128873353</v>
      </c>
      <c r="AT171" s="5">
        <f t="shared" si="662"/>
        <v>983179.8997037001</v>
      </c>
      <c r="AU171" s="5">
        <f t="shared" si="662"/>
        <v>1003717.7274842272</v>
      </c>
      <c r="AV171" s="5">
        <f t="shared" si="662"/>
        <v>1032863.0077800241</v>
      </c>
      <c r="AW171" s="5">
        <f t="shared" si="662"/>
        <v>1070961.3182756105</v>
      </c>
      <c r="AX171" s="5">
        <f t="shared" si="662"/>
        <v>1090338.7306952761</v>
      </c>
      <c r="AY171" s="5">
        <f t="shared" si="662"/>
        <v>1114735.7580896933</v>
      </c>
      <c r="AZ171" s="5">
        <f t="shared" si="662"/>
        <v>1147020.5661062477</v>
      </c>
      <c r="BA171" s="5">
        <f t="shared" si="662"/>
        <v>1188533.5158276991</v>
      </c>
      <c r="BB171" s="5">
        <f t="shared" si="662"/>
        <v>1209229.4479811634</v>
      </c>
      <c r="BC171" s="5">
        <f t="shared" si="662"/>
        <v>1238051.9125326409</v>
      </c>
      <c r="BD171" s="5">
        <f t="shared" si="662"/>
        <v>1274094.9253516756</v>
      </c>
      <c r="BE171" s="5">
        <f t="shared" si="662"/>
        <v>1293868.0601543323</v>
      </c>
      <c r="BF171" s="5">
        <f t="shared" si="662"/>
        <v>1318190.5053862063</v>
      </c>
      <c r="BG171" s="5">
        <f t="shared" si="662"/>
        <v>1350084.1852473638</v>
      </c>
      <c r="BH171" s="5">
        <f t="shared" si="662"/>
        <v>1389337.9625172548</v>
      </c>
      <c r="BI171" s="5">
        <f t="shared" si="662"/>
        <v>1441846.8860048691</v>
      </c>
      <c r="BJ171" s="5">
        <f t="shared" si="662"/>
        <v>1457304.5381909723</v>
      </c>
      <c r="BK171" s="5">
        <f t="shared" si="662"/>
        <v>1472629.6933508553</v>
      </c>
      <c r="BL171" s="5">
        <f t="shared" si="662"/>
        <v>1507022.484178154</v>
      </c>
      <c r="BM171" s="5">
        <f t="shared" si="662"/>
        <v>1525191.7545013246</v>
      </c>
      <c r="BN171" s="5">
        <f t="shared" si="662"/>
        <v>1542673.4959137063</v>
      </c>
      <c r="BO171" s="5">
        <f t="shared" si="662"/>
        <v>1557480.1488409708</v>
      </c>
      <c r="BP171" s="5">
        <f t="shared" ref="BP171:CN171" si="663">BP95</f>
        <v>1593127.0564670397</v>
      </c>
      <c r="BQ171" s="5">
        <f t="shared" si="663"/>
        <v>1608885.4500608197</v>
      </c>
      <c r="BR171" s="5">
        <f t="shared" si="663"/>
        <v>1623308.3908946938</v>
      </c>
      <c r="BS171" s="5">
        <f t="shared" si="663"/>
        <v>1657596.7583344001</v>
      </c>
      <c r="BT171" s="5">
        <f t="shared" si="663"/>
        <v>1676261.3357672447</v>
      </c>
      <c r="BU171" s="5">
        <f t="shared" si="663"/>
        <v>1694302.4366124473</v>
      </c>
      <c r="BV171" s="5">
        <f t="shared" si="663"/>
        <v>1707704.0082973975</v>
      </c>
      <c r="BW171" s="5">
        <f t="shared" si="663"/>
        <v>1743604.7525525535</v>
      </c>
      <c r="BX171" s="5">
        <f t="shared" si="663"/>
        <v>1759845.0426194835</v>
      </c>
      <c r="BY171" s="5">
        <f t="shared" si="663"/>
        <v>1774322.2099961543</v>
      </c>
      <c r="BZ171" s="5">
        <f t="shared" si="663"/>
        <v>1808631.0869435517</v>
      </c>
      <c r="CA171" s="5">
        <f t="shared" si="663"/>
        <v>1826463.1977400319</v>
      </c>
      <c r="CB171" s="5">
        <f t="shared" si="663"/>
        <v>1845076.5221662871</v>
      </c>
      <c r="CC171" s="5">
        <f t="shared" si="663"/>
        <v>1858973.4259345385</v>
      </c>
      <c r="CD171" s="5">
        <f t="shared" si="663"/>
        <v>1894576.4668498987</v>
      </c>
      <c r="CE171" s="5">
        <f t="shared" si="663"/>
        <v>1909789.0110706431</v>
      </c>
      <c r="CF171" s="5">
        <f t="shared" si="663"/>
        <v>1924870.5343609061</v>
      </c>
      <c r="CG171" s="5">
        <f t="shared" si="663"/>
        <v>1960258.8947353885</v>
      </c>
      <c r="CH171" s="5">
        <f t="shared" si="663"/>
        <v>1977480.8524774255</v>
      </c>
      <c r="CI171" s="5">
        <f t="shared" si="663"/>
        <v>1994924.2244305625</v>
      </c>
      <c r="CJ171" s="5">
        <f t="shared" si="663"/>
        <v>2009449.2352122725</v>
      </c>
      <c r="CK171" s="5">
        <f t="shared" si="663"/>
        <v>2046315.0495861238</v>
      </c>
      <c r="CL171" s="5">
        <f t="shared" si="663"/>
        <v>2060396.408748656</v>
      </c>
      <c r="CM171" s="5">
        <f t="shared" si="663"/>
        <v>2074333.344538335</v>
      </c>
      <c r="CN171" s="5">
        <f t="shared" si="663"/>
        <v>2111537.6544510662</v>
      </c>
      <c r="CO171" s="5"/>
    </row>
    <row r="172" spans="1:93" ht="12.75" customHeight="1">
      <c r="A172" s="117"/>
      <c r="B172" s="26" t="s">
        <v>243</v>
      </c>
      <c r="C172" s="117"/>
      <c r="D172" s="118">
        <f t="shared" ref="D172:R172" si="664">-D75</f>
        <v>0</v>
      </c>
      <c r="E172" s="5">
        <f t="shared" si="664"/>
        <v>0</v>
      </c>
      <c r="F172" s="5">
        <f t="shared" si="664"/>
        <v>0</v>
      </c>
      <c r="G172" s="5">
        <f t="shared" si="664"/>
        <v>0</v>
      </c>
      <c r="H172" s="5">
        <f t="shared" si="664"/>
        <v>0</v>
      </c>
      <c r="I172" s="5">
        <f t="shared" si="664"/>
        <v>0</v>
      </c>
      <c r="J172" s="5">
        <f t="shared" si="664"/>
        <v>0</v>
      </c>
      <c r="K172" s="5">
        <f t="shared" si="664"/>
        <v>0</v>
      </c>
      <c r="L172" s="5">
        <f t="shared" si="664"/>
        <v>0</v>
      </c>
      <c r="M172" s="5">
        <f t="shared" si="664"/>
        <v>0</v>
      </c>
      <c r="N172" s="5">
        <f t="shared" si="664"/>
        <v>0</v>
      </c>
      <c r="O172" s="5">
        <f t="shared" si="664"/>
        <v>0</v>
      </c>
      <c r="P172" s="5">
        <f t="shared" si="664"/>
        <v>0</v>
      </c>
      <c r="Q172" s="5">
        <f t="shared" si="664"/>
        <v>0</v>
      </c>
      <c r="R172" s="5">
        <f t="shared" si="664"/>
        <v>0</v>
      </c>
      <c r="S172" s="5">
        <f t="shared" ref="S172:AX172" si="665">-S75+R172</f>
        <v>0</v>
      </c>
      <c r="T172" s="5">
        <f t="shared" si="665"/>
        <v>0</v>
      </c>
      <c r="U172" s="5">
        <f t="shared" si="665"/>
        <v>0</v>
      </c>
      <c r="V172" s="5">
        <f t="shared" si="665"/>
        <v>3410.9558088353497</v>
      </c>
      <c r="W172" s="5">
        <f t="shared" si="665"/>
        <v>4024.9083405727615</v>
      </c>
      <c r="X172" s="5">
        <f t="shared" si="665"/>
        <v>2374.9208899034302</v>
      </c>
      <c r="Y172" s="5">
        <f t="shared" si="665"/>
        <v>2890.5207524469606</v>
      </c>
      <c r="Z172" s="5">
        <f t="shared" si="665"/>
        <v>3576.5017039640284</v>
      </c>
      <c r="AA172" s="5">
        <f t="shared" si="665"/>
        <v>4220.7162711708042</v>
      </c>
      <c r="AB172" s="5">
        <f t="shared" si="665"/>
        <v>2489.2214773052588</v>
      </c>
      <c r="AC172" s="5">
        <f t="shared" si="665"/>
        <v>3106.7441825480146</v>
      </c>
      <c r="AD172" s="5">
        <f t="shared" si="665"/>
        <v>3839.71063809629</v>
      </c>
      <c r="AE172" s="5">
        <f t="shared" si="665"/>
        <v>4524.7293938964185</v>
      </c>
      <c r="AF172" s="5">
        <f t="shared" si="665"/>
        <v>2679.7484119420806</v>
      </c>
      <c r="AG172" s="5">
        <f t="shared" si="665"/>
        <v>3755.3267891622304</v>
      </c>
      <c r="AH172" s="5">
        <f t="shared" si="665"/>
        <v>4431.7520847293445</v>
      </c>
      <c r="AI172" s="5">
        <f t="shared" si="665"/>
        <v>2613.6825511705219</v>
      </c>
      <c r="AJ172" s="5">
        <f t="shared" si="665"/>
        <v>3262.0813916754159</v>
      </c>
      <c r="AK172" s="5">
        <f t="shared" si="665"/>
        <v>4031.6961700011038</v>
      </c>
      <c r="AL172" s="5">
        <f t="shared" si="665"/>
        <v>4750.9658635912401</v>
      </c>
      <c r="AM172" s="5">
        <f t="shared" si="665"/>
        <v>2813.7358325391847</v>
      </c>
      <c r="AN172" s="5">
        <f t="shared" si="665"/>
        <v>3943.0931286203422</v>
      </c>
      <c r="AO172" s="5">
        <f t="shared" si="665"/>
        <v>4653.3396889658134</v>
      </c>
      <c r="AP172" s="5">
        <f t="shared" si="665"/>
        <v>2744.3666787290481</v>
      </c>
      <c r="AQ172" s="5">
        <f t="shared" si="665"/>
        <v>3425.1854612591869</v>
      </c>
      <c r="AR172" s="5">
        <f t="shared" si="665"/>
        <v>4233.2809785011605</v>
      </c>
      <c r="AS172" s="5">
        <f t="shared" si="665"/>
        <v>4988.5141567708015</v>
      </c>
      <c r="AT172" s="5">
        <f t="shared" si="665"/>
        <v>2954.422624166144</v>
      </c>
      <c r="AU172" s="5">
        <f t="shared" si="665"/>
        <v>4140.2477850513596</v>
      </c>
      <c r="AV172" s="5">
        <f t="shared" si="665"/>
        <v>4886.0066734141037</v>
      </c>
      <c r="AW172" s="5">
        <f t="shared" si="665"/>
        <v>2881.5850126655014</v>
      </c>
      <c r="AX172" s="5">
        <f t="shared" si="665"/>
        <v>3596.4447343221459</v>
      </c>
      <c r="AY172" s="5">
        <f t="shared" ref="AY172:CD172" si="666">-AY75+AX172</f>
        <v>4444.945027426219</v>
      </c>
      <c r="AZ172" s="5">
        <f t="shared" si="666"/>
        <v>5237.9398646093423</v>
      </c>
      <c r="BA172" s="5">
        <f t="shared" si="666"/>
        <v>3102.1437553744513</v>
      </c>
      <c r="BB172" s="5">
        <f t="shared" si="666"/>
        <v>4347.2601743039268</v>
      </c>
      <c r="BC172" s="5">
        <f t="shared" si="666"/>
        <v>5130.3070070848089</v>
      </c>
      <c r="BD172" s="5">
        <f t="shared" si="666"/>
        <v>3025.6642632987769</v>
      </c>
      <c r="BE172" s="5">
        <f t="shared" si="666"/>
        <v>3776.2669710382529</v>
      </c>
      <c r="BF172" s="5">
        <f t="shared" si="666"/>
        <v>4667.1922787975291</v>
      </c>
      <c r="BG172" s="5">
        <f t="shared" si="666"/>
        <v>5499.8368578398095</v>
      </c>
      <c r="BH172" s="5">
        <f t="shared" si="666"/>
        <v>3257.250943143174</v>
      </c>
      <c r="BI172" s="5">
        <f t="shared" si="666"/>
        <v>4564.6231830191236</v>
      </c>
      <c r="BJ172" s="5">
        <f t="shared" si="666"/>
        <v>5386.8223574390504</v>
      </c>
      <c r="BK172" s="5">
        <f t="shared" si="666"/>
        <v>3176.9474764637152</v>
      </c>
      <c r="BL172" s="5">
        <f t="shared" si="666"/>
        <v>3965.0803195901653</v>
      </c>
      <c r="BM172" s="5">
        <f t="shared" si="666"/>
        <v>4900.551892737406</v>
      </c>
      <c r="BN172" s="5">
        <f t="shared" si="666"/>
        <v>5774.8287007318013</v>
      </c>
      <c r="BO172" s="5">
        <f t="shared" si="666"/>
        <v>3420.1134903003331</v>
      </c>
      <c r="BP172" s="5">
        <f t="shared" si="666"/>
        <v>4792.8543421700806</v>
      </c>
      <c r="BQ172" s="5">
        <f t="shared" si="666"/>
        <v>5656.163475311002</v>
      </c>
      <c r="BR172" s="5">
        <f t="shared" si="666"/>
        <v>3335.7948502869012</v>
      </c>
      <c r="BS172" s="5">
        <f t="shared" si="666"/>
        <v>4163.3343355696752</v>
      </c>
      <c r="BT172" s="5">
        <f t="shared" si="666"/>
        <v>5145.5794873742771</v>
      </c>
      <c r="BU172" s="5">
        <f t="shared" si="666"/>
        <v>6063.5701357683902</v>
      </c>
      <c r="BV172" s="5">
        <f t="shared" si="666"/>
        <v>3591.1191648153494</v>
      </c>
      <c r="BW172" s="5">
        <f t="shared" si="666"/>
        <v>5032.4970592785849</v>
      </c>
      <c r="BX172" s="5">
        <f t="shared" si="666"/>
        <v>5938.9716490765531</v>
      </c>
      <c r="BY172" s="5">
        <f t="shared" si="666"/>
        <v>3502.5845928012459</v>
      </c>
      <c r="BZ172" s="5">
        <f t="shared" si="666"/>
        <v>4371.5010523481578</v>
      </c>
      <c r="CA172" s="5">
        <f t="shared" si="666"/>
        <v>5402.8584617429915</v>
      </c>
      <c r="CB172" s="5">
        <f t="shared" si="666"/>
        <v>6366.7486425568104</v>
      </c>
      <c r="CC172" s="5">
        <f t="shared" si="666"/>
        <v>3770.6751230561167</v>
      </c>
      <c r="CD172" s="5">
        <f t="shared" si="666"/>
        <v>5284.1219122425146</v>
      </c>
      <c r="CE172" s="5">
        <f t="shared" ref="CE172:CN172" si="667">-CE75+CD172</f>
        <v>6235.9202315303801</v>
      </c>
      <c r="CF172" s="5">
        <f t="shared" si="667"/>
        <v>3677.7138224413088</v>
      </c>
      <c r="CG172" s="5">
        <f t="shared" si="667"/>
        <v>4590.0761049655657</v>
      </c>
      <c r="CH172" s="5">
        <f t="shared" si="667"/>
        <v>5673.0013848301414</v>
      </c>
      <c r="CI172" s="5">
        <f t="shared" si="667"/>
        <v>6685.0860746846511</v>
      </c>
      <c r="CJ172" s="5">
        <f t="shared" si="667"/>
        <v>3959.208879208923</v>
      </c>
      <c r="CK172" s="5">
        <f t="shared" si="667"/>
        <v>5548.3280078546413</v>
      </c>
      <c r="CL172" s="5">
        <f t="shared" si="667"/>
        <v>6547.7162431069</v>
      </c>
      <c r="CM172" s="5">
        <f t="shared" si="667"/>
        <v>3861.5995135633743</v>
      </c>
      <c r="CN172" s="5">
        <f t="shared" si="667"/>
        <v>4819.5799102138453</v>
      </c>
      <c r="CO172" s="5"/>
    </row>
    <row r="173" spans="1:93" ht="12.75" customHeight="1">
      <c r="A173" s="117"/>
      <c r="B173" s="26" t="s">
        <v>244</v>
      </c>
      <c r="C173" s="117"/>
      <c r="D173" s="118">
        <f>-D72-D74</f>
        <v>0</v>
      </c>
      <c r="E173" s="5">
        <f>-E72-E74</f>
        <v>0</v>
      </c>
      <c r="F173" s="5">
        <f t="shared" ref="F173:AK173" si="668">-F72-F74+E173</f>
        <v>0</v>
      </c>
      <c r="G173" s="5">
        <f t="shared" si="668"/>
        <v>0</v>
      </c>
      <c r="H173" s="5">
        <f t="shared" si="668"/>
        <v>0</v>
      </c>
      <c r="I173" s="5">
        <f t="shared" si="668"/>
        <v>0</v>
      </c>
      <c r="J173" s="5">
        <f t="shared" si="668"/>
        <v>0</v>
      </c>
      <c r="K173" s="5">
        <f t="shared" si="668"/>
        <v>0</v>
      </c>
      <c r="L173" s="5">
        <f t="shared" si="668"/>
        <v>0</v>
      </c>
      <c r="M173" s="5">
        <f t="shared" si="668"/>
        <v>0</v>
      </c>
      <c r="N173" s="5">
        <f t="shared" si="668"/>
        <v>0</v>
      </c>
      <c r="O173" s="5">
        <f t="shared" si="668"/>
        <v>0</v>
      </c>
      <c r="P173" s="5">
        <f t="shared" si="668"/>
        <v>0</v>
      </c>
      <c r="Q173" s="5">
        <f t="shared" si="668"/>
        <v>0</v>
      </c>
      <c r="R173" s="5">
        <f t="shared" si="668"/>
        <v>0</v>
      </c>
      <c r="S173" s="5">
        <f t="shared" si="668"/>
        <v>0</v>
      </c>
      <c r="T173" s="5">
        <f t="shared" si="668"/>
        <v>0</v>
      </c>
      <c r="U173" s="5">
        <f t="shared" si="668"/>
        <v>0</v>
      </c>
      <c r="V173" s="5">
        <f t="shared" si="668"/>
        <v>2776.9276812671096</v>
      </c>
      <c r="W173" s="5">
        <f t="shared" si="668"/>
        <v>19887.531165034779</v>
      </c>
      <c r="X173" s="5">
        <f t="shared" si="668"/>
        <v>22249.218819730264</v>
      </c>
      <c r="Y173" s="5">
        <f t="shared" si="668"/>
        <v>13460.43939253299</v>
      </c>
      <c r="Z173" s="5">
        <f t="shared" si="668"/>
        <v>17043.505089736642</v>
      </c>
      <c r="AA173" s="5">
        <f t="shared" si="668"/>
        <v>20747.399346952912</v>
      </c>
      <c r="AB173" s="5">
        <f t="shared" si="668"/>
        <v>23217.714603949811</v>
      </c>
      <c r="AC173" s="5">
        <f t="shared" si="668"/>
        <v>14047.950937041112</v>
      </c>
      <c r="AD173" s="5">
        <f t="shared" si="668"/>
        <v>18476.737574883224</v>
      </c>
      <c r="AE173" s="5">
        <f t="shared" si="668"/>
        <v>22466.012243489855</v>
      </c>
      <c r="AF173" s="5">
        <f t="shared" si="668"/>
        <v>25136.075711961246</v>
      </c>
      <c r="AG173" s="5">
        <f t="shared" si="668"/>
        <v>15426.487036405857</v>
      </c>
      <c r="AH173" s="5">
        <f t="shared" si="668"/>
        <v>22031.888554372294</v>
      </c>
      <c r="AI173" s="5">
        <f t="shared" si="668"/>
        <v>24965.752121430902</v>
      </c>
      <c r="AJ173" s="5">
        <f t="shared" si="668"/>
        <v>14613.540014153785</v>
      </c>
      <c r="AK173" s="5">
        <f t="shared" si="668"/>
        <v>18988.760016509601</v>
      </c>
      <c r="AL173" s="5">
        <f t="shared" ref="AL173:BQ173" si="669">-AL72-AL74+AK173</f>
        <v>23634.423263494547</v>
      </c>
      <c r="AM173" s="5">
        <f t="shared" si="669"/>
        <v>27017.812969996161</v>
      </c>
      <c r="AN173" s="5">
        <f t="shared" si="669"/>
        <v>16049.475420328459</v>
      </c>
      <c r="AO173" s="5">
        <f t="shared" si="669"/>
        <v>22683.927060021026</v>
      </c>
      <c r="AP173" s="5">
        <f t="shared" si="669"/>
        <v>26510.999378738492</v>
      </c>
      <c r="AQ173" s="5">
        <f t="shared" si="669"/>
        <v>15862.352476219254</v>
      </c>
      <c r="AR173" s="5">
        <f t="shared" si="669"/>
        <v>19818.785108478613</v>
      </c>
      <c r="AS173" s="5">
        <f t="shared" si="669"/>
        <v>24562.444157420621</v>
      </c>
      <c r="AT173" s="5">
        <f t="shared" si="669"/>
        <v>28689.884920067791</v>
      </c>
      <c r="AU173" s="5">
        <f t="shared" si="669"/>
        <v>17401.695349369667</v>
      </c>
      <c r="AV173" s="5">
        <f t="shared" si="669"/>
        <v>23649.667004844778</v>
      </c>
      <c r="AW173" s="5">
        <f t="shared" si="669"/>
        <v>27259.660156261372</v>
      </c>
      <c r="AX173" s="5">
        <f t="shared" si="669"/>
        <v>16846.778195680974</v>
      </c>
      <c r="AY173" s="5">
        <f t="shared" si="669"/>
        <v>21420.744140741088</v>
      </c>
      <c r="AZ173" s="5">
        <f t="shared" si="669"/>
        <v>25612.689954721915</v>
      </c>
      <c r="BA173" s="5">
        <f t="shared" si="669"/>
        <v>29465.417695732071</v>
      </c>
      <c r="BB173" s="5">
        <f t="shared" si="669"/>
        <v>18320.188633313912</v>
      </c>
      <c r="BC173" s="5">
        <f t="shared" si="669"/>
        <v>25504.405881154857</v>
      </c>
      <c r="BD173" s="5">
        <f t="shared" si="669"/>
        <v>28458.391077139204</v>
      </c>
      <c r="BE173" s="5">
        <f t="shared" si="669"/>
        <v>17343.92038424404</v>
      </c>
      <c r="BF173" s="5">
        <f t="shared" si="669"/>
        <v>22748.542675519951</v>
      </c>
      <c r="BG173" s="5">
        <f t="shared" si="669"/>
        <v>27607.681213410491</v>
      </c>
      <c r="BH173" s="5">
        <f t="shared" si="669"/>
        <v>30802.026686950128</v>
      </c>
      <c r="BI173" s="5">
        <f t="shared" si="669"/>
        <v>19032.967039901378</v>
      </c>
      <c r="BJ173" s="5">
        <f t="shared" si="669"/>
        <v>27084.348544464523</v>
      </c>
      <c r="BK173" s="5">
        <f t="shared" si="669"/>
        <v>30661.135804365676</v>
      </c>
      <c r="BL173" s="5">
        <f t="shared" si="669"/>
        <v>18024.267258346448</v>
      </c>
      <c r="BM173" s="5">
        <f t="shared" si="669"/>
        <v>23420.094094257191</v>
      </c>
      <c r="BN173" s="5">
        <f t="shared" si="669"/>
        <v>29317.67836328621</v>
      </c>
      <c r="BO173" s="5">
        <f t="shared" si="669"/>
        <v>33171.183994417843</v>
      </c>
      <c r="BP173" s="5">
        <f t="shared" si="669"/>
        <v>19782.726620973932</v>
      </c>
      <c r="BQ173" s="5">
        <f t="shared" si="669"/>
        <v>27832.352193068396</v>
      </c>
      <c r="BR173" s="5">
        <f t="shared" ref="BR173:CN173" si="670">-BR72-BR74+BQ173</f>
        <v>32244.282453158896</v>
      </c>
      <c r="BS173" s="5">
        <f t="shared" si="670"/>
        <v>19628.195216006752</v>
      </c>
      <c r="BT173" s="5">
        <f t="shared" si="670"/>
        <v>24378.07055202316</v>
      </c>
      <c r="BU173" s="5">
        <f t="shared" si="670"/>
        <v>30182.22642915876</v>
      </c>
      <c r="BV173" s="5">
        <f t="shared" si="670"/>
        <v>35225.173719136255</v>
      </c>
      <c r="BW173" s="5">
        <f t="shared" si="670"/>
        <v>21516.646431286998</v>
      </c>
      <c r="BX173" s="5">
        <f t="shared" si="670"/>
        <v>29048.94210933111</v>
      </c>
      <c r="BY173" s="5">
        <f t="shared" si="670"/>
        <v>33477.030435376568</v>
      </c>
      <c r="BZ173" s="5">
        <f t="shared" si="670"/>
        <v>20847.425440577692</v>
      </c>
      <c r="CA173" s="5">
        <f t="shared" si="670"/>
        <v>26420.064204930517</v>
      </c>
      <c r="CB173" s="5">
        <f t="shared" si="670"/>
        <v>31450.139976526381</v>
      </c>
      <c r="CC173" s="5">
        <f t="shared" si="670"/>
        <v>36217.582245115729</v>
      </c>
      <c r="CD173" s="5">
        <f t="shared" si="670"/>
        <v>22852.7378784186</v>
      </c>
      <c r="CE173" s="5">
        <f t="shared" si="670"/>
        <v>31402.931364399759</v>
      </c>
      <c r="CF173" s="5">
        <f t="shared" si="670"/>
        <v>34924.995239319083</v>
      </c>
      <c r="CG173" s="5">
        <f t="shared" si="670"/>
        <v>21408.030991059881</v>
      </c>
      <c r="CH173" s="5">
        <f t="shared" si="670"/>
        <v>27809.245974926656</v>
      </c>
      <c r="CI173" s="5">
        <f t="shared" si="670"/>
        <v>33979.584006893274</v>
      </c>
      <c r="CJ173" s="5">
        <f t="shared" si="670"/>
        <v>37790.381121772429</v>
      </c>
      <c r="CK173" s="5">
        <f t="shared" si="670"/>
        <v>23531.458423455806</v>
      </c>
      <c r="CL173" s="5">
        <f t="shared" si="670"/>
        <v>33349.587089084976</v>
      </c>
      <c r="CM173" s="5">
        <f t="shared" si="670"/>
        <v>37712.190893489758</v>
      </c>
      <c r="CN173" s="5">
        <f t="shared" si="670"/>
        <v>22276.450933864122</v>
      </c>
      <c r="CO173" s="5"/>
    </row>
    <row r="174" spans="1:93" ht="12.75" customHeight="1">
      <c r="A174" s="117"/>
      <c r="B174" s="26" t="s">
        <v>245</v>
      </c>
      <c r="C174" s="117"/>
      <c r="D174" s="118">
        <f t="shared" ref="D174:AI174" si="671">-D158+D152</f>
        <v>0</v>
      </c>
      <c r="E174" s="5">
        <f t="shared" si="671"/>
        <v>581.66666666666674</v>
      </c>
      <c r="F174" s="5">
        <f t="shared" si="671"/>
        <v>581.66666666666674</v>
      </c>
      <c r="G174" s="5">
        <f t="shared" si="671"/>
        <v>3958.3333333333339</v>
      </c>
      <c r="H174" s="5">
        <f t="shared" si="671"/>
        <v>7916.6666666666679</v>
      </c>
      <c r="I174" s="5">
        <f t="shared" si="671"/>
        <v>7916.6666666666679</v>
      </c>
      <c r="J174" s="5">
        <f t="shared" si="671"/>
        <v>8766.1111111111113</v>
      </c>
      <c r="K174" s="5">
        <f t="shared" si="671"/>
        <v>49726.932638888895</v>
      </c>
      <c r="L174" s="5">
        <f t="shared" si="671"/>
        <v>92424.04305555555</v>
      </c>
      <c r="M174" s="5">
        <f t="shared" si="671"/>
        <v>99749.963888888873</v>
      </c>
      <c r="N174" s="5">
        <f t="shared" si="671"/>
        <v>112210.24513888889</v>
      </c>
      <c r="O174" s="5">
        <f t="shared" si="671"/>
        <v>136899.60451388892</v>
      </c>
      <c r="P174" s="5">
        <f t="shared" si="671"/>
        <v>158642.49513888892</v>
      </c>
      <c r="Q174" s="5">
        <f t="shared" si="671"/>
        <v>165111.9211805556</v>
      </c>
      <c r="R174" s="5">
        <f t="shared" si="671"/>
        <v>148157.25555555557</v>
      </c>
      <c r="S174" s="5">
        <f t="shared" si="671"/>
        <v>143842.04555555555</v>
      </c>
      <c r="T174" s="5">
        <f t="shared" si="671"/>
        <v>147547.3488888889</v>
      </c>
      <c r="U174" s="5">
        <f t="shared" si="671"/>
        <v>133056.53222222225</v>
      </c>
      <c r="V174" s="5">
        <f t="shared" si="671"/>
        <v>119887.9104125837</v>
      </c>
      <c r="W174" s="5">
        <f t="shared" si="671"/>
        <v>54721.583333333358</v>
      </c>
      <c r="X174" s="5">
        <f t="shared" si="671"/>
        <v>0</v>
      </c>
      <c r="Y174" s="5">
        <f t="shared" si="671"/>
        <v>0</v>
      </c>
      <c r="Z174" s="5">
        <f t="shared" si="671"/>
        <v>0</v>
      </c>
      <c r="AA174" s="5">
        <f t="shared" si="671"/>
        <v>0</v>
      </c>
      <c r="AB174" s="5">
        <f t="shared" si="671"/>
        <v>0</v>
      </c>
      <c r="AC174" s="5">
        <f t="shared" si="671"/>
        <v>0</v>
      </c>
      <c r="AD174" s="5">
        <f t="shared" si="671"/>
        <v>0</v>
      </c>
      <c r="AE174" s="5">
        <f t="shared" si="671"/>
        <v>0</v>
      </c>
      <c r="AF174" s="5">
        <f t="shared" si="671"/>
        <v>0</v>
      </c>
      <c r="AG174" s="5">
        <f t="shared" si="671"/>
        <v>0</v>
      </c>
      <c r="AH174" s="5">
        <f t="shared" si="671"/>
        <v>0</v>
      </c>
      <c r="AI174" s="5">
        <f t="shared" si="671"/>
        <v>0</v>
      </c>
      <c r="AJ174" s="5">
        <f t="shared" ref="AJ174:BO174" si="672">-AJ158+AJ152</f>
        <v>0</v>
      </c>
      <c r="AK174" s="5">
        <f t="shared" si="672"/>
        <v>0</v>
      </c>
      <c r="AL174" s="5">
        <f t="shared" si="672"/>
        <v>0</v>
      </c>
      <c r="AM174" s="5">
        <f t="shared" si="672"/>
        <v>0</v>
      </c>
      <c r="AN174" s="5">
        <f t="shared" si="672"/>
        <v>0</v>
      </c>
      <c r="AO174" s="5">
        <f t="shared" si="672"/>
        <v>0</v>
      </c>
      <c r="AP174" s="5">
        <f t="shared" si="672"/>
        <v>0</v>
      </c>
      <c r="AQ174" s="5">
        <f t="shared" si="672"/>
        <v>0</v>
      </c>
      <c r="AR174" s="5">
        <f t="shared" si="672"/>
        <v>0</v>
      </c>
      <c r="AS174" s="5">
        <f t="shared" si="672"/>
        <v>0</v>
      </c>
      <c r="AT174" s="5">
        <f t="shared" si="672"/>
        <v>0</v>
      </c>
      <c r="AU174" s="5">
        <f t="shared" si="672"/>
        <v>0</v>
      </c>
      <c r="AV174" s="5">
        <f t="shared" si="672"/>
        <v>0</v>
      </c>
      <c r="AW174" s="5">
        <f t="shared" si="672"/>
        <v>0</v>
      </c>
      <c r="AX174" s="5">
        <f t="shared" si="672"/>
        <v>0</v>
      </c>
      <c r="AY174" s="5">
        <f t="shared" si="672"/>
        <v>0</v>
      </c>
      <c r="AZ174" s="5">
        <f t="shared" si="672"/>
        <v>0</v>
      </c>
      <c r="BA174" s="5">
        <f t="shared" si="672"/>
        <v>0</v>
      </c>
      <c r="BB174" s="5">
        <f t="shared" si="672"/>
        <v>0</v>
      </c>
      <c r="BC174" s="5">
        <f t="shared" si="672"/>
        <v>0</v>
      </c>
      <c r="BD174" s="5">
        <f t="shared" si="672"/>
        <v>0</v>
      </c>
      <c r="BE174" s="5">
        <f t="shared" si="672"/>
        <v>0</v>
      </c>
      <c r="BF174" s="5">
        <f t="shared" si="672"/>
        <v>0</v>
      </c>
      <c r="BG174" s="5">
        <f t="shared" si="672"/>
        <v>0</v>
      </c>
      <c r="BH174" s="5">
        <f t="shared" si="672"/>
        <v>0</v>
      </c>
      <c r="BI174" s="5">
        <f t="shared" si="672"/>
        <v>0</v>
      </c>
      <c r="BJ174" s="5">
        <f t="shared" si="672"/>
        <v>0</v>
      </c>
      <c r="BK174" s="5">
        <f t="shared" si="672"/>
        <v>0</v>
      </c>
      <c r="BL174" s="5">
        <f t="shared" si="672"/>
        <v>0</v>
      </c>
      <c r="BM174" s="5">
        <f t="shared" si="672"/>
        <v>0</v>
      </c>
      <c r="BN174" s="5">
        <f t="shared" si="672"/>
        <v>0</v>
      </c>
      <c r="BO174" s="5">
        <f t="shared" si="672"/>
        <v>0</v>
      </c>
      <c r="BP174" s="5">
        <f t="shared" ref="BP174:CN174" si="673">-BP158+BP152</f>
        <v>0</v>
      </c>
      <c r="BQ174" s="5">
        <f t="shared" si="673"/>
        <v>0</v>
      </c>
      <c r="BR174" s="5">
        <f t="shared" si="673"/>
        <v>0</v>
      </c>
      <c r="BS174" s="5">
        <f t="shared" si="673"/>
        <v>0</v>
      </c>
      <c r="BT174" s="5">
        <f t="shared" si="673"/>
        <v>0</v>
      </c>
      <c r="BU174" s="5">
        <f t="shared" si="673"/>
        <v>0</v>
      </c>
      <c r="BV174" s="5">
        <f t="shared" si="673"/>
        <v>0</v>
      </c>
      <c r="BW174" s="5">
        <f t="shared" si="673"/>
        <v>0</v>
      </c>
      <c r="BX174" s="5">
        <f t="shared" si="673"/>
        <v>0</v>
      </c>
      <c r="BY174" s="5">
        <f t="shared" si="673"/>
        <v>0</v>
      </c>
      <c r="BZ174" s="5">
        <f t="shared" si="673"/>
        <v>0</v>
      </c>
      <c r="CA174" s="5">
        <f t="shared" si="673"/>
        <v>0</v>
      </c>
      <c r="CB174" s="5">
        <f t="shared" si="673"/>
        <v>0</v>
      </c>
      <c r="CC174" s="5">
        <f t="shared" si="673"/>
        <v>0</v>
      </c>
      <c r="CD174" s="5">
        <f t="shared" si="673"/>
        <v>0</v>
      </c>
      <c r="CE174" s="5">
        <f t="shared" si="673"/>
        <v>0</v>
      </c>
      <c r="CF174" s="5">
        <f t="shared" si="673"/>
        <v>0</v>
      </c>
      <c r="CG174" s="5">
        <f t="shared" si="673"/>
        <v>0</v>
      </c>
      <c r="CH174" s="5">
        <f t="shared" si="673"/>
        <v>0</v>
      </c>
      <c r="CI174" s="5">
        <f t="shared" si="673"/>
        <v>0</v>
      </c>
      <c r="CJ174" s="5">
        <f t="shared" si="673"/>
        <v>0</v>
      </c>
      <c r="CK174" s="5">
        <f t="shared" si="673"/>
        <v>0</v>
      </c>
      <c r="CL174" s="5">
        <f t="shared" si="673"/>
        <v>0</v>
      </c>
      <c r="CM174" s="5">
        <f t="shared" si="673"/>
        <v>0</v>
      </c>
      <c r="CN174" s="5">
        <f t="shared" si="673"/>
        <v>0</v>
      </c>
      <c r="CO174" s="5"/>
    </row>
    <row r="175" spans="1:93" ht="12.75" customHeight="1">
      <c r="A175" s="112"/>
      <c r="B175" s="112" t="s">
        <v>246</v>
      </c>
      <c r="C175" s="112"/>
      <c r="D175" s="116">
        <f t="shared" ref="D175:CN175" si="674">D176</f>
        <v>0</v>
      </c>
      <c r="E175" s="112">
        <f t="shared" si="674"/>
        <v>-18788.900757575757</v>
      </c>
      <c r="F175" s="112">
        <f t="shared" si="674"/>
        <v>-40486.134848484842</v>
      </c>
      <c r="G175" s="112">
        <f t="shared" si="674"/>
        <v>-42391.702272727263</v>
      </c>
      <c r="H175" s="112">
        <f t="shared" si="674"/>
        <v>-44297.269696969692</v>
      </c>
      <c r="I175" s="112">
        <f t="shared" si="674"/>
        <v>-46202.83712121212</v>
      </c>
      <c r="J175" s="112">
        <f t="shared" si="674"/>
        <v>-43861.182323232322</v>
      </c>
      <c r="K175" s="112">
        <f t="shared" si="674"/>
        <v>159037.35789141414</v>
      </c>
      <c r="L175" s="112">
        <f t="shared" si="674"/>
        <v>374864.56477272732</v>
      </c>
      <c r="M175" s="112">
        <f t="shared" si="674"/>
        <v>614392.70915404044</v>
      </c>
      <c r="N175" s="112">
        <f t="shared" si="674"/>
        <v>892838.63001972844</v>
      </c>
      <c r="O175" s="112">
        <f t="shared" si="674"/>
        <v>1262876.9605729165</v>
      </c>
      <c r="P175" s="112">
        <f t="shared" si="674"/>
        <v>1665438.5400714171</v>
      </c>
      <c r="Q175" s="112">
        <f t="shared" si="674"/>
        <v>2085671.2815360636</v>
      </c>
      <c r="R175" s="112">
        <f t="shared" si="674"/>
        <v>2422034.6240423769</v>
      </c>
      <c r="S175" s="112">
        <f t="shared" si="674"/>
        <v>2837359.0067570237</v>
      </c>
      <c r="T175" s="112">
        <f t="shared" si="674"/>
        <v>3208431.0960550033</v>
      </c>
      <c r="U175" s="112">
        <f t="shared" si="674"/>
        <v>3567900.4721863167</v>
      </c>
      <c r="V175" s="112">
        <f t="shared" si="674"/>
        <v>3885255.8491370743</v>
      </c>
      <c r="W175" s="112">
        <f t="shared" si="674"/>
        <v>3913462.2534552566</v>
      </c>
      <c r="X175" s="112">
        <f t="shared" si="674"/>
        <v>3940515.5508565395</v>
      </c>
      <c r="Y175" s="112">
        <f t="shared" si="674"/>
        <v>3897121.0826747217</v>
      </c>
      <c r="Z175" s="112">
        <f t="shared" si="674"/>
        <v>3853726.6144929039</v>
      </c>
      <c r="AA175" s="112">
        <f t="shared" si="674"/>
        <v>3810332.1463110861</v>
      </c>
      <c r="AB175" s="112">
        <f t="shared" si="674"/>
        <v>3766937.6781292683</v>
      </c>
      <c r="AC175" s="112">
        <f t="shared" si="674"/>
        <v>3723543.2099474506</v>
      </c>
      <c r="AD175" s="112">
        <f t="shared" si="674"/>
        <v>3680148.7417656328</v>
      </c>
      <c r="AE175" s="112">
        <f t="shared" si="674"/>
        <v>3636754.273583815</v>
      </c>
      <c r="AF175" s="112">
        <f t="shared" si="674"/>
        <v>3593359.8054019972</v>
      </c>
      <c r="AG175" s="112">
        <f t="shared" si="674"/>
        <v>3549965.3372201794</v>
      </c>
      <c r="AH175" s="112">
        <f t="shared" si="674"/>
        <v>3506570.8690383616</v>
      </c>
      <c r="AI175" s="112">
        <f t="shared" si="674"/>
        <v>3463176.4008565438</v>
      </c>
      <c r="AJ175" s="112">
        <f t="shared" si="674"/>
        <v>3419781.932674726</v>
      </c>
      <c r="AK175" s="112">
        <f t="shared" si="674"/>
        <v>3376387.4644929082</v>
      </c>
      <c r="AL175" s="112">
        <f t="shared" si="674"/>
        <v>3332992.9963110904</v>
      </c>
      <c r="AM175" s="112">
        <f t="shared" si="674"/>
        <v>3289598.5281292726</v>
      </c>
      <c r="AN175" s="112">
        <f t="shared" si="674"/>
        <v>3246204.0599474548</v>
      </c>
      <c r="AO175" s="112">
        <f t="shared" si="674"/>
        <v>3202809.591765637</v>
      </c>
      <c r="AP175" s="112">
        <f t="shared" si="674"/>
        <v>3159415.1235838193</v>
      </c>
      <c r="AQ175" s="112">
        <f t="shared" si="674"/>
        <v>3116020.6554020015</v>
      </c>
      <c r="AR175" s="112">
        <f t="shared" si="674"/>
        <v>3072626.1872201837</v>
      </c>
      <c r="AS175" s="112">
        <f t="shared" si="674"/>
        <v>3029231.7190383659</v>
      </c>
      <c r="AT175" s="112">
        <f t="shared" si="674"/>
        <v>2985837.2508565481</v>
      </c>
      <c r="AU175" s="112">
        <f t="shared" si="674"/>
        <v>2942442.7826747303</v>
      </c>
      <c r="AV175" s="112">
        <f t="shared" si="674"/>
        <v>2899048.3144929125</v>
      </c>
      <c r="AW175" s="112">
        <f t="shared" si="674"/>
        <v>2855653.8463110947</v>
      </c>
      <c r="AX175" s="112">
        <f t="shared" si="674"/>
        <v>2812259.3781292769</v>
      </c>
      <c r="AY175" s="112">
        <f t="shared" si="674"/>
        <v>2768864.9099474591</v>
      </c>
      <c r="AZ175" s="112">
        <f t="shared" si="674"/>
        <v>2725470.4417656413</v>
      </c>
      <c r="BA175" s="112">
        <f t="shared" si="674"/>
        <v>2682075.9735838235</v>
      </c>
      <c r="BB175" s="112">
        <f t="shared" si="674"/>
        <v>2638681.5054020057</v>
      </c>
      <c r="BC175" s="112">
        <f t="shared" si="674"/>
        <v>2595287.037220188</v>
      </c>
      <c r="BD175" s="112">
        <f t="shared" si="674"/>
        <v>2551892.5690383702</v>
      </c>
      <c r="BE175" s="112">
        <f t="shared" si="674"/>
        <v>2508498.1008565524</v>
      </c>
      <c r="BF175" s="112">
        <f t="shared" si="674"/>
        <v>2465103.6326747346</v>
      </c>
      <c r="BG175" s="112">
        <f t="shared" si="674"/>
        <v>2421709.1644929168</v>
      </c>
      <c r="BH175" s="112">
        <f t="shared" si="674"/>
        <v>2378314.696311099</v>
      </c>
      <c r="BI175" s="112">
        <f t="shared" si="674"/>
        <v>2334920.2281292812</v>
      </c>
      <c r="BJ175" s="112">
        <f t="shared" si="674"/>
        <v>2291525.7599474634</v>
      </c>
      <c r="BK175" s="112">
        <f t="shared" si="674"/>
        <v>2248131.2917656456</v>
      </c>
      <c r="BL175" s="112">
        <f t="shared" si="674"/>
        <v>2204736.8235838278</v>
      </c>
      <c r="BM175" s="112">
        <f t="shared" si="674"/>
        <v>2161342.35540201</v>
      </c>
      <c r="BN175" s="112">
        <f t="shared" si="674"/>
        <v>2117947.8872201922</v>
      </c>
      <c r="BO175" s="112">
        <f t="shared" si="674"/>
        <v>2074553.419038374</v>
      </c>
      <c r="BP175" s="112">
        <f t="shared" si="674"/>
        <v>2031158.9508565557</v>
      </c>
      <c r="BQ175" s="112">
        <f t="shared" si="674"/>
        <v>1987764.4826747375</v>
      </c>
      <c r="BR175" s="112">
        <f t="shared" si="674"/>
        <v>1944370.0144929192</v>
      </c>
      <c r="BS175" s="112">
        <f t="shared" si="674"/>
        <v>1900975.5463111009</v>
      </c>
      <c r="BT175" s="112">
        <f t="shared" si="674"/>
        <v>1857581.0781292827</v>
      </c>
      <c r="BU175" s="112">
        <f t="shared" si="674"/>
        <v>1814186.6099474644</v>
      </c>
      <c r="BV175" s="112">
        <f t="shared" si="674"/>
        <v>1770792.1417656462</v>
      </c>
      <c r="BW175" s="112">
        <f t="shared" si="674"/>
        <v>1727397.6735838279</v>
      </c>
      <c r="BX175" s="112">
        <f t="shared" si="674"/>
        <v>1684003.2054020097</v>
      </c>
      <c r="BY175" s="112">
        <f t="shared" si="674"/>
        <v>1640608.7372201914</v>
      </c>
      <c r="BZ175" s="112">
        <f t="shared" si="674"/>
        <v>1597214.2690383731</v>
      </c>
      <c r="CA175" s="112">
        <f t="shared" si="674"/>
        <v>1553819.8008565549</v>
      </c>
      <c r="CB175" s="112">
        <f t="shared" si="674"/>
        <v>1510425.3326747366</v>
      </c>
      <c r="CC175" s="112">
        <f t="shared" si="674"/>
        <v>1467030.8644929184</v>
      </c>
      <c r="CD175" s="112">
        <f t="shared" si="674"/>
        <v>1423636.3963111001</v>
      </c>
      <c r="CE175" s="112">
        <f t="shared" si="674"/>
        <v>1380241.9281292818</v>
      </c>
      <c r="CF175" s="112">
        <f t="shared" si="674"/>
        <v>1336847.4599474636</v>
      </c>
      <c r="CG175" s="112">
        <f t="shared" si="674"/>
        <v>1293452.9917656453</v>
      </c>
      <c r="CH175" s="112">
        <f t="shared" si="674"/>
        <v>1250058.5235838271</v>
      </c>
      <c r="CI175" s="112">
        <f t="shared" si="674"/>
        <v>1206664.0554020088</v>
      </c>
      <c r="CJ175" s="112">
        <f t="shared" si="674"/>
        <v>1163269.5872201906</v>
      </c>
      <c r="CK175" s="112">
        <f t="shared" si="674"/>
        <v>1119875.1190383723</v>
      </c>
      <c r="CL175" s="112">
        <f t="shared" si="674"/>
        <v>1076480.650856554</v>
      </c>
      <c r="CM175" s="112">
        <f t="shared" si="674"/>
        <v>1033086.1826747358</v>
      </c>
      <c r="CN175" s="112">
        <f t="shared" si="674"/>
        <v>989691.71449291753</v>
      </c>
      <c r="CO175" s="112"/>
    </row>
    <row r="176" spans="1:93" ht="12.75" customHeight="1">
      <c r="A176" s="117"/>
      <c r="B176" s="26" t="s">
        <v>247</v>
      </c>
      <c r="C176" s="117"/>
      <c r="D176" s="118">
        <f>-D83+D62+D156</f>
        <v>0</v>
      </c>
      <c r="E176" s="5">
        <f>IF(E$9&lt;Assump!$D$54,(-E$165+D$176-E$83-'операционные  расходы 1 этап'!$B$42+E$62+E$156),(D$176-E$83-'операционные  расходы 1 этап'!$B$42+E$62+E$156))</f>
        <v>-18788.900757575757</v>
      </c>
      <c r="F176" s="5">
        <f>IF(F$9&lt;Assump!$D$54,(-F$165+E$176-F$83-'операционные  расходы 1 этап'!$B$42+F$62+F$156),(E$176-F$83-'операционные  расходы 1 этап'!$B$42+F$62+F$156))</f>
        <v>-40486.134848484842</v>
      </c>
      <c r="G176" s="5">
        <f>IF(G$9&lt;Assump!$D$54,(-G$165+F$176-G$83-'операционные  расходы 1 этап'!$B$42+G$62+G$156),(F$176-G$83-'операционные  расходы 1 этап'!$B$42+G$62+G$156))</f>
        <v>-42391.702272727263</v>
      </c>
      <c r="H176" s="5">
        <f>IF(H$9&lt;Assump!$D$54,(-H$165+G$176-H$83-'операционные  расходы 1 этап'!$B$42+H$62+H$156),(G$176-H$83-'операционные  расходы 1 этап'!$B$42+H$62+H$156))</f>
        <v>-44297.269696969692</v>
      </c>
      <c r="I176" s="5">
        <f>IF(I$9&lt;Assump!$D$54,(-I$165+H$176-I$83-'операционные  расходы 1 этап'!$B$42+I$62+I$156),(H$176-I$83-'операционные  расходы 1 этап'!$B$42+I$62+I$156))</f>
        <v>-46202.83712121212</v>
      </c>
      <c r="J176" s="5">
        <f>IF(J$9&lt;Assump!$D$54,(-J$165+I$176-J$83-'операционные  расходы 1 этап'!$B$42+J$62+J$156),(I$176-J$83-'операционные  расходы 1 этап'!$B$42+J$62+J$156))</f>
        <v>-43861.182323232322</v>
      </c>
      <c r="K176" s="5">
        <f>IF(K$9&lt;Assump!$D$54,(-K$165+J$176-K$83-'операционные  расходы 1 этап'!$B$42+K$62+K$156),(J$176-K$83-'операционные  расходы 1 этап'!$B$42+K$62+K$156))</f>
        <v>159037.35789141414</v>
      </c>
      <c r="L176" s="5">
        <f>IF(L$9&lt;Assump!$D$54,(-L$165+K$176-L$83-'операционные  расходы 1 этап'!$B$42+L$62+L$156),(K$176-L$83-'операционные  расходы 1 этап'!$B$42+L$62+L$156))</f>
        <v>374864.56477272732</v>
      </c>
      <c r="M176" s="5">
        <f>IF(M$9&lt;Assump!$D$54,(-M$165+L$176-M$83-'операционные  расходы 1 этап'!$B$42+M$62+M$156),(L$176-M$83-'операционные  расходы 1 этап'!$B$42+M$62+M$156))</f>
        <v>614392.70915404044</v>
      </c>
      <c r="N176" s="5">
        <f>IF(N$9&lt;Assump!$D$54,(-N$165+M$176-N$83-'операционные  расходы 1 этап'!$B$42+N$62+N$156),(M$176-N$83-'операционные  расходы 1 этап'!$B$42+N$62+N$156))</f>
        <v>892838.63001972844</v>
      </c>
      <c r="O176" s="5">
        <f>IF(O$9&lt;Assump!$D$54,(-O$165+N$176-O$83-'операционные  расходы 1 этап'!$B$42+O$62+O$156),(N$176-O$83-'операционные  расходы 1 этап'!$B$42+O$62+O$156))</f>
        <v>1262876.9605729165</v>
      </c>
      <c r="P176" s="5">
        <f>IF(P$9&lt;Assump!$D$54,(-P$165+O$176-P$83-'операционные  расходы 1 этап'!$B$42+P$62+P$156),(O$176-P$83-'операционные  расходы 1 этап'!$B$42+P$62+P$156))</f>
        <v>1665438.5400714171</v>
      </c>
      <c r="Q176" s="5">
        <f>IF(Q$9&lt;Assump!$D$54,(-Q$165+P$176-Q$83-'операционные  расходы 1 этап'!$B$42+Q$62+Q$156),(P$176-Q$83-'операционные  расходы 1 этап'!$B$42+Q$62+Q$156))</f>
        <v>2085671.2815360636</v>
      </c>
      <c r="R176" s="5">
        <f>IF(R$9&lt;Assump!$D$54,(-R$165+Q$176-R$83-'операционные  расходы 1 этап'!$B$42+R$62+R$156),(Q$176-R$83-'операционные  расходы 1 этап'!$B$42+R$62+R$156))</f>
        <v>2422034.6240423769</v>
      </c>
      <c r="S176" s="5">
        <f>IF(S$9&lt;Assump!$D$54,(-S$165+R$176-S$83-'операционные  расходы 1 этап'!$B$42+S$62+S$156),(R$176-S$83-'операционные  расходы 1 этап'!$B$42+S$62+S$156))</f>
        <v>2837359.0067570237</v>
      </c>
      <c r="T176" s="5">
        <f>IF(T$9&lt;Assump!$D$54,(-T$165+S$176-T$83-'операционные  расходы 1 этап'!$B$42+T$62+T$156),(S$176-T$83-'операционные  расходы 1 этап'!$B$42+T$62+T$156))</f>
        <v>3208431.0960550033</v>
      </c>
      <c r="U176" s="5">
        <f>IF(U$9&lt;Assump!$D$54,(-U$165+T$176-U$83-'операционные  расходы 1 этап'!$B$42+U$62+U$156),(T$176-U$83-'операционные  расходы 1 этап'!$B$42+U$62+U$156))</f>
        <v>3567900.4721863167</v>
      </c>
      <c r="V176" s="5">
        <f>IF(V$9&lt;Assump!$D$54,(-V$165+U$176-V$83-'операционные  расходы 1 этап'!$B$42+V$62+V$156),(U$176-V$83-'операционные  расходы 1 этап'!$B$42+V$62+V$156))</f>
        <v>3885255.8491370743</v>
      </c>
      <c r="W176" s="5">
        <f>IF(W$9&lt;Assump!$D$54,(-W$165+V$176-W$83-'операционные  расходы 1 этап'!$B$42+W$62+W$156),(V$176-W$83-'операционные  расходы 1 этап'!$B$42+W$62+W$156))</f>
        <v>3913462.2534552566</v>
      </c>
      <c r="X176" s="5">
        <f>IF(X$9&lt;Assump!$D$54,(-X$165+W$176-X$83-'операционные  расходы 1 этап'!$B$42+X$62+X$156),(W$176-X$83-'операционные  расходы 1 этап'!$B$42+X$62+X$156))</f>
        <v>3940515.5508565395</v>
      </c>
      <c r="Y176" s="5">
        <f>IF(Y$9&lt;Assump!$D$54,(-Y$165+X$176-Y$83-'операционные  расходы 1 этап'!$B$42+Y$62+Y$156),(X$176-Y$83-'операционные  расходы 1 этап'!$B$42+Y$62+Y$156))</f>
        <v>3897121.0826747217</v>
      </c>
      <c r="Z176" s="5">
        <f>IF(Z$9&lt;Assump!$D$54,(-Z$165+Y$176-Z$83-'операционные  расходы 1 этап'!$B$42+Z$62+Z$156),(Y$176-Z$83-'операционные  расходы 1 этап'!$B$42+Z$62+Z$156))</f>
        <v>3853726.6144929039</v>
      </c>
      <c r="AA176" s="5">
        <f>IF(AA$9&lt;Assump!$D$54,(-AA$165+Z$176-AA$83-'операционные  расходы 1 этап'!$B$42+AA$62+AA$156),(Z$176-AA$83-'операционные  расходы 1 этап'!$B$42+AA$62+AA$156))</f>
        <v>3810332.1463110861</v>
      </c>
      <c r="AB176" s="5">
        <f>IF(AB$9&lt;Assump!$D$54,(-AB$165+AA$176-AB$83-'операционные  расходы 1 этап'!$B$42+AB$62+AB$156),(AA$176-AB$83-'операционные  расходы 1 этап'!$B$42+AB$62+AB$156))</f>
        <v>3766937.6781292683</v>
      </c>
      <c r="AC176" s="5">
        <f>IF(AC$9&lt;Assump!$D$54,(-AC$165+AB$176-AC$83-'операционные  расходы 1 этап'!$B$42+AC$62+AC$156),(AB$176-AC$83-'операционные  расходы 1 этап'!$B$42+AC$62+AC$156))</f>
        <v>3723543.2099474506</v>
      </c>
      <c r="AD176" s="5">
        <f>IF(AD$9&lt;Assump!$D$54,(-AD$165+AC$176-AD$83-'операционные  расходы 1 этап'!$B$42+AD$62+AD$156),(AC$176-AD$83-'операционные  расходы 1 этап'!$B$42+AD$62+AD$156))</f>
        <v>3680148.7417656328</v>
      </c>
      <c r="AE176" s="5">
        <f>IF(AE$9&lt;Assump!$D$54,(-AE$165+AD$176-AE$83-'операционные  расходы 1 этап'!$B$42+AE$62+AE$156),(AD$176-AE$83-'операционные  расходы 1 этап'!$B$42+AE$62+AE$156))</f>
        <v>3636754.273583815</v>
      </c>
      <c r="AF176" s="5">
        <f>IF(AF$9&lt;Assump!$D$54,(-AF$165+AE$176-AF$83-'операционные  расходы 1 этап'!$B$42+AF$62+AF$156),(AE$176-AF$83-'операционные  расходы 1 этап'!$B$42+AF$62+AF$156))</f>
        <v>3593359.8054019972</v>
      </c>
      <c r="AG176" s="5">
        <f>IF(AG$9&lt;Assump!$D$54,(-AG$165+AF$176-AG$83-'операционные  расходы 1 этап'!$B$42+AG$62+AG$156),(AF$176-AG$83-'операционные  расходы 1 этап'!$B$42+AG$62+AG$156))</f>
        <v>3549965.3372201794</v>
      </c>
      <c r="AH176" s="5">
        <f>IF(AH$9&lt;Assump!$D$54,(-AH$165+AG$176-AH$83-'операционные  расходы 1 этап'!$B$42+AH$62+AH$156),(AG$176-AH$83-'операционные  расходы 1 этап'!$B$42+AH$62+AH$156))</f>
        <v>3506570.8690383616</v>
      </c>
      <c r="AI176" s="5">
        <f>IF(AI$9&lt;Assump!$D$54,(-AI$165+AH$176-AI$83-'операционные  расходы 1 этап'!$B$42+AI$62+AI$156),(AH$176-AI$83-'операционные  расходы 1 этап'!$B$42+AI$62+AI$156))</f>
        <v>3463176.4008565438</v>
      </c>
      <c r="AJ176" s="5">
        <f>IF(AJ$9&lt;Assump!$D$54,(-AJ$165+AI$176-AJ$83-'операционные  расходы 1 этап'!$B$42+AJ$62+AJ$156),(AI$176-AJ$83-'операционные  расходы 1 этап'!$B$42+AJ$62+AJ$156))</f>
        <v>3419781.932674726</v>
      </c>
      <c r="AK176" s="5">
        <f>IF(AK$9&lt;Assump!$D$54,(-AK$165+AJ$176-AK$83-'операционные  расходы 1 этап'!$B$42+AK$62+AK$156),(AJ$176-AK$83-'операционные  расходы 1 этап'!$B$42+AK$62+AK$156))</f>
        <v>3376387.4644929082</v>
      </c>
      <c r="AL176" s="5">
        <f>IF(AL$9&lt;Assump!$D$54,(-AL$165+AK$176-AL$83-'операционные  расходы 1 этап'!$B$42+AL$62+AL$156),(AK$176-AL$83-'операционные  расходы 1 этап'!$B$42+AL$62+AL$156))</f>
        <v>3332992.9963110904</v>
      </c>
      <c r="AM176" s="5">
        <f>IF(AM$9&lt;Assump!$D$54,(-AM$165+AL$176-AM$83-'операционные  расходы 1 этап'!$B$42+AM$62+AM$156),(AL$176-AM$83-'операционные  расходы 1 этап'!$B$42+AM$62+AM$156))</f>
        <v>3289598.5281292726</v>
      </c>
      <c r="AN176" s="5">
        <f>IF(AN$9&lt;Assump!$D$54,(-AN$165+AM$176-AN$83-'операционные  расходы 1 этап'!$B$42+AN$62+AN$156),(AM$176-AN$83-'операционные  расходы 1 этап'!$B$42+AN$62+AN$156))</f>
        <v>3246204.0599474548</v>
      </c>
      <c r="AO176" s="5">
        <f>IF(AO$9&lt;Assump!$D$54,(-AO$165+AN$176-AO$83-'операционные  расходы 1 этап'!$B$42+AO$62+AO$156),(AN$176-AO$83-'операционные  расходы 1 этап'!$B$42+AO$62+AO$156))</f>
        <v>3202809.591765637</v>
      </c>
      <c r="AP176" s="5">
        <f>IF(AP$9&lt;Assump!$D$54,(-AP$165+AO$176-AP$83-'операционные  расходы 1 этап'!$B$42+AP$62+AP$156),(AO$176-AP$83-'операционные  расходы 1 этап'!$B$42+AP$62+AP$156))</f>
        <v>3159415.1235838193</v>
      </c>
      <c r="AQ176" s="5">
        <f>IF(AQ$9&lt;Assump!$D$54,(-AQ$165+AP$176-AQ$83-'операционные  расходы 1 этап'!$B$42+AQ$62+AQ$156),(AP$176-AQ$83-'операционные  расходы 1 этап'!$B$42+AQ$62+AQ$156))</f>
        <v>3116020.6554020015</v>
      </c>
      <c r="AR176" s="5">
        <f>IF(AR$9&lt;Assump!$D$54,(-AR$165+AQ$176-AR$83-'операционные  расходы 1 этап'!$B$42+AR$62+AR$156),(AQ$176-AR$83-'операционные  расходы 1 этап'!$B$42+AR$62+AR$156))</f>
        <v>3072626.1872201837</v>
      </c>
      <c r="AS176" s="5">
        <f>IF(AS$9&lt;Assump!$D$54,(-AS$165+AR$176-AS$83-'операционные  расходы 1 этап'!$B$42+AS$62+AS$156),(AR$176-AS$83-'операционные  расходы 1 этап'!$B$42+AS$62+AS$156))</f>
        <v>3029231.7190383659</v>
      </c>
      <c r="AT176" s="5">
        <f>IF(AT$9&lt;Assump!$D$54,(-AT$165+AS$176-AT$83-'операционные  расходы 1 этап'!$B$42+AT$62+AT$156),(AS$176-AT$83-'операционные  расходы 1 этап'!$B$42+AT$62+AT$156))</f>
        <v>2985837.2508565481</v>
      </c>
      <c r="AU176" s="5">
        <f>IF(AU$9&lt;Assump!$D$54,(-AU$165+AT$176-AU$83-'операционные  расходы 1 этап'!$B$42+AU$62+AU$156),(AT$176-AU$83-'операционные  расходы 1 этап'!$B$42+AU$62+AU$156))</f>
        <v>2942442.7826747303</v>
      </c>
      <c r="AV176" s="5">
        <f>IF(AV$9&lt;Assump!$D$54,(-AV$165+AU$176-AV$83-'операционные  расходы 1 этап'!$B$42+AV$62+AV$156),(AU$176-AV$83-'операционные  расходы 1 этап'!$B$42+AV$62+AV$156))</f>
        <v>2899048.3144929125</v>
      </c>
      <c r="AW176" s="5">
        <f>IF(AW$9&lt;Assump!$D$54,(-AW$165+AV$176-AW$83-'операционные  расходы 1 этап'!$B$42+AW$62+AW$156),(AV$176-AW$83-'операционные  расходы 1 этап'!$B$42+AW$62+AW$156))</f>
        <v>2855653.8463110947</v>
      </c>
      <c r="AX176" s="5">
        <f>IF(AX$9&lt;Assump!$D$54,(-AX$165+AW$176-AX$83-'операционные  расходы 1 этап'!$B$42+AX$62+AX$156),(AW$176-AX$83-'операционные  расходы 1 этап'!$B$42+AX$62+AX$156))</f>
        <v>2812259.3781292769</v>
      </c>
      <c r="AY176" s="5">
        <f>IF(AY$9&lt;Assump!$D$54,(-AY$165+AX$176-AY$83-'операционные  расходы 1 этап'!$B$42+AY$62+AY$156),(AX$176-AY$83-'операционные  расходы 1 этап'!$B$42+AY$62+AY$156))</f>
        <v>2768864.9099474591</v>
      </c>
      <c r="AZ176" s="5">
        <f>IF(AZ$9&lt;Assump!$D$54,(-AZ$165+AY$176-AZ$83-'операционные  расходы 1 этап'!$B$42+AZ$62+AZ$156),(AY$176-AZ$83-'операционные  расходы 1 этап'!$B$42+AZ$62+AZ$156))</f>
        <v>2725470.4417656413</v>
      </c>
      <c r="BA176" s="5">
        <f>IF(BA$9&lt;Assump!$D$54,(-BA$165+AZ$176-BA$83-'операционные  расходы 1 этап'!$B$42+BA$62+BA$156),(AZ$176-BA$83-'операционные  расходы 1 этап'!$B$42+BA$62+BA$156))</f>
        <v>2682075.9735838235</v>
      </c>
      <c r="BB176" s="5">
        <f>IF(BB$9&lt;Assump!$D$54,(-BB$165+BA$176-BB$83-'операционные  расходы 1 этап'!$B$42+BB$62+BB$156),(BA$176-BB$83-'операционные  расходы 1 этап'!$B$42+BB$62+BB$156))</f>
        <v>2638681.5054020057</v>
      </c>
      <c r="BC176" s="5">
        <f>IF(BC$9&lt;Assump!$D$54,(-BC$165+BB$176-BC$83-'операционные  расходы 1 этап'!$B$42+BC$62+BC$156),(BB$176-BC$83-'операционные  расходы 1 этап'!$B$42+BC$62+BC$156))</f>
        <v>2595287.037220188</v>
      </c>
      <c r="BD176" s="5">
        <f>IF(BD$9&lt;Assump!$D$54,(-BD$165+BC$176-BD$83-'операционные  расходы 1 этап'!$B$42+BD$62+BD$156),(BC$176-BD$83-'операционные  расходы 1 этап'!$B$42+BD$62+BD$156))</f>
        <v>2551892.5690383702</v>
      </c>
      <c r="BE176" s="5">
        <f>IF(BE$9&lt;Assump!$D$54,(-BE$165+BD$176-BE$83-'операционные  расходы 1 этап'!$B$42+BE$62+BE$156),(BD$176-BE$83-'операционные  расходы 1 этап'!$B$42+BE$62+BE$156))</f>
        <v>2508498.1008565524</v>
      </c>
      <c r="BF176" s="5">
        <f>IF(BF$9&lt;Assump!$D$54,(-BF$165+BE$176-BF$83-'операционные  расходы 1 этап'!$B$42+BF$62+BF$156),(BE$176-BF$83-'операционные  расходы 1 этап'!$B$42+BF$62+BF$156))</f>
        <v>2465103.6326747346</v>
      </c>
      <c r="BG176" s="5">
        <f>IF(BG$9&lt;Assump!$D$54,(-BG$165+BF$176-BG$83-'операционные  расходы 1 этап'!$B$42+BG$62+BG$156),(BF$176-BG$83-'операционные  расходы 1 этап'!$B$42+BG$62+BG$156))</f>
        <v>2421709.1644929168</v>
      </c>
      <c r="BH176" s="5">
        <f>IF(BH$9&lt;Assump!$D$54,(-BH$165+BG$176-BH$83-'операционные  расходы 1 этап'!$B$42+BH$62+BH$156),(BG$176-BH$83-'операционные  расходы 1 этап'!$B$42+BH$62+BH$156))</f>
        <v>2378314.696311099</v>
      </c>
      <c r="BI176" s="5">
        <f>IF(BI$9&lt;Assump!$D$54,(-BI$165+BH$176-BI$83-'операционные  расходы 1 этап'!$B$42+BI$62+BI$156),(BH$176-BI$83-'операционные  расходы 1 этап'!$B$42+BI$62+BI$156))</f>
        <v>2334920.2281292812</v>
      </c>
      <c r="BJ176" s="5">
        <f>IF(BJ$9&lt;Assump!$D$54,(-BJ$165+BI$176-BJ$83-'операционные  расходы 1 этап'!$B$42+BJ$62+BJ$156),(BI$176-BJ$83-'операционные  расходы 1 этап'!$B$42+BJ$62+BJ$156))</f>
        <v>2291525.7599474634</v>
      </c>
      <c r="BK176" s="5">
        <f>IF(BK$9&lt;Assump!$D$54,(-BK$165+BJ$176-BK$83-'операционные  расходы 1 этап'!$B$42+BK$62+BK$156),(BJ$176-BK$83-'операционные  расходы 1 этап'!$B$42+BK$62+BK$156))</f>
        <v>2248131.2917656456</v>
      </c>
      <c r="BL176" s="5">
        <f>IF(BL$9&lt;Assump!$D$54,(-BL$165+BK$176-BL$83-'операционные  расходы 1 этап'!$B$42+BL$62+BL$156),(BK$176-BL$83-'операционные  расходы 1 этап'!$B$42+BL$62+BL$156))</f>
        <v>2204736.8235838278</v>
      </c>
      <c r="BM176" s="5">
        <f>IF(BM$9&lt;Assump!$D$54,(-BM$165+BL$176-BM$83-'операционные  расходы 1 этап'!$B$42+BM$62+BM$156),(BL$176-BM$83-'операционные  расходы 1 этап'!$B$42+BM$62+BM$156))</f>
        <v>2161342.35540201</v>
      </c>
      <c r="BN176" s="5">
        <f>IF(BN$9&lt;Assump!$D$54,(-BN$165+BM$176-BN$83-'операционные  расходы 1 этап'!$B$42+BN$62+BN$156),(BM$176-BN$83-'операционные  расходы 1 этап'!$B$42+BN$62+BN$156))</f>
        <v>2117947.8872201922</v>
      </c>
      <c r="BO176" s="5">
        <f>IF(BO$9&lt;Assump!$D$54,(-BO$165+BN$176-BO$83-'операционные  расходы 1 этап'!$B$42+BO$62+BO$156),(BN$176-BO$83-'операционные  расходы 1 этап'!$B$42+BO$62+BO$156))</f>
        <v>2074553.419038374</v>
      </c>
      <c r="BP176" s="5">
        <f>IF(BP$9&lt;Assump!$D$54,(-BP$165+BO$176-BP$83-'операционные  расходы 1 этап'!$B$42+BP$62+BP$156),(BO$176-BP$83-'операционные  расходы 1 этап'!$B$42+BP$62+BP$156))</f>
        <v>2031158.9508565557</v>
      </c>
      <c r="BQ176" s="5">
        <f>IF(BQ$9&lt;Assump!$D$54,(-BQ$165+BP$176-BQ$83-'операционные  расходы 1 этап'!$B$42+BQ$62+BQ$156),(BP$176-BQ$83-'операционные  расходы 1 этап'!$B$42+BQ$62+BQ$156))</f>
        <v>1987764.4826747375</v>
      </c>
      <c r="BR176" s="5">
        <f>IF(BR$9&lt;Assump!$D$54,(-BR$165+BQ$176-BR$83-'операционные  расходы 1 этап'!$B$42+BR$62+BR$156),(BQ$176-BR$83-'операционные  расходы 1 этап'!$B$42+BR$62+BR$156))</f>
        <v>1944370.0144929192</v>
      </c>
      <c r="BS176" s="5">
        <f>IF(BS$9&lt;Assump!$D$54,(-BS$165+BR$176-BS$83-'операционные  расходы 1 этап'!$B$42+BS$62+BS$156),(BR$176-BS$83-'операционные  расходы 1 этап'!$B$42+BS$62+BS$156))</f>
        <v>1900975.5463111009</v>
      </c>
      <c r="BT176" s="5">
        <f>IF(BT$9&lt;Assump!$D$54,(-BT$165+BS$176-BT$83-'операционные  расходы 1 этап'!$B$42+BT$62+BT$156),(BS$176-BT$83-'операционные  расходы 1 этап'!$B$42+BT$62+BT$156))</f>
        <v>1857581.0781292827</v>
      </c>
      <c r="BU176" s="5">
        <f>IF(BU$9&lt;Assump!$D$54,(-BU$165+BT$176-BU$83-'операционные  расходы 1 этап'!$B$42+BU$62+BU$156),(BT$176-BU$83-'операционные  расходы 1 этап'!$B$42+BU$62+BU$156))</f>
        <v>1814186.6099474644</v>
      </c>
      <c r="BV176" s="5">
        <f>IF(BV$9&lt;Assump!$D$54,(-BV$165+BU$176-BV$83-'операционные  расходы 1 этап'!$B$42+BV$62+BV$156),(BU$176-BV$83-'операционные  расходы 1 этап'!$B$42+BV$62+BV$156))</f>
        <v>1770792.1417656462</v>
      </c>
      <c r="BW176" s="5">
        <f>IF(BW$9&lt;Assump!$D$54,(-BW$165+BV$176-BW$83-'операционные  расходы 1 этап'!$B$42+BW$62+BW$156),(BV$176-BW$83-'операционные  расходы 1 этап'!$B$42+BW$62+BW$156))</f>
        <v>1727397.6735838279</v>
      </c>
      <c r="BX176" s="5">
        <f>IF(BX$9&lt;Assump!$D$54,(-BX$165+BW$176-BX$83-'операционные  расходы 1 этап'!$B$42+BX$62+BX$156),(BW$176-BX$83-'операционные  расходы 1 этап'!$B$42+BX$62+BX$156))</f>
        <v>1684003.2054020097</v>
      </c>
      <c r="BY176" s="5">
        <f>IF(BY$9&lt;Assump!$D$54,(-BY$165+BX$176-BY$83-'операционные  расходы 1 этап'!$B$42+BY$62+BY$156),(BX$176-BY$83-'операционные  расходы 1 этап'!$B$42+BY$62+BY$156))</f>
        <v>1640608.7372201914</v>
      </c>
      <c r="BZ176" s="5">
        <f>IF(BZ$9&lt;Assump!$D$54,(-BZ$165+BY$176-BZ$83-'операционные  расходы 1 этап'!$B$42+BZ$62+BZ$156),(BY$176-BZ$83-'операционные  расходы 1 этап'!$B$42+BZ$62+BZ$156))</f>
        <v>1597214.2690383731</v>
      </c>
      <c r="CA176" s="5">
        <f>IF(CA$9&lt;Assump!$D$54,(-CA$165+BZ$176-CA$83-'операционные  расходы 1 этап'!$B$42+CA$62+CA$156),(BZ$176-CA$83-'операционные  расходы 1 этап'!$B$42+CA$62+CA$156))</f>
        <v>1553819.8008565549</v>
      </c>
      <c r="CB176" s="5">
        <f>IF(CB$9&lt;Assump!$D$54,(-CB$165+CA$176-CB$83-'операционные  расходы 1 этап'!$B$42+CB$62+CB$156),(CA$176-CB$83-'операционные  расходы 1 этап'!$B$42+CB$62+CB$156))</f>
        <v>1510425.3326747366</v>
      </c>
      <c r="CC176" s="5">
        <f>IF(CC$9&lt;Assump!$D$54,(-CC$165+CB$176-CC$83-'операционные  расходы 1 этап'!$B$42+CC$62+CC$156),(CB$176-CC$83-'операционные  расходы 1 этап'!$B$42+CC$62+CC$156))</f>
        <v>1467030.8644929184</v>
      </c>
      <c r="CD176" s="5">
        <f>IF(CD$9&lt;Assump!$D$54,(-CD$165+CC$176-CD$83-'операционные  расходы 1 этап'!$B$42+CD$62+CD$156),(CC$176-CD$83-'операционные  расходы 1 этап'!$B$42+CD$62+CD$156))</f>
        <v>1423636.3963111001</v>
      </c>
      <c r="CE176" s="5">
        <f>IF(CE$9&lt;Assump!$D$54,(-CE$165+CD$176-CE$83-'операционные  расходы 1 этап'!$B$42+CE$62+CE$156),(CD$176-CE$83-'операционные  расходы 1 этап'!$B$42+CE$62+CE$156))</f>
        <v>1380241.9281292818</v>
      </c>
      <c r="CF176" s="5">
        <f>IF(CF$9&lt;Assump!$D$54,(-CF$165+CE$176-CF$83-'операционные  расходы 1 этап'!$B$42+CF$62+CF$156),(CE$176-CF$83-'операционные  расходы 1 этап'!$B$42+CF$62+CF$156))</f>
        <v>1336847.4599474636</v>
      </c>
      <c r="CG176" s="5">
        <f>IF(CG$9&lt;Assump!$D$54,(-CG$165+CF$176-CG$83-'операционные  расходы 1 этап'!$B$42+CG$62+CG$156),(CF$176-CG$83-'операционные  расходы 1 этап'!$B$42+CG$62+CG$156))</f>
        <v>1293452.9917656453</v>
      </c>
      <c r="CH176" s="5">
        <f>IF(CH$9&lt;Assump!$D$54,(-CH$165+CG$176-CH$83-'операционные  расходы 1 этап'!$B$42+CH$62+CH$156),(CG$176-CH$83-'операционные  расходы 1 этап'!$B$42+CH$62+CH$156))</f>
        <v>1250058.5235838271</v>
      </c>
      <c r="CI176" s="5">
        <f>IF(CI$9&lt;Assump!$D$54,(-CI$165+CH$176-CI$83-'операционные  расходы 1 этап'!$B$42+CI$62+CI$156),(CH$176-CI$83-'операционные  расходы 1 этап'!$B$42+CI$62+CI$156))</f>
        <v>1206664.0554020088</v>
      </c>
      <c r="CJ176" s="5">
        <f>IF(CJ$9&lt;Assump!$D$54,(-CJ$165+CI$176-CJ$83-'операционные  расходы 1 этап'!$B$42+CJ$62+CJ$156),(CI$176-CJ$83-'операционные  расходы 1 этап'!$B$42+CJ$62+CJ$156))</f>
        <v>1163269.5872201906</v>
      </c>
      <c r="CK176" s="5">
        <f>IF(CK$9&lt;Assump!$D$54,(-CK$165+CJ$176-CK$83-'операционные  расходы 1 этап'!$B$42+CK$62+CK$156),(CJ$176-CK$83-'операционные  расходы 1 этап'!$B$42+CK$62+CK$156))</f>
        <v>1119875.1190383723</v>
      </c>
      <c r="CL176" s="5">
        <f>IF(CL$9&lt;Assump!$D$54,(-CL$165+CK$176-CL$83-'операционные  расходы 1 этап'!$B$42+CL$62+CL$156),(CK$176-CL$83-'операционные  расходы 1 этап'!$B$42+CL$62+CL$156))</f>
        <v>1076480.650856554</v>
      </c>
      <c r="CM176" s="5">
        <f>IF(CM$9&lt;Assump!$D$54,(-CM$165+CL$176-CM$83-'операционные  расходы 1 этап'!$B$42+CM$62+CM$156),(CL$176-CM$83-'операционные  расходы 1 этап'!$B$42+CM$62+CM$156))</f>
        <v>1033086.1826747358</v>
      </c>
      <c r="CN176" s="5">
        <f>IF(CN$9&lt;Assump!$D$54,(-CN$165+CM$176-CN$83-'операционные  расходы 1 этап'!$B$42+CN$62+CN$156),(CM$176-CN$83-'операционные  расходы 1 этап'!$B$42+CN$62+CN$156))</f>
        <v>989691.71449291753</v>
      </c>
      <c r="CO176" s="5"/>
    </row>
    <row r="177" spans="1:93" ht="12.75" customHeight="1">
      <c r="A177" s="112"/>
      <c r="B177" s="119" t="s">
        <v>248</v>
      </c>
      <c r="C177" s="120"/>
      <c r="D177" s="121">
        <f t="shared" ref="D177:CN177" si="675">D170+D175</f>
        <v>954678.3</v>
      </c>
      <c r="E177" s="120">
        <f t="shared" si="675"/>
        <v>932981.06590909092</v>
      </c>
      <c r="F177" s="120">
        <f t="shared" si="675"/>
        <v>911283.83181818179</v>
      </c>
      <c r="G177" s="120">
        <f t="shared" si="675"/>
        <v>889586.59772727278</v>
      </c>
      <c r="H177" s="120">
        <f t="shared" si="675"/>
        <v>867189.36363636365</v>
      </c>
      <c r="I177" s="120">
        <f t="shared" si="675"/>
        <v>844792.12954545452</v>
      </c>
      <c r="J177" s="120">
        <f t="shared" si="675"/>
        <v>822394.89545454551</v>
      </c>
      <c r="K177" s="120">
        <f t="shared" si="675"/>
        <v>799997.66136363638</v>
      </c>
      <c r="L177" s="120">
        <f t="shared" si="675"/>
        <v>777600.42727272725</v>
      </c>
      <c r="M177" s="120">
        <f t="shared" si="675"/>
        <v>772126.27234848484</v>
      </c>
      <c r="N177" s="120">
        <f t="shared" si="675"/>
        <v>1109520.0549242422</v>
      </c>
      <c r="O177" s="120">
        <f t="shared" si="675"/>
        <v>1548729.4312499997</v>
      </c>
      <c r="P177" s="120">
        <f t="shared" si="675"/>
        <v>2016580.5575757574</v>
      </c>
      <c r="Q177" s="120">
        <f t="shared" si="675"/>
        <v>2494606.4901515148</v>
      </c>
      <c r="R177" s="120">
        <f t="shared" si="675"/>
        <v>2860729.6227272726</v>
      </c>
      <c r="S177" s="120">
        <f t="shared" si="675"/>
        <v>3312864.2953030309</v>
      </c>
      <c r="T177" s="120">
        <f t="shared" si="675"/>
        <v>3701219.247878788</v>
      </c>
      <c r="U177" s="120">
        <f t="shared" si="675"/>
        <v>4066409.020454546</v>
      </c>
      <c r="V177" s="120">
        <f t="shared" si="675"/>
        <v>4379657.0613510981</v>
      </c>
      <c r="W177" s="120">
        <f t="shared" si="675"/>
        <v>4451639.5106635718</v>
      </c>
      <c r="X177" s="120">
        <f t="shared" si="675"/>
        <v>4514745.7236989299</v>
      </c>
      <c r="Y177" s="120">
        <f t="shared" si="675"/>
        <v>4481757.0313632488</v>
      </c>
      <c r="Z177" s="120">
        <f t="shared" si="675"/>
        <v>4464976.6021963684</v>
      </c>
      <c r="AA177" s="120">
        <f t="shared" si="675"/>
        <v>4454314.0790362665</v>
      </c>
      <c r="AB177" s="120">
        <f t="shared" si="675"/>
        <v>4444910.2729920996</v>
      </c>
      <c r="AC177" s="120">
        <f t="shared" si="675"/>
        <v>4393623.5173248267</v>
      </c>
      <c r="AD177" s="120">
        <f t="shared" si="675"/>
        <v>4322008.3089234829</v>
      </c>
      <c r="AE177" s="120">
        <f t="shared" si="675"/>
        <v>4215936.0454496825</v>
      </c>
      <c r="AF177" s="120">
        <f t="shared" si="675"/>
        <v>4209607.9604066573</v>
      </c>
      <c r="AG177" s="120">
        <f t="shared" si="675"/>
        <v>4178254.2945758696</v>
      </c>
      <c r="AH177" s="120">
        <f t="shared" si="675"/>
        <v>4170268.2213823157</v>
      </c>
      <c r="AI177" s="120">
        <f t="shared" si="675"/>
        <v>4162581.4804146457</v>
      </c>
      <c r="AJ177" s="120">
        <f t="shared" si="675"/>
        <v>4127568.1903421935</v>
      </c>
      <c r="AK177" s="120">
        <f t="shared" si="675"/>
        <v>4113647.4608696098</v>
      </c>
      <c r="AL177" s="120">
        <f t="shared" si="675"/>
        <v>4106728.271605243</v>
      </c>
      <c r="AM177" s="120">
        <f t="shared" si="675"/>
        <v>4102451.0415526317</v>
      </c>
      <c r="AN177" s="120">
        <f t="shared" si="675"/>
        <v>4069118.7759201201</v>
      </c>
      <c r="AO177" s="120">
        <f t="shared" si="675"/>
        <v>4062762.6909323414</v>
      </c>
      <c r="AP177" s="120">
        <f t="shared" si="675"/>
        <v>4057409.362399247</v>
      </c>
      <c r="AQ177" s="120">
        <f t="shared" si="675"/>
        <v>4022700.8678636882</v>
      </c>
      <c r="AR177" s="120">
        <f t="shared" si="675"/>
        <v>4007699.0527882529</v>
      </c>
      <c r="AS177" s="120">
        <f t="shared" si="675"/>
        <v>4002586.1486412911</v>
      </c>
      <c r="AT177" s="120">
        <f t="shared" si="675"/>
        <v>4000661.4581044819</v>
      </c>
      <c r="AU177" s="120">
        <f t="shared" si="675"/>
        <v>3967702.4532933785</v>
      </c>
      <c r="AV177" s="120">
        <f t="shared" si="675"/>
        <v>3960446.9959511952</v>
      </c>
      <c r="AW177" s="120">
        <f t="shared" si="675"/>
        <v>3956756.4097556323</v>
      </c>
      <c r="AX177" s="120">
        <f t="shared" si="675"/>
        <v>3923041.3317545559</v>
      </c>
      <c r="AY177" s="120">
        <f t="shared" si="675"/>
        <v>3909466.3572053197</v>
      </c>
      <c r="AZ177" s="120">
        <f t="shared" si="675"/>
        <v>3903341.6376912203</v>
      </c>
      <c r="BA177" s="120">
        <f t="shared" si="675"/>
        <v>3903177.050862629</v>
      </c>
      <c r="BB177" s="120">
        <f t="shared" si="675"/>
        <v>3870578.4021907868</v>
      </c>
      <c r="BC177" s="120">
        <f t="shared" si="675"/>
        <v>3863973.6626410685</v>
      </c>
      <c r="BD177" s="120">
        <f t="shared" si="675"/>
        <v>3857471.5497304834</v>
      </c>
      <c r="BE177" s="120">
        <f t="shared" si="675"/>
        <v>3823486.3483661669</v>
      </c>
      <c r="BF177" s="120">
        <f t="shared" si="675"/>
        <v>3810709.8730152585</v>
      </c>
      <c r="BG177" s="120">
        <f t="shared" si="675"/>
        <v>3804900.8678115308</v>
      </c>
      <c r="BH177" s="120">
        <f t="shared" si="675"/>
        <v>3801711.936458447</v>
      </c>
      <c r="BI177" s="120">
        <f t="shared" si="675"/>
        <v>3800364.7043570708</v>
      </c>
      <c r="BJ177" s="120">
        <f t="shared" si="675"/>
        <v>3781301.4690403389</v>
      </c>
      <c r="BK177" s="120">
        <f t="shared" si="675"/>
        <v>3754599.0683973301</v>
      </c>
      <c r="BL177" s="120">
        <f t="shared" si="675"/>
        <v>3733748.6553399186</v>
      </c>
      <c r="BM177" s="120">
        <f t="shared" si="675"/>
        <v>3714854.7558903294</v>
      </c>
      <c r="BN177" s="120">
        <f t="shared" si="675"/>
        <v>3695713.8901979164</v>
      </c>
      <c r="BO177" s="120">
        <f t="shared" si="675"/>
        <v>3668624.8653640626</v>
      </c>
      <c r="BP177" s="120">
        <f t="shared" si="675"/>
        <v>3648861.5882867398</v>
      </c>
      <c r="BQ177" s="120">
        <f t="shared" si="675"/>
        <v>3630138.4484039368</v>
      </c>
      <c r="BR177" s="120">
        <f t="shared" si="675"/>
        <v>3603258.4826910589</v>
      </c>
      <c r="BS177" s="120">
        <f t="shared" si="675"/>
        <v>3582363.8341970779</v>
      </c>
      <c r="BT177" s="120">
        <f t="shared" si="675"/>
        <v>3563366.0639359248</v>
      </c>
      <c r="BU177" s="120">
        <f t="shared" si="675"/>
        <v>3544734.843124839</v>
      </c>
      <c r="BV177" s="120">
        <f t="shared" si="675"/>
        <v>3517312.4429469956</v>
      </c>
      <c r="BW177" s="120">
        <f t="shared" si="675"/>
        <v>3497551.5696269469</v>
      </c>
      <c r="BX177" s="120">
        <f t="shared" si="675"/>
        <v>3478836.161779901</v>
      </c>
      <c r="BY177" s="120">
        <f t="shared" si="675"/>
        <v>3451910.5622445233</v>
      </c>
      <c r="BZ177" s="120">
        <f t="shared" si="675"/>
        <v>3431064.2824748508</v>
      </c>
      <c r="CA177" s="120">
        <f t="shared" si="675"/>
        <v>3412105.9212632603</v>
      </c>
      <c r="CB177" s="120">
        <f t="shared" si="675"/>
        <v>3393318.7434601067</v>
      </c>
      <c r="CC177" s="120">
        <f t="shared" si="675"/>
        <v>3365992.5477956287</v>
      </c>
      <c r="CD177" s="120">
        <f t="shared" si="675"/>
        <v>3346349.7229516599</v>
      </c>
      <c r="CE177" s="120">
        <f t="shared" si="675"/>
        <v>3327669.7907958552</v>
      </c>
      <c r="CF177" s="120">
        <f t="shared" si="675"/>
        <v>3300320.7033701302</v>
      </c>
      <c r="CG177" s="120">
        <f t="shared" si="675"/>
        <v>3279709.9935970595</v>
      </c>
      <c r="CH177" s="120">
        <f t="shared" si="675"/>
        <v>3261021.6234210096</v>
      </c>
      <c r="CI177" s="120">
        <f t="shared" si="675"/>
        <v>3242252.949914149</v>
      </c>
      <c r="CJ177" s="120">
        <f t="shared" si="675"/>
        <v>3214468.4124334445</v>
      </c>
      <c r="CK177" s="120">
        <f t="shared" si="675"/>
        <v>3195269.9550558068</v>
      </c>
      <c r="CL177" s="120">
        <f t="shared" si="675"/>
        <v>3176774.362937402</v>
      </c>
      <c r="CM177" s="120">
        <f t="shared" si="675"/>
        <v>3148993.3176201237</v>
      </c>
      <c r="CN177" s="120">
        <f t="shared" si="675"/>
        <v>3128325.3997880621</v>
      </c>
      <c r="CO177" s="120"/>
    </row>
    <row r="178" spans="1:93" ht="12.75" customHeight="1">
      <c r="A178" s="112"/>
      <c r="B178" s="122" t="s">
        <v>249</v>
      </c>
      <c r="C178" s="112"/>
      <c r="D178" s="118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123"/>
      <c r="BL178" s="123"/>
      <c r="BM178" s="123"/>
      <c r="BN178" s="123"/>
      <c r="BO178" s="123"/>
      <c r="BP178" s="123"/>
      <c r="BQ178" s="123"/>
      <c r="BR178" s="123"/>
      <c r="BS178" s="123"/>
      <c r="BT178" s="123"/>
      <c r="BU178" s="123"/>
      <c r="BV178" s="123"/>
      <c r="BW178" s="123"/>
      <c r="BX178" s="123"/>
      <c r="BY178" s="123"/>
      <c r="BZ178" s="123"/>
      <c r="CA178" s="123"/>
      <c r="CB178" s="123"/>
      <c r="CC178" s="123"/>
      <c r="CD178" s="123"/>
      <c r="CE178" s="123"/>
      <c r="CF178" s="123"/>
      <c r="CG178" s="123"/>
      <c r="CH178" s="123"/>
      <c r="CI178" s="123"/>
      <c r="CJ178" s="123"/>
      <c r="CK178" s="123"/>
      <c r="CL178" s="123"/>
      <c r="CM178" s="123"/>
      <c r="CN178" s="123"/>
      <c r="CO178" s="123"/>
    </row>
    <row r="179" spans="1:93" ht="12.75" customHeight="1">
      <c r="A179" s="112"/>
      <c r="B179" s="112" t="s">
        <v>250</v>
      </c>
      <c r="C179" s="112"/>
      <c r="D179" s="116">
        <f t="shared" ref="D179:BP179" si="676">SUM(D180:D181)</f>
        <v>0</v>
      </c>
      <c r="E179" s="112">
        <f t="shared" si="676"/>
        <v>-4339.4468181818183</v>
      </c>
      <c r="F179" s="112">
        <f t="shared" si="676"/>
        <v>-8678.8936363636367</v>
      </c>
      <c r="G179" s="112">
        <f t="shared" si="676"/>
        <v>-13018.340454545454</v>
      </c>
      <c r="H179" s="112">
        <f t="shared" si="676"/>
        <v>-17357.787272727273</v>
      </c>
      <c r="I179" s="112">
        <f t="shared" si="676"/>
        <v>-21697.234090909093</v>
      </c>
      <c r="J179" s="112">
        <f t="shared" si="676"/>
        <v>-26036.680909090912</v>
      </c>
      <c r="K179" s="112">
        <f t="shared" si="676"/>
        <v>-30376.127727272731</v>
      </c>
      <c r="L179" s="112">
        <f t="shared" si="676"/>
        <v>-34715.574545454547</v>
      </c>
      <c r="M179" s="112">
        <f t="shared" si="676"/>
        <v>-39055.021363636362</v>
      </c>
      <c r="N179" s="112">
        <f t="shared" si="676"/>
        <v>-43331.00663494318</v>
      </c>
      <c r="O179" s="112">
        <f t="shared" si="676"/>
        <v>-46257.775593749997</v>
      </c>
      <c r="P179" s="112">
        <f t="shared" si="676"/>
        <v>-47453.519763494318</v>
      </c>
      <c r="Q179" s="112">
        <f t="shared" si="676"/>
        <v>-46810.832581676135</v>
      </c>
      <c r="R179" s="112">
        <f t="shared" si="676"/>
        <v>-44291.558524857952</v>
      </c>
      <c r="S179" s="112">
        <f t="shared" si="676"/>
        <v>-40315.333093039771</v>
      </c>
      <c r="T179" s="112">
        <f t="shared" si="676"/>
        <v>-34559.613011221591</v>
      </c>
      <c r="U179" s="112">
        <f t="shared" si="676"/>
        <v>-27263.572229403409</v>
      </c>
      <c r="V179" s="112">
        <f t="shared" si="676"/>
        <v>-11198.30518512444</v>
      </c>
      <c r="W179" s="112">
        <f t="shared" si="676"/>
        <v>2673.421328978995</v>
      </c>
      <c r="X179" s="112">
        <f t="shared" si="676"/>
        <v>8770.6376619716939</v>
      </c>
      <c r="Y179" s="112">
        <f t="shared" si="676"/>
        <v>4925.218712842553</v>
      </c>
      <c r="Z179" s="112">
        <f t="shared" si="676"/>
        <v>2357.0566398843148</v>
      </c>
      <c r="AA179" s="112">
        <f t="shared" si="676"/>
        <v>-140.49858377244527</v>
      </c>
      <c r="AB179" s="112">
        <f t="shared" si="676"/>
        <v>-8305.3422073706133</v>
      </c>
      <c r="AC179" s="112">
        <f t="shared" si="676"/>
        <v>-11835.89292276113</v>
      </c>
      <c r="AD179" s="112">
        <f t="shared" si="676"/>
        <v>-14208.24709657474</v>
      </c>
      <c r="AE179" s="112">
        <f t="shared" si="676"/>
        <v>-16565.528837386519</v>
      </c>
      <c r="AF179" s="112">
        <f t="shared" si="676"/>
        <v>-25025.1021983928</v>
      </c>
      <c r="AG179" s="112">
        <f t="shared" si="676"/>
        <v>-27673.278580112012</v>
      </c>
      <c r="AH179" s="112">
        <f t="shared" si="676"/>
        <v>-29845.728088179472</v>
      </c>
      <c r="AI179" s="112">
        <f t="shared" si="676"/>
        <v>-38302.937815519719</v>
      </c>
      <c r="AJ179" s="112">
        <f t="shared" si="676"/>
        <v>-41945.702873737733</v>
      </c>
      <c r="AK179" s="112">
        <f t="shared" si="676"/>
        <v>-44075.494848655551</v>
      </c>
      <c r="AL179" s="112">
        <f t="shared" si="676"/>
        <v>-46219.549905911612</v>
      </c>
      <c r="AM179" s="112">
        <f t="shared" si="676"/>
        <v>-54994.836311873762</v>
      </c>
      <c r="AN179" s="112">
        <f t="shared" si="676"/>
        <v>-57743.211908837489</v>
      </c>
      <c r="AO179" s="112">
        <f t="shared" si="676"/>
        <v>-59522.953709527697</v>
      </c>
      <c r="AP179" s="112">
        <f t="shared" si="676"/>
        <v>-68234.756648744282</v>
      </c>
      <c r="AQ179" s="112">
        <f t="shared" si="676"/>
        <v>-71913.914310101289</v>
      </c>
      <c r="AR179" s="112">
        <f t="shared" si="676"/>
        <v>-74032.505554931282</v>
      </c>
      <c r="AS179" s="112">
        <f t="shared" si="676"/>
        <v>-75849.53566005778</v>
      </c>
      <c r="AT179" s="112">
        <f t="shared" si="676"/>
        <v>-84899.090786555011</v>
      </c>
      <c r="AU179" s="112">
        <f t="shared" si="676"/>
        <v>-87645.488806459674</v>
      </c>
      <c r="AV179" s="112">
        <f t="shared" si="676"/>
        <v>-89531.779794416041</v>
      </c>
      <c r="AW179" s="112">
        <f t="shared" si="676"/>
        <v>-98172.615802878106</v>
      </c>
      <c r="AX179" s="112">
        <f t="shared" si="676"/>
        <v>-101811.98039504391</v>
      </c>
      <c r="AY179" s="112">
        <f t="shared" si="676"/>
        <v>-103898.14971726984</v>
      </c>
      <c r="AZ179" s="112">
        <f t="shared" si="676"/>
        <v>-105843.48602573124</v>
      </c>
      <c r="BA179" s="112">
        <f t="shared" si="676"/>
        <v>-114883.95544027646</v>
      </c>
      <c r="BB179" s="112">
        <f t="shared" si="676"/>
        <v>-117449.96979726982</v>
      </c>
      <c r="BC179" s="112">
        <f t="shared" si="676"/>
        <v>-119307.07484624692</v>
      </c>
      <c r="BD179" s="112">
        <f t="shared" si="676"/>
        <v>-128296.31539014232</v>
      </c>
      <c r="BE179" s="112">
        <f t="shared" si="676"/>
        <v>-131652.54393978068</v>
      </c>
      <c r="BF179" s="112">
        <f t="shared" si="676"/>
        <v>-133600.97735440388</v>
      </c>
      <c r="BG179" s="112">
        <f t="shared" si="676"/>
        <v>-135531.09013251067</v>
      </c>
      <c r="BH179" s="112">
        <f t="shared" si="676"/>
        <v>-144878.57651428651</v>
      </c>
      <c r="BI179" s="112">
        <f t="shared" si="676"/>
        <v>-147162.27354650779</v>
      </c>
      <c r="BJ179" s="112">
        <f t="shared" si="676"/>
        <v>-148867.7215905124</v>
      </c>
      <c r="BK179" s="112">
        <f t="shared" si="676"/>
        <v>-158212.33496079448</v>
      </c>
      <c r="BL179" s="112">
        <f t="shared" si="676"/>
        <v>-161704.9607454793</v>
      </c>
      <c r="BM179" s="112">
        <f t="shared" si="676"/>
        <v>-163241.07292234155</v>
      </c>
      <c r="BN179" s="112">
        <f t="shared" si="676"/>
        <v>-165024.15134202733</v>
      </c>
      <c r="BO179" s="112">
        <f t="shared" si="676"/>
        <v>-174755.38890315357</v>
      </c>
      <c r="BP179" s="112">
        <f t="shared" si="676"/>
        <v>-177160.87870774965</v>
      </c>
      <c r="BQ179" s="112">
        <f t="shared" ref="BQ179:CM179" si="677">SUM(BQ180:BQ181)</f>
        <v>-178526.2313178253</v>
      </c>
      <c r="BR179" s="112">
        <f t="shared" si="677"/>
        <v>-188048.40975797558</v>
      </c>
      <c r="BS179" s="112">
        <f t="shared" si="677"/>
        <v>-191585.27097922959</v>
      </c>
      <c r="BT179" s="112">
        <f t="shared" si="677"/>
        <v>-193225.25396765489</v>
      </c>
      <c r="BU179" s="112">
        <f t="shared" si="677"/>
        <v>-194498.68750601349</v>
      </c>
      <c r="BV179" s="112">
        <f t="shared" si="677"/>
        <v>-204563.3004111296</v>
      </c>
      <c r="BW179" s="112">
        <f t="shared" si="677"/>
        <v>-206966.38645845055</v>
      </c>
      <c r="BX179" s="112">
        <f t="shared" si="677"/>
        <v>-208324.00703276938</v>
      </c>
      <c r="BY179" s="112">
        <f t="shared" si="677"/>
        <v>-217891.81929541926</v>
      </c>
      <c r="BZ179" s="112">
        <f t="shared" si="677"/>
        <v>-221380.31179236469</v>
      </c>
      <c r="CA179" s="112">
        <f t="shared" si="677"/>
        <v>-222980.88573122775</v>
      </c>
      <c r="CB179" s="112">
        <f t="shared" si="677"/>
        <v>-224410.27626165369</v>
      </c>
      <c r="CC179" s="112">
        <f t="shared" si="677"/>
        <v>-234378.68465340443</v>
      </c>
      <c r="CD179" s="112">
        <f t="shared" si="677"/>
        <v>-236663.72222464587</v>
      </c>
      <c r="CE179" s="112">
        <f t="shared" si="677"/>
        <v>-237985.86710772329</v>
      </c>
      <c r="CF179" s="112">
        <f t="shared" si="677"/>
        <v>-247977.16726072077</v>
      </c>
      <c r="CG179" s="112">
        <f t="shared" si="677"/>
        <v>-251230.0897610643</v>
      </c>
      <c r="CH179" s="112">
        <f t="shared" si="677"/>
        <v>-252560.67266438677</v>
      </c>
      <c r="CI179" s="112">
        <f t="shared" si="677"/>
        <v>-253971.55889851967</v>
      </c>
      <c r="CJ179" s="112">
        <f t="shared" si="677"/>
        <v>-264398.30910649733</v>
      </c>
      <c r="CK179" s="112">
        <f t="shared" si="677"/>
        <v>-266238.979211408</v>
      </c>
      <c r="CL179" s="112">
        <f t="shared" si="677"/>
        <v>-267376.78405708511</v>
      </c>
      <c r="CM179" s="112">
        <f t="shared" si="677"/>
        <v>-277800.04210163577</v>
      </c>
      <c r="CN179" s="112">
        <f>SUM(CN180:CN181)</f>
        <v>-281110.17266097054</v>
      </c>
      <c r="CO179" s="112"/>
    </row>
    <row r="180" spans="1:93" ht="12.75" customHeight="1">
      <c r="A180" s="117"/>
      <c r="B180" s="26" t="s">
        <v>251</v>
      </c>
      <c r="C180" s="117"/>
      <c r="D180" s="118">
        <f>D73+D76+D77</f>
        <v>0</v>
      </c>
      <c r="E180" s="5">
        <f t="shared" ref="E180:AJ180" si="678">E73+E76+E77+D180</f>
        <v>0</v>
      </c>
      <c r="F180" s="5">
        <f t="shared" si="678"/>
        <v>0</v>
      </c>
      <c r="G180" s="5">
        <f t="shared" si="678"/>
        <v>0</v>
      </c>
      <c r="H180" s="5">
        <f t="shared" si="678"/>
        <v>0</v>
      </c>
      <c r="I180" s="5">
        <f t="shared" si="678"/>
        <v>0</v>
      </c>
      <c r="J180" s="5">
        <f t="shared" si="678"/>
        <v>0</v>
      </c>
      <c r="K180" s="5">
        <f t="shared" si="678"/>
        <v>0</v>
      </c>
      <c r="L180" s="5">
        <f t="shared" si="678"/>
        <v>0</v>
      </c>
      <c r="M180" s="5">
        <f t="shared" si="678"/>
        <v>0</v>
      </c>
      <c r="N180" s="5">
        <f t="shared" si="678"/>
        <v>0</v>
      </c>
      <c r="O180" s="5">
        <f t="shared" si="678"/>
        <v>0</v>
      </c>
      <c r="P180" s="5">
        <f t="shared" si="678"/>
        <v>0</v>
      </c>
      <c r="Q180" s="5">
        <f t="shared" si="678"/>
        <v>0</v>
      </c>
      <c r="R180" s="5">
        <f t="shared" si="678"/>
        <v>0</v>
      </c>
      <c r="S180" s="5">
        <f t="shared" si="678"/>
        <v>0</v>
      </c>
      <c r="T180" s="5">
        <f t="shared" si="678"/>
        <v>0</v>
      </c>
      <c r="U180" s="5">
        <f t="shared" si="678"/>
        <v>0</v>
      </c>
      <c r="V180" s="5">
        <f t="shared" si="678"/>
        <v>7315.7749874607889</v>
      </c>
      <c r="W180" s="5">
        <f t="shared" si="678"/>
        <v>11206.773819746042</v>
      </c>
      <c r="X180" s="5">
        <f t="shared" si="678"/>
        <v>7553.8838543004167</v>
      </c>
      <c r="Y180" s="5">
        <f t="shared" si="678"/>
        <v>8047.9117233530942</v>
      </c>
      <c r="Z180" s="5">
        <f t="shared" si="678"/>
        <v>9819.1964685766743</v>
      </c>
      <c r="AA180" s="5">
        <f t="shared" si="678"/>
        <v>11661.088063101732</v>
      </c>
      <c r="AB180" s="5">
        <f t="shared" si="678"/>
        <v>7835.6912576853829</v>
      </c>
      <c r="AC180" s="5">
        <f t="shared" si="678"/>
        <v>8644.5873604766857</v>
      </c>
      <c r="AD180" s="5">
        <f t="shared" si="678"/>
        <v>10611.680004844895</v>
      </c>
      <c r="AE180" s="5">
        <f t="shared" si="678"/>
        <v>12593.845082214935</v>
      </c>
      <c r="AF180" s="5">
        <f t="shared" si="678"/>
        <v>8473.7185393904729</v>
      </c>
      <c r="AG180" s="5">
        <f t="shared" si="678"/>
        <v>10164.988975853075</v>
      </c>
      <c r="AH180" s="5">
        <f t="shared" si="678"/>
        <v>12331.986285967434</v>
      </c>
      <c r="AI180" s="5">
        <f t="shared" si="678"/>
        <v>8214.2233768090009</v>
      </c>
      <c r="AJ180" s="5">
        <f t="shared" si="678"/>
        <v>8910.9051367728007</v>
      </c>
      <c r="AK180" s="5">
        <f t="shared" ref="AK180:BP180" si="679">AK73+AK76+AK77+AJ180</f>
        <v>11120.559980036796</v>
      </c>
      <c r="AL180" s="5">
        <f t="shared" si="679"/>
        <v>13315.951740962559</v>
      </c>
      <c r="AM180" s="5">
        <f t="shared" si="679"/>
        <v>8880.1121531822209</v>
      </c>
      <c r="AN180" s="5">
        <f t="shared" si="679"/>
        <v>10471.183374400309</v>
      </c>
      <c r="AO180" s="5">
        <f t="shared" si="679"/>
        <v>13030.888391891924</v>
      </c>
      <c r="AP180" s="5">
        <f t="shared" si="679"/>
        <v>8658.5322708571548</v>
      </c>
      <c r="AQ180" s="5">
        <f t="shared" si="679"/>
        <v>9318.8214276819763</v>
      </c>
      <c r="AR180" s="5">
        <f t="shared" si="679"/>
        <v>11539.67700103381</v>
      </c>
      <c r="AS180" s="5">
        <f t="shared" si="679"/>
        <v>14062.093714089133</v>
      </c>
      <c r="AT180" s="5">
        <f t="shared" si="679"/>
        <v>9351.9854057737302</v>
      </c>
      <c r="AU180" s="5">
        <f t="shared" si="679"/>
        <v>10945.034204050886</v>
      </c>
      <c r="AV180" s="5">
        <f t="shared" si="679"/>
        <v>13398.190034276342</v>
      </c>
      <c r="AW180" s="5">
        <f t="shared" si="679"/>
        <v>9096.8008439961013</v>
      </c>
      <c r="AX180" s="5">
        <f t="shared" si="679"/>
        <v>9796.8830700121143</v>
      </c>
      <c r="AY180" s="5">
        <f t="shared" si="679"/>
        <v>12050.160565968008</v>
      </c>
      <c r="AZ180" s="5">
        <f t="shared" si="679"/>
        <v>14444.271075688435</v>
      </c>
      <c r="BA180" s="5">
        <f t="shared" si="679"/>
        <v>9743.2484793250296</v>
      </c>
      <c r="BB180" s="5">
        <f t="shared" si="679"/>
        <v>11516.680940513499</v>
      </c>
      <c r="BC180" s="5">
        <f t="shared" si="679"/>
        <v>13999.022709718214</v>
      </c>
      <c r="BD180" s="5">
        <f t="shared" si="679"/>
        <v>9349.2289840046087</v>
      </c>
      <c r="BE180" s="5">
        <f t="shared" si="679"/>
        <v>10332.447252548081</v>
      </c>
      <c r="BF180" s="5">
        <f t="shared" si="679"/>
        <v>12723.460656106665</v>
      </c>
      <c r="BG180" s="5">
        <f t="shared" si="679"/>
        <v>15132.794696181683</v>
      </c>
      <c r="BH180" s="5">
        <f t="shared" si="679"/>
        <v>10124.755132587657</v>
      </c>
      <c r="BI180" s="5">
        <f t="shared" si="679"/>
        <v>12180.504918548182</v>
      </c>
      <c r="BJ180" s="5">
        <f t="shared" si="679"/>
        <v>14814.503692725371</v>
      </c>
      <c r="BK180" s="5">
        <f t="shared" si="679"/>
        <v>9809.3371406251135</v>
      </c>
      <c r="BL180" s="5">
        <f t="shared" si="679"/>
        <v>10656.158174122109</v>
      </c>
      <c r="BM180" s="5">
        <f t="shared" si="679"/>
        <v>13459.492815441645</v>
      </c>
      <c r="BN180" s="5">
        <f t="shared" si="679"/>
        <v>16015.861213937682</v>
      </c>
      <c r="BO180" s="5">
        <f t="shared" si="679"/>
        <v>10624.070470993258</v>
      </c>
      <c r="BP180" s="5">
        <f t="shared" si="679"/>
        <v>12558.027484578975</v>
      </c>
      <c r="BQ180" s="5">
        <f t="shared" ref="BQ180:CN180" si="680">BQ73+BQ76+BQ77+BP180</f>
        <v>15532.12169268515</v>
      </c>
      <c r="BR180" s="5">
        <f t="shared" si="680"/>
        <v>10349.390070716679</v>
      </c>
      <c r="BS180" s="5">
        <f t="shared" si="680"/>
        <v>11151.975667644479</v>
      </c>
      <c r="BT180" s="5">
        <f t="shared" si="680"/>
        <v>13851.43949740097</v>
      </c>
      <c r="BU180" s="5">
        <f t="shared" si="680"/>
        <v>16917.452777224171</v>
      </c>
      <c r="BV180" s="5">
        <f t="shared" si="680"/>
        <v>11192.286690289873</v>
      </c>
      <c r="BW180" s="5">
        <f t="shared" si="680"/>
        <v>13128.647461150746</v>
      </c>
      <c r="BX180" s="5">
        <f t="shared" si="680"/>
        <v>16110.473705013726</v>
      </c>
      <c r="BY180" s="5">
        <f t="shared" si="680"/>
        <v>10882.108260545654</v>
      </c>
      <c r="BZ180" s="5">
        <f t="shared" si="680"/>
        <v>11733.062581782033</v>
      </c>
      <c r="CA180" s="5">
        <f t="shared" si="680"/>
        <v>14471.935461100769</v>
      </c>
      <c r="CB180" s="5">
        <f t="shared" si="680"/>
        <v>17381.991748856643</v>
      </c>
      <c r="CC180" s="5">
        <f t="shared" si="680"/>
        <v>11753.030175287713</v>
      </c>
      <c r="CD180" s="5">
        <f t="shared" si="680"/>
        <v>13807.439422228075</v>
      </c>
      <c r="CE180" s="5">
        <f t="shared" si="680"/>
        <v>16824.741357332467</v>
      </c>
      <c r="CF180" s="5">
        <f t="shared" si="680"/>
        <v>11172.888022516796</v>
      </c>
      <c r="CG180" s="5">
        <f t="shared" si="680"/>
        <v>12259.412340355088</v>
      </c>
      <c r="CH180" s="5">
        <f t="shared" si="680"/>
        <v>15268.276255214434</v>
      </c>
      <c r="CI180" s="5">
        <f t="shared" si="680"/>
        <v>18196.836839263371</v>
      </c>
      <c r="CJ180" s="5">
        <f t="shared" si="680"/>
        <v>12109.533449467559</v>
      </c>
      <c r="CK180" s="5">
        <f t="shared" si="680"/>
        <v>14608.310162738735</v>
      </c>
      <c r="CL180" s="5">
        <f t="shared" si="680"/>
        <v>17809.952135243453</v>
      </c>
      <c r="CM180" s="5">
        <f t="shared" si="680"/>
        <v>11726.140908874635</v>
      </c>
      <c r="CN180" s="5">
        <f t="shared" si="680"/>
        <v>12755.457167721695</v>
      </c>
      <c r="CO180" s="5"/>
    </row>
    <row r="181" spans="1:93" ht="12.75" customHeight="1">
      <c r="A181" s="117"/>
      <c r="B181" s="26" t="s">
        <v>631</v>
      </c>
      <c r="C181" s="117"/>
      <c r="D181" s="445">
        <f>-D140</f>
        <v>0</v>
      </c>
      <c r="E181" s="5">
        <f t="shared" ref="E181:AJ181" si="681">-E140+D181</f>
        <v>-4339.4468181818183</v>
      </c>
      <c r="F181" s="5">
        <f t="shared" si="681"/>
        <v>-8678.8936363636367</v>
      </c>
      <c r="G181" s="5">
        <f t="shared" si="681"/>
        <v>-13018.340454545454</v>
      </c>
      <c r="H181" s="5">
        <f t="shared" si="681"/>
        <v>-17357.787272727273</v>
      </c>
      <c r="I181" s="5">
        <f t="shared" si="681"/>
        <v>-21697.234090909093</v>
      </c>
      <c r="J181" s="5">
        <f t="shared" si="681"/>
        <v>-26036.680909090912</v>
      </c>
      <c r="K181" s="5">
        <f t="shared" si="681"/>
        <v>-30376.127727272731</v>
      </c>
      <c r="L181" s="5">
        <f t="shared" si="681"/>
        <v>-34715.574545454547</v>
      </c>
      <c r="M181" s="5">
        <f t="shared" si="681"/>
        <v>-39055.021363636362</v>
      </c>
      <c r="N181" s="5">
        <f t="shared" si="681"/>
        <v>-43331.00663494318</v>
      </c>
      <c r="O181" s="5">
        <f t="shared" si="681"/>
        <v>-46257.775593749997</v>
      </c>
      <c r="P181" s="5">
        <f t="shared" si="681"/>
        <v>-47453.519763494318</v>
      </c>
      <c r="Q181" s="5">
        <f t="shared" si="681"/>
        <v>-46810.832581676135</v>
      </c>
      <c r="R181" s="5">
        <f t="shared" si="681"/>
        <v>-44291.558524857952</v>
      </c>
      <c r="S181" s="5">
        <f t="shared" si="681"/>
        <v>-40315.333093039771</v>
      </c>
      <c r="T181" s="5">
        <f t="shared" si="681"/>
        <v>-34559.613011221591</v>
      </c>
      <c r="U181" s="5">
        <f t="shared" si="681"/>
        <v>-27263.572229403409</v>
      </c>
      <c r="V181" s="5">
        <f t="shared" si="681"/>
        <v>-18514.080172585229</v>
      </c>
      <c r="W181" s="5">
        <f t="shared" si="681"/>
        <v>-8533.3524907670471</v>
      </c>
      <c r="X181" s="5">
        <f t="shared" si="681"/>
        <v>1216.7538076712772</v>
      </c>
      <c r="Y181" s="5">
        <f t="shared" si="681"/>
        <v>-3122.6930105105412</v>
      </c>
      <c r="Z181" s="5">
        <f t="shared" si="681"/>
        <v>-7462.1398286923595</v>
      </c>
      <c r="AA181" s="5">
        <f t="shared" si="681"/>
        <v>-11801.586646874177</v>
      </c>
      <c r="AB181" s="5">
        <f t="shared" si="681"/>
        <v>-16141.033465055996</v>
      </c>
      <c r="AC181" s="5">
        <f t="shared" si="681"/>
        <v>-20480.480283237815</v>
      </c>
      <c r="AD181" s="5">
        <f t="shared" si="681"/>
        <v>-24819.927101419635</v>
      </c>
      <c r="AE181" s="5">
        <f t="shared" si="681"/>
        <v>-29159.373919601454</v>
      </c>
      <c r="AF181" s="5">
        <f t="shared" si="681"/>
        <v>-33498.820737783273</v>
      </c>
      <c r="AG181" s="5">
        <f t="shared" si="681"/>
        <v>-37838.267555965089</v>
      </c>
      <c r="AH181" s="5">
        <f t="shared" si="681"/>
        <v>-42177.714374146904</v>
      </c>
      <c r="AI181" s="5">
        <f t="shared" si="681"/>
        <v>-46517.16119232872</v>
      </c>
      <c r="AJ181" s="5">
        <f t="shared" si="681"/>
        <v>-50856.608010510536</v>
      </c>
      <c r="AK181" s="5">
        <f t="shared" ref="AK181:BP181" si="682">-AK140+AJ181</f>
        <v>-55196.054828692351</v>
      </c>
      <c r="AL181" s="5">
        <f t="shared" si="682"/>
        <v>-59535.501646874167</v>
      </c>
      <c r="AM181" s="5">
        <f t="shared" si="682"/>
        <v>-63874.948465055983</v>
      </c>
      <c r="AN181" s="5">
        <f t="shared" si="682"/>
        <v>-68214.395283237798</v>
      </c>
      <c r="AO181" s="5">
        <f t="shared" si="682"/>
        <v>-72553.842101419621</v>
      </c>
      <c r="AP181" s="5">
        <f t="shared" si="682"/>
        <v>-76893.288919601444</v>
      </c>
      <c r="AQ181" s="5">
        <f t="shared" si="682"/>
        <v>-81232.735737783267</v>
      </c>
      <c r="AR181" s="5">
        <f t="shared" si="682"/>
        <v>-85572.18255596509</v>
      </c>
      <c r="AS181" s="5">
        <f t="shared" si="682"/>
        <v>-89911.629374146913</v>
      </c>
      <c r="AT181" s="5">
        <f t="shared" si="682"/>
        <v>-94251.076192328735</v>
      </c>
      <c r="AU181" s="5">
        <f t="shared" si="682"/>
        <v>-98590.523010510558</v>
      </c>
      <c r="AV181" s="5">
        <f t="shared" si="682"/>
        <v>-102929.96982869238</v>
      </c>
      <c r="AW181" s="5">
        <f t="shared" si="682"/>
        <v>-107269.4166468742</v>
      </c>
      <c r="AX181" s="5">
        <f t="shared" si="682"/>
        <v>-111608.86346505603</v>
      </c>
      <c r="AY181" s="5">
        <f t="shared" si="682"/>
        <v>-115948.31028323785</v>
      </c>
      <c r="AZ181" s="5">
        <f t="shared" si="682"/>
        <v>-120287.75710141967</v>
      </c>
      <c r="BA181" s="5">
        <f t="shared" si="682"/>
        <v>-124627.2039196015</v>
      </c>
      <c r="BB181" s="5">
        <f t="shared" si="682"/>
        <v>-128966.65073778332</v>
      </c>
      <c r="BC181" s="5">
        <f t="shared" si="682"/>
        <v>-133306.09755596513</v>
      </c>
      <c r="BD181" s="5">
        <f t="shared" si="682"/>
        <v>-137645.54437414694</v>
      </c>
      <c r="BE181" s="5">
        <f t="shared" si="682"/>
        <v>-141984.99119232874</v>
      </c>
      <c r="BF181" s="5">
        <f t="shared" si="682"/>
        <v>-146324.43801051055</v>
      </c>
      <c r="BG181" s="5">
        <f t="shared" si="682"/>
        <v>-150663.88482869236</v>
      </c>
      <c r="BH181" s="5">
        <f t="shared" si="682"/>
        <v>-155003.33164687417</v>
      </c>
      <c r="BI181" s="5">
        <f t="shared" si="682"/>
        <v>-159342.77846505598</v>
      </c>
      <c r="BJ181" s="5">
        <f t="shared" si="682"/>
        <v>-163682.22528323779</v>
      </c>
      <c r="BK181" s="5">
        <f t="shared" si="682"/>
        <v>-168021.67210141959</v>
      </c>
      <c r="BL181" s="5">
        <f t="shared" si="682"/>
        <v>-172361.1189196014</v>
      </c>
      <c r="BM181" s="5">
        <f t="shared" si="682"/>
        <v>-176700.56573778321</v>
      </c>
      <c r="BN181" s="5">
        <f t="shared" si="682"/>
        <v>-181040.01255596502</v>
      </c>
      <c r="BO181" s="5">
        <f t="shared" si="682"/>
        <v>-185379.45937414683</v>
      </c>
      <c r="BP181" s="5">
        <f t="shared" si="682"/>
        <v>-189718.90619232864</v>
      </c>
      <c r="BQ181" s="5">
        <f t="shared" ref="BQ181:CN181" si="683">-BQ140+BP181</f>
        <v>-194058.35301051044</v>
      </c>
      <c r="BR181" s="5">
        <f t="shared" si="683"/>
        <v>-198397.79982869225</v>
      </c>
      <c r="BS181" s="5">
        <f t="shared" si="683"/>
        <v>-202737.24664687406</v>
      </c>
      <c r="BT181" s="5">
        <f t="shared" si="683"/>
        <v>-207076.69346505587</v>
      </c>
      <c r="BU181" s="5">
        <f t="shared" si="683"/>
        <v>-211416.14028323768</v>
      </c>
      <c r="BV181" s="5">
        <f t="shared" si="683"/>
        <v>-215755.58710141949</v>
      </c>
      <c r="BW181" s="5">
        <f t="shared" si="683"/>
        <v>-220095.03391960129</v>
      </c>
      <c r="BX181" s="5">
        <f t="shared" si="683"/>
        <v>-224434.4807377831</v>
      </c>
      <c r="BY181" s="5">
        <f t="shared" si="683"/>
        <v>-228773.92755596491</v>
      </c>
      <c r="BZ181" s="5">
        <f t="shared" si="683"/>
        <v>-233113.37437414672</v>
      </c>
      <c r="CA181" s="5">
        <f t="shared" si="683"/>
        <v>-237452.82119232853</v>
      </c>
      <c r="CB181" s="5">
        <f t="shared" si="683"/>
        <v>-241792.26801051034</v>
      </c>
      <c r="CC181" s="5">
        <f t="shared" si="683"/>
        <v>-246131.71482869214</v>
      </c>
      <c r="CD181" s="5">
        <f t="shared" si="683"/>
        <v>-250471.16164687395</v>
      </c>
      <c r="CE181" s="5">
        <f t="shared" si="683"/>
        <v>-254810.60846505576</v>
      </c>
      <c r="CF181" s="5">
        <f t="shared" si="683"/>
        <v>-259150.05528323757</v>
      </c>
      <c r="CG181" s="5">
        <f t="shared" si="683"/>
        <v>-263489.50210141938</v>
      </c>
      <c r="CH181" s="5">
        <f t="shared" si="683"/>
        <v>-267828.94891960121</v>
      </c>
      <c r="CI181" s="5">
        <f t="shared" si="683"/>
        <v>-272168.39573778305</v>
      </c>
      <c r="CJ181" s="5">
        <f t="shared" si="683"/>
        <v>-276507.84255596489</v>
      </c>
      <c r="CK181" s="5">
        <f t="shared" si="683"/>
        <v>-280847.28937414673</v>
      </c>
      <c r="CL181" s="5">
        <f t="shared" si="683"/>
        <v>-285186.73619232856</v>
      </c>
      <c r="CM181" s="5">
        <f t="shared" si="683"/>
        <v>-289526.1830105104</v>
      </c>
      <c r="CN181" s="5">
        <f t="shared" si="683"/>
        <v>-293865.62982869224</v>
      </c>
      <c r="CO181" s="5"/>
    </row>
    <row r="182" spans="1:93" ht="12.75" customHeight="1">
      <c r="A182" s="112"/>
      <c r="B182" s="112" t="s">
        <v>252</v>
      </c>
      <c r="C182" s="112"/>
      <c r="D182" s="116">
        <f t="shared" ref="D182:CN182" si="684">D183</f>
        <v>0</v>
      </c>
      <c r="E182" s="112">
        <f t="shared" si="684"/>
        <v>0</v>
      </c>
      <c r="F182" s="112">
        <f t="shared" si="684"/>
        <v>0</v>
      </c>
      <c r="G182" s="112">
        <f t="shared" si="684"/>
        <v>0</v>
      </c>
      <c r="H182" s="112">
        <f t="shared" si="684"/>
        <v>0</v>
      </c>
      <c r="I182" s="112">
        <f t="shared" si="684"/>
        <v>0</v>
      </c>
      <c r="J182" s="112">
        <f t="shared" si="684"/>
        <v>0</v>
      </c>
      <c r="K182" s="112">
        <f t="shared" si="684"/>
        <v>0</v>
      </c>
      <c r="L182" s="112">
        <f t="shared" si="684"/>
        <v>0</v>
      </c>
      <c r="M182" s="112">
        <f t="shared" si="684"/>
        <v>16923.079166666605</v>
      </c>
      <c r="N182" s="112">
        <f t="shared" si="684"/>
        <v>376714.09583333321</v>
      </c>
      <c r="O182" s="112">
        <f t="shared" si="684"/>
        <v>838320.70624999981</v>
      </c>
      <c r="P182" s="112">
        <f t="shared" si="684"/>
        <v>1328569.0666666667</v>
      </c>
      <c r="Q182" s="112">
        <f t="shared" si="684"/>
        <v>1828992.2333333332</v>
      </c>
      <c r="R182" s="112">
        <f t="shared" si="684"/>
        <v>2217512.5999999996</v>
      </c>
      <c r="S182" s="112">
        <f t="shared" si="684"/>
        <v>2692044.5066666668</v>
      </c>
      <c r="T182" s="112">
        <f t="shared" si="684"/>
        <v>3102796.6933333334</v>
      </c>
      <c r="U182" s="112">
        <f t="shared" si="684"/>
        <v>3490383.7</v>
      </c>
      <c r="V182" s="112">
        <f t="shared" si="684"/>
        <v>3818713.2</v>
      </c>
      <c r="W182" s="112">
        <f t="shared" si="684"/>
        <v>3757214.1644320386</v>
      </c>
      <c r="X182" s="112">
        <f t="shared" si="684"/>
        <v>3650955.8528648927</v>
      </c>
      <c r="Y182" s="112">
        <f t="shared" si="684"/>
        <v>3626016.4980521565</v>
      </c>
      <c r="Z182" s="112">
        <f t="shared" si="684"/>
        <v>3582279.3455595532</v>
      </c>
      <c r="AA182" s="112">
        <f t="shared" si="684"/>
        <v>3507527.9023023285</v>
      </c>
      <c r="AB182" s="112">
        <f t="shared" si="684"/>
        <v>3407034.8420978989</v>
      </c>
      <c r="AC182" s="112">
        <f t="shared" si="684"/>
        <v>3376636.4244187432</v>
      </c>
      <c r="AD182" s="112">
        <f t="shared" si="684"/>
        <v>3324751.35746394</v>
      </c>
      <c r="AE182" s="112">
        <f t="shared" si="684"/>
        <v>3238394.163003678</v>
      </c>
      <c r="AF182" s="112">
        <f t="shared" si="684"/>
        <v>3117907.5502986168</v>
      </c>
      <c r="AG182" s="112">
        <f t="shared" si="684"/>
        <v>3072994.2536198907</v>
      </c>
      <c r="AH182" s="112">
        <f t="shared" si="684"/>
        <v>2989980.0550016123</v>
      </c>
      <c r="AI182" s="112">
        <f t="shared" si="684"/>
        <v>2873082.5151296528</v>
      </c>
      <c r="AJ182" s="112">
        <f t="shared" si="684"/>
        <v>2836527.8554076441</v>
      </c>
      <c r="AK182" s="112">
        <f t="shared" si="684"/>
        <v>2768068.233053775</v>
      </c>
      <c r="AL182" s="112">
        <f t="shared" si="684"/>
        <v>2664417.7825391539</v>
      </c>
      <c r="AM182" s="112">
        <f t="shared" si="684"/>
        <v>2526020.2236929773</v>
      </c>
      <c r="AN182" s="112">
        <f t="shared" si="684"/>
        <v>2473877.1888727569</v>
      </c>
      <c r="AO182" s="112">
        <f t="shared" si="684"/>
        <v>2371793.9611941171</v>
      </c>
      <c r="AP182" s="112">
        <f t="shared" si="684"/>
        <v>2235649.896265293</v>
      </c>
      <c r="AQ182" s="112">
        <f t="shared" si="684"/>
        <v>2184299.322989027</v>
      </c>
      <c r="AR182" s="112">
        <f t="shared" si="684"/>
        <v>2107114.3105106633</v>
      </c>
      <c r="AS182" s="112">
        <f t="shared" si="684"/>
        <v>1982709.3447945188</v>
      </c>
      <c r="AT182" s="112">
        <f t="shared" si="684"/>
        <v>1823003.002934583</v>
      </c>
      <c r="AU182" s="112">
        <f t="shared" si="684"/>
        <v>1754495.1703369711</v>
      </c>
      <c r="AV182" s="112">
        <f t="shared" si="684"/>
        <v>1641665.5533018042</v>
      </c>
      <c r="AW182" s="112">
        <f t="shared" si="684"/>
        <v>1481955.2299482815</v>
      </c>
      <c r="AX182" s="112">
        <f t="shared" si="684"/>
        <v>1412854.8284114832</v>
      </c>
      <c r="AY182" s="112">
        <f t="shared" si="684"/>
        <v>1317360.7194721117</v>
      </c>
      <c r="AZ182" s="112">
        <f t="shared" si="684"/>
        <v>1180637.1928794417</v>
      </c>
      <c r="BA182" s="112">
        <f t="shared" si="684"/>
        <v>995209.39163867442</v>
      </c>
      <c r="BB182" s="112">
        <f t="shared" si="684"/>
        <v>910389.90696457785</v>
      </c>
      <c r="BC182" s="112">
        <f t="shared" si="684"/>
        <v>783347.3949627761</v>
      </c>
      <c r="BD182" s="112">
        <f t="shared" si="684"/>
        <v>617820.09452315408</v>
      </c>
      <c r="BE182" s="112">
        <f t="shared" si="684"/>
        <v>530538.54728217912</v>
      </c>
      <c r="BF182" s="112">
        <f t="shared" si="684"/>
        <v>418873.91888434952</v>
      </c>
      <c r="BG182" s="112">
        <f t="shared" si="684"/>
        <v>267259.40555764356</v>
      </c>
      <c r="BH182" s="112">
        <f t="shared" si="684"/>
        <v>76001.63306239454</v>
      </c>
      <c r="BI182" s="112">
        <f t="shared" si="684"/>
        <v>0</v>
      </c>
      <c r="BJ182" s="112">
        <f t="shared" si="684"/>
        <v>0</v>
      </c>
      <c r="BK182" s="112">
        <f t="shared" si="684"/>
        <v>0</v>
      </c>
      <c r="BL182" s="112">
        <f t="shared" si="684"/>
        <v>0</v>
      </c>
      <c r="BM182" s="112">
        <f t="shared" si="684"/>
        <v>0</v>
      </c>
      <c r="BN182" s="112">
        <f t="shared" si="684"/>
        <v>0</v>
      </c>
      <c r="BO182" s="112">
        <f t="shared" si="684"/>
        <v>0</v>
      </c>
      <c r="BP182" s="112">
        <f t="shared" si="684"/>
        <v>0</v>
      </c>
      <c r="BQ182" s="112">
        <f t="shared" si="684"/>
        <v>0</v>
      </c>
      <c r="BR182" s="112">
        <f t="shared" si="684"/>
        <v>0</v>
      </c>
      <c r="BS182" s="112">
        <f t="shared" si="684"/>
        <v>0</v>
      </c>
      <c r="BT182" s="112">
        <f t="shared" si="684"/>
        <v>0</v>
      </c>
      <c r="BU182" s="112">
        <f t="shared" si="684"/>
        <v>0</v>
      </c>
      <c r="BV182" s="112">
        <f t="shared" si="684"/>
        <v>0</v>
      </c>
      <c r="BW182" s="112">
        <f t="shared" si="684"/>
        <v>0</v>
      </c>
      <c r="BX182" s="112">
        <f t="shared" si="684"/>
        <v>0</v>
      </c>
      <c r="BY182" s="112">
        <f t="shared" si="684"/>
        <v>0</v>
      </c>
      <c r="BZ182" s="112">
        <f t="shared" si="684"/>
        <v>0</v>
      </c>
      <c r="CA182" s="112">
        <f t="shared" si="684"/>
        <v>0</v>
      </c>
      <c r="CB182" s="112">
        <f t="shared" si="684"/>
        <v>0</v>
      </c>
      <c r="CC182" s="112">
        <f t="shared" si="684"/>
        <v>0</v>
      </c>
      <c r="CD182" s="112">
        <f t="shared" si="684"/>
        <v>0</v>
      </c>
      <c r="CE182" s="112">
        <f t="shared" si="684"/>
        <v>0</v>
      </c>
      <c r="CF182" s="112">
        <f t="shared" si="684"/>
        <v>0</v>
      </c>
      <c r="CG182" s="112">
        <f t="shared" si="684"/>
        <v>0</v>
      </c>
      <c r="CH182" s="112">
        <f t="shared" si="684"/>
        <v>0</v>
      </c>
      <c r="CI182" s="112">
        <f t="shared" si="684"/>
        <v>0</v>
      </c>
      <c r="CJ182" s="112">
        <f t="shared" si="684"/>
        <v>0</v>
      </c>
      <c r="CK182" s="112">
        <f t="shared" si="684"/>
        <v>0</v>
      </c>
      <c r="CL182" s="112">
        <f t="shared" si="684"/>
        <v>0</v>
      </c>
      <c r="CM182" s="112">
        <f t="shared" si="684"/>
        <v>0</v>
      </c>
      <c r="CN182" s="112">
        <f t="shared" si="684"/>
        <v>0</v>
      </c>
      <c r="CO182" s="112"/>
    </row>
    <row r="183" spans="1:93" ht="12.75" customHeight="1">
      <c r="A183" s="117"/>
      <c r="B183" s="26" t="s">
        <v>253</v>
      </c>
      <c r="C183" s="117"/>
      <c r="D183" s="118">
        <f t="shared" ref="D183:AI183" si="685">D164</f>
        <v>0</v>
      </c>
      <c r="E183" s="5">
        <f t="shared" si="685"/>
        <v>0</v>
      </c>
      <c r="F183" s="5">
        <f t="shared" si="685"/>
        <v>0</v>
      </c>
      <c r="G183" s="5">
        <f t="shared" si="685"/>
        <v>0</v>
      </c>
      <c r="H183" s="5">
        <f t="shared" si="685"/>
        <v>0</v>
      </c>
      <c r="I183" s="5">
        <f t="shared" si="685"/>
        <v>0</v>
      </c>
      <c r="J183" s="5">
        <f t="shared" si="685"/>
        <v>0</v>
      </c>
      <c r="K183" s="5">
        <f t="shared" si="685"/>
        <v>0</v>
      </c>
      <c r="L183" s="5">
        <f t="shared" si="685"/>
        <v>0</v>
      </c>
      <c r="M183" s="5">
        <f t="shared" si="685"/>
        <v>16923.079166666605</v>
      </c>
      <c r="N183" s="5">
        <f t="shared" si="685"/>
        <v>376714.09583333321</v>
      </c>
      <c r="O183" s="5">
        <f t="shared" si="685"/>
        <v>838320.70624999981</v>
      </c>
      <c r="P183" s="5">
        <f t="shared" si="685"/>
        <v>1328569.0666666667</v>
      </c>
      <c r="Q183" s="5">
        <f t="shared" si="685"/>
        <v>1828992.2333333332</v>
      </c>
      <c r="R183" s="5">
        <f t="shared" si="685"/>
        <v>2217512.5999999996</v>
      </c>
      <c r="S183" s="5">
        <f t="shared" si="685"/>
        <v>2692044.5066666668</v>
      </c>
      <c r="T183" s="5">
        <f t="shared" si="685"/>
        <v>3102796.6933333334</v>
      </c>
      <c r="U183" s="5">
        <f t="shared" si="685"/>
        <v>3490383.7</v>
      </c>
      <c r="V183" s="5">
        <f t="shared" si="685"/>
        <v>3818713.2</v>
      </c>
      <c r="W183" s="5">
        <f t="shared" si="685"/>
        <v>3757214.1644320386</v>
      </c>
      <c r="X183" s="5">
        <f t="shared" si="685"/>
        <v>3650955.8528648927</v>
      </c>
      <c r="Y183" s="5">
        <f t="shared" si="685"/>
        <v>3626016.4980521565</v>
      </c>
      <c r="Z183" s="5">
        <f t="shared" si="685"/>
        <v>3582279.3455595532</v>
      </c>
      <c r="AA183" s="5">
        <f t="shared" si="685"/>
        <v>3507527.9023023285</v>
      </c>
      <c r="AB183" s="5">
        <f t="shared" si="685"/>
        <v>3407034.8420978989</v>
      </c>
      <c r="AC183" s="5">
        <f t="shared" si="685"/>
        <v>3376636.4244187432</v>
      </c>
      <c r="AD183" s="5">
        <f t="shared" si="685"/>
        <v>3324751.35746394</v>
      </c>
      <c r="AE183" s="5">
        <f t="shared" si="685"/>
        <v>3238394.163003678</v>
      </c>
      <c r="AF183" s="5">
        <f t="shared" si="685"/>
        <v>3117907.5502986168</v>
      </c>
      <c r="AG183" s="5">
        <f t="shared" si="685"/>
        <v>3072994.2536198907</v>
      </c>
      <c r="AH183" s="5">
        <f t="shared" si="685"/>
        <v>2989980.0550016123</v>
      </c>
      <c r="AI183" s="5">
        <f t="shared" si="685"/>
        <v>2873082.5151296528</v>
      </c>
      <c r="AJ183" s="5">
        <f t="shared" ref="AJ183:BO183" si="686">AJ164</f>
        <v>2836527.8554076441</v>
      </c>
      <c r="AK183" s="5">
        <f t="shared" si="686"/>
        <v>2768068.233053775</v>
      </c>
      <c r="AL183" s="5">
        <f t="shared" si="686"/>
        <v>2664417.7825391539</v>
      </c>
      <c r="AM183" s="5">
        <f t="shared" si="686"/>
        <v>2526020.2236929773</v>
      </c>
      <c r="AN183" s="5">
        <f t="shared" si="686"/>
        <v>2473877.1888727569</v>
      </c>
      <c r="AO183" s="5">
        <f t="shared" si="686"/>
        <v>2371793.9611941171</v>
      </c>
      <c r="AP183" s="5">
        <f t="shared" si="686"/>
        <v>2235649.896265293</v>
      </c>
      <c r="AQ183" s="5">
        <f t="shared" si="686"/>
        <v>2184299.322989027</v>
      </c>
      <c r="AR183" s="5">
        <f t="shared" si="686"/>
        <v>2107114.3105106633</v>
      </c>
      <c r="AS183" s="5">
        <f t="shared" si="686"/>
        <v>1982709.3447945188</v>
      </c>
      <c r="AT183" s="5">
        <f t="shared" si="686"/>
        <v>1823003.002934583</v>
      </c>
      <c r="AU183" s="5">
        <f t="shared" si="686"/>
        <v>1754495.1703369711</v>
      </c>
      <c r="AV183" s="5">
        <f t="shared" si="686"/>
        <v>1641665.5533018042</v>
      </c>
      <c r="AW183" s="5">
        <f t="shared" si="686"/>
        <v>1481955.2299482815</v>
      </c>
      <c r="AX183" s="5">
        <f t="shared" si="686"/>
        <v>1412854.8284114832</v>
      </c>
      <c r="AY183" s="5">
        <f t="shared" si="686"/>
        <v>1317360.7194721117</v>
      </c>
      <c r="AZ183" s="5">
        <f t="shared" si="686"/>
        <v>1180637.1928794417</v>
      </c>
      <c r="BA183" s="5">
        <f t="shared" si="686"/>
        <v>995209.39163867442</v>
      </c>
      <c r="BB183" s="5">
        <f t="shared" si="686"/>
        <v>910389.90696457785</v>
      </c>
      <c r="BC183" s="5">
        <f t="shared" si="686"/>
        <v>783347.3949627761</v>
      </c>
      <c r="BD183" s="5">
        <f t="shared" si="686"/>
        <v>617820.09452315408</v>
      </c>
      <c r="BE183" s="5">
        <f t="shared" si="686"/>
        <v>530538.54728217912</v>
      </c>
      <c r="BF183" s="5">
        <f t="shared" si="686"/>
        <v>418873.91888434952</v>
      </c>
      <c r="BG183" s="5">
        <f t="shared" si="686"/>
        <v>267259.40555764356</v>
      </c>
      <c r="BH183" s="5">
        <f t="shared" si="686"/>
        <v>76001.63306239454</v>
      </c>
      <c r="BI183" s="5">
        <f t="shared" si="686"/>
        <v>0</v>
      </c>
      <c r="BJ183" s="5">
        <f t="shared" si="686"/>
        <v>0</v>
      </c>
      <c r="BK183" s="5">
        <f t="shared" si="686"/>
        <v>0</v>
      </c>
      <c r="BL183" s="5">
        <f t="shared" si="686"/>
        <v>0</v>
      </c>
      <c r="BM183" s="5">
        <f t="shared" si="686"/>
        <v>0</v>
      </c>
      <c r="BN183" s="5">
        <f t="shared" si="686"/>
        <v>0</v>
      </c>
      <c r="BO183" s="5">
        <f t="shared" si="686"/>
        <v>0</v>
      </c>
      <c r="BP183" s="5">
        <f t="shared" ref="BP183:CN183" si="687">BP164</f>
        <v>0</v>
      </c>
      <c r="BQ183" s="5">
        <f t="shared" si="687"/>
        <v>0</v>
      </c>
      <c r="BR183" s="5">
        <f t="shared" si="687"/>
        <v>0</v>
      </c>
      <c r="BS183" s="5">
        <f t="shared" si="687"/>
        <v>0</v>
      </c>
      <c r="BT183" s="5">
        <f t="shared" si="687"/>
        <v>0</v>
      </c>
      <c r="BU183" s="5">
        <f t="shared" si="687"/>
        <v>0</v>
      </c>
      <c r="BV183" s="5">
        <f t="shared" si="687"/>
        <v>0</v>
      </c>
      <c r="BW183" s="5">
        <f t="shared" si="687"/>
        <v>0</v>
      </c>
      <c r="BX183" s="5">
        <f t="shared" si="687"/>
        <v>0</v>
      </c>
      <c r="BY183" s="5">
        <f t="shared" si="687"/>
        <v>0</v>
      </c>
      <c r="BZ183" s="5">
        <f t="shared" si="687"/>
        <v>0</v>
      </c>
      <c r="CA183" s="5">
        <f t="shared" si="687"/>
        <v>0</v>
      </c>
      <c r="CB183" s="5">
        <f t="shared" si="687"/>
        <v>0</v>
      </c>
      <c r="CC183" s="5">
        <f t="shared" si="687"/>
        <v>0</v>
      </c>
      <c r="CD183" s="5">
        <f t="shared" si="687"/>
        <v>0</v>
      </c>
      <c r="CE183" s="5">
        <f t="shared" si="687"/>
        <v>0</v>
      </c>
      <c r="CF183" s="5">
        <f t="shared" si="687"/>
        <v>0</v>
      </c>
      <c r="CG183" s="5">
        <f t="shared" si="687"/>
        <v>0</v>
      </c>
      <c r="CH183" s="5">
        <f t="shared" si="687"/>
        <v>0</v>
      </c>
      <c r="CI183" s="5">
        <f t="shared" si="687"/>
        <v>0</v>
      </c>
      <c r="CJ183" s="5">
        <f t="shared" si="687"/>
        <v>0</v>
      </c>
      <c r="CK183" s="5">
        <f t="shared" si="687"/>
        <v>0</v>
      </c>
      <c r="CL183" s="5">
        <f t="shared" si="687"/>
        <v>0</v>
      </c>
      <c r="CM183" s="5">
        <f t="shared" si="687"/>
        <v>0</v>
      </c>
      <c r="CN183" s="5">
        <f t="shared" si="687"/>
        <v>0</v>
      </c>
      <c r="CO183" s="5"/>
    </row>
    <row r="184" spans="1:93" ht="12.75" customHeight="1">
      <c r="A184" s="112"/>
      <c r="B184" s="112" t="s">
        <v>254</v>
      </c>
      <c r="C184" s="112"/>
      <c r="D184" s="116">
        <f t="shared" ref="D184:CN184" si="688">SUM(D185:D186)</f>
        <v>954678.3</v>
      </c>
      <c r="E184" s="112">
        <f t="shared" si="688"/>
        <v>937320.51272727281</v>
      </c>
      <c r="F184" s="112">
        <f t="shared" si="688"/>
        <v>919962.72545454546</v>
      </c>
      <c r="G184" s="112">
        <f t="shared" si="688"/>
        <v>902604.93818181823</v>
      </c>
      <c r="H184" s="112">
        <f t="shared" si="688"/>
        <v>884547.150909091</v>
      </c>
      <c r="I184" s="112">
        <f t="shared" si="688"/>
        <v>866489.36363636365</v>
      </c>
      <c r="J184" s="112">
        <f t="shared" si="688"/>
        <v>848431.57636363641</v>
      </c>
      <c r="K184" s="112">
        <f t="shared" si="688"/>
        <v>830373.78909090906</v>
      </c>
      <c r="L184" s="112">
        <f t="shared" si="688"/>
        <v>812316.00181818183</v>
      </c>
      <c r="M184" s="112">
        <f t="shared" si="688"/>
        <v>794258.2145454546</v>
      </c>
      <c r="N184" s="112">
        <f t="shared" si="688"/>
        <v>776136.96572585229</v>
      </c>
      <c r="O184" s="112">
        <f t="shared" si="688"/>
        <v>756666.50059375004</v>
      </c>
      <c r="P184" s="112">
        <f t="shared" si="688"/>
        <v>735465.01067258534</v>
      </c>
      <c r="Q184" s="112">
        <f t="shared" si="688"/>
        <v>712425.08939985803</v>
      </c>
      <c r="R184" s="112">
        <f t="shared" si="688"/>
        <v>687508.58125213068</v>
      </c>
      <c r="S184" s="112">
        <f t="shared" si="688"/>
        <v>661135.1217294035</v>
      </c>
      <c r="T184" s="112">
        <f t="shared" si="688"/>
        <v>632982.16755667608</v>
      </c>
      <c r="U184" s="112">
        <f t="shared" si="688"/>
        <v>603288.89268394886</v>
      </c>
      <c r="V184" s="112">
        <f t="shared" si="688"/>
        <v>572142.16653622151</v>
      </c>
      <c r="W184" s="112">
        <f t="shared" si="688"/>
        <v>691751.92490255297</v>
      </c>
      <c r="X184" s="112">
        <f t="shared" si="688"/>
        <v>855019.23317206418</v>
      </c>
      <c r="Y184" s="112">
        <f t="shared" si="688"/>
        <v>850815.31459824822</v>
      </c>
      <c r="Z184" s="112">
        <f t="shared" si="688"/>
        <v>880340.19999692834</v>
      </c>
      <c r="AA184" s="112">
        <f t="shared" si="688"/>
        <v>946926.6753177077</v>
      </c>
      <c r="AB184" s="112">
        <f t="shared" si="688"/>
        <v>1046180.7731015685</v>
      </c>
      <c r="AC184" s="112">
        <f t="shared" si="688"/>
        <v>1028822.9858288411</v>
      </c>
      <c r="AD184" s="112">
        <f t="shared" si="688"/>
        <v>1011465.1985561139</v>
      </c>
      <c r="AE184" s="112">
        <f t="shared" si="688"/>
        <v>994107.41128338664</v>
      </c>
      <c r="AF184" s="112">
        <f t="shared" si="688"/>
        <v>1116725.512306429</v>
      </c>
      <c r="AG184" s="112">
        <f t="shared" si="688"/>
        <v>1132933.3195360859</v>
      </c>
      <c r="AH184" s="112">
        <f t="shared" si="688"/>
        <v>1210133.8944688777</v>
      </c>
      <c r="AI184" s="112">
        <f t="shared" si="688"/>
        <v>1327801.9031005066</v>
      </c>
      <c r="AJ184" s="112">
        <f t="shared" si="688"/>
        <v>1332986.0378082807</v>
      </c>
      <c r="AK184" s="112">
        <f t="shared" si="688"/>
        <v>1389654.7226644834</v>
      </c>
      <c r="AL184" s="112">
        <f t="shared" si="688"/>
        <v>1488530.0389719931</v>
      </c>
      <c r="AM184" s="112">
        <f t="shared" si="688"/>
        <v>1631425.6541715204</v>
      </c>
      <c r="AN184" s="112">
        <f t="shared" si="688"/>
        <v>1652984.7989561928</v>
      </c>
      <c r="AO184" s="112">
        <f t="shared" si="688"/>
        <v>1750491.6834477433</v>
      </c>
      <c r="AP184" s="112">
        <f t="shared" si="688"/>
        <v>1889994.2227826891</v>
      </c>
      <c r="AQ184" s="112">
        <f t="shared" si="688"/>
        <v>1910315.4591847532</v>
      </c>
      <c r="AR184" s="112">
        <f t="shared" si="688"/>
        <v>1974617.2478325116</v>
      </c>
      <c r="AS184" s="112">
        <f t="shared" si="688"/>
        <v>2095726.3395068198</v>
      </c>
      <c r="AT184" s="112">
        <f t="shared" si="688"/>
        <v>2262557.545956444</v>
      </c>
      <c r="AU184" s="112">
        <f t="shared" si="688"/>
        <v>2300852.7717628563</v>
      </c>
      <c r="AV184" s="112">
        <f t="shared" si="688"/>
        <v>2408313.2224437958</v>
      </c>
      <c r="AW184" s="112">
        <f t="shared" si="688"/>
        <v>2572973.7956102164</v>
      </c>
      <c r="AX184" s="112">
        <f t="shared" si="688"/>
        <v>2611998.4837381048</v>
      </c>
      <c r="AY184" s="112">
        <f t="shared" si="688"/>
        <v>2696003.7874504654</v>
      </c>
      <c r="AZ184" s="112">
        <f t="shared" si="688"/>
        <v>2828547.9308374966</v>
      </c>
      <c r="BA184" s="112">
        <f t="shared" si="688"/>
        <v>3022851.6146642175</v>
      </c>
      <c r="BB184" s="112">
        <f t="shared" si="688"/>
        <v>3077638.4650234655</v>
      </c>
      <c r="BC184" s="112">
        <f t="shared" si="688"/>
        <v>3199933.3425245257</v>
      </c>
      <c r="BD184" s="112">
        <f t="shared" si="688"/>
        <v>3367947.7705974579</v>
      </c>
      <c r="BE184" s="112">
        <f t="shared" si="688"/>
        <v>3424600.3450237541</v>
      </c>
      <c r="BF184" s="112">
        <f t="shared" si="688"/>
        <v>3525436.9314852981</v>
      </c>
      <c r="BG184" s="112">
        <f t="shared" si="688"/>
        <v>3673172.5523863835</v>
      </c>
      <c r="BH184" s="112">
        <f t="shared" si="688"/>
        <v>3870588.8799103238</v>
      </c>
      <c r="BI184" s="112">
        <f t="shared" si="688"/>
        <v>3947526.9779035635</v>
      </c>
      <c r="BJ184" s="112">
        <f t="shared" si="688"/>
        <v>3930169.1906308364</v>
      </c>
      <c r="BK184" s="112">
        <f t="shared" si="688"/>
        <v>3912811.4033581093</v>
      </c>
      <c r="BL184" s="112">
        <f t="shared" si="688"/>
        <v>3895453.6160853812</v>
      </c>
      <c r="BM184" s="112">
        <f t="shared" si="688"/>
        <v>3878095.8288126541</v>
      </c>
      <c r="BN184" s="112">
        <f t="shared" si="688"/>
        <v>3860738.041539927</v>
      </c>
      <c r="BO184" s="112">
        <f t="shared" si="688"/>
        <v>3843380.2542671999</v>
      </c>
      <c r="BP184" s="112">
        <f t="shared" si="688"/>
        <v>3826022.4669944728</v>
      </c>
      <c r="BQ184" s="112">
        <f t="shared" si="688"/>
        <v>3808664.6797217457</v>
      </c>
      <c r="BR184" s="112">
        <f t="shared" si="688"/>
        <v>3791306.8924490185</v>
      </c>
      <c r="BS184" s="112">
        <f t="shared" si="688"/>
        <v>3773949.1051762914</v>
      </c>
      <c r="BT184" s="112">
        <f t="shared" si="688"/>
        <v>3756591.3179035643</v>
      </c>
      <c r="BU184" s="112">
        <f t="shared" si="688"/>
        <v>3739233.5306308372</v>
      </c>
      <c r="BV184" s="112">
        <f t="shared" si="688"/>
        <v>3721875.7433581101</v>
      </c>
      <c r="BW184" s="112">
        <f t="shared" si="688"/>
        <v>3704517.956085383</v>
      </c>
      <c r="BX184" s="112">
        <f t="shared" si="688"/>
        <v>3687160.1688126558</v>
      </c>
      <c r="BY184" s="112">
        <f t="shared" si="688"/>
        <v>3669802.3815399287</v>
      </c>
      <c r="BZ184" s="112">
        <f t="shared" si="688"/>
        <v>3652444.5942672016</v>
      </c>
      <c r="CA184" s="112">
        <f t="shared" si="688"/>
        <v>3635086.8069944745</v>
      </c>
      <c r="CB184" s="112">
        <f t="shared" si="688"/>
        <v>3617729.0197217474</v>
      </c>
      <c r="CC184" s="112">
        <f t="shared" si="688"/>
        <v>3600371.2324490203</v>
      </c>
      <c r="CD184" s="112">
        <f t="shared" si="688"/>
        <v>3583013.4451762931</v>
      </c>
      <c r="CE184" s="112">
        <f t="shared" si="688"/>
        <v>3565655.657903566</v>
      </c>
      <c r="CF184" s="112">
        <f t="shared" si="688"/>
        <v>3548297.8706308389</v>
      </c>
      <c r="CG184" s="112">
        <f t="shared" si="688"/>
        <v>3530940.0833581118</v>
      </c>
      <c r="CH184" s="112">
        <f t="shared" si="688"/>
        <v>3513582.2960853847</v>
      </c>
      <c r="CI184" s="112">
        <f t="shared" si="688"/>
        <v>3496224.5088126576</v>
      </c>
      <c r="CJ184" s="112">
        <f t="shared" si="688"/>
        <v>3478866.7215399304</v>
      </c>
      <c r="CK184" s="112">
        <f t="shared" si="688"/>
        <v>3461508.9342672033</v>
      </c>
      <c r="CL184" s="112">
        <f t="shared" si="688"/>
        <v>3444151.1469944762</v>
      </c>
      <c r="CM184" s="112">
        <f t="shared" si="688"/>
        <v>3426793.3597217491</v>
      </c>
      <c r="CN184" s="112">
        <f t="shared" si="688"/>
        <v>3409435.572449022</v>
      </c>
      <c r="CO184" s="112"/>
    </row>
    <row r="185" spans="1:93" ht="12.75" customHeight="1">
      <c r="A185" s="117"/>
      <c r="B185" s="26" t="s">
        <v>255</v>
      </c>
      <c r="C185" s="117"/>
      <c r="D185" s="118">
        <f>+D66+D88</f>
        <v>0</v>
      </c>
      <c r="E185" s="5">
        <f>IF(E9&lt;Assump!$D$54,(D185+E66+E88-E165*(1-Assump!$D$27)-'операционные  расходы 1 этап'!$B$42*(1-Assump!$D$27)),(D185+E66+E88-'операционные  расходы 1 этап'!$B$42*(1-Assump!$D$27)))</f>
        <v>-17357.787272727273</v>
      </c>
      <c r="F185" s="5">
        <f>IF(F9&lt;Assump!$D$54,(E185+F66+F88-F165*(1-Assump!$D$27)-'операционные  расходы 1 этап'!$B$42*(1-Assump!$D$27)),(E185+F66+F88-'операционные  расходы 1 этап'!$B$42*(1-Assump!$D$27)))</f>
        <v>-34715.574545454547</v>
      </c>
      <c r="G185" s="5">
        <f>IF(G9&lt;Assump!$D$54,(F185+G66+G88-G165*(1-Assump!$D$27)-'операционные  расходы 1 этап'!$B$42*(1-Assump!$D$27)),(F185+G66+G88-'операционные  расходы 1 этап'!$B$42*(1-Assump!$D$27)))</f>
        <v>-52073.361818181816</v>
      </c>
      <c r="H185" s="5">
        <f>IF(H9&lt;Assump!$D$54,(G185+H66+H88-H165*(1-Assump!$D$27)-'операционные  расходы 1 этап'!$B$42*(1-Assump!$D$27)),(G185+H66+H88-'операционные  расходы 1 этап'!$B$42*(1-Assump!$D$27)))</f>
        <v>-70131.149090909094</v>
      </c>
      <c r="I185" s="5">
        <f>IF(I9&lt;Assump!$D$54,(H185+I66+I88-I165*(1-Assump!$D$27)-'операционные  расходы 1 этап'!$B$42*(1-Assump!$D$27)),(H185+I66+I88-'операционные  расходы 1 этап'!$B$42*(1-Assump!$D$27)))</f>
        <v>-88188.936363636371</v>
      </c>
      <c r="J185" s="5">
        <f>IF(J9&lt;Assump!$D$54,(I185+J66+J88-J165*(1-Assump!$D$27)-'операционные  расходы 1 этап'!$B$42*(1-Assump!$D$27)),(I185+J66+J88-'операционные  расходы 1 этап'!$B$42*(1-Assump!$D$27)))</f>
        <v>-106246.72363636365</v>
      </c>
      <c r="K185" s="5">
        <f>IF(K9&lt;Assump!$D$54,(J185+K66+K88-K165*(1-Assump!$D$27)-'операционные  расходы 1 этап'!$B$42*(1-Assump!$D$27)),(J185+K66+K88-'операционные  расходы 1 этап'!$B$42*(1-Assump!$D$27)))</f>
        <v>-124304.51090909092</v>
      </c>
      <c r="L185" s="5">
        <f>IF(L9&lt;Assump!$D$54,(K185+L66+L88-L165*(1-Assump!$D$27)-'операционные  расходы 1 этап'!$B$42*(1-Assump!$D$27)),(K185+L66+L88-'операционные  расходы 1 этап'!$B$42*(1-Assump!$D$27)))</f>
        <v>-142362.29818181819</v>
      </c>
      <c r="M185" s="5">
        <f>IF(M9&lt;Assump!$D$54,(L185+M66+M88-M165*(1-Assump!$D$27)-'операционные  расходы 1 этап'!$B$42*(1-Assump!$D$27)),(L185+M66+M88-'операционные  расходы 1 этап'!$B$42*(1-Assump!$D$27)))</f>
        <v>-160420.08545454545</v>
      </c>
      <c r="N185" s="5">
        <f>IF(N9&lt;Assump!$D$54,(M185+N66+N88-N165*(1-Assump!$D$27)-'операционные  расходы 1 этап'!$B$42*(1-Assump!$D$27)),(M185+N66+N88-'операционные  расходы 1 этап'!$B$42*(1-Assump!$D$27)))</f>
        <v>-178541.33427414772</v>
      </c>
      <c r="O185" s="5">
        <f>IF(O9&lt;Assump!$D$54,(N185+O66+O88-O165*(1-Assump!$D$27)-'операционные  расходы 1 этап'!$B$42*(1-Assump!$D$27)),(N185+O66+O88-'операционные  расходы 1 этап'!$B$42*(1-Assump!$D$27)))</f>
        <v>-198011.79940624998</v>
      </c>
      <c r="P185" s="5">
        <f>IF(P9&lt;Assump!$D$54,(O185+P66+P88-P165*(1-Assump!$D$27)-'операционные  расходы 1 этап'!$B$42*(1-Assump!$D$27)),(O185+P66+P88-'операционные  расходы 1 этап'!$B$42*(1-Assump!$D$27)))</f>
        <v>-219213.28932741474</v>
      </c>
      <c r="Q185" s="5">
        <f>IF(Q9&lt;Assump!$D$54,(P185+Q66+Q88-Q165*(1-Assump!$D$27)-'операционные  расходы 1 этап'!$B$42*(1-Assump!$D$27)),(P185+Q66+Q88-'операционные  расходы 1 этап'!$B$42*(1-Assump!$D$27)))</f>
        <v>-242253.21060014202</v>
      </c>
      <c r="R185" s="5">
        <f>IF(R9&lt;Assump!$D$54,(Q185+R66+R88-R165*(1-Assump!$D$27)-'операционные  расходы 1 этап'!$B$42*(1-Assump!$D$27)),(Q185+R66+R88-'операционные  расходы 1 этап'!$B$42*(1-Assump!$D$27)))</f>
        <v>-267169.71874786931</v>
      </c>
      <c r="S185" s="5">
        <f>IF(S9&lt;Assump!$D$54,(R185+S66+S88-S165*(1-Assump!$D$27)-'операционные  расходы 1 этап'!$B$42*(1-Assump!$D$27)),(R185+S66+S88-'операционные  расходы 1 этап'!$B$42*(1-Assump!$D$27)))</f>
        <v>-293543.1782705966</v>
      </c>
      <c r="T185" s="5">
        <f>IF(T9&lt;Assump!$D$54,(S185+T66+T88-T165*(1-Assump!$D$27)-'операционные  расходы 1 этап'!$B$42*(1-Assump!$D$27)),(S185+T66+T88-'операционные  расходы 1 этап'!$B$42*(1-Assump!$D$27)))</f>
        <v>-321696.13244332391</v>
      </c>
      <c r="U185" s="5">
        <f>IF(U9&lt;Assump!$D$54,(T185+U66+U88-U165*(1-Assump!$D$27)-'операционные  расходы 1 этап'!$B$42*(1-Assump!$D$27)),(T185+U66+U88-'операционные  расходы 1 этап'!$B$42*(1-Assump!$D$27)))</f>
        <v>-351389.40731605125</v>
      </c>
      <c r="V185" s="5">
        <f>IF(V9&lt;Assump!$D$54,(U185+V66+V88-V165*(1-Assump!$D$27)-'операционные  расходы 1 этап'!$B$42*(1-Assump!$D$27)),(U185+V66+V88-'операционные  расходы 1 этап'!$B$42*(1-Assump!$D$27)))</f>
        <v>-382536.13346377859</v>
      </c>
      <c r="W185" s="5">
        <f>IF(W9&lt;Assump!$D$54,(V185+W66+W88-W165*(1-Assump!$D$27)-'операционные  расходы 1 этап'!$B$42*(1-Assump!$D$27)),(V185+W66+W88-'операционные  расходы 1 этап'!$B$42*(1-Assump!$D$27)))</f>
        <v>-262926.37509744707</v>
      </c>
      <c r="X185" s="5">
        <f>IF(X9&lt;Assump!$D$54,(W185+X66+X88-X165*(1-Assump!$D$27)-'операционные  расходы 1 этап'!$B$42*(1-Assump!$D$27)),(W185+X66+X88-'операционные  расходы 1 этап'!$B$42*(1-Assump!$D$27)))</f>
        <v>-99659.066827935894</v>
      </c>
      <c r="Y185" s="5">
        <f>IF(Y9&lt;Assump!$D$54,(X185+Y66+Y88-Y165*(1-Assump!$D$27)-'операционные  расходы 1 этап'!$B$42*(1-Assump!$D$27)),(X185+Y66+Y88-'операционные  расходы 1 этап'!$B$42*(1-Assump!$D$27)))</f>
        <v>-103862.98540175181</v>
      </c>
      <c r="Z185" s="5">
        <f>IF(Z9&lt;Assump!$D$54,(Y185+Z66+Z88-Z165*(1-Assump!$D$27)-'операционные  расходы 1 этап'!$B$42*(1-Assump!$D$27)),(Y185+Z66+Z88-'операционные  расходы 1 этап'!$B$42*(1-Assump!$D$27)))</f>
        <v>-74338.100003071668</v>
      </c>
      <c r="AA185" s="5">
        <f>IF(AA9&lt;Assump!$D$54,(Z185+AA66+AA88-AA165*(1-Assump!$D$27)-'операционные  расходы 1 этап'!$B$42*(1-Assump!$D$27)),(Z185+AA66+AA88-'операционные  расходы 1 этап'!$B$42*(1-Assump!$D$27)))</f>
        <v>-7751.6246822922949</v>
      </c>
      <c r="AB185" s="5">
        <f>IF(AB9&lt;Assump!$D$54,(AA185+AB66+AB88-AB165*(1-Assump!$D$27)-'операционные  расходы 1 этап'!$B$42*(1-Assump!$D$27)),(AA185+AB66+AB88-'операционные  расходы 1 этап'!$B$42*(1-Assump!$D$27)))</f>
        <v>91502.47310156835</v>
      </c>
      <c r="AC185" s="5">
        <f>IF(AC9&lt;Assump!$D$54,(AB185+AC66+AC88-AC165*(1-Assump!$D$27)-'операционные  расходы 1 этап'!$B$42*(1-Assump!$D$27)),(AB185+AC66+AC88-'операционные  расходы 1 этап'!$B$42*(1-Assump!$D$27)))</f>
        <v>74144.685828841073</v>
      </c>
      <c r="AD185" s="5">
        <f>IF(AD9&lt;Assump!$D$54,(AC185+AD66+AD88-AD165*(1-Assump!$D$27)-'операционные  расходы 1 этап'!$B$42*(1-Assump!$D$27)),(AC185+AD66+AD88-'операционные  расходы 1 этап'!$B$42*(1-Assump!$D$27)))</f>
        <v>56786.898556113796</v>
      </c>
      <c r="AE185" s="5">
        <f>IF(AE9&lt;Assump!$D$54,(AD185+AE66+AE88-AE165*(1-Assump!$D$27)-'операционные  расходы 1 этап'!$B$42*(1-Assump!$D$27)),(AD185+AE66+AE88-'операционные  расходы 1 этап'!$B$42*(1-Assump!$D$27)))</f>
        <v>39429.111283386534</v>
      </c>
      <c r="AF185" s="5">
        <f>IF(AF9&lt;Assump!$D$54,(AE185+AF66+AF88-AF165*(1-Assump!$D$27)-'операционные  расходы 1 этап'!$B$42*(1-Assump!$D$27)),(AE185+AF66+AF88-'операционные  расходы 1 этап'!$B$42*(1-Assump!$D$27)))</f>
        <v>162047.21230642899</v>
      </c>
      <c r="AG185" s="5">
        <f>IF(AG9&lt;Assump!$D$54,(AF185+AG66+AG88-AG165*(1-Assump!$D$27)-'операционные  расходы 1 этап'!$B$42*(1-Assump!$D$27)),(AF185+AG66+AG88-'операционные  расходы 1 этап'!$B$42*(1-Assump!$D$27)))</f>
        <v>178255.01953608598</v>
      </c>
      <c r="AH185" s="5">
        <f>IF(AH9&lt;Assump!$D$54,(AG185+AH66+AH88-AH165*(1-Assump!$D$27)-'операционные  расходы 1 этап'!$B$42*(1-Assump!$D$27)),(AG185+AH66+AH88-'операционные  расходы 1 этап'!$B$42*(1-Assump!$D$27)))</f>
        <v>255455.59446887762</v>
      </c>
      <c r="AI185" s="5">
        <f>IF(AI9&lt;Assump!$D$54,(AH185+AI66+AI88-AI165*(1-Assump!$D$27)-'операционные  расходы 1 этап'!$B$42*(1-Assump!$D$27)),(AH185+AI66+AI88-'операционные  расходы 1 этап'!$B$42*(1-Assump!$D$27)))</f>
        <v>373123.60310050653</v>
      </c>
      <c r="AJ185" s="5">
        <f>IF(AJ9&lt;Assump!$D$54,(AI185+AJ66+AJ88-AJ165*(1-Assump!$D$27)-'операционные  расходы 1 этап'!$B$42*(1-Assump!$D$27)),(AI185+AJ66+AJ88-'операционные  расходы 1 этап'!$B$42*(1-Assump!$D$27)))</f>
        <v>378307.73780828062</v>
      </c>
      <c r="AK185" s="5">
        <f>IF(AK9&lt;Assump!$D$54,(AJ185+AK66+AK88-AK165*(1-Assump!$D$27)-'операционные  расходы 1 этап'!$B$42*(1-Assump!$D$27)),(AJ185+AK66+AK88-'операционные  расходы 1 этап'!$B$42*(1-Assump!$D$27)))</f>
        <v>434976.42266448337</v>
      </c>
      <c r="AL185" s="5">
        <f>IF(AL9&lt;Assump!$D$54,(AK185+AL66+AL88-AL165*(1-Assump!$D$27)-'операционные  расходы 1 этап'!$B$42*(1-Assump!$D$27)),(AK185+AL66+AL88-'операционные  расходы 1 этап'!$B$42*(1-Assump!$D$27)))</f>
        <v>533851.73897199309</v>
      </c>
      <c r="AM185" s="5">
        <f>IF(AM9&lt;Assump!$D$54,(AL185+AM66+AM88-AM165*(1-Assump!$D$27)-'операционные  расходы 1 этап'!$B$42*(1-Assump!$D$27)),(AL185+AM66+AM88-'операционные  расходы 1 этап'!$B$42*(1-Assump!$D$27)))</f>
        <v>676747.35417152033</v>
      </c>
      <c r="AN185" s="5">
        <f>IF(AN9&lt;Assump!$D$54,(AM185+AN66+AN88-AN165*(1-Assump!$D$27)-'операционные  расходы 1 этап'!$B$42*(1-Assump!$D$27)),(AM185+AN66+AN88-'операционные  расходы 1 этап'!$B$42*(1-Assump!$D$27)))</f>
        <v>698306.49895619275</v>
      </c>
      <c r="AO185" s="5">
        <f>IF(AO9&lt;Assump!$D$54,(AN185+AO66+AO88-AO165*(1-Assump!$D$27)-'операционные  расходы 1 этап'!$B$42*(1-Assump!$D$27)),(AN185+AO66+AO88-'операционные  расходы 1 этап'!$B$42*(1-Assump!$D$27)))</f>
        <v>795813.38344774325</v>
      </c>
      <c r="AP185" s="5">
        <f>IF(AP9&lt;Assump!$D$54,(AO185+AP66+AP88-AP165*(1-Assump!$D$27)-'операционные  расходы 1 этап'!$B$42*(1-Assump!$D$27)),(AO185+AP66+AP88-'операционные  расходы 1 этап'!$B$42*(1-Assump!$D$27)))</f>
        <v>935315.92278268922</v>
      </c>
      <c r="AQ185" s="5">
        <f>IF(AQ9&lt;Assump!$D$54,(AP185+AQ66+AQ88-AQ165*(1-Assump!$D$27)-'операционные  расходы 1 этап'!$B$42*(1-Assump!$D$27)),(AP185+AQ66+AQ88-'операционные  расходы 1 этап'!$B$42*(1-Assump!$D$27)))</f>
        <v>955637.15918475308</v>
      </c>
      <c r="AR185" s="5">
        <f>IF(AR9&lt;Assump!$D$54,(AQ185+AR66+AR88-AR165*(1-Assump!$D$27)-'операционные  расходы 1 этап'!$B$42*(1-Assump!$D$27)),(AQ185+AR66+AR88-'операционные  расходы 1 этап'!$B$42*(1-Assump!$D$27)))</f>
        <v>1019938.9478325115</v>
      </c>
      <c r="AS185" s="5">
        <f>IF(AS9&lt;Assump!$D$54,(AR185+AS66+AS88-AS165*(1-Assump!$D$27)-'операционные  расходы 1 этап'!$B$42*(1-Assump!$D$27)),(AR185+AS66+AS88-'операционные  расходы 1 этап'!$B$42*(1-Assump!$D$27)))</f>
        <v>1141048.0395068198</v>
      </c>
      <c r="AT185" s="5">
        <f>IF(AT9&lt;Assump!$D$54,(AS185+AT66+AT88-AT165*(1-Assump!$D$27)-'операционные  расходы 1 этап'!$B$42*(1-Assump!$D$27)),(AS185+AT66+AT88-'операционные  расходы 1 этап'!$B$42*(1-Assump!$D$27)))</f>
        <v>1307879.2459564437</v>
      </c>
      <c r="AU185" s="5">
        <f>IF(AU9&lt;Assump!$D$54,(AT185+AU66+AU88-AU165*(1-Assump!$D$27)-'операционные  расходы 1 этап'!$B$42*(1-Assump!$D$27)),(AT185+AU66+AU88-'операционные  расходы 1 этап'!$B$42*(1-Assump!$D$27)))</f>
        <v>1346174.4717628562</v>
      </c>
      <c r="AV185" s="5">
        <f>IF(AV9&lt;Assump!$D$54,(AU185+AV66+AV88-AV165*(1-Assump!$D$27)-'операционные  расходы 1 этап'!$B$42*(1-Assump!$D$27)),(AU185+AV66+AV88-'операционные  расходы 1 этап'!$B$42*(1-Assump!$D$27)))</f>
        <v>1453634.9224437959</v>
      </c>
      <c r="AW185" s="5">
        <f>IF(AW9&lt;Assump!$D$54,(AV185+AW66+AW88-AW165*(1-Assump!$D$27)-'операционные  расходы 1 этап'!$B$42*(1-Assump!$D$27)),(AV185+AW66+AW88-'операционные  расходы 1 этап'!$B$42*(1-Assump!$D$27)))</f>
        <v>1618295.4956102166</v>
      </c>
      <c r="AX185" s="5">
        <f>IF(AX9&lt;Assump!$D$54,(AW185+AX66+AX88-AX165*(1-Assump!$D$27)-'операционные  расходы 1 этап'!$B$42*(1-Assump!$D$27)),(AW185+AX66+AX88-'операционные  расходы 1 этап'!$B$42*(1-Assump!$D$27)))</f>
        <v>1657320.1837381045</v>
      </c>
      <c r="AY185" s="5">
        <f>IF(AY9&lt;Assump!$D$54,(AX185+AY66+AY88-AY165*(1-Assump!$D$27)-'операционные  расходы 1 этап'!$B$42*(1-Assump!$D$27)),(AX185+AY66+AY88-'операционные  расходы 1 этап'!$B$42*(1-Assump!$D$27)))</f>
        <v>1741325.4874504651</v>
      </c>
      <c r="AZ185" s="5">
        <f>IF(AZ9&lt;Assump!$D$54,(AY185+AZ66+AZ88-AZ165*(1-Assump!$D$27)-'операционные  расходы 1 этап'!$B$42*(1-Assump!$D$27)),(AY185+AZ66+AZ88-'операционные  расходы 1 этап'!$B$42*(1-Assump!$D$27)))</f>
        <v>1873869.6308374966</v>
      </c>
      <c r="BA185" s="5">
        <f>IF(BA9&lt;Assump!$D$54,(AZ185+BA66+BA88-BA165*(1-Assump!$D$27)-'операционные  расходы 1 этап'!$B$42*(1-Assump!$D$27)),(AZ185+BA66+BA88-'операционные  расходы 1 этап'!$B$42*(1-Assump!$D$27)))</f>
        <v>2068173.3146642174</v>
      </c>
      <c r="BB185" s="5">
        <f>IF(BB9&lt;Assump!$D$54,(BA185+BB66+BB88-BB165*(1-Assump!$D$27)-'операционные  расходы 1 этап'!$B$42*(1-Assump!$D$27)),(BA185+BB66+BB88-'операционные  расходы 1 этап'!$B$42*(1-Assump!$D$27)))</f>
        <v>2122960.1650234652</v>
      </c>
      <c r="BC185" s="5">
        <f>IF(BC9&lt;Assump!$D$54,(BB185+BC66+BC88-BC165*(1-Assump!$D$27)-'операционные  расходы 1 этап'!$B$42*(1-Assump!$D$27)),(BB185+BC66+BC88-'операционные  расходы 1 этап'!$B$42*(1-Assump!$D$27)))</f>
        <v>2245255.0425245254</v>
      </c>
      <c r="BD185" s="5">
        <f>IF(BD9&lt;Assump!$D$54,(BC185+BD66+BD88-BD165*(1-Assump!$D$27)-'операционные  расходы 1 этап'!$B$42*(1-Assump!$D$27)),(BC185+BD66+BD88-'операционные  расходы 1 этап'!$B$42*(1-Assump!$D$27)))</f>
        <v>2413269.4705974581</v>
      </c>
      <c r="BE185" s="5">
        <f>IF(BE9&lt;Assump!$D$54,(BD185+BE66+BE88-BE165*(1-Assump!$D$27)-'операционные  расходы 1 этап'!$B$42*(1-Assump!$D$27)),(BD185+BE66+BE88-'операционные  расходы 1 этап'!$B$42*(1-Assump!$D$27)))</f>
        <v>2469922.0450237542</v>
      </c>
      <c r="BF185" s="5">
        <f>IF(BF9&lt;Assump!$D$54,(BE185+BF66+BF88-BF165*(1-Assump!$D$27)-'операционные  расходы 1 этап'!$B$42*(1-Assump!$D$27)),(BE185+BF66+BF88-'операционные  расходы 1 этап'!$B$42*(1-Assump!$D$27)))</f>
        <v>2570758.6314852983</v>
      </c>
      <c r="BG185" s="5">
        <f>IF(BG9&lt;Assump!$D$54,(BF185+BG66+BG88-BG165*(1-Assump!$D$27)-'операционные  расходы 1 этап'!$B$42*(1-Assump!$D$27)),(BF185+BG66+BG88-'операционные  расходы 1 этап'!$B$42*(1-Assump!$D$27)))</f>
        <v>2718494.2523863832</v>
      </c>
      <c r="BH185" s="5">
        <f>IF(BH9&lt;Assump!$D$54,(BG185+BH66+BH88-BH165*(1-Assump!$D$27)-'операционные  расходы 1 этап'!$B$42*(1-Assump!$D$27)),(BG185+BH66+BH88-'операционные  расходы 1 этап'!$B$42*(1-Assump!$D$27)))</f>
        <v>2915910.579910324</v>
      </c>
      <c r="BI185" s="5">
        <f>IF(BI9&lt;Assump!$D$54,(BH185+BI66+BI88-BI165*(1-Assump!$D$27)-'операционные  расходы 1 этап'!$B$42*(1-Assump!$D$27)),(BH185+BI66+BI88-'операционные  расходы 1 этап'!$B$42*(1-Assump!$D$27)))</f>
        <v>2992848.6779035632</v>
      </c>
      <c r="BJ185" s="5">
        <f>IF(BJ9&lt;Assump!$D$54,(BI185+BJ66+BJ88-BJ165*(1-Assump!$D$27)-'операционные  расходы 1 этап'!$B$42*(1-Assump!$D$27)),(BI185+BJ66+BJ88-'операционные  расходы 1 этап'!$B$42*(1-Assump!$D$27)))</f>
        <v>2975490.8906308361</v>
      </c>
      <c r="BK185" s="5">
        <f>IF(BK9&lt;Assump!$D$54,(BJ185+BK66+BK88-BK165*(1-Assump!$D$27)-'операционные  расходы 1 этап'!$B$42*(1-Assump!$D$27)),(BJ185+BK66+BK88-'операционные  расходы 1 этап'!$B$42*(1-Assump!$D$27)))</f>
        <v>2958133.103358109</v>
      </c>
      <c r="BL185" s="5">
        <f>IF(BL9&lt;Assump!$D$54,(BK185+BL66+BL88-BL165*(1-Assump!$D$27)-'операционные  расходы 1 этап'!$B$42*(1-Assump!$D$27)),(BK185+BL66+BL88-'операционные  расходы 1 этап'!$B$42*(1-Assump!$D$27)))</f>
        <v>2940775.3160853814</v>
      </c>
      <c r="BM185" s="5">
        <f>IF(BM9&lt;Assump!$D$54,(BL185+BM66+BM88-BM165*(1-Assump!$D$27)-'операционные  расходы 1 этап'!$B$42*(1-Assump!$D$27)),(BL185+BM66+BM88-'операционные  расходы 1 этап'!$B$42*(1-Assump!$D$27)))</f>
        <v>2923417.5288126543</v>
      </c>
      <c r="BN185" s="5">
        <f>IF(BN9&lt;Assump!$D$54,(BM185+BN66+BN88-BN165*(1-Assump!$D$27)-'операционные  расходы 1 этап'!$B$42*(1-Assump!$D$27)),(BM185+BN66+BN88-'операционные  расходы 1 этап'!$B$42*(1-Assump!$D$27)))</f>
        <v>2906059.7415399272</v>
      </c>
      <c r="BO185" s="5">
        <f>IF(BO9&lt;Assump!$D$54,(BN185+BO66+BO88-BO165*(1-Assump!$D$27)-'операционные  расходы 1 этап'!$B$42*(1-Assump!$D$27)),(BN185+BO66+BO88-'операционные  расходы 1 этап'!$B$42*(1-Assump!$D$27)))</f>
        <v>2888701.9542672001</v>
      </c>
      <c r="BP185" s="5">
        <f>IF(BP9&lt;Assump!$D$54,(BO185+BP66+BP88-BP165*(1-Assump!$D$27)-'операционные  расходы 1 этап'!$B$42*(1-Assump!$D$27)),(BO185+BP66+BP88-'операционные  расходы 1 этап'!$B$42*(1-Assump!$D$27)))</f>
        <v>2871344.166994473</v>
      </c>
      <c r="BQ185" s="5">
        <f>IF(BQ9&lt;Assump!$D$54,(BP185+BQ66+BQ88-BQ165*(1-Assump!$D$27)-'операционные  расходы 1 этап'!$B$42*(1-Assump!$D$27)),(BP185+BQ66+BQ88-'операционные  расходы 1 этап'!$B$42*(1-Assump!$D$27)))</f>
        <v>2853986.3797217458</v>
      </c>
      <c r="BR185" s="5">
        <f>IF(BR9&lt;Assump!$D$54,(BQ185+BR66+BR88-BR165*(1-Assump!$D$27)-'операционные  расходы 1 этап'!$B$42*(1-Assump!$D$27)),(BQ185+BR66+BR88-'операционные  расходы 1 этап'!$B$42*(1-Assump!$D$27)))</f>
        <v>2836628.5924490187</v>
      </c>
      <c r="BS185" s="5">
        <f>IF(BS9&lt;Assump!$D$54,(BR185+BS66+BS88-BS165*(1-Assump!$D$27)-'операционные  расходы 1 этап'!$B$42*(1-Assump!$D$27)),(BR185+BS66+BS88-'операционные  расходы 1 этап'!$B$42*(1-Assump!$D$27)))</f>
        <v>2819270.8051762916</v>
      </c>
      <c r="BT185" s="5">
        <f>IF(BT9&lt;Assump!$D$54,(BS185+BT66+BT88-BT165*(1-Assump!$D$27)-'операционные  расходы 1 этап'!$B$42*(1-Assump!$D$27)),(BS185+BT66+BT88-'операционные  расходы 1 этап'!$B$42*(1-Assump!$D$27)))</f>
        <v>2801913.0179035645</v>
      </c>
      <c r="BU185" s="5">
        <f>IF(BU9&lt;Assump!$D$54,(BT185+BU66+BU88-BU165*(1-Assump!$D$27)-'операционные  расходы 1 этап'!$B$42*(1-Assump!$D$27)),(BT185+BU66+BU88-'операционные  расходы 1 этап'!$B$42*(1-Assump!$D$27)))</f>
        <v>2784555.2306308374</v>
      </c>
      <c r="BV185" s="5">
        <f>IF(BV9&lt;Assump!$D$54,(BU185+BV66+BV88-BV165*(1-Assump!$D$27)-'операционные  расходы 1 этап'!$B$42*(1-Assump!$D$27)),(BU185+BV66+BV88-'операционные  расходы 1 этап'!$B$42*(1-Assump!$D$27)))</f>
        <v>2767197.4433581103</v>
      </c>
      <c r="BW185" s="5">
        <f>IF(BW9&lt;Assump!$D$54,(BV185+BW66+BW88-BW165*(1-Assump!$D$27)-'операционные  расходы 1 этап'!$B$42*(1-Assump!$D$27)),(BV185+BW66+BW88-'операционные  расходы 1 этап'!$B$42*(1-Assump!$D$27)))</f>
        <v>2749839.6560853831</v>
      </c>
      <c r="BX185" s="5">
        <f>IF(BX9&lt;Assump!$D$54,(BW185+BX66+BX88-BX165*(1-Assump!$D$27)-'операционные  расходы 1 этап'!$B$42*(1-Assump!$D$27)),(BW185+BX66+BX88-'операционные  расходы 1 этап'!$B$42*(1-Assump!$D$27)))</f>
        <v>2732481.868812656</v>
      </c>
      <c r="BY185" s="5">
        <f>IF(BY9&lt;Assump!$D$54,(BX185+BY66+BY88-BY165*(1-Assump!$D$27)-'операционные  расходы 1 этап'!$B$42*(1-Assump!$D$27)),(BX185+BY66+BY88-'операционные  расходы 1 этап'!$B$42*(1-Assump!$D$27)))</f>
        <v>2715124.0815399289</v>
      </c>
      <c r="BZ185" s="5">
        <f>IF(BZ9&lt;Assump!$D$54,(BY185+BZ66+BZ88-BZ165*(1-Assump!$D$27)-'операционные  расходы 1 этап'!$B$42*(1-Assump!$D$27)),(BY185+BZ66+BZ88-'операционные  расходы 1 этап'!$B$42*(1-Assump!$D$27)))</f>
        <v>2697766.2942672018</v>
      </c>
      <c r="CA185" s="5">
        <f>IF(CA9&lt;Assump!$D$54,(BZ185+CA66+CA88-CA165*(1-Assump!$D$27)-'операционные  расходы 1 этап'!$B$42*(1-Assump!$D$27)),(BZ185+CA66+CA88-'операционные  расходы 1 этап'!$B$42*(1-Assump!$D$27)))</f>
        <v>2680408.5069944747</v>
      </c>
      <c r="CB185" s="5">
        <f>IF(CB9&lt;Assump!$D$54,(CA185+CB66+CB88-CB165*(1-Assump!$D$27)-'операционные  расходы 1 этап'!$B$42*(1-Assump!$D$27)),(CA185+CB66+CB88-'операционные  расходы 1 этап'!$B$42*(1-Assump!$D$27)))</f>
        <v>2663050.7197217476</v>
      </c>
      <c r="CC185" s="5">
        <f>IF(CC9&lt;Assump!$D$54,(CB185+CC66+CC88-CC165*(1-Assump!$D$27)-'операционные  расходы 1 этап'!$B$42*(1-Assump!$D$27)),(CB185+CC66+CC88-'операционные  расходы 1 этап'!$B$42*(1-Assump!$D$27)))</f>
        <v>2645692.9324490204</v>
      </c>
      <c r="CD185" s="5">
        <f>IF(CD9&lt;Assump!$D$54,(CC185+CD66+CD88-CD165*(1-Assump!$D$27)-'операционные  расходы 1 этап'!$B$42*(1-Assump!$D$27)),(CC185+CD66+CD88-'операционные  расходы 1 этап'!$B$42*(1-Assump!$D$27)))</f>
        <v>2628335.1451762933</v>
      </c>
      <c r="CE185" s="5">
        <f>IF(CE9&lt;Assump!$D$54,(CD185+CE66+CE88-CE165*(1-Assump!$D$27)-'операционные  расходы 1 этап'!$B$42*(1-Assump!$D$27)),(CD185+CE66+CE88-'операционные  расходы 1 этап'!$B$42*(1-Assump!$D$27)))</f>
        <v>2610977.3579035662</v>
      </c>
      <c r="CF185" s="5">
        <f>IF(CF9&lt;Assump!$D$54,(CE185+CF66+CF88-CF165*(1-Assump!$D$27)-'операционные  расходы 1 этап'!$B$42*(1-Assump!$D$27)),(CE185+CF66+CF88-'операционные  расходы 1 этап'!$B$42*(1-Assump!$D$27)))</f>
        <v>2593619.5706308391</v>
      </c>
      <c r="CG185" s="5">
        <f>IF(CG9&lt;Assump!$D$54,(CF185+CG66+CG88-CG165*(1-Assump!$D$27)-'операционные  расходы 1 этап'!$B$42*(1-Assump!$D$27)),(CF185+CG66+CG88-'операционные  расходы 1 этап'!$B$42*(1-Assump!$D$27)))</f>
        <v>2576261.783358112</v>
      </c>
      <c r="CH185" s="5">
        <f>IF(CH9&lt;Assump!$D$54,(CG185+CH66+CH88-CH165*(1-Assump!$D$27)-'операционные  расходы 1 этап'!$B$42*(1-Assump!$D$27)),(CG185+CH66+CH88-'операционные  расходы 1 этап'!$B$42*(1-Assump!$D$27)))</f>
        <v>2558903.9960853849</v>
      </c>
      <c r="CI185" s="5">
        <f>IF(CI9&lt;Assump!$D$54,(CH185+CI66+CI88-CI165*(1-Assump!$D$27)-'операционные  расходы 1 этап'!$B$42*(1-Assump!$D$27)),(CH185+CI66+CI88-'операционные  расходы 1 этап'!$B$42*(1-Assump!$D$27)))</f>
        <v>2541546.2088126577</v>
      </c>
      <c r="CJ185" s="5">
        <f>IF(CJ9&lt;Assump!$D$54,(CI185+CJ66+CJ88-CJ165*(1-Assump!$D$27)-'операционные  расходы 1 этап'!$B$42*(1-Assump!$D$27)),(CI185+CJ66+CJ88-'операционные  расходы 1 этап'!$B$42*(1-Assump!$D$27)))</f>
        <v>2524188.4215399306</v>
      </c>
      <c r="CK185" s="5">
        <f>IF(CK9&lt;Assump!$D$54,(CJ185+CK66+CK88-CK165*(1-Assump!$D$27)-'операционные  расходы 1 этап'!$B$42*(1-Assump!$D$27)),(CJ185+CK66+CK88-'операционные  расходы 1 этап'!$B$42*(1-Assump!$D$27)))</f>
        <v>2506830.6342672035</v>
      </c>
      <c r="CL185" s="5">
        <f>IF(CL9&lt;Assump!$D$54,(CK185+CL66+CL88-CL165*(1-Assump!$D$27)-'операционные  расходы 1 этап'!$B$42*(1-Assump!$D$27)),(CK185+CL66+CL88-'операционные  расходы 1 этап'!$B$42*(1-Assump!$D$27)))</f>
        <v>2489472.8469944764</v>
      </c>
      <c r="CM185" s="5">
        <f>IF(CM9&lt;Assump!$D$54,(CL185+CM66+CM88-CM165*(1-Assump!$D$27)-'операционные  расходы 1 этап'!$B$42*(1-Assump!$D$27)),(CL185+CM66+CM88-'операционные  расходы 1 этап'!$B$42*(1-Assump!$D$27)))</f>
        <v>2472115.0597217493</v>
      </c>
      <c r="CN185" s="5">
        <f>IF(CN9&lt;Assump!$D$54,(CM185+CN66+CN88-CN165*(1-Assump!$D$27)-'операционные  расходы 1 этап'!$B$42*(1-Assump!$D$27)),(CM185+CN66+CN88-'операционные  расходы 1 этап'!$B$42*(1-Assump!$D$27)))</f>
        <v>2454757.2724490222</v>
      </c>
      <c r="CO185" s="5"/>
    </row>
    <row r="186" spans="1:93" ht="12.75" customHeight="1">
      <c r="A186" s="117"/>
      <c r="B186" s="26" t="s">
        <v>256</v>
      </c>
      <c r="C186" s="117"/>
      <c r="D186" s="118">
        <f>D87</f>
        <v>954678.3</v>
      </c>
      <c r="E186" s="5">
        <f t="shared" ref="E186:AJ186" si="689">D186+E87</f>
        <v>954678.3</v>
      </c>
      <c r="F186" s="5">
        <f t="shared" si="689"/>
        <v>954678.3</v>
      </c>
      <c r="G186" s="5">
        <f t="shared" si="689"/>
        <v>954678.3</v>
      </c>
      <c r="H186" s="5">
        <f t="shared" si="689"/>
        <v>954678.3</v>
      </c>
      <c r="I186" s="5">
        <f t="shared" si="689"/>
        <v>954678.3</v>
      </c>
      <c r="J186" s="5">
        <f t="shared" si="689"/>
        <v>954678.3</v>
      </c>
      <c r="K186" s="5">
        <f t="shared" si="689"/>
        <v>954678.3</v>
      </c>
      <c r="L186" s="5">
        <f t="shared" si="689"/>
        <v>954678.3</v>
      </c>
      <c r="M186" s="5">
        <f t="shared" si="689"/>
        <v>954678.3</v>
      </c>
      <c r="N186" s="5">
        <f t="shared" si="689"/>
        <v>954678.3</v>
      </c>
      <c r="O186" s="5">
        <f t="shared" si="689"/>
        <v>954678.3</v>
      </c>
      <c r="P186" s="5">
        <f t="shared" si="689"/>
        <v>954678.3</v>
      </c>
      <c r="Q186" s="5">
        <f t="shared" si="689"/>
        <v>954678.3</v>
      </c>
      <c r="R186" s="5">
        <f t="shared" si="689"/>
        <v>954678.3</v>
      </c>
      <c r="S186" s="5">
        <f t="shared" si="689"/>
        <v>954678.3</v>
      </c>
      <c r="T186" s="5">
        <f t="shared" si="689"/>
        <v>954678.3</v>
      </c>
      <c r="U186" s="5">
        <f t="shared" si="689"/>
        <v>954678.3</v>
      </c>
      <c r="V186" s="5">
        <f t="shared" si="689"/>
        <v>954678.3</v>
      </c>
      <c r="W186" s="5">
        <f t="shared" si="689"/>
        <v>954678.3</v>
      </c>
      <c r="X186" s="5">
        <f t="shared" si="689"/>
        <v>954678.3</v>
      </c>
      <c r="Y186" s="5">
        <f t="shared" si="689"/>
        <v>954678.3</v>
      </c>
      <c r="Z186" s="5">
        <f t="shared" si="689"/>
        <v>954678.3</v>
      </c>
      <c r="AA186" s="5">
        <f t="shared" si="689"/>
        <v>954678.3</v>
      </c>
      <c r="AB186" s="5">
        <f t="shared" si="689"/>
        <v>954678.3</v>
      </c>
      <c r="AC186" s="5">
        <f t="shared" si="689"/>
        <v>954678.3</v>
      </c>
      <c r="AD186" s="5">
        <f t="shared" si="689"/>
        <v>954678.3</v>
      </c>
      <c r="AE186" s="5">
        <f t="shared" si="689"/>
        <v>954678.3</v>
      </c>
      <c r="AF186" s="5">
        <f t="shared" si="689"/>
        <v>954678.3</v>
      </c>
      <c r="AG186" s="5">
        <f t="shared" si="689"/>
        <v>954678.3</v>
      </c>
      <c r="AH186" s="5">
        <f t="shared" si="689"/>
        <v>954678.3</v>
      </c>
      <c r="AI186" s="5">
        <f t="shared" si="689"/>
        <v>954678.3</v>
      </c>
      <c r="AJ186" s="5">
        <f t="shared" si="689"/>
        <v>954678.3</v>
      </c>
      <c r="AK186" s="5">
        <f t="shared" ref="AK186:BP186" si="690">AJ186+AK87</f>
        <v>954678.3</v>
      </c>
      <c r="AL186" s="5">
        <f t="shared" si="690"/>
        <v>954678.3</v>
      </c>
      <c r="AM186" s="5">
        <f t="shared" si="690"/>
        <v>954678.3</v>
      </c>
      <c r="AN186" s="5">
        <f t="shared" si="690"/>
        <v>954678.3</v>
      </c>
      <c r="AO186" s="5">
        <f t="shared" si="690"/>
        <v>954678.3</v>
      </c>
      <c r="AP186" s="5">
        <f t="shared" si="690"/>
        <v>954678.3</v>
      </c>
      <c r="AQ186" s="5">
        <f t="shared" si="690"/>
        <v>954678.3</v>
      </c>
      <c r="AR186" s="5">
        <f t="shared" si="690"/>
        <v>954678.3</v>
      </c>
      <c r="AS186" s="5">
        <f t="shared" si="690"/>
        <v>954678.3</v>
      </c>
      <c r="AT186" s="5">
        <f t="shared" si="690"/>
        <v>954678.3</v>
      </c>
      <c r="AU186" s="5">
        <f t="shared" si="690"/>
        <v>954678.3</v>
      </c>
      <c r="AV186" s="5">
        <f t="shared" si="690"/>
        <v>954678.3</v>
      </c>
      <c r="AW186" s="5">
        <f t="shared" si="690"/>
        <v>954678.3</v>
      </c>
      <c r="AX186" s="5">
        <f t="shared" si="690"/>
        <v>954678.3</v>
      </c>
      <c r="AY186" s="5">
        <f t="shared" si="690"/>
        <v>954678.3</v>
      </c>
      <c r="AZ186" s="5">
        <f t="shared" si="690"/>
        <v>954678.3</v>
      </c>
      <c r="BA186" s="5">
        <f t="shared" si="690"/>
        <v>954678.3</v>
      </c>
      <c r="BB186" s="5">
        <f t="shared" si="690"/>
        <v>954678.3</v>
      </c>
      <c r="BC186" s="5">
        <f t="shared" si="690"/>
        <v>954678.3</v>
      </c>
      <c r="BD186" s="5">
        <f t="shared" si="690"/>
        <v>954678.3</v>
      </c>
      <c r="BE186" s="5">
        <f t="shared" si="690"/>
        <v>954678.3</v>
      </c>
      <c r="BF186" s="5">
        <f t="shared" si="690"/>
        <v>954678.3</v>
      </c>
      <c r="BG186" s="5">
        <f t="shared" si="690"/>
        <v>954678.3</v>
      </c>
      <c r="BH186" s="5">
        <f t="shared" si="690"/>
        <v>954678.3</v>
      </c>
      <c r="BI186" s="5">
        <f t="shared" si="690"/>
        <v>954678.3</v>
      </c>
      <c r="BJ186" s="5">
        <f t="shared" si="690"/>
        <v>954678.3</v>
      </c>
      <c r="BK186" s="5">
        <f t="shared" si="690"/>
        <v>954678.3</v>
      </c>
      <c r="BL186" s="5">
        <f t="shared" si="690"/>
        <v>954678.3</v>
      </c>
      <c r="BM186" s="5">
        <f t="shared" si="690"/>
        <v>954678.3</v>
      </c>
      <c r="BN186" s="5">
        <f t="shared" si="690"/>
        <v>954678.3</v>
      </c>
      <c r="BO186" s="5">
        <f t="shared" si="690"/>
        <v>954678.3</v>
      </c>
      <c r="BP186" s="5">
        <f t="shared" si="690"/>
        <v>954678.3</v>
      </c>
      <c r="BQ186" s="5">
        <f t="shared" ref="BQ186:CN186" si="691">BP186+BQ87</f>
        <v>954678.3</v>
      </c>
      <c r="BR186" s="5">
        <f t="shared" si="691"/>
        <v>954678.3</v>
      </c>
      <c r="BS186" s="5">
        <f t="shared" si="691"/>
        <v>954678.3</v>
      </c>
      <c r="BT186" s="5">
        <f t="shared" si="691"/>
        <v>954678.3</v>
      </c>
      <c r="BU186" s="5">
        <f t="shared" si="691"/>
        <v>954678.3</v>
      </c>
      <c r="BV186" s="5">
        <f t="shared" si="691"/>
        <v>954678.3</v>
      </c>
      <c r="BW186" s="5">
        <f t="shared" si="691"/>
        <v>954678.3</v>
      </c>
      <c r="BX186" s="5">
        <f t="shared" si="691"/>
        <v>954678.3</v>
      </c>
      <c r="BY186" s="5">
        <f t="shared" si="691"/>
        <v>954678.3</v>
      </c>
      <c r="BZ186" s="5">
        <f t="shared" si="691"/>
        <v>954678.3</v>
      </c>
      <c r="CA186" s="5">
        <f t="shared" si="691"/>
        <v>954678.3</v>
      </c>
      <c r="CB186" s="5">
        <f t="shared" si="691"/>
        <v>954678.3</v>
      </c>
      <c r="CC186" s="5">
        <f t="shared" si="691"/>
        <v>954678.3</v>
      </c>
      <c r="CD186" s="5">
        <f t="shared" si="691"/>
        <v>954678.3</v>
      </c>
      <c r="CE186" s="5">
        <f t="shared" si="691"/>
        <v>954678.3</v>
      </c>
      <c r="CF186" s="5">
        <f t="shared" si="691"/>
        <v>954678.3</v>
      </c>
      <c r="CG186" s="5">
        <f t="shared" si="691"/>
        <v>954678.3</v>
      </c>
      <c r="CH186" s="5">
        <f t="shared" si="691"/>
        <v>954678.3</v>
      </c>
      <c r="CI186" s="5">
        <f t="shared" si="691"/>
        <v>954678.3</v>
      </c>
      <c r="CJ186" s="5">
        <f t="shared" si="691"/>
        <v>954678.3</v>
      </c>
      <c r="CK186" s="5">
        <f t="shared" si="691"/>
        <v>954678.3</v>
      </c>
      <c r="CL186" s="5">
        <f t="shared" si="691"/>
        <v>954678.3</v>
      </c>
      <c r="CM186" s="5">
        <f t="shared" si="691"/>
        <v>954678.3</v>
      </c>
      <c r="CN186" s="5">
        <f t="shared" si="691"/>
        <v>954678.3</v>
      </c>
      <c r="CO186" s="5"/>
    </row>
    <row r="187" spans="1:93" ht="12.75" customHeight="1">
      <c r="A187" s="112"/>
      <c r="B187" s="119" t="s">
        <v>248</v>
      </c>
      <c r="C187" s="120"/>
      <c r="D187" s="121">
        <f t="shared" ref="D187:CN187" si="692">D179+D182+D184</f>
        <v>954678.3</v>
      </c>
      <c r="E187" s="120">
        <f t="shared" si="692"/>
        <v>932981.06590909103</v>
      </c>
      <c r="F187" s="120">
        <f t="shared" si="692"/>
        <v>911283.83181818179</v>
      </c>
      <c r="G187" s="120">
        <f t="shared" si="692"/>
        <v>889586.59772727278</v>
      </c>
      <c r="H187" s="120">
        <f t="shared" si="692"/>
        <v>867189.36363636376</v>
      </c>
      <c r="I187" s="120">
        <f t="shared" si="692"/>
        <v>844792.12954545452</v>
      </c>
      <c r="J187" s="120">
        <f t="shared" si="692"/>
        <v>822394.89545454551</v>
      </c>
      <c r="K187" s="120">
        <f t="shared" si="692"/>
        <v>799997.66136363638</v>
      </c>
      <c r="L187" s="120">
        <f t="shared" si="692"/>
        <v>777600.42727272725</v>
      </c>
      <c r="M187" s="120">
        <f t="shared" si="692"/>
        <v>772126.27234848484</v>
      </c>
      <c r="N187" s="120">
        <f t="shared" si="692"/>
        <v>1109520.0549242422</v>
      </c>
      <c r="O187" s="120">
        <f t="shared" si="692"/>
        <v>1548729.4312499999</v>
      </c>
      <c r="P187" s="120">
        <f t="shared" si="692"/>
        <v>2016580.5575757576</v>
      </c>
      <c r="Q187" s="120">
        <f t="shared" si="692"/>
        <v>2494606.4901515152</v>
      </c>
      <c r="R187" s="120">
        <f t="shared" si="692"/>
        <v>2860729.6227272726</v>
      </c>
      <c r="S187" s="120">
        <f t="shared" si="692"/>
        <v>3312864.2953030309</v>
      </c>
      <c r="T187" s="120">
        <f t="shared" si="692"/>
        <v>3701219.247878788</v>
      </c>
      <c r="U187" s="120">
        <f t="shared" si="692"/>
        <v>4066409.0204545455</v>
      </c>
      <c r="V187" s="120">
        <f t="shared" si="692"/>
        <v>4379657.0613510972</v>
      </c>
      <c r="W187" s="120">
        <f t="shared" si="692"/>
        <v>4451639.5106635708</v>
      </c>
      <c r="X187" s="120">
        <f t="shared" si="692"/>
        <v>4514745.723698929</v>
      </c>
      <c r="Y187" s="120">
        <f t="shared" si="692"/>
        <v>4481757.031363247</v>
      </c>
      <c r="Z187" s="120">
        <f t="shared" si="692"/>
        <v>4464976.6021963656</v>
      </c>
      <c r="AA187" s="120">
        <f t="shared" si="692"/>
        <v>4454314.0790362637</v>
      </c>
      <c r="AB187" s="120">
        <f t="shared" si="692"/>
        <v>4444910.2729920968</v>
      </c>
      <c r="AC187" s="120">
        <f t="shared" si="692"/>
        <v>4393623.5173248239</v>
      </c>
      <c r="AD187" s="120">
        <f t="shared" si="692"/>
        <v>4322008.3089234792</v>
      </c>
      <c r="AE187" s="120">
        <f t="shared" si="692"/>
        <v>4215936.0454496779</v>
      </c>
      <c r="AF187" s="120">
        <f t="shared" si="692"/>
        <v>4209607.9604066536</v>
      </c>
      <c r="AG187" s="120">
        <f t="shared" si="692"/>
        <v>4178254.2945758644</v>
      </c>
      <c r="AH187" s="120">
        <f t="shared" si="692"/>
        <v>4170268.2213823106</v>
      </c>
      <c r="AI187" s="120">
        <f t="shared" si="692"/>
        <v>4162581.4804146402</v>
      </c>
      <c r="AJ187" s="120">
        <f t="shared" si="692"/>
        <v>4127568.190342187</v>
      </c>
      <c r="AK187" s="120">
        <f t="shared" si="692"/>
        <v>4113647.4608696029</v>
      </c>
      <c r="AL187" s="120">
        <f t="shared" si="692"/>
        <v>4106728.2716052355</v>
      </c>
      <c r="AM187" s="120">
        <f t="shared" si="692"/>
        <v>4102451.0415526237</v>
      </c>
      <c r="AN187" s="120">
        <f t="shared" si="692"/>
        <v>4069118.7759201126</v>
      </c>
      <c r="AO187" s="120">
        <f t="shared" si="692"/>
        <v>4062762.6909323325</v>
      </c>
      <c r="AP187" s="120">
        <f t="shared" si="692"/>
        <v>4057409.3623992377</v>
      </c>
      <c r="AQ187" s="120">
        <f t="shared" si="692"/>
        <v>4022700.8678636788</v>
      </c>
      <c r="AR187" s="120">
        <f t="shared" si="692"/>
        <v>4007699.0527882436</v>
      </c>
      <c r="AS187" s="120">
        <f t="shared" si="692"/>
        <v>4002586.1486412808</v>
      </c>
      <c r="AT187" s="120">
        <f t="shared" si="692"/>
        <v>4000661.4581044717</v>
      </c>
      <c r="AU187" s="120">
        <f t="shared" si="692"/>
        <v>3967702.4532933678</v>
      </c>
      <c r="AV187" s="120">
        <f t="shared" si="692"/>
        <v>3960446.9959511841</v>
      </c>
      <c r="AW187" s="120">
        <f t="shared" si="692"/>
        <v>3956756.4097556202</v>
      </c>
      <c r="AX187" s="120">
        <f t="shared" si="692"/>
        <v>3923041.3317545438</v>
      </c>
      <c r="AY187" s="120">
        <f t="shared" si="692"/>
        <v>3909466.3572053071</v>
      </c>
      <c r="AZ187" s="120">
        <f t="shared" si="692"/>
        <v>3903341.6376912072</v>
      </c>
      <c r="BA187" s="120">
        <f t="shared" si="692"/>
        <v>3903177.0508626155</v>
      </c>
      <c r="BB187" s="120">
        <f t="shared" si="692"/>
        <v>3870578.4021907737</v>
      </c>
      <c r="BC187" s="120">
        <f t="shared" si="692"/>
        <v>3863973.662641055</v>
      </c>
      <c r="BD187" s="120">
        <f t="shared" si="692"/>
        <v>3857471.5497304695</v>
      </c>
      <c r="BE187" s="120">
        <f t="shared" si="692"/>
        <v>3823486.3483661525</v>
      </c>
      <c r="BF187" s="120">
        <f t="shared" si="692"/>
        <v>3810709.8730152436</v>
      </c>
      <c r="BG187" s="120">
        <f t="shared" si="692"/>
        <v>3804900.8678115164</v>
      </c>
      <c r="BH187" s="120">
        <f t="shared" si="692"/>
        <v>3801711.9364584316</v>
      </c>
      <c r="BI187" s="120">
        <f t="shared" si="692"/>
        <v>3800364.7043570559</v>
      </c>
      <c r="BJ187" s="120">
        <f t="shared" si="692"/>
        <v>3781301.469040324</v>
      </c>
      <c r="BK187" s="120">
        <f t="shared" si="692"/>
        <v>3754599.0683973148</v>
      </c>
      <c r="BL187" s="120">
        <f t="shared" si="692"/>
        <v>3733748.6553399018</v>
      </c>
      <c r="BM187" s="120">
        <f t="shared" si="692"/>
        <v>3714854.7558903126</v>
      </c>
      <c r="BN187" s="120">
        <f t="shared" si="692"/>
        <v>3695713.8901978997</v>
      </c>
      <c r="BO187" s="120">
        <f t="shared" si="692"/>
        <v>3668624.8653640463</v>
      </c>
      <c r="BP187" s="120">
        <f t="shared" si="692"/>
        <v>3648861.588286723</v>
      </c>
      <c r="BQ187" s="120">
        <f t="shared" si="692"/>
        <v>3630138.4484039205</v>
      </c>
      <c r="BR187" s="120">
        <f t="shared" si="692"/>
        <v>3603258.4826910431</v>
      </c>
      <c r="BS187" s="120">
        <f t="shared" si="692"/>
        <v>3582363.8341970621</v>
      </c>
      <c r="BT187" s="120">
        <f t="shared" si="692"/>
        <v>3563366.0639359094</v>
      </c>
      <c r="BU187" s="120">
        <f t="shared" si="692"/>
        <v>3544734.8431248236</v>
      </c>
      <c r="BV187" s="120">
        <f t="shared" si="692"/>
        <v>3517312.4429469807</v>
      </c>
      <c r="BW187" s="120">
        <f t="shared" si="692"/>
        <v>3497551.5696269325</v>
      </c>
      <c r="BX187" s="120">
        <f t="shared" si="692"/>
        <v>3478836.1617798866</v>
      </c>
      <c r="BY187" s="120">
        <f t="shared" si="692"/>
        <v>3451910.5622445093</v>
      </c>
      <c r="BZ187" s="120">
        <f t="shared" si="692"/>
        <v>3431064.2824748368</v>
      </c>
      <c r="CA187" s="120">
        <f t="shared" si="692"/>
        <v>3412105.9212632468</v>
      </c>
      <c r="CB187" s="120">
        <f t="shared" si="692"/>
        <v>3393318.7434600936</v>
      </c>
      <c r="CC187" s="120">
        <f t="shared" si="692"/>
        <v>3365992.5477956156</v>
      </c>
      <c r="CD187" s="120">
        <f t="shared" si="692"/>
        <v>3346349.7229516474</v>
      </c>
      <c r="CE187" s="120">
        <f t="shared" si="692"/>
        <v>3327669.7907958427</v>
      </c>
      <c r="CF187" s="120">
        <f t="shared" si="692"/>
        <v>3300320.703370118</v>
      </c>
      <c r="CG187" s="120">
        <f t="shared" si="692"/>
        <v>3279709.9935970474</v>
      </c>
      <c r="CH187" s="120">
        <f t="shared" si="692"/>
        <v>3261021.623420998</v>
      </c>
      <c r="CI187" s="120">
        <f t="shared" si="692"/>
        <v>3242252.9499141378</v>
      </c>
      <c r="CJ187" s="120">
        <f t="shared" si="692"/>
        <v>3214468.4124334333</v>
      </c>
      <c r="CK187" s="120">
        <f t="shared" si="692"/>
        <v>3195269.9550557951</v>
      </c>
      <c r="CL187" s="120">
        <f t="shared" si="692"/>
        <v>3176774.3629373913</v>
      </c>
      <c r="CM187" s="120">
        <f t="shared" si="692"/>
        <v>3148993.3176201135</v>
      </c>
      <c r="CN187" s="120">
        <f t="shared" si="692"/>
        <v>3128325.3997880514</v>
      </c>
      <c r="CO187" s="120"/>
    </row>
    <row r="188" spans="1:93" ht="12.75" customHeight="1">
      <c r="A188" s="117"/>
      <c r="B188" s="117"/>
      <c r="C188" s="117"/>
      <c r="D188" s="116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117"/>
      <c r="BV188" s="117"/>
      <c r="BW188" s="117"/>
      <c r="BX188" s="117"/>
      <c r="BY188" s="117"/>
      <c r="BZ188" s="117"/>
      <c r="CA188" s="117"/>
      <c r="CB188" s="117"/>
      <c r="CC188" s="117"/>
      <c r="CD188" s="117"/>
      <c r="CE188" s="117"/>
      <c r="CF188" s="117"/>
      <c r="CG188" s="117"/>
      <c r="CH188" s="117"/>
      <c r="CI188" s="117"/>
      <c r="CJ188" s="117"/>
      <c r="CK188" s="117"/>
      <c r="CL188" s="117"/>
      <c r="CM188" s="117"/>
      <c r="CN188" s="117"/>
      <c r="CO188" s="117"/>
    </row>
    <row r="189" spans="1:93" ht="12.75" customHeight="1">
      <c r="A189" s="117"/>
      <c r="B189" s="117"/>
      <c r="C189" s="124" t="s">
        <v>257</v>
      </c>
      <c r="D189" s="125" t="str">
        <f t="shared" ref="D189:CN189" si="693">IF(ROUND(D177,0)=ROUND(D187,0),"Да","Нет")</f>
        <v>Да</v>
      </c>
      <c r="E189" s="126" t="str">
        <f t="shared" si="693"/>
        <v>Да</v>
      </c>
      <c r="F189" s="126" t="str">
        <f t="shared" si="693"/>
        <v>Да</v>
      </c>
      <c r="G189" s="126" t="str">
        <f t="shared" si="693"/>
        <v>Да</v>
      </c>
      <c r="H189" s="126" t="str">
        <f t="shared" si="693"/>
        <v>Да</v>
      </c>
      <c r="I189" s="126" t="str">
        <f t="shared" si="693"/>
        <v>Да</v>
      </c>
      <c r="J189" s="126" t="str">
        <f t="shared" si="693"/>
        <v>Да</v>
      </c>
      <c r="K189" s="126" t="str">
        <f t="shared" si="693"/>
        <v>Да</v>
      </c>
      <c r="L189" s="126" t="str">
        <f t="shared" si="693"/>
        <v>Да</v>
      </c>
      <c r="M189" s="126" t="str">
        <f t="shared" si="693"/>
        <v>Да</v>
      </c>
      <c r="N189" s="126" t="str">
        <f t="shared" si="693"/>
        <v>Да</v>
      </c>
      <c r="O189" s="126" t="str">
        <f t="shared" si="693"/>
        <v>Да</v>
      </c>
      <c r="P189" s="126" t="str">
        <f t="shared" si="693"/>
        <v>Да</v>
      </c>
      <c r="Q189" s="126" t="str">
        <f t="shared" si="693"/>
        <v>Да</v>
      </c>
      <c r="R189" s="126" t="str">
        <f t="shared" si="693"/>
        <v>Да</v>
      </c>
      <c r="S189" s="126" t="str">
        <f t="shared" si="693"/>
        <v>Да</v>
      </c>
      <c r="T189" s="126" t="str">
        <f t="shared" si="693"/>
        <v>Да</v>
      </c>
      <c r="U189" s="126" t="str">
        <f t="shared" si="693"/>
        <v>Да</v>
      </c>
      <c r="V189" s="126" t="str">
        <f t="shared" si="693"/>
        <v>Да</v>
      </c>
      <c r="W189" s="126" t="str">
        <f t="shared" si="693"/>
        <v>Да</v>
      </c>
      <c r="X189" s="126" t="str">
        <f t="shared" si="693"/>
        <v>Да</v>
      </c>
      <c r="Y189" s="126" t="str">
        <f t="shared" si="693"/>
        <v>Да</v>
      </c>
      <c r="Z189" s="126" t="str">
        <f t="shared" si="693"/>
        <v>Да</v>
      </c>
      <c r="AA189" s="126" t="str">
        <f t="shared" si="693"/>
        <v>Да</v>
      </c>
      <c r="AB189" s="126" t="str">
        <f t="shared" si="693"/>
        <v>Да</v>
      </c>
      <c r="AC189" s="126" t="str">
        <f t="shared" si="693"/>
        <v>Да</v>
      </c>
      <c r="AD189" s="126" t="str">
        <f t="shared" si="693"/>
        <v>Да</v>
      </c>
      <c r="AE189" s="126" t="str">
        <f t="shared" si="693"/>
        <v>Да</v>
      </c>
      <c r="AF189" s="126" t="str">
        <f t="shared" si="693"/>
        <v>Да</v>
      </c>
      <c r="AG189" s="126" t="str">
        <f t="shared" si="693"/>
        <v>Да</v>
      </c>
      <c r="AH189" s="126" t="str">
        <f t="shared" si="693"/>
        <v>Да</v>
      </c>
      <c r="AI189" s="126" t="str">
        <f t="shared" si="693"/>
        <v>Да</v>
      </c>
      <c r="AJ189" s="126" t="str">
        <f t="shared" si="693"/>
        <v>Да</v>
      </c>
      <c r="AK189" s="126" t="str">
        <f t="shared" si="693"/>
        <v>Да</v>
      </c>
      <c r="AL189" s="126" t="str">
        <f t="shared" si="693"/>
        <v>Да</v>
      </c>
      <c r="AM189" s="126" t="str">
        <f t="shared" si="693"/>
        <v>Да</v>
      </c>
      <c r="AN189" s="126" t="str">
        <f t="shared" si="693"/>
        <v>Да</v>
      </c>
      <c r="AO189" s="126" t="str">
        <f t="shared" si="693"/>
        <v>Да</v>
      </c>
      <c r="AP189" s="126" t="str">
        <f t="shared" si="693"/>
        <v>Да</v>
      </c>
      <c r="AQ189" s="126" t="str">
        <f t="shared" si="693"/>
        <v>Да</v>
      </c>
      <c r="AR189" s="126" t="str">
        <f t="shared" si="693"/>
        <v>Да</v>
      </c>
      <c r="AS189" s="126" t="str">
        <f t="shared" si="693"/>
        <v>Да</v>
      </c>
      <c r="AT189" s="126" t="str">
        <f t="shared" si="693"/>
        <v>Да</v>
      </c>
      <c r="AU189" s="126" t="str">
        <f t="shared" si="693"/>
        <v>Да</v>
      </c>
      <c r="AV189" s="126" t="str">
        <f t="shared" si="693"/>
        <v>Да</v>
      </c>
      <c r="AW189" s="126" t="str">
        <f t="shared" si="693"/>
        <v>Да</v>
      </c>
      <c r="AX189" s="126" t="str">
        <f t="shared" si="693"/>
        <v>Да</v>
      </c>
      <c r="AY189" s="126" t="str">
        <f t="shared" si="693"/>
        <v>Да</v>
      </c>
      <c r="AZ189" s="126" t="str">
        <f t="shared" si="693"/>
        <v>Да</v>
      </c>
      <c r="BA189" s="126" t="str">
        <f t="shared" si="693"/>
        <v>Да</v>
      </c>
      <c r="BB189" s="126" t="str">
        <f t="shared" si="693"/>
        <v>Да</v>
      </c>
      <c r="BC189" s="126" t="str">
        <f t="shared" si="693"/>
        <v>Да</v>
      </c>
      <c r="BD189" s="126" t="str">
        <f t="shared" si="693"/>
        <v>Да</v>
      </c>
      <c r="BE189" s="126" t="str">
        <f t="shared" si="693"/>
        <v>Да</v>
      </c>
      <c r="BF189" s="126" t="str">
        <f t="shared" si="693"/>
        <v>Да</v>
      </c>
      <c r="BG189" s="126" t="str">
        <f t="shared" si="693"/>
        <v>Да</v>
      </c>
      <c r="BH189" s="126" t="str">
        <f t="shared" si="693"/>
        <v>Да</v>
      </c>
      <c r="BI189" s="126" t="str">
        <f t="shared" si="693"/>
        <v>Да</v>
      </c>
      <c r="BJ189" s="126" t="str">
        <f t="shared" si="693"/>
        <v>Да</v>
      </c>
      <c r="BK189" s="126" t="str">
        <f t="shared" si="693"/>
        <v>Да</v>
      </c>
      <c r="BL189" s="126" t="str">
        <f t="shared" si="693"/>
        <v>Да</v>
      </c>
      <c r="BM189" s="126" t="str">
        <f t="shared" si="693"/>
        <v>Да</v>
      </c>
      <c r="BN189" s="126" t="str">
        <f t="shared" si="693"/>
        <v>Да</v>
      </c>
      <c r="BO189" s="126" t="str">
        <f t="shared" si="693"/>
        <v>Да</v>
      </c>
      <c r="BP189" s="126" t="str">
        <f t="shared" si="693"/>
        <v>Да</v>
      </c>
      <c r="BQ189" s="126" t="str">
        <f t="shared" si="693"/>
        <v>Да</v>
      </c>
      <c r="BR189" s="126" t="str">
        <f t="shared" si="693"/>
        <v>Да</v>
      </c>
      <c r="BS189" s="126" t="str">
        <f t="shared" si="693"/>
        <v>Да</v>
      </c>
      <c r="BT189" s="126" t="str">
        <f t="shared" si="693"/>
        <v>Да</v>
      </c>
      <c r="BU189" s="126" t="str">
        <f t="shared" si="693"/>
        <v>Да</v>
      </c>
      <c r="BV189" s="126" t="str">
        <f t="shared" si="693"/>
        <v>Да</v>
      </c>
      <c r="BW189" s="126" t="str">
        <f t="shared" si="693"/>
        <v>Да</v>
      </c>
      <c r="BX189" s="126" t="str">
        <f t="shared" si="693"/>
        <v>Да</v>
      </c>
      <c r="BY189" s="126" t="str">
        <f t="shared" si="693"/>
        <v>Да</v>
      </c>
      <c r="BZ189" s="126" t="str">
        <f t="shared" si="693"/>
        <v>Да</v>
      </c>
      <c r="CA189" s="126" t="str">
        <f t="shared" si="693"/>
        <v>Да</v>
      </c>
      <c r="CB189" s="126" t="str">
        <f t="shared" si="693"/>
        <v>Да</v>
      </c>
      <c r="CC189" s="126" t="str">
        <f t="shared" si="693"/>
        <v>Да</v>
      </c>
      <c r="CD189" s="126" t="str">
        <f t="shared" si="693"/>
        <v>Да</v>
      </c>
      <c r="CE189" s="126" t="str">
        <f t="shared" si="693"/>
        <v>Да</v>
      </c>
      <c r="CF189" s="126" t="str">
        <f t="shared" si="693"/>
        <v>Да</v>
      </c>
      <c r="CG189" s="126" t="str">
        <f t="shared" si="693"/>
        <v>Да</v>
      </c>
      <c r="CH189" s="126" t="str">
        <f t="shared" si="693"/>
        <v>Да</v>
      </c>
      <c r="CI189" s="126" t="str">
        <f t="shared" si="693"/>
        <v>Да</v>
      </c>
      <c r="CJ189" s="126" t="str">
        <f t="shared" si="693"/>
        <v>Да</v>
      </c>
      <c r="CK189" s="126" t="str">
        <f t="shared" si="693"/>
        <v>Да</v>
      </c>
      <c r="CL189" s="126" t="str">
        <f t="shared" si="693"/>
        <v>Да</v>
      </c>
      <c r="CM189" s="126" t="str">
        <f t="shared" si="693"/>
        <v>Да</v>
      </c>
      <c r="CN189" s="126" t="str">
        <f t="shared" si="693"/>
        <v>Да</v>
      </c>
      <c r="CO189" s="126"/>
    </row>
    <row r="190" spans="1:93" ht="12.75" customHeight="1">
      <c r="A190" s="117"/>
      <c r="B190" s="117"/>
      <c r="C190" s="124" t="s">
        <v>258</v>
      </c>
      <c r="D190" s="125">
        <f t="shared" ref="D190:CN190" si="694">ROUND(D177,0)-ROUND(D187,0)</f>
        <v>0</v>
      </c>
      <c r="E190" s="126">
        <f t="shared" si="694"/>
        <v>0</v>
      </c>
      <c r="F190" s="126">
        <f t="shared" si="694"/>
        <v>0</v>
      </c>
      <c r="G190" s="126">
        <f t="shared" si="694"/>
        <v>0</v>
      </c>
      <c r="H190" s="126">
        <f t="shared" si="694"/>
        <v>0</v>
      </c>
      <c r="I190" s="126">
        <f t="shared" si="694"/>
        <v>0</v>
      </c>
      <c r="J190" s="126">
        <f t="shared" si="694"/>
        <v>0</v>
      </c>
      <c r="K190" s="126">
        <f t="shared" si="694"/>
        <v>0</v>
      </c>
      <c r="L190" s="126">
        <f t="shared" si="694"/>
        <v>0</v>
      </c>
      <c r="M190" s="126">
        <f t="shared" si="694"/>
        <v>0</v>
      </c>
      <c r="N190" s="126">
        <f t="shared" si="694"/>
        <v>0</v>
      </c>
      <c r="O190" s="126">
        <f t="shared" si="694"/>
        <v>0</v>
      </c>
      <c r="P190" s="126">
        <f t="shared" si="694"/>
        <v>0</v>
      </c>
      <c r="Q190" s="126">
        <f t="shared" si="694"/>
        <v>0</v>
      </c>
      <c r="R190" s="126">
        <f t="shared" si="694"/>
        <v>0</v>
      </c>
      <c r="S190" s="126">
        <f t="shared" si="694"/>
        <v>0</v>
      </c>
      <c r="T190" s="126">
        <f t="shared" si="694"/>
        <v>0</v>
      </c>
      <c r="U190" s="126">
        <f t="shared" si="694"/>
        <v>0</v>
      </c>
      <c r="V190" s="126">
        <f t="shared" si="694"/>
        <v>0</v>
      </c>
      <c r="W190" s="126">
        <f t="shared" si="694"/>
        <v>0</v>
      </c>
      <c r="X190" s="126">
        <f t="shared" si="694"/>
        <v>0</v>
      </c>
      <c r="Y190" s="126">
        <f t="shared" si="694"/>
        <v>0</v>
      </c>
      <c r="Z190" s="126">
        <f t="shared" si="694"/>
        <v>0</v>
      </c>
      <c r="AA190" s="126">
        <f t="shared" si="694"/>
        <v>0</v>
      </c>
      <c r="AB190" s="126">
        <f t="shared" si="694"/>
        <v>0</v>
      </c>
      <c r="AC190" s="126">
        <f t="shared" si="694"/>
        <v>0</v>
      </c>
      <c r="AD190" s="126">
        <f t="shared" si="694"/>
        <v>0</v>
      </c>
      <c r="AE190" s="126">
        <f t="shared" si="694"/>
        <v>0</v>
      </c>
      <c r="AF190" s="126">
        <f t="shared" si="694"/>
        <v>0</v>
      </c>
      <c r="AG190" s="126">
        <f t="shared" si="694"/>
        <v>0</v>
      </c>
      <c r="AH190" s="126">
        <f t="shared" si="694"/>
        <v>0</v>
      </c>
      <c r="AI190" s="126">
        <f t="shared" si="694"/>
        <v>0</v>
      </c>
      <c r="AJ190" s="126">
        <f t="shared" si="694"/>
        <v>0</v>
      </c>
      <c r="AK190" s="126">
        <f t="shared" si="694"/>
        <v>0</v>
      </c>
      <c r="AL190" s="126">
        <f t="shared" si="694"/>
        <v>0</v>
      </c>
      <c r="AM190" s="126">
        <f t="shared" si="694"/>
        <v>0</v>
      </c>
      <c r="AN190" s="126">
        <f t="shared" si="694"/>
        <v>0</v>
      </c>
      <c r="AO190" s="126">
        <f t="shared" si="694"/>
        <v>0</v>
      </c>
      <c r="AP190" s="126">
        <f t="shared" si="694"/>
        <v>0</v>
      </c>
      <c r="AQ190" s="126">
        <f t="shared" si="694"/>
        <v>0</v>
      </c>
      <c r="AR190" s="126">
        <f t="shared" si="694"/>
        <v>0</v>
      </c>
      <c r="AS190" s="126">
        <f t="shared" si="694"/>
        <v>0</v>
      </c>
      <c r="AT190" s="126">
        <f t="shared" si="694"/>
        <v>0</v>
      </c>
      <c r="AU190" s="126">
        <f t="shared" si="694"/>
        <v>0</v>
      </c>
      <c r="AV190" s="126">
        <f t="shared" si="694"/>
        <v>0</v>
      </c>
      <c r="AW190" s="126">
        <f t="shared" si="694"/>
        <v>0</v>
      </c>
      <c r="AX190" s="126">
        <f t="shared" si="694"/>
        <v>0</v>
      </c>
      <c r="AY190" s="126">
        <f t="shared" si="694"/>
        <v>0</v>
      </c>
      <c r="AZ190" s="126">
        <f t="shared" si="694"/>
        <v>0</v>
      </c>
      <c r="BA190" s="126">
        <f t="shared" si="694"/>
        <v>0</v>
      </c>
      <c r="BB190" s="126">
        <f t="shared" si="694"/>
        <v>0</v>
      </c>
      <c r="BC190" s="126">
        <f t="shared" si="694"/>
        <v>0</v>
      </c>
      <c r="BD190" s="126">
        <f t="shared" si="694"/>
        <v>0</v>
      </c>
      <c r="BE190" s="126">
        <f t="shared" si="694"/>
        <v>0</v>
      </c>
      <c r="BF190" s="126">
        <f t="shared" si="694"/>
        <v>0</v>
      </c>
      <c r="BG190" s="126">
        <f t="shared" si="694"/>
        <v>0</v>
      </c>
      <c r="BH190" s="126">
        <f t="shared" si="694"/>
        <v>0</v>
      </c>
      <c r="BI190" s="126">
        <f t="shared" si="694"/>
        <v>0</v>
      </c>
      <c r="BJ190" s="126">
        <f t="shared" si="694"/>
        <v>0</v>
      </c>
      <c r="BK190" s="126">
        <f t="shared" si="694"/>
        <v>0</v>
      </c>
      <c r="BL190" s="126">
        <f t="shared" si="694"/>
        <v>0</v>
      </c>
      <c r="BM190" s="126">
        <f t="shared" si="694"/>
        <v>0</v>
      </c>
      <c r="BN190" s="126">
        <f t="shared" si="694"/>
        <v>0</v>
      </c>
      <c r="BO190" s="126">
        <f t="shared" si="694"/>
        <v>0</v>
      </c>
      <c r="BP190" s="126">
        <f t="shared" si="694"/>
        <v>0</v>
      </c>
      <c r="BQ190" s="126">
        <f t="shared" si="694"/>
        <v>0</v>
      </c>
      <c r="BR190" s="126">
        <f t="shared" si="694"/>
        <v>0</v>
      </c>
      <c r="BS190" s="126">
        <f t="shared" si="694"/>
        <v>0</v>
      </c>
      <c r="BT190" s="126">
        <f t="shared" si="694"/>
        <v>0</v>
      </c>
      <c r="BU190" s="126">
        <f t="shared" si="694"/>
        <v>0</v>
      </c>
      <c r="BV190" s="126">
        <f t="shared" si="694"/>
        <v>0</v>
      </c>
      <c r="BW190" s="126">
        <f t="shared" si="694"/>
        <v>0</v>
      </c>
      <c r="BX190" s="126">
        <f t="shared" si="694"/>
        <v>0</v>
      </c>
      <c r="BY190" s="126">
        <f t="shared" si="694"/>
        <v>0</v>
      </c>
      <c r="BZ190" s="126">
        <f t="shared" si="694"/>
        <v>0</v>
      </c>
      <c r="CA190" s="126">
        <f t="shared" si="694"/>
        <v>0</v>
      </c>
      <c r="CB190" s="126">
        <f t="shared" si="694"/>
        <v>0</v>
      </c>
      <c r="CC190" s="126">
        <f t="shared" si="694"/>
        <v>0</v>
      </c>
      <c r="CD190" s="126">
        <f t="shared" si="694"/>
        <v>0</v>
      </c>
      <c r="CE190" s="126">
        <f t="shared" si="694"/>
        <v>0</v>
      </c>
      <c r="CF190" s="126">
        <f t="shared" si="694"/>
        <v>0</v>
      </c>
      <c r="CG190" s="126">
        <f t="shared" si="694"/>
        <v>0</v>
      </c>
      <c r="CH190" s="126">
        <f t="shared" si="694"/>
        <v>0</v>
      </c>
      <c r="CI190" s="126">
        <f t="shared" si="694"/>
        <v>0</v>
      </c>
      <c r="CJ190" s="126">
        <f t="shared" si="694"/>
        <v>0</v>
      </c>
      <c r="CK190" s="126">
        <f t="shared" si="694"/>
        <v>0</v>
      </c>
      <c r="CL190" s="126">
        <f t="shared" si="694"/>
        <v>0</v>
      </c>
      <c r="CM190" s="126">
        <f t="shared" si="694"/>
        <v>0</v>
      </c>
      <c r="CN190" s="126">
        <f t="shared" si="694"/>
        <v>0</v>
      </c>
      <c r="CO190" s="126"/>
    </row>
  </sheetData>
  <pageMargins left="0.70866141732283472" right="0.70866141732283472" top="0.74803149606299213" bottom="0.74803149606299213" header="0" footer="0"/>
  <pageSetup paperSize="9" orientation="landscape" r:id="rId1"/>
  <headerFooter>
    <oddFooter>&amp;C&amp;P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rgb="FF0000FF"/>
  </sheetPr>
  <dimension ref="A1:AA186"/>
  <sheetViews>
    <sheetView showGridLines="0" workbookViewId="0">
      <pane xSplit="3" ySplit="6" topLeftCell="D72" activePane="bottomRight" state="frozen"/>
      <selection pane="topRight" activeCell="D1" sqref="D1"/>
      <selection pane="bottomLeft" activeCell="A7" sqref="A7"/>
      <selection pane="bottomRight" activeCell="D91" sqref="D91"/>
    </sheetView>
  </sheetViews>
  <sheetFormatPr defaultColWidth="14.453125" defaultRowHeight="15" customHeight="1" outlineLevelRow="4"/>
  <cols>
    <col min="1" max="1" width="1.1796875" customWidth="1"/>
    <col min="2" max="2" width="39.453125" customWidth="1"/>
    <col min="3" max="3" width="16.453125" customWidth="1"/>
    <col min="4" max="27" width="10.7265625" customWidth="1"/>
  </cols>
  <sheetData>
    <row r="1" spans="1:27" ht="2.25" customHeight="1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</row>
    <row r="2" spans="1:27" ht="2.25" customHeight="1">
      <c r="A2" s="35"/>
      <c r="B2" s="36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</row>
    <row r="3" spans="1:27" ht="12.75" customHeight="1">
      <c r="A3" s="35"/>
      <c r="B3" s="37"/>
      <c r="C3" s="38"/>
      <c r="D3" s="35"/>
      <c r="E3" s="35">
        <v>1</v>
      </c>
      <c r="F3" s="35">
        <v>2</v>
      </c>
      <c r="G3" s="35">
        <v>3</v>
      </c>
      <c r="H3" s="35">
        <v>4</v>
      </c>
      <c r="I3" s="35">
        <v>5</v>
      </c>
      <c r="J3" s="35">
        <v>6</v>
      </c>
      <c r="K3" s="35">
        <v>7</v>
      </c>
      <c r="L3" s="35">
        <v>8</v>
      </c>
      <c r="M3" s="35">
        <v>9</v>
      </c>
      <c r="N3" s="35">
        <v>10</v>
      </c>
      <c r="O3" s="35">
        <v>11</v>
      </c>
      <c r="P3" s="35">
        <v>12</v>
      </c>
      <c r="Q3" s="35">
        <v>13</v>
      </c>
      <c r="R3" s="35">
        <v>14</v>
      </c>
      <c r="S3" s="35">
        <v>15</v>
      </c>
      <c r="T3" s="35">
        <v>16</v>
      </c>
      <c r="U3" s="35">
        <v>17</v>
      </c>
      <c r="V3" s="35">
        <v>18</v>
      </c>
      <c r="W3" s="35">
        <v>19</v>
      </c>
      <c r="X3" s="35">
        <v>20</v>
      </c>
      <c r="Y3" s="35">
        <v>21</v>
      </c>
      <c r="Z3" s="35">
        <v>22</v>
      </c>
      <c r="AA3" s="35">
        <v>23</v>
      </c>
    </row>
    <row r="4" spans="1:27" ht="6.75" customHeight="1">
      <c r="A4" s="35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</row>
    <row r="5" spans="1:27" ht="6" customHeight="1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</row>
    <row r="6" spans="1:27" ht="12.75" customHeight="1">
      <c r="A6" s="35"/>
      <c r="B6" s="414" t="s">
        <v>607</v>
      </c>
      <c r="C6" s="43" t="s">
        <v>109</v>
      </c>
      <c r="D6" s="46" t="str">
        <f>Model!D6</f>
        <v>0 период</v>
      </c>
      <c r="E6" s="47">
        <f>YEAR(Model!E6)</f>
        <v>2023</v>
      </c>
      <c r="F6" s="47">
        <f t="shared" ref="F6:Z6" si="0">E6+1</f>
        <v>2024</v>
      </c>
      <c r="G6" s="47">
        <f t="shared" si="0"/>
        <v>2025</v>
      </c>
      <c r="H6" s="47">
        <f t="shared" si="0"/>
        <v>2026</v>
      </c>
      <c r="I6" s="47">
        <f t="shared" si="0"/>
        <v>2027</v>
      </c>
      <c r="J6" s="47">
        <f t="shared" si="0"/>
        <v>2028</v>
      </c>
      <c r="K6" s="47">
        <f t="shared" si="0"/>
        <v>2029</v>
      </c>
      <c r="L6" s="47">
        <f t="shared" si="0"/>
        <v>2030</v>
      </c>
      <c r="M6" s="47">
        <f t="shared" si="0"/>
        <v>2031</v>
      </c>
      <c r="N6" s="47">
        <f t="shared" si="0"/>
        <v>2032</v>
      </c>
      <c r="O6" s="47">
        <f t="shared" si="0"/>
        <v>2033</v>
      </c>
      <c r="P6" s="47">
        <f t="shared" si="0"/>
        <v>2034</v>
      </c>
      <c r="Q6" s="47">
        <f t="shared" si="0"/>
        <v>2035</v>
      </c>
      <c r="R6" s="47">
        <f t="shared" si="0"/>
        <v>2036</v>
      </c>
      <c r="S6" s="47">
        <f t="shared" si="0"/>
        <v>2037</v>
      </c>
      <c r="T6" s="47">
        <f t="shared" si="0"/>
        <v>2038</v>
      </c>
      <c r="U6" s="47">
        <f t="shared" si="0"/>
        <v>2039</v>
      </c>
      <c r="V6" s="47">
        <f t="shared" si="0"/>
        <v>2040</v>
      </c>
      <c r="W6" s="47">
        <f t="shared" si="0"/>
        <v>2041</v>
      </c>
      <c r="X6" s="47">
        <f t="shared" si="0"/>
        <v>2042</v>
      </c>
      <c r="Y6" s="47">
        <f t="shared" si="0"/>
        <v>2043</v>
      </c>
      <c r="Z6" s="47">
        <f t="shared" si="0"/>
        <v>2044</v>
      </c>
      <c r="AA6" s="48" t="s">
        <v>111</v>
      </c>
    </row>
    <row r="7" spans="1:27" ht="12.75" customHeight="1">
      <c r="A7" s="35"/>
      <c r="B7" s="415"/>
      <c r="C7" s="410"/>
      <c r="D7" s="413">
        <f>Model!D7</f>
        <v>0</v>
      </c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8"/>
    </row>
    <row r="8" spans="1:27" ht="12.75" customHeight="1" outlineLevel="1">
      <c r="A8" s="35"/>
      <c r="B8" s="417" t="s">
        <v>609</v>
      </c>
      <c r="C8" s="50"/>
      <c r="D8" s="53">
        <f>Model!D8</f>
        <v>0</v>
      </c>
      <c r="E8" s="50">
        <f>D8+1</f>
        <v>1</v>
      </c>
      <c r="F8" s="50">
        <f t="shared" ref="F8:Z8" si="1">E9+1</f>
        <v>5</v>
      </c>
      <c r="G8" s="50">
        <f t="shared" si="1"/>
        <v>9</v>
      </c>
      <c r="H8" s="50">
        <f t="shared" si="1"/>
        <v>13</v>
      </c>
      <c r="I8" s="50">
        <f t="shared" si="1"/>
        <v>17</v>
      </c>
      <c r="J8" s="50">
        <f t="shared" si="1"/>
        <v>21</v>
      </c>
      <c r="K8" s="50">
        <f t="shared" si="1"/>
        <v>25</v>
      </c>
      <c r="L8" s="50">
        <f t="shared" si="1"/>
        <v>29</v>
      </c>
      <c r="M8" s="50">
        <f t="shared" si="1"/>
        <v>33</v>
      </c>
      <c r="N8" s="50">
        <f t="shared" si="1"/>
        <v>37</v>
      </c>
      <c r="O8" s="50">
        <f t="shared" si="1"/>
        <v>41</v>
      </c>
      <c r="P8" s="50">
        <f t="shared" si="1"/>
        <v>45</v>
      </c>
      <c r="Q8" s="50">
        <f t="shared" si="1"/>
        <v>49</v>
      </c>
      <c r="R8" s="50">
        <f t="shared" si="1"/>
        <v>53</v>
      </c>
      <c r="S8" s="50">
        <f t="shared" si="1"/>
        <v>57</v>
      </c>
      <c r="T8" s="50">
        <f t="shared" si="1"/>
        <v>61</v>
      </c>
      <c r="U8" s="50">
        <f t="shared" si="1"/>
        <v>65</v>
      </c>
      <c r="V8" s="50">
        <f t="shared" si="1"/>
        <v>69</v>
      </c>
      <c r="W8" s="50">
        <f t="shared" si="1"/>
        <v>73</v>
      </c>
      <c r="X8" s="50">
        <f t="shared" si="1"/>
        <v>77</v>
      </c>
      <c r="Y8" s="50">
        <f t="shared" si="1"/>
        <v>81</v>
      </c>
      <c r="Z8" s="50">
        <f t="shared" si="1"/>
        <v>85</v>
      </c>
      <c r="AA8" s="50"/>
    </row>
    <row r="9" spans="1:27" ht="12.75" customHeight="1" outlineLevel="1">
      <c r="A9" s="35"/>
      <c r="B9" s="418" t="s">
        <v>608</v>
      </c>
      <c r="C9" s="55"/>
      <c r="D9" s="58">
        <f>Model!D9</f>
        <v>0</v>
      </c>
      <c r="E9" s="55">
        <f t="shared" ref="E9:Z9" si="2">E8+3</f>
        <v>4</v>
      </c>
      <c r="F9" s="55">
        <f t="shared" si="2"/>
        <v>8</v>
      </c>
      <c r="G9" s="55">
        <f t="shared" si="2"/>
        <v>12</v>
      </c>
      <c r="H9" s="55">
        <f t="shared" si="2"/>
        <v>16</v>
      </c>
      <c r="I9" s="55">
        <f t="shared" si="2"/>
        <v>20</v>
      </c>
      <c r="J9" s="55">
        <f t="shared" si="2"/>
        <v>24</v>
      </c>
      <c r="K9" s="55">
        <f t="shared" si="2"/>
        <v>28</v>
      </c>
      <c r="L9" s="55">
        <f t="shared" si="2"/>
        <v>32</v>
      </c>
      <c r="M9" s="55">
        <f t="shared" si="2"/>
        <v>36</v>
      </c>
      <c r="N9" s="55">
        <f t="shared" si="2"/>
        <v>40</v>
      </c>
      <c r="O9" s="55">
        <f t="shared" si="2"/>
        <v>44</v>
      </c>
      <c r="P9" s="55">
        <f t="shared" si="2"/>
        <v>48</v>
      </c>
      <c r="Q9" s="55">
        <f t="shared" si="2"/>
        <v>52</v>
      </c>
      <c r="R9" s="55">
        <f t="shared" si="2"/>
        <v>56</v>
      </c>
      <c r="S9" s="55">
        <f t="shared" si="2"/>
        <v>60</v>
      </c>
      <c r="T9" s="55">
        <f t="shared" si="2"/>
        <v>64</v>
      </c>
      <c r="U9" s="55">
        <f t="shared" si="2"/>
        <v>68</v>
      </c>
      <c r="V9" s="55">
        <f t="shared" si="2"/>
        <v>72</v>
      </c>
      <c r="W9" s="55">
        <f t="shared" si="2"/>
        <v>76</v>
      </c>
      <c r="X9" s="55">
        <f t="shared" si="2"/>
        <v>80</v>
      </c>
      <c r="Y9" s="55">
        <f t="shared" si="2"/>
        <v>84</v>
      </c>
      <c r="Z9" s="55">
        <f t="shared" si="2"/>
        <v>88</v>
      </c>
      <c r="AA9" s="55"/>
    </row>
    <row r="10" spans="1:27" ht="12.75" customHeight="1">
      <c r="A10" s="35"/>
      <c r="B10" s="35"/>
      <c r="C10" s="35"/>
      <c r="D10" s="60">
        <f>Model!D10</f>
        <v>0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</row>
    <row r="11" spans="1:27" ht="12.75" customHeight="1">
      <c r="A11" s="35"/>
      <c r="B11" s="35"/>
      <c r="C11" s="35"/>
      <c r="D11" s="60">
        <f>Model!D11</f>
        <v>0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</row>
    <row r="12" spans="1:27" ht="12.75" customHeight="1">
      <c r="A12" s="35"/>
      <c r="B12" s="42" t="s">
        <v>114</v>
      </c>
      <c r="C12" s="42"/>
      <c r="D12" s="61">
        <f>Model!D12</f>
        <v>0</v>
      </c>
      <c r="E12" s="62">
        <f t="shared" ref="E12" si="3">E6</f>
        <v>2023</v>
      </c>
      <c r="F12" s="62">
        <f t="shared" ref="F12:Z12" si="4">E12+1</f>
        <v>2024</v>
      </c>
      <c r="G12" s="62">
        <f t="shared" si="4"/>
        <v>2025</v>
      </c>
      <c r="H12" s="62">
        <f t="shared" si="4"/>
        <v>2026</v>
      </c>
      <c r="I12" s="62">
        <f t="shared" si="4"/>
        <v>2027</v>
      </c>
      <c r="J12" s="62">
        <f t="shared" si="4"/>
        <v>2028</v>
      </c>
      <c r="K12" s="62">
        <f t="shared" si="4"/>
        <v>2029</v>
      </c>
      <c r="L12" s="62">
        <f t="shared" si="4"/>
        <v>2030</v>
      </c>
      <c r="M12" s="62">
        <f t="shared" si="4"/>
        <v>2031</v>
      </c>
      <c r="N12" s="62">
        <f t="shared" si="4"/>
        <v>2032</v>
      </c>
      <c r="O12" s="62">
        <f t="shared" si="4"/>
        <v>2033</v>
      </c>
      <c r="P12" s="62">
        <f t="shared" si="4"/>
        <v>2034</v>
      </c>
      <c r="Q12" s="62">
        <f t="shared" si="4"/>
        <v>2035</v>
      </c>
      <c r="R12" s="62">
        <f t="shared" si="4"/>
        <v>2036</v>
      </c>
      <c r="S12" s="62">
        <f t="shared" si="4"/>
        <v>2037</v>
      </c>
      <c r="T12" s="62">
        <f t="shared" si="4"/>
        <v>2038</v>
      </c>
      <c r="U12" s="62">
        <f t="shared" si="4"/>
        <v>2039</v>
      </c>
      <c r="V12" s="62">
        <f t="shared" si="4"/>
        <v>2040</v>
      </c>
      <c r="W12" s="62">
        <f t="shared" si="4"/>
        <v>2041</v>
      </c>
      <c r="X12" s="62">
        <f t="shared" si="4"/>
        <v>2042</v>
      </c>
      <c r="Y12" s="62">
        <f t="shared" si="4"/>
        <v>2043</v>
      </c>
      <c r="Z12" s="62">
        <f t="shared" si="4"/>
        <v>2044</v>
      </c>
      <c r="AA12" s="62"/>
    </row>
    <row r="13" spans="1:27" ht="12.75" customHeight="1">
      <c r="A13" s="35"/>
      <c r="B13" s="63" t="s">
        <v>100</v>
      </c>
      <c r="C13" s="35">
        <f t="shared" ref="C13" si="5">SUM(D13:AA13)</f>
        <v>8036</v>
      </c>
      <c r="D13" s="60">
        <f>Model!D13</f>
        <v>0</v>
      </c>
      <c r="E13" s="35">
        <f>SUMPRODUCT(--(E$8&lt;=Model!$D$9:'Model'!$CN$9),--(E$9&gt;=Model!$D$9:'Model'!$CN$9),Model!$D13:'Model'!$CN13)</f>
        <v>366</v>
      </c>
      <c r="F13" s="35">
        <f>SUMPRODUCT(--(F$8&lt;=Model!$D$9:'Model'!$CN$9),--(F$9&gt;=Model!$D$9:'Model'!$CN$9),Model!$D13:'Model'!$CN13)</f>
        <v>365</v>
      </c>
      <c r="G13" s="35">
        <f>SUMPRODUCT(--(G$8&lt;=Model!$D$9:'Model'!$CN$9),--(G$9&gt;=Model!$D$9:'Model'!$CN$9),Model!$D13:'Model'!$CN13)</f>
        <v>365</v>
      </c>
      <c r="H13" s="35">
        <f>SUMPRODUCT(--(H$8&lt;=Model!$D$9:'Model'!$CN$9),--(H$9&gt;=Model!$D$9:'Model'!$CN$9),Model!$D13:'Model'!$CN13)</f>
        <v>365</v>
      </c>
      <c r="I13" s="35">
        <f>SUMPRODUCT(--(I$8&lt;=Model!$D$9:'Model'!$CN$9),--(I$9&gt;=Model!$D$9:'Model'!$CN$9),Model!$D13:'Model'!$CN13)</f>
        <v>366</v>
      </c>
      <c r="J13" s="35">
        <f>SUMPRODUCT(--(J$8&lt;=Model!$D$9:'Model'!$CN$9),--(J$9&gt;=Model!$D$9:'Model'!$CN$9),Model!$D13:'Model'!$CN13)</f>
        <v>365</v>
      </c>
      <c r="K13" s="35">
        <f>SUMPRODUCT(--(K$8&lt;=Model!$D$9:'Model'!$CN$9),--(K$9&gt;=Model!$D$9:'Model'!$CN$9),Model!$D13:'Model'!$CN13)</f>
        <v>365</v>
      </c>
      <c r="L13" s="35">
        <f>SUMPRODUCT(--(L$8&lt;=Model!$D$9:'Model'!$CN$9),--(L$9&gt;=Model!$D$9:'Model'!$CN$9),Model!$D13:'Model'!$CN13)</f>
        <v>365</v>
      </c>
      <c r="M13" s="35">
        <f>SUMPRODUCT(--(M$8&lt;=Model!$D$9:'Model'!$CN$9),--(M$9&gt;=Model!$D$9:'Model'!$CN$9),Model!$D13:'Model'!$CN13)</f>
        <v>366</v>
      </c>
      <c r="N13" s="35">
        <f>SUMPRODUCT(--(N$8&lt;=Model!$D$9:'Model'!$CN$9),--(N$9&gt;=Model!$D$9:'Model'!$CN$9),Model!$D13:'Model'!$CN13)</f>
        <v>365</v>
      </c>
      <c r="O13" s="35">
        <f>SUMPRODUCT(--(O$8&lt;=Model!$D$9:'Model'!$CN$9),--(O$9&gt;=Model!$D$9:'Model'!$CN$9),Model!$D13:'Model'!$CN13)</f>
        <v>365</v>
      </c>
      <c r="P13" s="35">
        <f>SUMPRODUCT(--(P$8&lt;=Model!$D$9:'Model'!$CN$9),--(P$9&gt;=Model!$D$9:'Model'!$CN$9),Model!$D13:'Model'!$CN13)</f>
        <v>365</v>
      </c>
      <c r="Q13" s="35">
        <f>SUMPRODUCT(--(Q$8&lt;=Model!$D$9:'Model'!$CN$9),--(Q$9&gt;=Model!$D$9:'Model'!$CN$9),Model!$D13:'Model'!$CN13)</f>
        <v>366</v>
      </c>
      <c r="R13" s="35">
        <f>SUMPRODUCT(--(R$8&lt;=Model!$D$9:'Model'!$CN$9),--(R$9&gt;=Model!$D$9:'Model'!$CN$9),Model!$D13:'Model'!$CN13)</f>
        <v>365</v>
      </c>
      <c r="S13" s="35">
        <f>SUMPRODUCT(--(S$8&lt;=Model!$D$9:'Model'!$CN$9),--(S$9&gt;=Model!$D$9:'Model'!$CN$9),Model!$D13:'Model'!$CN13)</f>
        <v>365</v>
      </c>
      <c r="T13" s="35">
        <f>SUMPRODUCT(--(T$8&lt;=Model!$D$9:'Model'!$CN$9),--(T$9&gt;=Model!$D$9:'Model'!$CN$9),Model!$D13:'Model'!$CN13)</f>
        <v>365</v>
      </c>
      <c r="U13" s="35">
        <f>SUMPRODUCT(--(U$8&lt;=Model!$D$9:'Model'!$CN$9),--(U$9&gt;=Model!$D$9:'Model'!$CN$9),Model!$D13:'Model'!$CN13)</f>
        <v>366</v>
      </c>
      <c r="V13" s="35">
        <f>SUMPRODUCT(--(V$8&lt;=Model!$D$9:'Model'!$CN$9),--(V$9&gt;=Model!$D$9:'Model'!$CN$9),Model!$D13:'Model'!$CN13)</f>
        <v>365</v>
      </c>
      <c r="W13" s="35">
        <f>SUMPRODUCT(--(W$8&lt;=Model!$D$9:'Model'!$CN$9),--(W$9&gt;=Model!$D$9:'Model'!$CN$9),Model!$D13:'Model'!$CN13)</f>
        <v>365</v>
      </c>
      <c r="X13" s="35">
        <f>SUMPRODUCT(--(X$8&lt;=Model!$D$9:'Model'!$CN$9),--(X$9&gt;=Model!$D$9:'Model'!$CN$9),Model!$D13:'Model'!$CN13)</f>
        <v>365</v>
      </c>
      <c r="Y13" s="35">
        <f>SUMPRODUCT(--(Y$8&lt;=Model!$D$9:'Model'!$CN$9),--(Y$9&gt;=Model!$D$9:'Model'!$CN$9),Model!$D13:'Model'!$CN13)</f>
        <v>366</v>
      </c>
      <c r="Z13" s="35">
        <f>SUMPRODUCT(--(Z$8&lt;=Model!$D$9:'Model'!$CN$9),--(Z$9&gt;=Model!$D$9:'Model'!$CN$9),Model!$D13:'Model'!$CN13)</f>
        <v>365</v>
      </c>
      <c r="AA13" s="35"/>
    </row>
    <row r="14" spans="1:27" ht="12.75" customHeight="1">
      <c r="A14" s="35"/>
      <c r="B14" s="63" t="s">
        <v>115</v>
      </c>
      <c r="C14" s="35"/>
      <c r="D14" s="64">
        <f>Model!D14</f>
        <v>0</v>
      </c>
      <c r="E14" s="39"/>
      <c r="F14" s="39"/>
      <c r="G14" s="39"/>
      <c r="H14" s="39"/>
      <c r="I14" s="39"/>
      <c r="J14" s="65">
        <v>1</v>
      </c>
      <c r="K14" s="65">
        <f>'выручка номеров'!C3+100%</f>
        <v>1.05</v>
      </c>
      <c r="L14" s="65">
        <f>'выручка номеров'!D3+100%</f>
        <v>1.05</v>
      </c>
      <c r="M14" s="65">
        <f>'выручка номеров'!E3+100%</f>
        <v>1.05</v>
      </c>
      <c r="N14" s="65">
        <f>'выручка номеров'!F3+100%</f>
        <v>1.05</v>
      </c>
      <c r="O14" s="65">
        <f>'выручка номеров'!G3+100%</f>
        <v>1.05</v>
      </c>
      <c r="P14" s="65">
        <f>'выручка номеров'!H3+100%</f>
        <v>1.05</v>
      </c>
      <c r="Q14" s="65">
        <f>'выручка номеров'!I3+100%</f>
        <v>1.05</v>
      </c>
      <c r="R14" s="65">
        <f>'выручка номеров'!J3+100%</f>
        <v>1.05</v>
      </c>
      <c r="S14" s="65">
        <f>'выручка номеров'!K3+100%</f>
        <v>1.05</v>
      </c>
      <c r="T14" s="65">
        <f>'выручка номеров'!L3+100%</f>
        <v>1.05</v>
      </c>
      <c r="U14" s="65">
        <f>'выручка номеров'!M3+100%</f>
        <v>1.05</v>
      </c>
      <c r="V14" s="65">
        <f>'выручка номеров'!N3+100%</f>
        <v>1.05</v>
      </c>
      <c r="W14" s="65">
        <f>'выручка номеров'!$O$3+100%</f>
        <v>1.05</v>
      </c>
      <c r="X14" s="65">
        <f>'выручка номеров'!$O$3+100%</f>
        <v>1.05</v>
      </c>
      <c r="Y14" s="65">
        <f>'выручка номеров'!$O$3+100%</f>
        <v>1.05</v>
      </c>
      <c r="Z14" s="65">
        <f>'выручка номеров'!$O$3+100%</f>
        <v>1.05</v>
      </c>
      <c r="AA14" s="65"/>
    </row>
    <row r="15" spans="1:27" ht="12.75" customHeight="1">
      <c r="A15" s="35"/>
      <c r="B15" s="63" t="s">
        <v>116</v>
      </c>
      <c r="C15" s="35"/>
      <c r="D15" s="64">
        <f>Model!D15</f>
        <v>0</v>
      </c>
      <c r="E15" s="39"/>
      <c r="F15" s="39"/>
      <c r="G15" s="39"/>
      <c r="H15" s="39"/>
      <c r="I15" s="39"/>
      <c r="J15" s="39">
        <f>'выручка номеров'!$O12</f>
        <v>0.66666666666666663</v>
      </c>
      <c r="K15" s="39">
        <f>'выручка номеров'!$O48</f>
        <v>0.66666666666666663</v>
      </c>
      <c r="L15" s="39">
        <f>'выручка номеров'!$O84</f>
        <v>0.71666666666666679</v>
      </c>
      <c r="M15" s="39">
        <f t="shared" ref="M15:Z15" si="6">L15</f>
        <v>0.71666666666666679</v>
      </c>
      <c r="N15" s="39">
        <f t="shared" si="6"/>
        <v>0.71666666666666679</v>
      </c>
      <c r="O15" s="39">
        <f t="shared" si="6"/>
        <v>0.71666666666666679</v>
      </c>
      <c r="P15" s="39">
        <f t="shared" si="6"/>
        <v>0.71666666666666679</v>
      </c>
      <c r="Q15" s="39">
        <f t="shared" si="6"/>
        <v>0.71666666666666679</v>
      </c>
      <c r="R15" s="39">
        <f t="shared" si="6"/>
        <v>0.71666666666666679</v>
      </c>
      <c r="S15" s="39">
        <f t="shared" si="6"/>
        <v>0.71666666666666679</v>
      </c>
      <c r="T15" s="39">
        <f t="shared" si="6"/>
        <v>0.71666666666666679</v>
      </c>
      <c r="U15" s="39">
        <f t="shared" si="6"/>
        <v>0.71666666666666679</v>
      </c>
      <c r="V15" s="39">
        <f t="shared" si="6"/>
        <v>0.71666666666666679</v>
      </c>
      <c r="W15" s="39">
        <f t="shared" si="6"/>
        <v>0.71666666666666679</v>
      </c>
      <c r="X15" s="39">
        <f t="shared" si="6"/>
        <v>0.71666666666666679</v>
      </c>
      <c r="Y15" s="39">
        <f t="shared" si="6"/>
        <v>0.71666666666666679</v>
      </c>
      <c r="Z15" s="39">
        <f t="shared" si="6"/>
        <v>0.71666666666666679</v>
      </c>
      <c r="AA15" s="39"/>
    </row>
    <row r="16" spans="1:27" ht="12.75" customHeight="1">
      <c r="A16" s="35"/>
      <c r="B16" s="63" t="s">
        <v>117</v>
      </c>
      <c r="C16" s="35"/>
      <c r="D16" s="64">
        <f>Model!D16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</row>
    <row r="17" spans="1:27" ht="12.75" customHeight="1">
      <c r="A17" s="35"/>
      <c r="B17" s="35"/>
      <c r="C17" s="35"/>
      <c r="D17" s="60">
        <f>Model!D17</f>
        <v>0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</row>
    <row r="18" spans="1:27" ht="12.75" customHeight="1">
      <c r="A18" s="35"/>
      <c r="B18" s="67" t="s">
        <v>118</v>
      </c>
      <c r="C18" s="68"/>
      <c r="D18" s="61" t="str">
        <f>Model!D18</f>
        <v>0 период</v>
      </c>
      <c r="E18" s="62">
        <f t="shared" ref="E18" si="7">E6</f>
        <v>2023</v>
      </c>
      <c r="F18" s="62">
        <f t="shared" ref="F18:Z18" si="8">E18+1</f>
        <v>2024</v>
      </c>
      <c r="G18" s="62">
        <f t="shared" si="8"/>
        <v>2025</v>
      </c>
      <c r="H18" s="62">
        <f t="shared" si="8"/>
        <v>2026</v>
      </c>
      <c r="I18" s="62">
        <f t="shared" si="8"/>
        <v>2027</v>
      </c>
      <c r="J18" s="62">
        <f t="shared" si="8"/>
        <v>2028</v>
      </c>
      <c r="K18" s="62">
        <f t="shared" si="8"/>
        <v>2029</v>
      </c>
      <c r="L18" s="62">
        <f t="shared" si="8"/>
        <v>2030</v>
      </c>
      <c r="M18" s="62">
        <f t="shared" si="8"/>
        <v>2031</v>
      </c>
      <c r="N18" s="62">
        <f t="shared" si="8"/>
        <v>2032</v>
      </c>
      <c r="O18" s="62">
        <f t="shared" si="8"/>
        <v>2033</v>
      </c>
      <c r="P18" s="62">
        <f t="shared" si="8"/>
        <v>2034</v>
      </c>
      <c r="Q18" s="62">
        <f t="shared" si="8"/>
        <v>2035</v>
      </c>
      <c r="R18" s="62">
        <f t="shared" si="8"/>
        <v>2036</v>
      </c>
      <c r="S18" s="62">
        <f t="shared" si="8"/>
        <v>2037</v>
      </c>
      <c r="T18" s="62">
        <f t="shared" si="8"/>
        <v>2038</v>
      </c>
      <c r="U18" s="62">
        <f t="shared" si="8"/>
        <v>2039</v>
      </c>
      <c r="V18" s="62">
        <f t="shared" si="8"/>
        <v>2040</v>
      </c>
      <c r="W18" s="62">
        <f t="shared" si="8"/>
        <v>2041</v>
      </c>
      <c r="X18" s="62">
        <f t="shared" si="8"/>
        <v>2042</v>
      </c>
      <c r="Y18" s="62">
        <f t="shared" si="8"/>
        <v>2043</v>
      </c>
      <c r="Z18" s="62">
        <f t="shared" si="8"/>
        <v>2044</v>
      </c>
      <c r="AA18" s="62"/>
    </row>
    <row r="19" spans="1:27" ht="12.75" customHeight="1" outlineLevel="4">
      <c r="A19" s="35"/>
      <c r="B19" s="63" t="str">
        <f>'Итого выручка 1 этапа'!A3</f>
        <v>Гостиничный комплекс 4* "У Бювета"</v>
      </c>
      <c r="C19" s="35">
        <f t="shared" ref="C19:C56" si="9">SUM(D19:AA19)</f>
        <v>9898154.6238863673</v>
      </c>
      <c r="D19" s="60">
        <f>Model!D19</f>
        <v>0</v>
      </c>
      <c r="E19" s="35">
        <f>SUMPRODUCT(--(E$8&lt;=Model!$D$9:'Model'!$CN$9),--(E$9&gt;=Model!$D$9:'Model'!$CN$9),Model!$D19:'Model'!$CN19)</f>
        <v>0</v>
      </c>
      <c r="F19" s="35">
        <f>SUMPRODUCT(--(F$8&lt;=Model!$D$9:'Model'!$CN$9),--(F$9&gt;=Model!$D$9:'Model'!$CN$9),Model!$D19:'Model'!$CN19)</f>
        <v>0</v>
      </c>
      <c r="G19" s="35">
        <f>SUMPRODUCT(--(G$8&lt;=Model!$D$9:'Model'!$CN$9),--(G$9&gt;=Model!$D$9:'Model'!$CN$9),Model!$D19:'Model'!$CN19)</f>
        <v>0</v>
      </c>
      <c r="H19" s="35">
        <f>SUMPRODUCT(--(H$8&lt;=Model!$D$9:'Model'!$CN$9),--(H$9&gt;=Model!$D$9:'Model'!$CN$9),Model!$D19:'Model'!$CN19)</f>
        <v>0</v>
      </c>
      <c r="I19" s="35">
        <f>SUMPRODUCT(--(I$8&lt;=Model!$D$9:'Model'!$CN$9),--(I$9&gt;=Model!$D$9:'Model'!$CN$9),Model!$D19:'Model'!$CN19)</f>
        <v>265188.05794249999</v>
      </c>
      <c r="J19" s="35">
        <f>SUMPRODUCT(--(J$8&lt;=Model!$D$9:'Model'!$CN$9),--(J$9&gt;=Model!$D$9:'Model'!$CN$9),Model!$D19:'Model'!$CN19)</f>
        <v>426501.34895885002</v>
      </c>
      <c r="K19" s="35">
        <f>SUMPRODUCT(--(K$8&lt;=Model!$D$9:'Model'!$CN$9),--(K$9&gt;=Model!$D$9:'Model'!$CN$9),Model!$D19:'Model'!$CN19)</f>
        <v>463962.57001111808</v>
      </c>
      <c r="L19" s="35">
        <f>SUMPRODUCT(--(L$8&lt;=Model!$D$9:'Model'!$CN$9),--(L$9&gt;=Model!$D$9:'Model'!$CN$9),Model!$D19:'Model'!$CN19)</f>
        <v>429380.52016348531</v>
      </c>
      <c r="M19" s="35">
        <f>SUMPRODUCT(--(M$8&lt;=Model!$D$9:'Model'!$CN$9),--(M$9&gt;=Model!$D$9:'Model'!$CN$9),Model!$D19:'Model'!$CN19)</f>
        <v>493908.49787662522</v>
      </c>
      <c r="N19" s="35">
        <f>SUMPRODUCT(--(N$8&lt;=Model!$D$9:'Model'!$CN$9),--(N$9&gt;=Model!$D$9:'Model'!$CN$9),Model!$D19:'Model'!$CN19)</f>
        <v>482745.94567194628</v>
      </c>
      <c r="O19" s="35">
        <f>SUMPRODUCT(--(O$8&lt;=Model!$D$9:'Model'!$CN$9),--(O$9&gt;=Model!$D$9:'Model'!$CN$9),Model!$D19:'Model'!$CN19)</f>
        <v>553149.83288182586</v>
      </c>
      <c r="P19" s="35">
        <f>SUMPRODUCT(--(P$8&lt;=Model!$D$9:'Model'!$CN$9),--(P$9&gt;=Model!$D$9:'Model'!$CN$9),Model!$D19:'Model'!$CN19)</f>
        <v>520233.91416672943</v>
      </c>
      <c r="Q19" s="35">
        <f>SUMPRODUCT(--(Q$8&lt;=Model!$D$9:'Model'!$CN$9),--(Q$9&gt;=Model!$D$9:'Model'!$CN$9),Model!$D19:'Model'!$CN19)</f>
        <v>616342.6447352299</v>
      </c>
      <c r="R19" s="35">
        <f>SUMPRODUCT(--(R$8&lt;=Model!$D$9:'Model'!$CN$9),--(R$9&gt;=Model!$D$9:'Model'!$CN$9),Model!$D19:'Model'!$CN19)</f>
        <v>563949.40361457667</v>
      </c>
      <c r="S19" s="35">
        <f>SUMPRODUCT(--(S$8&lt;=Model!$D$9:'Model'!$CN$9),--(S$9&gt;=Model!$D$9:'Model'!$CN$9),Model!$D19:'Model'!$CN19)</f>
        <v>521914.70588696754</v>
      </c>
      <c r="T19" s="35">
        <f>SUMPRODUCT(--(T$8&lt;=Model!$D$9:'Model'!$CN$9),--(T$9&gt;=Model!$D$9:'Model'!$CN$9),Model!$D19:'Model'!$CN19)</f>
        <v>600348.86609714979</v>
      </c>
      <c r="U19" s="35">
        <f>SUMPRODUCT(--(U$8&lt;=Model!$D$9:'Model'!$CN$9),--(U$9&gt;=Model!$D$9:'Model'!$CN$9),Model!$D19:'Model'!$CN19)</f>
        <v>586780.71412641124</v>
      </c>
      <c r="V19" s="35">
        <f>SUMPRODUCT(--(V$8&lt;=Model!$D$9:'Model'!$CN$9),--(V$9&gt;=Model!$D$9:'Model'!$CN$9),Model!$D19:'Model'!$CN19)</f>
        <v>672357.07905431488</v>
      </c>
      <c r="W19" s="35">
        <f>SUMPRODUCT(--(W$8&lt;=Model!$D$9:'Model'!$CN$9),--(W$9&gt;=Model!$D$9:'Model'!$CN$9),Model!$D19:'Model'!$CN19)</f>
        <v>632347.57413162326</v>
      </c>
      <c r="X19" s="35">
        <f>SUMPRODUCT(--(X$8&lt;=Model!$D$9:'Model'!$CN$9),--(X$9&gt;=Model!$D$9:'Model'!$CN$9),Model!$D19:'Model'!$CN19)</f>
        <v>749168.33681720169</v>
      </c>
      <c r="Y19" s="35">
        <f>SUMPRODUCT(--(Y$8&lt;=Model!$D$9:'Model'!$CN$9),--(Y$9&gt;=Model!$D$9:'Model'!$CN$9),Model!$D19:'Model'!$CN19)</f>
        <v>685484.02477729064</v>
      </c>
      <c r="Z19" s="35">
        <f>SUMPRODUCT(--(Z$8&lt;=Model!$D$9:'Model'!$CN$9),--(Z$9&gt;=Model!$D$9:'Model'!$CN$9),Model!$D19:'Model'!$CN19)</f>
        <v>634390.58697252092</v>
      </c>
      <c r="AA19" s="35"/>
    </row>
    <row r="20" spans="1:27" ht="12.75" customHeight="1" outlineLevel="4">
      <c r="A20" s="35"/>
      <c r="B20" s="63" t="str">
        <f>'Итого выручка 1 этапа'!A11</f>
        <v>Действующий корпус санатория с новым бальнеологическим комплексом</v>
      </c>
      <c r="C20" s="35">
        <f t="shared" si="9"/>
        <v>2350900.0176159008</v>
      </c>
      <c r="D20" s="60">
        <f>Model!D20</f>
        <v>0</v>
      </c>
      <c r="E20" s="35">
        <f>SUMPRODUCT(--(E$8&lt;=Model!$D$9:'Model'!$CN$9),--(E$9&gt;=Model!$D$9:'Model'!$CN$9),Model!$D20:'Model'!$CN20)</f>
        <v>0</v>
      </c>
      <c r="F20" s="35">
        <f>SUMPRODUCT(--(F$8&lt;=Model!$D$9:'Model'!$CN$9),--(F$9&gt;=Model!$D$9:'Model'!$CN$9),Model!$D20:'Model'!$CN20)</f>
        <v>0</v>
      </c>
      <c r="G20" s="35">
        <f>SUMPRODUCT(--(G$8&lt;=Model!$D$9:'Model'!$CN$9),--(G$9&gt;=Model!$D$9:'Model'!$CN$9),Model!$D20:'Model'!$CN20)</f>
        <v>0</v>
      </c>
      <c r="H20" s="35">
        <f>SUMPRODUCT(--(H$8&lt;=Model!$D$9:'Model'!$CN$9),--(H$9&gt;=Model!$D$9:'Model'!$CN$9),Model!$D20:'Model'!$CN20)</f>
        <v>0</v>
      </c>
      <c r="I20" s="35">
        <f>SUMPRODUCT(--(I$8&lt;=Model!$D$9:'Model'!$CN$9),--(I$9&gt;=Model!$D$9:'Model'!$CN$9),Model!$D20:'Model'!$CN20)</f>
        <v>53995.788</v>
      </c>
      <c r="J20" s="35">
        <f>SUMPRODUCT(--(J$8&lt;=Model!$D$9:'Model'!$CN$9),--(J$9&gt;=Model!$D$9:'Model'!$CN$9),Model!$D20:'Model'!$CN20)</f>
        <v>100672.94159999998</v>
      </c>
      <c r="K20" s="35">
        <f>SUMPRODUCT(--(K$8&lt;=Model!$D$9:'Model'!$CN$9),--(K$9&gt;=Model!$D$9:'Model'!$CN$9),Model!$D20:'Model'!$CN20)</f>
        <v>112001.29964099999</v>
      </c>
      <c r="L20" s="35">
        <f>SUMPRODUCT(--(L$8&lt;=Model!$D$9:'Model'!$CN$9),--(L$9&gt;=Model!$D$9:'Model'!$CN$9),Model!$D20:'Model'!$CN20)</f>
        <v>106977.23293949998</v>
      </c>
      <c r="M20" s="35">
        <f>SUMPRODUCT(--(M$8&lt;=Model!$D$9:'Model'!$CN$9),--(M$9&gt;=Model!$D$9:'Model'!$CN$9),Model!$D20:'Model'!$CN20)</f>
        <v>120545.357573025</v>
      </c>
      <c r="N20" s="35">
        <f>SUMPRODUCT(--(N$8&lt;=Model!$D$9:'Model'!$CN$9),--(N$9&gt;=Model!$D$9:'Model'!$CN$9),Model!$D20:'Model'!$CN20)</f>
        <v>115433.67281595187</v>
      </c>
      <c r="O20" s="35">
        <f>SUMPRODUCT(--(O$8&lt;=Model!$D$9:'Model'!$CN$9),--(O$9&gt;=Model!$D$9:'Model'!$CN$9),Model!$D20:'Model'!$CN20)</f>
        <v>129167.24715928687</v>
      </c>
      <c r="P20" s="35">
        <f>SUMPRODUCT(--(P$8&lt;=Model!$D$9:'Model'!$CN$9),--(P$9&gt;=Model!$D$9:'Model'!$CN$9),Model!$D20:'Model'!$CN20)</f>
        <v>125262.54674093379</v>
      </c>
      <c r="Q20" s="35">
        <f>SUMPRODUCT(--(Q$8&lt;=Model!$D$9:'Model'!$CN$9),--(Q$9&gt;=Model!$D$9:'Model'!$CN$9),Model!$D20:'Model'!$CN20)</f>
        <v>135882.32493864754</v>
      </c>
      <c r="R20" s="35">
        <f>SUMPRODUCT(--(R$8&lt;=Model!$D$9:'Model'!$CN$9),--(R$9&gt;=Model!$D$9:'Model'!$CN$9),Model!$D20:'Model'!$CN20)</f>
        <v>136138.27972175827</v>
      </c>
      <c r="S20" s="35">
        <f>SUMPRODUCT(--(S$8&lt;=Model!$D$9:'Model'!$CN$9),--(S$9&gt;=Model!$D$9:'Model'!$CN$9),Model!$D20:'Model'!$CN20)</f>
        <v>130031.49524566813</v>
      </c>
      <c r="T20" s="35">
        <f>SUMPRODUCT(--(T$8&lt;=Model!$D$9:'Model'!$CN$9),--(T$9&gt;=Model!$D$9:'Model'!$CN$9),Model!$D20:'Model'!$CN20)</f>
        <v>146523.63553849675</v>
      </c>
      <c r="U20" s="35">
        <f>SUMPRODUCT(--(U$8&lt;=Model!$D$9:'Model'!$CN$9),--(U$9&gt;=Model!$D$9:'Model'!$CN$9),Model!$D20:'Model'!$CN20)</f>
        <v>140310.35076824462</v>
      </c>
      <c r="V20" s="35">
        <f>SUMPRODUCT(--(V$8&lt;=Model!$D$9:'Model'!$CN$9),--(V$9&gt;=Model!$D$9:'Model'!$CN$9),Model!$D20:'Model'!$CN20)</f>
        <v>157003.59621740796</v>
      </c>
      <c r="W20" s="35">
        <f>SUMPRODUCT(--(W$8&lt;=Model!$D$9:'Model'!$CN$9),--(W$9&gt;=Model!$D$9:'Model'!$CN$9),Model!$D20:'Model'!$CN20)</f>
        <v>152257.40845452217</v>
      </c>
      <c r="X20" s="35">
        <f>SUMPRODUCT(--(X$8&lt;=Model!$D$9:'Model'!$CN$9),--(X$9&gt;=Model!$D$9:'Model'!$CN$9),Model!$D20:'Model'!$CN20)</f>
        <v>165165.81522745697</v>
      </c>
      <c r="Y20" s="35">
        <f>SUMPRODUCT(--(Y$8&lt;=Model!$D$9:'Model'!$CN$9),--(Y$9&gt;=Model!$D$9:'Model'!$CN$9),Model!$D20:'Model'!$CN20)</f>
        <v>165476.92986604548</v>
      </c>
      <c r="Z20" s="35">
        <f>SUMPRODUCT(--(Z$8&lt;=Model!$D$9:'Model'!$CN$9),--(Z$9&gt;=Model!$D$9:'Model'!$CN$9),Model!$D20:'Model'!$CN20)</f>
        <v>158054.09516795492</v>
      </c>
      <c r="AA20" s="35"/>
    </row>
    <row r="21" spans="1:27" ht="12.75" customHeight="1" outlineLevel="4">
      <c r="A21" s="35"/>
      <c r="B21" s="63" t="str">
        <f>'Итого выручка 1 этапа'!A17</f>
        <v>Эко-вилладж 4*</v>
      </c>
      <c r="C21" s="35">
        <f t="shared" si="9"/>
        <v>426016.31246437336</v>
      </c>
      <c r="D21" s="60">
        <f>Model!D21</f>
        <v>0</v>
      </c>
      <c r="E21" s="35">
        <f>SUMPRODUCT(--(E$8&lt;=Model!$D$9:'Model'!$CN$9),--(E$9&gt;=Model!$D$9:'Model'!$CN$9),Model!$D21:'Model'!$CN21)</f>
        <v>0</v>
      </c>
      <c r="F21" s="35">
        <f>SUMPRODUCT(--(F$8&lt;=Model!$D$9:'Model'!$CN$9),--(F$9&gt;=Model!$D$9:'Model'!$CN$9),Model!$D21:'Model'!$CN21)</f>
        <v>0</v>
      </c>
      <c r="G21" s="35">
        <f>SUMPRODUCT(--(G$8&lt;=Model!$D$9:'Model'!$CN$9),--(G$9&gt;=Model!$D$9:'Model'!$CN$9),Model!$D21:'Model'!$CN21)</f>
        <v>0</v>
      </c>
      <c r="H21" s="35">
        <f>SUMPRODUCT(--(H$8&lt;=Model!$D$9:'Model'!$CN$9),--(H$9&gt;=Model!$D$9:'Model'!$CN$9),Model!$D21:'Model'!$CN21)</f>
        <v>0</v>
      </c>
      <c r="I21" s="35">
        <f>SUMPRODUCT(--(I$8&lt;=Model!$D$9:'Model'!$CN$9),--(I$9&gt;=Model!$D$9:'Model'!$CN$9),Model!$D21:'Model'!$CN21)</f>
        <v>9784.7999999999993</v>
      </c>
      <c r="J21" s="35">
        <f>SUMPRODUCT(--(J$8&lt;=Model!$D$9:'Model'!$CN$9),--(J$9&gt;=Model!$D$9:'Model'!$CN$9),Model!$D21:'Model'!$CN21)</f>
        <v>18243.36</v>
      </c>
      <c r="K21" s="35">
        <f>SUMPRODUCT(--(K$8&lt;=Model!$D$9:'Model'!$CN$9),--(K$9&gt;=Model!$D$9:'Model'!$CN$9),Model!$D21:'Model'!$CN21)</f>
        <v>20296.2186</v>
      </c>
      <c r="L21" s="35">
        <f>SUMPRODUCT(--(L$8&lt;=Model!$D$9:'Model'!$CN$9),--(L$9&gt;=Model!$D$9:'Model'!$CN$9),Model!$D21:'Model'!$CN21)</f>
        <v>19385.786700000004</v>
      </c>
      <c r="M21" s="35">
        <f>SUMPRODUCT(--(M$8&lt;=Model!$D$9:'Model'!$CN$9),--(M$9&gt;=Model!$D$9:'Model'!$CN$9),Model!$D21:'Model'!$CN21)</f>
        <v>21844.522665</v>
      </c>
      <c r="N21" s="35">
        <f>SUMPRODUCT(--(N$8&lt;=Model!$D$9:'Model'!$CN$9),--(N$9&gt;=Model!$D$9:'Model'!$CN$9),Model!$D21:'Model'!$CN21)</f>
        <v>20918.213134875004</v>
      </c>
      <c r="O21" s="35">
        <f>SUMPRODUCT(--(O$8&lt;=Model!$D$9:'Model'!$CN$9),--(O$9&gt;=Model!$D$9:'Model'!$CN$9),Model!$D21:'Model'!$CN21)</f>
        <v>23406.930925875</v>
      </c>
      <c r="P21" s="35">
        <f>SUMPRODUCT(--(P$8&lt;=Model!$D$9:'Model'!$CN$9),--(P$9&gt;=Model!$D$9:'Model'!$CN$9),Model!$D21:'Model'!$CN21)</f>
        <v>22699.344018290631</v>
      </c>
      <c r="Q21" s="35">
        <f>SUMPRODUCT(--(Q$8&lt;=Model!$D$9:'Model'!$CN$9),--(Q$9&gt;=Model!$D$9:'Model'!$CN$9),Model!$D21:'Model'!$CN21)</f>
        <v>24623.797935121878</v>
      </c>
      <c r="R21" s="35">
        <f>SUMPRODUCT(--(R$8&lt;=Model!$D$9:'Model'!$CN$9),--(R$9&gt;=Model!$D$9:'Model'!$CN$9),Model!$D21:'Model'!$CN21)</f>
        <v>24670.180559666256</v>
      </c>
      <c r="S21" s="35">
        <f>SUMPRODUCT(--(S$8&lt;=Model!$D$9:'Model'!$CN$9),--(S$9&gt;=Model!$D$9:'Model'!$CN$9),Model!$D21:'Model'!$CN21)</f>
        <v>23563.544895016879</v>
      </c>
      <c r="T21" s="35">
        <f>SUMPRODUCT(--(T$8&lt;=Model!$D$9:'Model'!$CN$9),--(T$9&gt;=Model!$D$9:'Model'!$CN$9),Model!$D21:'Model'!$CN21)</f>
        <v>26552.153827574162</v>
      </c>
      <c r="U21" s="35">
        <f>SUMPRODUCT(--(U$8&lt;=Model!$D$9:'Model'!$CN$9),--(U$9&gt;=Model!$D$9:'Model'!$CN$9),Model!$D21:'Model'!$CN21)</f>
        <v>25426.218804272663</v>
      </c>
      <c r="V21" s="35">
        <f>SUMPRODUCT(--(V$8&lt;=Model!$D$9:'Model'!$CN$9),--(V$9&gt;=Model!$D$9:'Model'!$CN$9),Model!$D21:'Model'!$CN21)</f>
        <v>28451.270833719358</v>
      </c>
      <c r="W21" s="35">
        <f>SUMPRODUCT(--(W$8&lt;=Model!$D$9:'Model'!$CN$9),--(W$9&gt;=Model!$D$9:'Model'!$CN$9),Model!$D21:'Model'!$CN21)</f>
        <v>27591.194525132381</v>
      </c>
      <c r="X21" s="35">
        <f>SUMPRODUCT(--(X$8&lt;=Model!$D$9:'Model'!$CN$9),--(X$9&gt;=Model!$D$9:'Model'!$CN$9),Model!$D21:'Model'!$CN21)</f>
        <v>29930.380288877746</v>
      </c>
      <c r="Y21" s="35">
        <f>SUMPRODUCT(--(Y$8&lt;=Model!$D$9:'Model'!$CN$9),--(Y$9&gt;=Model!$D$9:'Model'!$CN$9),Model!$D21:'Model'!$CN21)</f>
        <v>29986.758658902836</v>
      </c>
      <c r="Z21" s="35">
        <f>SUMPRODUCT(--(Z$8&lt;=Model!$D$9:'Model'!$CN$9),--(Z$9&gt;=Model!$D$9:'Model'!$CN$9),Model!$D21:'Model'!$CN21)</f>
        <v>28641.636092048615</v>
      </c>
      <c r="AA21" s="35"/>
    </row>
    <row r="22" spans="1:27" ht="12.75" customHeight="1" outlineLevel="4">
      <c r="A22" s="35"/>
      <c r="B22" s="63" t="e">
        <f>'Итого выручка 1 этапа'!#REF!</f>
        <v>#REF!</v>
      </c>
      <c r="C22" s="35">
        <f t="shared" si="9"/>
        <v>4066860.919403879</v>
      </c>
      <c r="D22" s="60">
        <f>Model!D22</f>
        <v>0</v>
      </c>
      <c r="E22" s="35">
        <f>SUMPRODUCT(--(E$8&lt;=Model!$D$9:'Model'!$CN$9),--(E$9&gt;=Model!$D$9:'Model'!$CN$9),Model!$D22:'Model'!$CN22)</f>
        <v>0</v>
      </c>
      <c r="F22" s="35">
        <f>SUMPRODUCT(--(F$8&lt;=Model!$D$9:'Model'!$CN$9),--(F$9&gt;=Model!$D$9:'Model'!$CN$9),Model!$D22:'Model'!$CN22)</f>
        <v>0</v>
      </c>
      <c r="G22" s="35">
        <f>SUMPRODUCT(--(G$8&lt;=Model!$D$9:'Model'!$CN$9),--(G$9&gt;=Model!$D$9:'Model'!$CN$9),Model!$D22:'Model'!$CN22)</f>
        <v>0</v>
      </c>
      <c r="H22" s="35">
        <f>SUMPRODUCT(--(H$8&lt;=Model!$D$9:'Model'!$CN$9),--(H$9&gt;=Model!$D$9:'Model'!$CN$9),Model!$D22:'Model'!$CN22)</f>
        <v>0</v>
      </c>
      <c r="I22" s="35">
        <f>SUMPRODUCT(--(I$8&lt;=Model!$D$9:'Model'!$CN$9),--(I$9&gt;=Model!$D$9:'Model'!$CN$9),Model!$D22:'Model'!$CN22)</f>
        <v>100891.24032000001</v>
      </c>
      <c r="J22" s="35">
        <f>SUMPRODUCT(--(J$8&lt;=Model!$D$9:'Model'!$CN$9),--(J$9&gt;=Model!$D$9:'Model'!$CN$9),Model!$D22:'Model'!$CN22)</f>
        <v>179646.45245700004</v>
      </c>
      <c r="K22" s="35">
        <f>SUMPRODUCT(--(K$8&lt;=Model!$D$9:'Model'!$CN$9),--(K$9&gt;=Model!$D$9:'Model'!$CN$9),Model!$D22:'Model'!$CN22)</f>
        <v>188628.77507984999</v>
      </c>
      <c r="L22" s="35">
        <f>SUMPRODUCT(--(L$8&lt;=Model!$D$9:'Model'!$CN$9),--(L$9&gt;=Model!$D$9:'Model'!$CN$9),Model!$D22:'Model'!$CN22)</f>
        <v>187989.12029835</v>
      </c>
      <c r="M22" s="35">
        <f>SUMPRODUCT(--(M$8&lt;=Model!$D$9:'Model'!$CN$9),--(M$9&gt;=Model!$D$9:'Model'!$CN$9),Model!$D22:'Model'!$CN22)</f>
        <v>199979.12702998123</v>
      </c>
      <c r="N22" s="35">
        <f>SUMPRODUCT(--(N$8&lt;=Model!$D$9:'Model'!$CN$9),--(N$9&gt;=Model!$D$9:'Model'!$CN$9),Model!$D22:'Model'!$CN22)</f>
        <v>202123.51342176268</v>
      </c>
      <c r="O22" s="35">
        <f>SUMPRODUCT(--(O$8&lt;=Model!$D$9:'Model'!$CN$9),--(O$9&gt;=Model!$D$9:'Model'!$CN$9),Model!$D22:'Model'!$CN22)</f>
        <v>221636.36337927211</v>
      </c>
      <c r="P22" s="35">
        <f>SUMPRODUCT(--(P$8&lt;=Model!$D$9:'Model'!$CN$9),--(P$9&gt;=Model!$D$9:'Model'!$CN$9),Model!$D22:'Model'!$CN22)</f>
        <v>215064.20880411079</v>
      </c>
      <c r="Q22" s="35">
        <f>SUMPRODUCT(--(Q$8&lt;=Model!$D$9:'Model'!$CN$9),--(Q$9&gt;=Model!$D$9:'Model'!$CN$9),Model!$D22:'Model'!$CN22)</f>
        <v>242433.98351348692</v>
      </c>
      <c r="R22" s="35">
        <f>SUMPRODUCT(--(R$8&lt;=Model!$D$9:'Model'!$CN$9),--(R$9&gt;=Model!$D$9:'Model'!$CN$9),Model!$D22:'Model'!$CN22)</f>
        <v>229279.45503940195</v>
      </c>
      <c r="S22" s="35">
        <f>SUMPRODUCT(--(S$8&lt;=Model!$D$9:'Model'!$CN$9),--(S$9&gt;=Model!$D$9:'Model'!$CN$9),Model!$D22:'Model'!$CN22)</f>
        <v>228501.95065464635</v>
      </c>
      <c r="T22" s="35">
        <f>SUMPRODUCT(--(T$8&lt;=Model!$D$9:'Model'!$CN$9),--(T$9&gt;=Model!$D$9:'Model'!$CN$9),Model!$D22:'Model'!$CN22)</f>
        <v>243075.87877448619</v>
      </c>
      <c r="U22" s="35">
        <f>SUMPRODUCT(--(U$8&lt;=Model!$D$9:'Model'!$CN$9),--(U$9&gt;=Model!$D$9:'Model'!$CN$9),Model!$D22:'Model'!$CN22)</f>
        <v>245682.39383611141</v>
      </c>
      <c r="V22" s="35">
        <f>SUMPRODUCT(--(V$8&lt;=Model!$D$9:'Model'!$CN$9),--(V$9&gt;=Model!$D$9:'Model'!$CN$9),Model!$D22:'Model'!$CN22)</f>
        <v>269400.38491477643</v>
      </c>
      <c r="W22" s="35">
        <f>SUMPRODUCT(--(W$8&lt;=Model!$D$9:'Model'!$CN$9),--(W$9&gt;=Model!$D$9:'Model'!$CN$9),Model!$D22:'Model'!$CN22)</f>
        <v>261411.88995270175</v>
      </c>
      <c r="X22" s="35">
        <f>SUMPRODUCT(--(X$8&lt;=Model!$D$9:'Model'!$CN$9),--(X$9&gt;=Model!$D$9:'Model'!$CN$9),Model!$D22:'Model'!$CN22)</f>
        <v>294680.02217304037</v>
      </c>
      <c r="Y22" s="35">
        <f>SUMPRODUCT(--(Y$8&lt;=Model!$D$9:'Model'!$CN$9),--(Y$9&gt;=Model!$D$9:'Model'!$CN$9),Model!$D22:'Model'!$CN22)</f>
        <v>278690.61059698713</v>
      </c>
      <c r="Z22" s="35">
        <f>SUMPRODUCT(--(Z$8&lt;=Model!$D$9:'Model'!$CN$9),--(Z$9&gt;=Model!$D$9:'Model'!$CN$9),Model!$D22:'Model'!$CN22)</f>
        <v>277745.54915791424</v>
      </c>
      <c r="AA22" s="35"/>
    </row>
    <row r="23" spans="1:27" ht="12.75" customHeight="1">
      <c r="A23" s="37"/>
      <c r="B23" s="70" t="s">
        <v>128</v>
      </c>
      <c r="C23" s="70">
        <f t="shared" si="9"/>
        <v>24123825.501120694</v>
      </c>
      <c r="D23" s="71">
        <f>Model!D27</f>
        <v>0</v>
      </c>
      <c r="E23" s="70">
        <f>SUMPRODUCT(--(E$8&lt;=Model!$D$9:'Model'!$CN$9),--(E$9&gt;=Model!$D$9:'Model'!$CN$9),Model!$D27:'Model'!$CN27)</f>
        <v>0</v>
      </c>
      <c r="F23" s="70">
        <f>SUMPRODUCT(--(F$8&lt;=Model!$D$9:'Model'!$CN$9),--(F$9&gt;=Model!$D$9:'Model'!$CN$9),Model!$D27:'Model'!$CN27)</f>
        <v>0</v>
      </c>
      <c r="G23" s="70">
        <f>SUMPRODUCT(--(G$8&lt;=Model!$D$9:'Model'!$CN$9),--(G$9&gt;=Model!$D$9:'Model'!$CN$9),Model!$D27:'Model'!$CN27)</f>
        <v>0</v>
      </c>
      <c r="H23" s="70">
        <f>SUMPRODUCT(--(H$8&lt;=Model!$D$9:'Model'!$CN$9),--(H$9&gt;=Model!$D$9:'Model'!$CN$9),Model!$D27:'Model'!$CN27)</f>
        <v>0</v>
      </c>
      <c r="I23" s="70">
        <f>SUMPRODUCT(--(I$8&lt;=Model!$D$9:'Model'!$CN$9),--(I$9&gt;=Model!$D$9:'Model'!$CN$9),Model!$D27:'Model'!$CN27)</f>
        <v>612483.65691110294</v>
      </c>
      <c r="J23" s="70">
        <f>SUMPRODUCT(--(J$8&lt;=Model!$D$9:'Model'!$CN$9),--(J$9&gt;=Model!$D$9:'Model'!$CN$9),Model!$D27:'Model'!$CN27)</f>
        <v>1051005.8374520862</v>
      </c>
      <c r="K23" s="70">
        <f>SUMPRODUCT(--(K$8&lt;=Model!$D$9:'Model'!$CN$9),--(K$9&gt;=Model!$D$9:'Model'!$CN$9),Model!$D27:'Model'!$CN27)</f>
        <v>1133278.3843588196</v>
      </c>
      <c r="L23" s="70">
        <f>SUMPRODUCT(--(L$8&lt;=Model!$D$9:'Model'!$CN$9),--(L$9&gt;=Model!$D$9:'Model'!$CN$9),Model!$D27:'Model'!$CN27)</f>
        <v>1075714.5830689825</v>
      </c>
      <c r="M23" s="70">
        <f>SUMPRODUCT(--(M$8&lt;=Model!$D$9:'Model'!$CN$9),--(M$9&gt;=Model!$D$9:'Model'!$CN$9),Model!$D27:'Model'!$CN27)</f>
        <v>1208115.5665472508</v>
      </c>
      <c r="N23" s="70">
        <f>SUMPRODUCT(--(N$8&lt;=Model!$D$9:'Model'!$CN$9),--(N$9&gt;=Model!$D$9:'Model'!$CN$9),Model!$D27:'Model'!$CN27)</f>
        <v>1189145.6866830294</v>
      </c>
      <c r="O23" s="70">
        <f>SUMPRODUCT(--(O$8&lt;=Model!$D$9:'Model'!$CN$9),--(O$9&gt;=Model!$D$9:'Model'!$CN$9),Model!$D27:'Model'!$CN27)</f>
        <v>1326668.9706330288</v>
      </c>
      <c r="P23" s="70">
        <f>SUMPRODUCT(--(P$8&lt;=Model!$D$9:'Model'!$CN$9),--(P$9&gt;=Model!$D$9:'Model'!$CN$9),Model!$D27:'Model'!$CN27)</f>
        <v>1277596.6532324429</v>
      </c>
      <c r="Q23" s="70">
        <f>SUMPRODUCT(--(Q$8&lt;=Model!$D$9:'Model'!$CN$9),--(Q$9&gt;=Model!$D$9:'Model'!$CN$9),Model!$D27:'Model'!$CN27)</f>
        <v>1454157.7305180605</v>
      </c>
      <c r="R23" s="70">
        <f>SUMPRODUCT(--(R$8&lt;=Model!$D$9:'Model'!$CN$9),--(R$9&gt;=Model!$D$9:'Model'!$CN$9),Model!$D27:'Model'!$CN27)</f>
        <v>1377506.9591780477</v>
      </c>
      <c r="S23" s="70">
        <f>SUMPRODUCT(--(S$8&lt;=Model!$D$9:'Model'!$CN$9),--(S$9&gt;=Model!$D$9:'Model'!$CN$9),Model!$D27:'Model'!$CN27)</f>
        <v>1307537.7989364925</v>
      </c>
      <c r="T23" s="70">
        <f>SUMPRODUCT(--(T$8&lt;=Model!$D$9:'Model'!$CN$9),--(T$9&gt;=Model!$D$9:'Model'!$CN$9),Model!$D27:'Model'!$CN27)</f>
        <v>1468472.0218604745</v>
      </c>
      <c r="U23" s="70">
        <f>SUMPRODUCT(--(U$8&lt;=Model!$D$9:'Model'!$CN$9),--(U$9&gt;=Model!$D$9:'Model'!$CN$9),Model!$D27:'Model'!$CN27)</f>
        <v>1445414.0143237645</v>
      </c>
      <c r="V23" s="70">
        <f>SUMPRODUCT(--(V$8&lt;=Model!$D$9:'Model'!$CN$9),--(V$9&gt;=Model!$D$9:'Model'!$CN$9),Model!$D27:'Model'!$CN27)</f>
        <v>1612574.4254855132</v>
      </c>
      <c r="W23" s="70">
        <f>SUMPRODUCT(--(W$8&lt;=Model!$D$9:'Model'!$CN$9),--(W$9&gt;=Model!$D$9:'Model'!$CN$9),Model!$D27:'Model'!$CN27)</f>
        <v>1552926.7169831176</v>
      </c>
      <c r="X23" s="70">
        <f>SUMPRODUCT(--(X$8&lt;=Model!$D$9:'Model'!$CN$9),--(X$9&gt;=Model!$D$9:'Model'!$CN$9),Model!$D27:'Model'!$CN27)</f>
        <v>1767537.8099305185</v>
      </c>
      <c r="Y23" s="70">
        <f>SUMPRODUCT(--(Y$8&lt;=Model!$D$9:'Model'!$CN$9),--(Y$9&gt;=Model!$D$9:'Model'!$CN$9),Model!$D27:'Model'!$CN27)</f>
        <v>1674368.3182994123</v>
      </c>
      <c r="Z23" s="70">
        <f>SUMPRODUCT(--(Z$8&lt;=Model!$D$9:'Model'!$CN$9),--(Z$9&gt;=Model!$D$9:'Model'!$CN$9),Model!$D27:'Model'!$CN27)</f>
        <v>1589320.3667185507</v>
      </c>
      <c r="AA23" s="70"/>
    </row>
    <row r="24" spans="1:27" ht="12.75" customHeight="1">
      <c r="A24" s="35"/>
      <c r="B24" s="73" t="s">
        <v>129</v>
      </c>
      <c r="C24" s="70">
        <f t="shared" si="9"/>
        <v>0</v>
      </c>
      <c r="D24" s="60">
        <f>Model!D28</f>
        <v>0</v>
      </c>
      <c r="E24" s="35">
        <f>SUMPRODUCT(--(E$8&lt;=Model!$D$9:'Model'!$CN$9),--(E$9&gt;=Model!$D$9:'Model'!$CN$9),Model!$D28:'Model'!$CN28)</f>
        <v>0</v>
      </c>
      <c r="F24" s="35">
        <f>SUMPRODUCT(--(F$8&lt;=Model!$D$9:'Model'!$CN$9),--(F$9&gt;=Model!$D$9:'Model'!$CN$9),Model!$D28:'Model'!$CN28)</f>
        <v>0</v>
      </c>
      <c r="G24" s="35">
        <f>SUMPRODUCT(--(G$8&lt;=Model!$D$9:'Model'!$CN$9),--(G$9&gt;=Model!$D$9:'Model'!$CN$9),Model!$D28:'Model'!$CN28)</f>
        <v>0</v>
      </c>
      <c r="H24" s="35">
        <f>SUMPRODUCT(--(H$8&lt;=Model!$D$9:'Model'!$CN$9),--(H$9&gt;=Model!$D$9:'Model'!$CN$9),Model!$D28:'Model'!$CN28)</f>
        <v>0</v>
      </c>
      <c r="I24" s="35">
        <f>SUMPRODUCT(--(I$8&lt;=Model!$D$9:'Model'!$CN$9),--(I$9&gt;=Model!$D$9:'Model'!$CN$9),Model!$D28:'Model'!$CN28)</f>
        <v>0</v>
      </c>
      <c r="J24" s="35">
        <f>SUMPRODUCT(--(J$8&lt;=Model!$D$9:'Model'!$CN$9),--(J$9&gt;=Model!$D$9:'Model'!$CN$9),Model!$D28:'Model'!$CN28)</f>
        <v>0</v>
      </c>
      <c r="K24" s="35">
        <f>SUMPRODUCT(--(K$8&lt;=Model!$D$9:'Model'!$CN$9),--(K$9&gt;=Model!$D$9:'Model'!$CN$9),Model!$D28:'Model'!$CN28)</f>
        <v>0</v>
      </c>
      <c r="L24" s="35">
        <f>SUMPRODUCT(--(L$8&lt;=Model!$D$9:'Model'!$CN$9),--(L$9&gt;=Model!$D$9:'Model'!$CN$9),Model!$D28:'Model'!$CN28)</f>
        <v>0</v>
      </c>
      <c r="M24" s="35">
        <f>SUMPRODUCT(--(M$8&lt;=Model!$D$9:'Model'!$CN$9),--(M$9&gt;=Model!$D$9:'Model'!$CN$9),Model!$D28:'Model'!$CN28)</f>
        <v>0</v>
      </c>
      <c r="N24" s="35">
        <f>SUMPRODUCT(--(N$8&lt;=Model!$D$9:'Model'!$CN$9),--(N$9&gt;=Model!$D$9:'Model'!$CN$9),Model!$D28:'Model'!$CN28)</f>
        <v>0</v>
      </c>
      <c r="O24" s="35">
        <f>SUMPRODUCT(--(O$8&lt;=Model!$D$9:'Model'!$CN$9),--(O$9&gt;=Model!$D$9:'Model'!$CN$9),Model!$D28:'Model'!$CN28)</f>
        <v>0</v>
      </c>
      <c r="P24" s="35">
        <f>SUMPRODUCT(--(P$8&lt;=Model!$D$9:'Model'!$CN$9),--(P$9&gt;=Model!$D$9:'Model'!$CN$9),Model!$D28:'Model'!$CN28)</f>
        <v>0</v>
      </c>
      <c r="Q24" s="35">
        <f>SUMPRODUCT(--(Q$8&lt;=Model!$D$9:'Model'!$CN$9),--(Q$9&gt;=Model!$D$9:'Model'!$CN$9),Model!$D28:'Model'!$CN28)</f>
        <v>0</v>
      </c>
      <c r="R24" s="35">
        <f>SUMPRODUCT(--(R$8&lt;=Model!$D$9:'Model'!$CN$9),--(R$9&gt;=Model!$D$9:'Model'!$CN$9),Model!$D28:'Model'!$CN28)</f>
        <v>0</v>
      </c>
      <c r="S24" s="35">
        <f>SUMPRODUCT(--(S$8&lt;=Model!$D$9:'Model'!$CN$9),--(S$9&gt;=Model!$D$9:'Model'!$CN$9),Model!$D28:'Model'!$CN28)</f>
        <v>0</v>
      </c>
      <c r="T24" s="35">
        <f>SUMPRODUCT(--(T$8&lt;=Model!$D$9:'Model'!$CN$9),--(T$9&gt;=Model!$D$9:'Model'!$CN$9),Model!$D28:'Model'!$CN28)</f>
        <v>0</v>
      </c>
      <c r="U24" s="35">
        <f>SUMPRODUCT(--(U$8&lt;=Model!$D$9:'Model'!$CN$9),--(U$9&gt;=Model!$D$9:'Model'!$CN$9),Model!$D28:'Model'!$CN28)</f>
        <v>0</v>
      </c>
      <c r="V24" s="35">
        <f>SUMPRODUCT(--(V$8&lt;=Model!$D$9:'Model'!$CN$9),--(V$9&gt;=Model!$D$9:'Model'!$CN$9),Model!$D28:'Model'!$CN28)</f>
        <v>0</v>
      </c>
      <c r="W24" s="35">
        <f>SUMPRODUCT(--(W$8&lt;=Model!$D$9:'Model'!$CN$9),--(W$9&gt;=Model!$D$9:'Model'!$CN$9),Model!$D28:'Model'!$CN28)</f>
        <v>0</v>
      </c>
      <c r="X24" s="35">
        <f>SUMPRODUCT(--(X$8&lt;=Model!$D$9:'Model'!$CN$9),--(X$9&gt;=Model!$D$9:'Model'!$CN$9),Model!$D28:'Model'!$CN28)</f>
        <v>0</v>
      </c>
      <c r="Y24" s="35">
        <f>SUMPRODUCT(--(Y$8&lt;=Model!$D$9:'Model'!$CN$9),--(Y$9&gt;=Model!$D$9:'Model'!$CN$9),Model!$D28:'Model'!$CN28)</f>
        <v>0</v>
      </c>
      <c r="Z24" s="35">
        <f>SUMPRODUCT(--(Z$8&lt;=Model!$D$9:'Model'!$CN$9),--(Z$9&gt;=Model!$D$9:'Model'!$CN$9),Model!$D28:'Model'!$CN28)</f>
        <v>0</v>
      </c>
      <c r="AA24" s="35"/>
    </row>
    <row r="25" spans="1:27" ht="12.75" customHeight="1" outlineLevel="2">
      <c r="A25" s="35"/>
      <c r="B25" s="63" t="str">
        <f>'операционные  расходы 1 этап'!A7</f>
        <v>Затраты на премиальную часть зарплаты (вызывные, премии, бонусы)</v>
      </c>
      <c r="C25" s="74">
        <f t="shared" si="9"/>
        <v>-482476.5100224138</v>
      </c>
      <c r="D25" s="60">
        <f>Model!D29</f>
        <v>0</v>
      </c>
      <c r="E25" s="35">
        <f>SUMPRODUCT(--(E$8&lt;=Model!$D$9:'Model'!$CN$9),--(E$9&gt;=Model!$D$9:'Model'!$CN$9),Model!$D29:'Model'!$CN29)</f>
        <v>0</v>
      </c>
      <c r="F25" s="35">
        <f>SUMPRODUCT(--(F$8&lt;=Model!$D$9:'Model'!$CN$9),--(F$9&gt;=Model!$D$9:'Model'!$CN$9),Model!$D29:'Model'!$CN29)</f>
        <v>0</v>
      </c>
      <c r="G25" s="35">
        <f>SUMPRODUCT(--(G$8&lt;=Model!$D$9:'Model'!$CN$9),--(G$9&gt;=Model!$D$9:'Model'!$CN$9),Model!$D29:'Model'!$CN29)</f>
        <v>0</v>
      </c>
      <c r="H25" s="35">
        <f>SUMPRODUCT(--(H$8&lt;=Model!$D$9:'Model'!$CN$9),--(H$9&gt;=Model!$D$9:'Model'!$CN$9),Model!$D29:'Model'!$CN29)</f>
        <v>0</v>
      </c>
      <c r="I25" s="35">
        <f>SUMPRODUCT(--(I$8&lt;=Model!$D$9:'Model'!$CN$9),--(I$9&gt;=Model!$D$9:'Model'!$CN$9),Model!$D29:'Model'!$CN29)</f>
        <v>-12249.673138222059</v>
      </c>
      <c r="J25" s="35">
        <f>SUMPRODUCT(--(J$8&lt;=Model!$D$9:'Model'!$CN$9),--(J$9&gt;=Model!$D$9:'Model'!$CN$9),Model!$D29:'Model'!$CN29)</f>
        <v>-21020.116749041725</v>
      </c>
      <c r="K25" s="35">
        <f>SUMPRODUCT(--(K$8&lt;=Model!$D$9:'Model'!$CN$9),--(K$9&gt;=Model!$D$9:'Model'!$CN$9),Model!$D29:'Model'!$CN29)</f>
        <v>-22665.567687176394</v>
      </c>
      <c r="L25" s="35">
        <f>SUMPRODUCT(--(L$8&lt;=Model!$D$9:'Model'!$CN$9),--(L$9&gt;=Model!$D$9:'Model'!$CN$9),Model!$D29:'Model'!$CN29)</f>
        <v>-21514.291661379648</v>
      </c>
      <c r="M25" s="35">
        <f>SUMPRODUCT(--(M$8&lt;=Model!$D$9:'Model'!$CN$9),--(M$9&gt;=Model!$D$9:'Model'!$CN$9),Model!$D29:'Model'!$CN29)</f>
        <v>-24162.311330945016</v>
      </c>
      <c r="N25" s="35">
        <f>SUMPRODUCT(--(N$8&lt;=Model!$D$9:'Model'!$CN$9),--(N$9&gt;=Model!$D$9:'Model'!$CN$9),Model!$D29:'Model'!$CN29)</f>
        <v>-23782.913733660593</v>
      </c>
      <c r="O25" s="35">
        <f>SUMPRODUCT(--(O$8&lt;=Model!$D$9:'Model'!$CN$9),--(O$9&gt;=Model!$D$9:'Model'!$CN$9),Model!$D29:'Model'!$CN29)</f>
        <v>-26533.379412660572</v>
      </c>
      <c r="P25" s="35">
        <f>SUMPRODUCT(--(P$8&lt;=Model!$D$9:'Model'!$CN$9),--(P$9&gt;=Model!$D$9:'Model'!$CN$9),Model!$D29:'Model'!$CN29)</f>
        <v>-25551.93306464886</v>
      </c>
      <c r="Q25" s="35">
        <f>SUMPRODUCT(--(Q$8&lt;=Model!$D$9:'Model'!$CN$9),--(Q$9&gt;=Model!$D$9:'Model'!$CN$9),Model!$D29:'Model'!$CN29)</f>
        <v>-29083.154610361205</v>
      </c>
      <c r="R25" s="35">
        <f>SUMPRODUCT(--(R$8&lt;=Model!$D$9:'Model'!$CN$9),--(R$9&gt;=Model!$D$9:'Model'!$CN$9),Model!$D29:'Model'!$CN29)</f>
        <v>-27550.139183560954</v>
      </c>
      <c r="S25" s="35">
        <f>SUMPRODUCT(--(S$8&lt;=Model!$D$9:'Model'!$CN$9),--(S$9&gt;=Model!$D$9:'Model'!$CN$9),Model!$D29:'Model'!$CN29)</f>
        <v>-26150.755978729852</v>
      </c>
      <c r="T25" s="35">
        <f>SUMPRODUCT(--(T$8&lt;=Model!$D$9:'Model'!$CN$9),--(T$9&gt;=Model!$D$9:'Model'!$CN$9),Model!$D29:'Model'!$CN29)</f>
        <v>-29369.440437209494</v>
      </c>
      <c r="U25" s="35">
        <f>SUMPRODUCT(--(U$8&lt;=Model!$D$9:'Model'!$CN$9),--(U$9&gt;=Model!$D$9:'Model'!$CN$9),Model!$D29:'Model'!$CN29)</f>
        <v>-28908.280286475288</v>
      </c>
      <c r="V25" s="35">
        <f>SUMPRODUCT(--(V$8&lt;=Model!$D$9:'Model'!$CN$9),--(V$9&gt;=Model!$D$9:'Model'!$CN$9),Model!$D29:'Model'!$CN29)</f>
        <v>-32251.488509710263</v>
      </c>
      <c r="W25" s="35">
        <f>SUMPRODUCT(--(W$8&lt;=Model!$D$9:'Model'!$CN$9),--(W$9&gt;=Model!$D$9:'Model'!$CN$9),Model!$D29:'Model'!$CN29)</f>
        <v>-31058.53433966235</v>
      </c>
      <c r="X25" s="35">
        <f>SUMPRODUCT(--(X$8&lt;=Model!$D$9:'Model'!$CN$9),--(X$9&gt;=Model!$D$9:'Model'!$CN$9),Model!$D29:'Model'!$CN29)</f>
        <v>-35350.756198610376</v>
      </c>
      <c r="Y25" s="35">
        <f>SUMPRODUCT(--(Y$8&lt;=Model!$D$9:'Model'!$CN$9),--(Y$9&gt;=Model!$D$9:'Model'!$CN$9),Model!$D29:'Model'!$CN29)</f>
        <v>-33487.366365988244</v>
      </c>
      <c r="Z25" s="35">
        <f>SUMPRODUCT(--(Z$8&lt;=Model!$D$9:'Model'!$CN$9),--(Z$9&gt;=Model!$D$9:'Model'!$CN$9),Model!$D29:'Model'!$CN29)</f>
        <v>-31786.407334371012</v>
      </c>
      <c r="AA25" s="35"/>
    </row>
    <row r="26" spans="1:27" ht="12.75" customHeight="1" outlineLevel="2">
      <c r="A26" s="35"/>
      <c r="B26" s="63" t="str">
        <f>'операционные  расходы 1 этап'!A8</f>
        <v xml:space="preserve">Выплаты в фонды от премиальной части </v>
      </c>
      <c r="C26" s="74">
        <f t="shared" si="9"/>
        <v>-145707.90602676902</v>
      </c>
      <c r="D26" s="60">
        <f>Model!D30</f>
        <v>0</v>
      </c>
      <c r="E26" s="35">
        <f>SUMPRODUCT(--(E$8&lt;=Model!$D$9:'Model'!$CN$9),--(E$9&gt;=Model!$D$9:'Model'!$CN$9),Model!$D30:'Model'!$CN30)</f>
        <v>0</v>
      </c>
      <c r="F26" s="35">
        <f>SUMPRODUCT(--(F$8&lt;=Model!$D$9:'Model'!$CN$9),--(F$9&gt;=Model!$D$9:'Model'!$CN$9),Model!$D30:'Model'!$CN30)</f>
        <v>0</v>
      </c>
      <c r="G26" s="35">
        <f>SUMPRODUCT(--(G$8&lt;=Model!$D$9:'Model'!$CN$9),--(G$9&gt;=Model!$D$9:'Model'!$CN$9),Model!$D30:'Model'!$CN30)</f>
        <v>0</v>
      </c>
      <c r="H26" s="35">
        <f>SUMPRODUCT(--(H$8&lt;=Model!$D$9:'Model'!$CN$9),--(H$9&gt;=Model!$D$9:'Model'!$CN$9),Model!$D30:'Model'!$CN30)</f>
        <v>0</v>
      </c>
      <c r="I26" s="35">
        <f>SUMPRODUCT(--(I$8&lt;=Model!$D$9:'Model'!$CN$9),--(I$9&gt;=Model!$D$9:'Model'!$CN$9),Model!$D30:'Model'!$CN30)</f>
        <v>-3699.4012877430614</v>
      </c>
      <c r="J26" s="35">
        <f>SUMPRODUCT(--(J$8&lt;=Model!$D$9:'Model'!$CN$9),--(J$9&gt;=Model!$D$9:'Model'!$CN$9),Model!$D30:'Model'!$CN30)</f>
        <v>-6348.0752582106006</v>
      </c>
      <c r="K26" s="35">
        <f>SUMPRODUCT(--(K$8&lt;=Model!$D$9:'Model'!$CN$9),--(K$9&gt;=Model!$D$9:'Model'!$CN$9),Model!$D30:'Model'!$CN30)</f>
        <v>-6845.0014415272708</v>
      </c>
      <c r="L26" s="35">
        <f>SUMPRODUCT(--(L$8&lt;=Model!$D$9:'Model'!$CN$9),--(L$9&gt;=Model!$D$9:'Model'!$CN$9),Model!$D30:'Model'!$CN30)</f>
        <v>-6497.3160817366534</v>
      </c>
      <c r="M26" s="35">
        <f>SUMPRODUCT(--(M$8&lt;=Model!$D$9:'Model'!$CN$9),--(M$9&gt;=Model!$D$9:'Model'!$CN$9),Model!$D30:'Model'!$CN30)</f>
        <v>-7297.018021945395</v>
      </c>
      <c r="N26" s="35">
        <f>SUMPRODUCT(--(N$8&lt;=Model!$D$9:'Model'!$CN$9),--(N$9&gt;=Model!$D$9:'Model'!$CN$9),Model!$D30:'Model'!$CN30)</f>
        <v>-7182.4399475654982</v>
      </c>
      <c r="O26" s="35">
        <f>SUMPRODUCT(--(O$8&lt;=Model!$D$9:'Model'!$CN$9),--(O$9&gt;=Model!$D$9:'Model'!$CN$9),Model!$D30:'Model'!$CN30)</f>
        <v>-8013.0805826234937</v>
      </c>
      <c r="P26" s="35">
        <f>SUMPRODUCT(--(P$8&lt;=Model!$D$9:'Model'!$CN$9),--(P$9&gt;=Model!$D$9:'Model'!$CN$9),Model!$D30:'Model'!$CN30)</f>
        <v>-7716.6837855239555</v>
      </c>
      <c r="Q26" s="35">
        <f>SUMPRODUCT(--(Q$8&lt;=Model!$D$9:'Model'!$CN$9),--(Q$9&gt;=Model!$D$9:'Model'!$CN$9),Model!$D30:'Model'!$CN30)</f>
        <v>-8783.1126923290849</v>
      </c>
      <c r="R26" s="35">
        <f>SUMPRODUCT(--(R$8&lt;=Model!$D$9:'Model'!$CN$9),--(R$9&gt;=Model!$D$9:'Model'!$CN$9),Model!$D30:'Model'!$CN30)</f>
        <v>-8320.1420334354079</v>
      </c>
      <c r="S26" s="35">
        <f>SUMPRODUCT(--(S$8&lt;=Model!$D$9:'Model'!$CN$9),--(S$9&gt;=Model!$D$9:'Model'!$CN$9),Model!$D30:'Model'!$CN30)</f>
        <v>-7897.5283055764157</v>
      </c>
      <c r="T26" s="35">
        <f>SUMPRODUCT(--(T$8&lt;=Model!$D$9:'Model'!$CN$9),--(T$9&gt;=Model!$D$9:'Model'!$CN$9),Model!$D30:'Model'!$CN30)</f>
        <v>-8869.571012037266</v>
      </c>
      <c r="U26" s="35">
        <f>SUMPRODUCT(--(U$8&lt;=Model!$D$9:'Model'!$CN$9),--(U$9&gt;=Model!$D$9:'Model'!$CN$9),Model!$D30:'Model'!$CN30)</f>
        <v>-8730.3006465155377</v>
      </c>
      <c r="V26" s="35">
        <f>SUMPRODUCT(--(V$8&lt;=Model!$D$9:'Model'!$CN$9),--(V$9&gt;=Model!$D$9:'Model'!$CN$9),Model!$D30:'Model'!$CN30)</f>
        <v>-9739.9495299325008</v>
      </c>
      <c r="W26" s="35">
        <f>SUMPRODUCT(--(W$8&lt;=Model!$D$9:'Model'!$CN$9),--(W$9&gt;=Model!$D$9:'Model'!$CN$9),Model!$D30:'Model'!$CN30)</f>
        <v>-9379.6773705780288</v>
      </c>
      <c r="X26" s="35">
        <f>SUMPRODUCT(--(X$8&lt;=Model!$D$9:'Model'!$CN$9),--(X$9&gt;=Model!$D$9:'Model'!$CN$9),Model!$D30:'Model'!$CN30)</f>
        <v>-10675.928371980333</v>
      </c>
      <c r="Y26" s="35">
        <f>SUMPRODUCT(--(Y$8&lt;=Model!$D$9:'Model'!$CN$9),--(Y$9&gt;=Model!$D$9:'Model'!$CN$9),Model!$D30:'Model'!$CN30)</f>
        <v>-10113.184642528449</v>
      </c>
      <c r="Z26" s="35">
        <f>SUMPRODUCT(--(Z$8&lt;=Model!$D$9:'Model'!$CN$9),--(Z$9&gt;=Model!$D$9:'Model'!$CN$9),Model!$D30:'Model'!$CN30)</f>
        <v>-9599.4950149800443</v>
      </c>
      <c r="AA26" s="35"/>
    </row>
    <row r="27" spans="1:27" ht="12.75" customHeight="1" outlineLevel="2">
      <c r="A27" s="35"/>
      <c r="B27" s="63" t="str">
        <f>'операционные  расходы 1 этап'!A9</f>
        <v>Затраты на аутсорсинг и доп. Выходы</v>
      </c>
      <c r="C27" s="74">
        <f t="shared" si="9"/>
        <v>-249942.46760057684</v>
      </c>
      <c r="D27" s="60">
        <f>Model!D31</f>
        <v>0</v>
      </c>
      <c r="E27" s="35">
        <f>SUMPRODUCT(--(E$8&lt;=Model!$D$9:'Model'!$CN$9),--(E$9&gt;=Model!$D$9:'Model'!$CN$9),Model!$D31:'Model'!$CN31)</f>
        <v>0</v>
      </c>
      <c r="F27" s="35">
        <f>SUMPRODUCT(--(F$8&lt;=Model!$D$9:'Model'!$CN$9),--(F$9&gt;=Model!$D$9:'Model'!$CN$9),Model!$D31:'Model'!$CN31)</f>
        <v>0</v>
      </c>
      <c r="G27" s="35">
        <f>SUMPRODUCT(--(G$8&lt;=Model!$D$9:'Model'!$CN$9),--(G$9&gt;=Model!$D$9:'Model'!$CN$9),Model!$D31:'Model'!$CN31)</f>
        <v>0</v>
      </c>
      <c r="H27" s="35">
        <f>SUMPRODUCT(--(H$8&lt;=Model!$D$9:'Model'!$CN$9),--(H$9&gt;=Model!$D$9:'Model'!$CN$9),Model!$D31:'Model'!$CN31)</f>
        <v>0</v>
      </c>
      <c r="I27" s="35">
        <f>SUMPRODUCT(--(I$8&lt;=Model!$D$9:'Model'!$CN$9),--(I$9&gt;=Model!$D$9:'Model'!$CN$9),Model!$D31:'Model'!$CN31)</f>
        <v>-7141.2133600164807</v>
      </c>
      <c r="J27" s="35">
        <f>SUMPRODUCT(--(J$8&lt;=Model!$D$9:'Model'!$CN$9),--(J$9&gt;=Model!$D$9:'Model'!$CN$9),Model!$D31:'Model'!$CN31)</f>
        <v>-14282.426720032961</v>
      </c>
      <c r="K27" s="35">
        <f>SUMPRODUCT(--(K$8&lt;=Model!$D$9:'Model'!$CN$9),--(K$9&gt;=Model!$D$9:'Model'!$CN$9),Model!$D31:'Model'!$CN31)</f>
        <v>-14282.426720032961</v>
      </c>
      <c r="L27" s="35">
        <f>SUMPRODUCT(--(L$8&lt;=Model!$D$9:'Model'!$CN$9),--(L$9&gt;=Model!$D$9:'Model'!$CN$9),Model!$D31:'Model'!$CN31)</f>
        <v>-14282.426720032961</v>
      </c>
      <c r="M27" s="35">
        <f>SUMPRODUCT(--(M$8&lt;=Model!$D$9:'Model'!$CN$9),--(M$9&gt;=Model!$D$9:'Model'!$CN$9),Model!$D31:'Model'!$CN31)</f>
        <v>-14282.426720032961</v>
      </c>
      <c r="N27" s="35">
        <f>SUMPRODUCT(--(N$8&lt;=Model!$D$9:'Model'!$CN$9),--(N$9&gt;=Model!$D$9:'Model'!$CN$9),Model!$D31:'Model'!$CN31)</f>
        <v>-14282.426720032961</v>
      </c>
      <c r="O27" s="35">
        <f>SUMPRODUCT(--(O$8&lt;=Model!$D$9:'Model'!$CN$9),--(O$9&gt;=Model!$D$9:'Model'!$CN$9),Model!$D31:'Model'!$CN31)</f>
        <v>-14282.426720032961</v>
      </c>
      <c r="P27" s="35">
        <f>SUMPRODUCT(--(P$8&lt;=Model!$D$9:'Model'!$CN$9),--(P$9&gt;=Model!$D$9:'Model'!$CN$9),Model!$D31:'Model'!$CN31)</f>
        <v>-14282.426720032961</v>
      </c>
      <c r="Q27" s="35">
        <f>SUMPRODUCT(--(Q$8&lt;=Model!$D$9:'Model'!$CN$9),--(Q$9&gt;=Model!$D$9:'Model'!$CN$9),Model!$D31:'Model'!$CN31)</f>
        <v>-14282.426720032961</v>
      </c>
      <c r="R27" s="35">
        <f>SUMPRODUCT(--(R$8&lt;=Model!$D$9:'Model'!$CN$9),--(R$9&gt;=Model!$D$9:'Model'!$CN$9),Model!$D31:'Model'!$CN31)</f>
        <v>-14282.426720032961</v>
      </c>
      <c r="S27" s="35">
        <f>SUMPRODUCT(--(S$8&lt;=Model!$D$9:'Model'!$CN$9),--(S$9&gt;=Model!$D$9:'Model'!$CN$9),Model!$D31:'Model'!$CN31)</f>
        <v>-14282.426720032961</v>
      </c>
      <c r="T27" s="35">
        <f>SUMPRODUCT(--(T$8&lt;=Model!$D$9:'Model'!$CN$9),--(T$9&gt;=Model!$D$9:'Model'!$CN$9),Model!$D31:'Model'!$CN31)</f>
        <v>-14282.426720032961</v>
      </c>
      <c r="U27" s="35">
        <f>SUMPRODUCT(--(U$8&lt;=Model!$D$9:'Model'!$CN$9),--(U$9&gt;=Model!$D$9:'Model'!$CN$9),Model!$D31:'Model'!$CN31)</f>
        <v>-14282.426720032961</v>
      </c>
      <c r="V27" s="35">
        <f>SUMPRODUCT(--(V$8&lt;=Model!$D$9:'Model'!$CN$9),--(V$9&gt;=Model!$D$9:'Model'!$CN$9),Model!$D31:'Model'!$CN31)</f>
        <v>-14282.426720032961</v>
      </c>
      <c r="W27" s="35">
        <f>SUMPRODUCT(--(W$8&lt;=Model!$D$9:'Model'!$CN$9),--(W$9&gt;=Model!$D$9:'Model'!$CN$9),Model!$D31:'Model'!$CN31)</f>
        <v>-14282.426720032961</v>
      </c>
      <c r="X27" s="35">
        <f>SUMPRODUCT(--(X$8&lt;=Model!$D$9:'Model'!$CN$9),--(X$9&gt;=Model!$D$9:'Model'!$CN$9),Model!$D31:'Model'!$CN31)</f>
        <v>-14282.426720032961</v>
      </c>
      <c r="Y27" s="35">
        <f>SUMPRODUCT(--(Y$8&lt;=Model!$D$9:'Model'!$CN$9),--(Y$9&gt;=Model!$D$9:'Model'!$CN$9),Model!$D31:'Model'!$CN31)</f>
        <v>-14282.426720032961</v>
      </c>
      <c r="Z27" s="35">
        <f>SUMPRODUCT(--(Z$8&lt;=Model!$D$9:'Model'!$CN$9),--(Z$9&gt;=Model!$D$9:'Model'!$CN$9),Model!$D31:'Model'!$CN31)</f>
        <v>-14282.426720032961</v>
      </c>
      <c r="AA27" s="35"/>
    </row>
    <row r="28" spans="1:27" ht="12.75" customHeight="1" outlineLevel="2">
      <c r="A28" s="35"/>
      <c r="B28" s="63" t="str">
        <f>'операционные  расходы 1 этап'!A11</f>
        <v>Продукты для гостей, ресторанов и баров</v>
      </c>
      <c r="C28" s="74">
        <f t="shared" si="9"/>
        <v>-1138721.0574330867</v>
      </c>
      <c r="D28" s="60">
        <f>Model!D32</f>
        <v>0</v>
      </c>
      <c r="E28" s="35">
        <f>SUMPRODUCT(--(E$8&lt;=Model!$D$9:'Model'!$CN$9),--(E$9&gt;=Model!$D$9:'Model'!$CN$9),Model!$D32:'Model'!$CN32)</f>
        <v>0</v>
      </c>
      <c r="F28" s="35">
        <f>SUMPRODUCT(--(F$8&lt;=Model!$D$9:'Model'!$CN$9),--(F$9&gt;=Model!$D$9:'Model'!$CN$9),Model!$D32:'Model'!$CN32)</f>
        <v>0</v>
      </c>
      <c r="G28" s="35">
        <f>SUMPRODUCT(--(G$8&lt;=Model!$D$9:'Model'!$CN$9),--(G$9&gt;=Model!$D$9:'Model'!$CN$9),Model!$D32:'Model'!$CN32)</f>
        <v>0</v>
      </c>
      <c r="H28" s="35">
        <f>SUMPRODUCT(--(H$8&lt;=Model!$D$9:'Model'!$CN$9),--(H$9&gt;=Model!$D$9:'Model'!$CN$9),Model!$D32:'Model'!$CN32)</f>
        <v>0</v>
      </c>
      <c r="I28" s="35">
        <f>SUMPRODUCT(--(I$8&lt;=Model!$D$9:'Model'!$CN$9),--(I$9&gt;=Model!$D$9:'Model'!$CN$9),Model!$D32:'Model'!$CN32)</f>
        <v>-28249.547289600003</v>
      </c>
      <c r="J28" s="35">
        <f>SUMPRODUCT(--(J$8&lt;=Model!$D$9:'Model'!$CN$9),--(J$9&gt;=Model!$D$9:'Model'!$CN$9),Model!$D32:'Model'!$CN32)</f>
        <v>-50301.006687960013</v>
      </c>
      <c r="K28" s="35">
        <f>SUMPRODUCT(--(K$8&lt;=Model!$D$9:'Model'!$CN$9),--(K$9&gt;=Model!$D$9:'Model'!$CN$9),Model!$D32:'Model'!$CN32)</f>
        <v>-52816.057022358</v>
      </c>
      <c r="L28" s="35">
        <f>SUMPRODUCT(--(L$8&lt;=Model!$D$9:'Model'!$CN$9),--(L$9&gt;=Model!$D$9:'Model'!$CN$9),Model!$D32:'Model'!$CN32)</f>
        <v>-52636.953683538006</v>
      </c>
      <c r="M28" s="35">
        <f>SUMPRODUCT(--(M$8&lt;=Model!$D$9:'Model'!$CN$9),--(M$9&gt;=Model!$D$9:'Model'!$CN$9),Model!$D32:'Model'!$CN32)</f>
        <v>-55994.155568394752</v>
      </c>
      <c r="N28" s="35">
        <f>SUMPRODUCT(--(N$8&lt;=Model!$D$9:'Model'!$CN$9),--(N$9&gt;=Model!$D$9:'Model'!$CN$9),Model!$D32:'Model'!$CN32)</f>
        <v>-56594.583758093548</v>
      </c>
      <c r="O28" s="35">
        <f>SUMPRODUCT(--(O$8&lt;=Model!$D$9:'Model'!$CN$9),--(O$9&gt;=Model!$D$9:'Model'!$CN$9),Model!$D32:'Model'!$CN32)</f>
        <v>-62058.181746196191</v>
      </c>
      <c r="P28" s="35">
        <f>SUMPRODUCT(--(P$8&lt;=Model!$D$9:'Model'!$CN$9),--(P$9&gt;=Model!$D$9:'Model'!$CN$9),Model!$D32:'Model'!$CN32)</f>
        <v>-60217.978465151034</v>
      </c>
      <c r="Q28" s="35">
        <f>SUMPRODUCT(--(Q$8&lt;=Model!$D$9:'Model'!$CN$9),--(Q$9&gt;=Model!$D$9:'Model'!$CN$9),Model!$D32:'Model'!$CN32)</f>
        <v>-67881.51538377635</v>
      </c>
      <c r="R28" s="35">
        <f>SUMPRODUCT(--(R$8&lt;=Model!$D$9:'Model'!$CN$9),--(R$9&gt;=Model!$D$9:'Model'!$CN$9),Model!$D32:'Model'!$CN32)</f>
        <v>-64198.247411032557</v>
      </c>
      <c r="S28" s="35">
        <f>SUMPRODUCT(--(S$8&lt;=Model!$D$9:'Model'!$CN$9),--(S$9&gt;=Model!$D$9:'Model'!$CN$9),Model!$D32:'Model'!$CN32)</f>
        <v>-63980.54618330099</v>
      </c>
      <c r="T28" s="35">
        <f>SUMPRODUCT(--(T$8&lt;=Model!$D$9:'Model'!$CN$9),--(T$9&gt;=Model!$D$9:'Model'!$CN$9),Model!$D32:'Model'!$CN32)</f>
        <v>-68061.246056856136</v>
      </c>
      <c r="U28" s="35">
        <f>SUMPRODUCT(--(U$8&lt;=Model!$D$9:'Model'!$CN$9),--(U$9&gt;=Model!$D$9:'Model'!$CN$9),Model!$D32:'Model'!$CN32)</f>
        <v>-68791.070274111204</v>
      </c>
      <c r="V28" s="35">
        <f>SUMPRODUCT(--(V$8&lt;=Model!$D$9:'Model'!$CN$9),--(V$9&gt;=Model!$D$9:'Model'!$CN$9),Model!$D32:'Model'!$CN32)</f>
        <v>-75432.107776137404</v>
      </c>
      <c r="W28" s="35">
        <f>SUMPRODUCT(--(W$8&lt;=Model!$D$9:'Model'!$CN$9),--(W$9&gt;=Model!$D$9:'Model'!$CN$9),Model!$D32:'Model'!$CN32)</f>
        <v>-73195.329186756499</v>
      </c>
      <c r="X28" s="35">
        <f>SUMPRODUCT(--(X$8&lt;=Model!$D$9:'Model'!$CN$9),--(X$9&gt;=Model!$D$9:'Model'!$CN$9),Model!$D32:'Model'!$CN32)</f>
        <v>-82510.406208451313</v>
      </c>
      <c r="Y28" s="35">
        <f>SUMPRODUCT(--(Y$8&lt;=Model!$D$9:'Model'!$CN$9),--(Y$9&gt;=Model!$D$9:'Model'!$CN$9),Model!$D32:'Model'!$CN32)</f>
        <v>-78033.370967156399</v>
      </c>
      <c r="Z28" s="35">
        <f>SUMPRODUCT(--(Z$8&lt;=Model!$D$9:'Model'!$CN$9),--(Z$9&gt;=Model!$D$9:'Model'!$CN$9),Model!$D32:'Model'!$CN32)</f>
        <v>-77768.753764216002</v>
      </c>
      <c r="AA28" s="35"/>
    </row>
    <row r="29" spans="1:27" ht="12.75" customHeight="1" outlineLevel="2">
      <c r="A29" s="35"/>
      <c r="B29" s="63" t="str">
        <f>'операционные  расходы 1 этап'!A12</f>
        <v xml:space="preserve">Продукты "шведский стол" </v>
      </c>
      <c r="C29" s="74">
        <f t="shared" si="9"/>
        <v>-658252.00493245211</v>
      </c>
      <c r="D29" s="60">
        <f>Model!D33</f>
        <v>0</v>
      </c>
      <c r="E29" s="35">
        <f>SUMPRODUCT(--(E$8&lt;=Model!$D$9:'Model'!$CN$9),--(E$9&gt;=Model!$D$9:'Model'!$CN$9),Model!$D33:'Model'!$CN33)</f>
        <v>0</v>
      </c>
      <c r="F29" s="35">
        <f>SUMPRODUCT(--(F$8&lt;=Model!$D$9:'Model'!$CN$9),--(F$9&gt;=Model!$D$9:'Model'!$CN$9),Model!$D33:'Model'!$CN33)</f>
        <v>0</v>
      </c>
      <c r="G29" s="35">
        <f>SUMPRODUCT(--(G$8&lt;=Model!$D$9:'Model'!$CN$9),--(G$9&gt;=Model!$D$9:'Model'!$CN$9),Model!$D33:'Model'!$CN33)</f>
        <v>0</v>
      </c>
      <c r="H29" s="35">
        <f>SUMPRODUCT(--(H$8&lt;=Model!$D$9:'Model'!$CN$9),--(H$9&gt;=Model!$D$9:'Model'!$CN$9),Model!$D33:'Model'!$CN33)</f>
        <v>0</v>
      </c>
      <c r="I29" s="35">
        <f>SUMPRODUCT(--(I$8&lt;=Model!$D$9:'Model'!$CN$9),--(I$9&gt;=Model!$D$9:'Model'!$CN$9),Model!$D33:'Model'!$CN33)</f>
        <v>-15118.820640000002</v>
      </c>
      <c r="J29" s="35">
        <f>SUMPRODUCT(--(J$8&lt;=Model!$D$9:'Model'!$CN$9),--(J$9&gt;=Model!$D$9:'Model'!$CN$9),Model!$D33:'Model'!$CN33)</f>
        <v>-28188.423647999996</v>
      </c>
      <c r="K29" s="35">
        <f>SUMPRODUCT(--(K$8&lt;=Model!$D$9:'Model'!$CN$9),--(K$9&gt;=Model!$D$9:'Model'!$CN$9),Model!$D33:'Model'!$CN33)</f>
        <v>-31360.363899480002</v>
      </c>
      <c r="L29" s="35">
        <f>SUMPRODUCT(--(L$8&lt;=Model!$D$9:'Model'!$CN$9),--(L$9&gt;=Model!$D$9:'Model'!$CN$9),Model!$D33:'Model'!$CN33)</f>
        <v>-29953.625223059993</v>
      </c>
      <c r="M29" s="35">
        <f>SUMPRODUCT(--(M$8&lt;=Model!$D$9:'Model'!$CN$9),--(M$9&gt;=Model!$D$9:'Model'!$CN$9),Model!$D33:'Model'!$CN33)</f>
        <v>-33752.700120447</v>
      </c>
      <c r="N29" s="35">
        <f>SUMPRODUCT(--(N$8&lt;=Model!$D$9:'Model'!$CN$9),--(N$9&gt;=Model!$D$9:'Model'!$CN$9),Model!$D33:'Model'!$CN33)</f>
        <v>-32321.428388466524</v>
      </c>
      <c r="O29" s="35">
        <f>SUMPRODUCT(--(O$8&lt;=Model!$D$9:'Model'!$CN$9),--(O$9&gt;=Model!$D$9:'Model'!$CN$9),Model!$D33:'Model'!$CN33)</f>
        <v>-36166.829204600326</v>
      </c>
      <c r="P29" s="35">
        <f>SUMPRODUCT(--(P$8&lt;=Model!$D$9:'Model'!$CN$9),--(P$9&gt;=Model!$D$9:'Model'!$CN$9),Model!$D33:'Model'!$CN33)</f>
        <v>-35073.513087461462</v>
      </c>
      <c r="Q29" s="35">
        <f>SUMPRODUCT(--(Q$8&lt;=Model!$D$9:'Model'!$CN$9),--(Q$9&gt;=Model!$D$9:'Model'!$CN$9),Model!$D33:'Model'!$CN33)</f>
        <v>-38047.050982821318</v>
      </c>
      <c r="R29" s="35">
        <f>SUMPRODUCT(--(R$8&lt;=Model!$D$9:'Model'!$CN$9),--(R$9&gt;=Model!$D$9:'Model'!$CN$9),Model!$D33:'Model'!$CN33)</f>
        <v>-38118.718322092318</v>
      </c>
      <c r="S29" s="35">
        <f>SUMPRODUCT(--(S$8&lt;=Model!$D$9:'Model'!$CN$9),--(S$9&gt;=Model!$D$9:'Model'!$CN$9),Model!$D33:'Model'!$CN33)</f>
        <v>-36408.818668787084</v>
      </c>
      <c r="T29" s="35">
        <f>SUMPRODUCT(--(T$8&lt;=Model!$D$9:'Model'!$CN$9),--(T$9&gt;=Model!$D$9:'Model'!$CN$9),Model!$D33:'Model'!$CN33)</f>
        <v>-41026.617950779095</v>
      </c>
      <c r="U29" s="35">
        <f>SUMPRODUCT(--(U$8&lt;=Model!$D$9:'Model'!$CN$9),--(U$9&gt;=Model!$D$9:'Model'!$CN$9),Model!$D33:'Model'!$CN33)</f>
        <v>-39286.898215108493</v>
      </c>
      <c r="V29" s="35">
        <f>SUMPRODUCT(--(V$8&lt;=Model!$D$9:'Model'!$CN$9),--(V$9&gt;=Model!$D$9:'Model'!$CN$9),Model!$D33:'Model'!$CN33)</f>
        <v>-43961.006940874235</v>
      </c>
      <c r="W29" s="35">
        <f>SUMPRODUCT(--(W$8&lt;=Model!$D$9:'Model'!$CN$9),--(W$9&gt;=Model!$D$9:'Model'!$CN$9),Model!$D33:'Model'!$CN33)</f>
        <v>-42632.074367266207</v>
      </c>
      <c r="X29" s="35">
        <f>SUMPRODUCT(--(X$8&lt;=Model!$D$9:'Model'!$CN$9),--(X$9&gt;=Model!$D$9:'Model'!$CN$9),Model!$D33:'Model'!$CN33)</f>
        <v>-46246.428263687958</v>
      </c>
      <c r="Y29" s="35">
        <f>SUMPRODUCT(--(Y$8&lt;=Model!$D$9:'Model'!$CN$9),--(Y$9&gt;=Model!$D$9:'Model'!$CN$9),Model!$D33:'Model'!$CN33)</f>
        <v>-46333.540362492735</v>
      </c>
      <c r="Z29" s="35">
        <f>SUMPRODUCT(--(Z$8&lt;=Model!$D$9:'Model'!$CN$9),--(Z$9&gt;=Model!$D$9:'Model'!$CN$9),Model!$D33:'Model'!$CN33)</f>
        <v>-44255.146647027381</v>
      </c>
      <c r="AA29" s="35"/>
    </row>
    <row r="30" spans="1:27" ht="12.75" customHeight="1" outlineLevel="2">
      <c r="A30" s="35"/>
      <c r="B30" s="63" t="str">
        <f>'операционные  расходы 1 этап'!A13</f>
        <v>Замена посуды, текстиля, мебели и пр.)</v>
      </c>
      <c r="C30" s="74">
        <f t="shared" si="9"/>
        <v>0</v>
      </c>
      <c r="D30" s="60">
        <f>Model!D34</f>
        <v>0</v>
      </c>
      <c r="E30" s="35">
        <f>SUMPRODUCT(--(E$8&lt;=Model!$D$9:'Model'!$CN$9),--(E$9&gt;=Model!$D$9:'Model'!$CN$9),Model!$D34:'Model'!$CN34)</f>
        <v>0</v>
      </c>
      <c r="F30" s="35">
        <f>SUMPRODUCT(--(F$8&lt;=Model!$D$9:'Model'!$CN$9),--(F$9&gt;=Model!$D$9:'Model'!$CN$9),Model!$D34:'Model'!$CN34)</f>
        <v>0</v>
      </c>
      <c r="G30" s="35">
        <f>SUMPRODUCT(--(G$8&lt;=Model!$D$9:'Model'!$CN$9),--(G$9&gt;=Model!$D$9:'Model'!$CN$9),Model!$D34:'Model'!$CN34)</f>
        <v>0</v>
      </c>
      <c r="H30" s="35">
        <f>SUMPRODUCT(--(H$8&lt;=Model!$D$9:'Model'!$CN$9),--(H$9&gt;=Model!$D$9:'Model'!$CN$9),Model!$D34:'Model'!$CN34)</f>
        <v>0</v>
      </c>
      <c r="I30" s="35">
        <f>SUMPRODUCT(--(I$8&lt;=Model!$D$9:'Model'!$CN$9),--(I$9&gt;=Model!$D$9:'Model'!$CN$9),Model!$D34:'Model'!$CN34)</f>
        <v>0</v>
      </c>
      <c r="J30" s="35">
        <f>SUMPRODUCT(--(J$8&lt;=Model!$D$9:'Model'!$CN$9),--(J$9&gt;=Model!$D$9:'Model'!$CN$9),Model!$D34:'Model'!$CN34)</f>
        <v>0</v>
      </c>
      <c r="K30" s="35">
        <f>SUMPRODUCT(--(K$8&lt;=Model!$D$9:'Model'!$CN$9),--(K$9&gt;=Model!$D$9:'Model'!$CN$9),Model!$D34:'Model'!$CN34)</f>
        <v>0</v>
      </c>
      <c r="L30" s="35">
        <f>SUMPRODUCT(--(L$8&lt;=Model!$D$9:'Model'!$CN$9),--(L$9&gt;=Model!$D$9:'Model'!$CN$9),Model!$D34:'Model'!$CN34)</f>
        <v>0</v>
      </c>
      <c r="M30" s="35">
        <f>SUMPRODUCT(--(M$8&lt;=Model!$D$9:'Model'!$CN$9),--(M$9&gt;=Model!$D$9:'Model'!$CN$9),Model!$D34:'Model'!$CN34)</f>
        <v>0</v>
      </c>
      <c r="N30" s="35">
        <f>SUMPRODUCT(--(N$8&lt;=Model!$D$9:'Model'!$CN$9),--(N$9&gt;=Model!$D$9:'Model'!$CN$9),Model!$D34:'Model'!$CN34)</f>
        <v>0</v>
      </c>
      <c r="O30" s="35">
        <f>SUMPRODUCT(--(O$8&lt;=Model!$D$9:'Model'!$CN$9),--(O$9&gt;=Model!$D$9:'Model'!$CN$9),Model!$D34:'Model'!$CN34)</f>
        <v>0</v>
      </c>
      <c r="P30" s="35">
        <f>SUMPRODUCT(--(P$8&lt;=Model!$D$9:'Model'!$CN$9),--(P$9&gt;=Model!$D$9:'Model'!$CN$9),Model!$D34:'Model'!$CN34)</f>
        <v>0</v>
      </c>
      <c r="Q30" s="35">
        <f>SUMPRODUCT(--(Q$8&lt;=Model!$D$9:'Model'!$CN$9),--(Q$9&gt;=Model!$D$9:'Model'!$CN$9),Model!$D34:'Model'!$CN34)</f>
        <v>0</v>
      </c>
      <c r="R30" s="35">
        <f>SUMPRODUCT(--(R$8&lt;=Model!$D$9:'Model'!$CN$9),--(R$9&gt;=Model!$D$9:'Model'!$CN$9),Model!$D34:'Model'!$CN34)</f>
        <v>0</v>
      </c>
      <c r="S30" s="35">
        <f>SUMPRODUCT(--(S$8&lt;=Model!$D$9:'Model'!$CN$9),--(S$9&gt;=Model!$D$9:'Model'!$CN$9),Model!$D34:'Model'!$CN34)</f>
        <v>0</v>
      </c>
      <c r="T30" s="35">
        <f>SUMPRODUCT(--(T$8&lt;=Model!$D$9:'Model'!$CN$9),--(T$9&gt;=Model!$D$9:'Model'!$CN$9),Model!$D34:'Model'!$CN34)</f>
        <v>0</v>
      </c>
      <c r="U30" s="35">
        <f>SUMPRODUCT(--(U$8&lt;=Model!$D$9:'Model'!$CN$9),--(U$9&gt;=Model!$D$9:'Model'!$CN$9),Model!$D34:'Model'!$CN34)</f>
        <v>0</v>
      </c>
      <c r="V30" s="35">
        <f>SUMPRODUCT(--(V$8&lt;=Model!$D$9:'Model'!$CN$9),--(V$9&gt;=Model!$D$9:'Model'!$CN$9),Model!$D34:'Model'!$CN34)</f>
        <v>0</v>
      </c>
      <c r="W30" s="35">
        <f>SUMPRODUCT(--(W$8&lt;=Model!$D$9:'Model'!$CN$9),--(W$9&gt;=Model!$D$9:'Model'!$CN$9),Model!$D34:'Model'!$CN34)</f>
        <v>0</v>
      </c>
      <c r="X30" s="35">
        <f>SUMPRODUCT(--(X$8&lt;=Model!$D$9:'Model'!$CN$9),--(X$9&gt;=Model!$D$9:'Model'!$CN$9),Model!$D34:'Model'!$CN34)</f>
        <v>0</v>
      </c>
      <c r="Y30" s="35">
        <f>SUMPRODUCT(--(Y$8&lt;=Model!$D$9:'Model'!$CN$9),--(Y$9&gt;=Model!$D$9:'Model'!$CN$9),Model!$D34:'Model'!$CN34)</f>
        <v>0</v>
      </c>
      <c r="Z30" s="35">
        <f>SUMPRODUCT(--(Z$8&lt;=Model!$D$9:'Model'!$CN$9),--(Z$9&gt;=Model!$D$9:'Model'!$CN$9),Model!$D34:'Model'!$CN34)</f>
        <v>0</v>
      </c>
      <c r="AA30" s="35"/>
    </row>
    <row r="31" spans="1:27" ht="12.75" customHeight="1" outlineLevel="2">
      <c r="A31" s="35"/>
      <c r="B31" s="63" t="str">
        <f>'операционные  расходы 1 этап'!A14</f>
        <v>Затраты на СПА-центр (материалы и пр.)</v>
      </c>
      <c r="C31" s="74">
        <f t="shared" si="9"/>
        <v>-629370.99696666992</v>
      </c>
      <c r="D31" s="60">
        <f>Model!D35</f>
        <v>0</v>
      </c>
      <c r="E31" s="35">
        <f>SUMPRODUCT(--(E$8&lt;=Model!$D$9:'Model'!$CN$9),--(E$9&gt;=Model!$D$9:'Model'!$CN$9),Model!$D35:'Model'!$CN35)</f>
        <v>0</v>
      </c>
      <c r="F31" s="35">
        <f>SUMPRODUCT(--(F$8&lt;=Model!$D$9:'Model'!$CN$9),--(F$9&gt;=Model!$D$9:'Model'!$CN$9),Model!$D35:'Model'!$CN35)</f>
        <v>0</v>
      </c>
      <c r="G31" s="35">
        <f>SUMPRODUCT(--(G$8&lt;=Model!$D$9:'Model'!$CN$9),--(G$9&gt;=Model!$D$9:'Model'!$CN$9),Model!$D35:'Model'!$CN35)</f>
        <v>0</v>
      </c>
      <c r="H31" s="35">
        <f>SUMPRODUCT(--(H$8&lt;=Model!$D$9:'Model'!$CN$9),--(H$9&gt;=Model!$D$9:'Model'!$CN$9),Model!$D35:'Model'!$CN35)</f>
        <v>0</v>
      </c>
      <c r="I31" s="35">
        <f>SUMPRODUCT(--(I$8&lt;=Model!$D$9:'Model'!$CN$9),--(I$9&gt;=Model!$D$9:'Model'!$CN$9),Model!$D35:'Model'!$CN35)</f>
        <v>-16903.149455525738</v>
      </c>
      <c r="J31" s="35">
        <f>SUMPRODUCT(--(J$8&lt;=Model!$D$9:'Model'!$CN$9),--(J$9&gt;=Model!$D$9:'Model'!$CN$9),Model!$D35:'Model'!$CN35)</f>
        <v>-27964.03157749425</v>
      </c>
      <c r="K31" s="35">
        <f>SUMPRODUCT(--(K$8&lt;=Model!$D$9:'Model'!$CN$9),--(K$9&gt;=Model!$D$9:'Model'!$CN$9),Model!$D35:'Model'!$CN35)</f>
        <v>-29362.233156368959</v>
      </c>
      <c r="L31" s="35">
        <f>SUMPRODUCT(--(L$8&lt;=Model!$D$9:'Model'!$CN$9),--(L$9&gt;=Model!$D$9:'Model'!$CN$9),Model!$D35:'Model'!$CN35)</f>
        <v>-27473.084052857168</v>
      </c>
      <c r="M31" s="35">
        <f>SUMPRODUCT(--(M$8&lt;=Model!$D$9:'Model'!$CN$9),--(M$9&gt;=Model!$D$9:'Model'!$CN$9),Model!$D35:'Model'!$CN35)</f>
        <v>-31051.278858640908</v>
      </c>
      <c r="N31" s="35">
        <f>SUMPRODUCT(--(N$8&lt;=Model!$D$9:'Model'!$CN$9),--(N$9&gt;=Model!$D$9:'Model'!$CN$9),Model!$D35:'Model'!$CN35)</f>
        <v>-31393.486635474135</v>
      </c>
      <c r="O31" s="35">
        <f>SUMPRODUCT(--(O$8&lt;=Model!$D$9:'Model'!$CN$9),--(O$9&gt;=Model!$D$9:'Model'!$CN$9),Model!$D35:'Model'!$CN35)</f>
        <v>-34426.258169538458</v>
      </c>
      <c r="P31" s="35">
        <f>SUMPRODUCT(--(P$8&lt;=Model!$D$9:'Model'!$CN$9),--(P$9&gt;=Model!$D$9:'Model'!$CN$9),Model!$D35:'Model'!$CN35)</f>
        <v>-33413.599901320995</v>
      </c>
      <c r="Q31" s="35">
        <f>SUMPRODUCT(--(Q$8&lt;=Model!$D$9:'Model'!$CN$9),--(Q$9&gt;=Model!$D$9:'Model'!$CN$9),Model!$D35:'Model'!$CN35)</f>
        <v>-38802.313845212229</v>
      </c>
      <c r="R31" s="35">
        <f>SUMPRODUCT(--(R$8&lt;=Model!$D$9:'Model'!$CN$9),--(R$9&gt;=Model!$D$9:'Model'!$CN$9),Model!$D35:'Model'!$CN35)</f>
        <v>-35689.977915523705</v>
      </c>
      <c r="S31" s="35">
        <f>SUMPRODUCT(--(S$8&lt;=Model!$D$9:'Model'!$CN$9),--(S$9&gt;=Model!$D$9:'Model'!$CN$9),Model!$D35:'Model'!$CN35)</f>
        <v>-33393.705373023229</v>
      </c>
      <c r="T31" s="35">
        <f>SUMPRODUCT(--(T$8&lt;=Model!$D$9:'Model'!$CN$9),--(T$9&gt;=Model!$D$9:'Model'!$CN$9),Model!$D35:'Model'!$CN35)</f>
        <v>-37743.023523170901</v>
      </c>
      <c r="U31" s="35">
        <f>SUMPRODUCT(--(U$8&lt;=Model!$D$9:'Model'!$CN$9),--(U$9&gt;=Model!$D$9:'Model'!$CN$9),Model!$D35:'Model'!$CN35)</f>
        <v>-38158.979214710285</v>
      </c>
      <c r="V31" s="35">
        <f>SUMPRODUCT(--(V$8&lt;=Model!$D$9:'Model'!$CN$9),--(V$9&gt;=Model!$D$9:'Model'!$CN$9),Model!$D35:'Model'!$CN35)</f>
        <v>-41845.331969187559</v>
      </c>
      <c r="W31" s="35">
        <f>SUMPRODUCT(--(W$8&lt;=Model!$D$9:'Model'!$CN$9),--(W$9&gt;=Model!$D$9:'Model'!$CN$9),Model!$D35:'Model'!$CN35)</f>
        <v>-40614.43951505507</v>
      </c>
      <c r="X31" s="35">
        <f>SUMPRODUCT(--(X$8&lt;=Model!$D$9:'Model'!$CN$9),--(X$9&gt;=Model!$D$9:'Model'!$CN$9),Model!$D35:'Model'!$CN35)</f>
        <v>-47164.454993317006</v>
      </c>
      <c r="Y31" s="35">
        <f>SUMPRODUCT(--(Y$8&lt;=Model!$D$9:'Model'!$CN$9),--(Y$9&gt;=Model!$D$9:'Model'!$CN$9),Model!$D35:'Model'!$CN35)</f>
        <v>-43381.391218681048</v>
      </c>
      <c r="Z31" s="35">
        <f>SUMPRODUCT(--(Z$8&lt;=Model!$D$9:'Model'!$CN$9),--(Z$9&gt;=Model!$D$9:'Model'!$CN$9),Model!$D35:'Model'!$CN35)</f>
        <v>-40590.257591568326</v>
      </c>
      <c r="AA31" s="35"/>
    </row>
    <row r="32" spans="1:27" ht="12.75" customHeight="1" outlineLevel="2">
      <c r="A32" s="35"/>
      <c r="B32" s="63" t="str">
        <f>'операционные  расходы 1 этап'!A15</f>
        <v xml:space="preserve">Выплата мастерам СПА-центра </v>
      </c>
      <c r="C32" s="74">
        <f t="shared" si="9"/>
        <v>-1258741.9939333398</v>
      </c>
      <c r="D32" s="60">
        <f>Model!D36</f>
        <v>0</v>
      </c>
      <c r="E32" s="35">
        <f>SUMPRODUCT(--(E$8&lt;=Model!$D$9:'Model'!$CN$9),--(E$9&gt;=Model!$D$9:'Model'!$CN$9),Model!$D36:'Model'!$CN36)</f>
        <v>0</v>
      </c>
      <c r="F32" s="35">
        <f>SUMPRODUCT(--(F$8&lt;=Model!$D$9:'Model'!$CN$9),--(F$9&gt;=Model!$D$9:'Model'!$CN$9),Model!$D36:'Model'!$CN36)</f>
        <v>0</v>
      </c>
      <c r="G32" s="35">
        <f>SUMPRODUCT(--(G$8&lt;=Model!$D$9:'Model'!$CN$9),--(G$9&gt;=Model!$D$9:'Model'!$CN$9),Model!$D36:'Model'!$CN36)</f>
        <v>0</v>
      </c>
      <c r="H32" s="35">
        <f>SUMPRODUCT(--(H$8&lt;=Model!$D$9:'Model'!$CN$9),--(H$9&gt;=Model!$D$9:'Model'!$CN$9),Model!$D36:'Model'!$CN36)</f>
        <v>0</v>
      </c>
      <c r="I32" s="35">
        <f>SUMPRODUCT(--(I$8&lt;=Model!$D$9:'Model'!$CN$9),--(I$9&gt;=Model!$D$9:'Model'!$CN$9),Model!$D36:'Model'!$CN36)</f>
        <v>-33806.298911051475</v>
      </c>
      <c r="J32" s="35">
        <f>SUMPRODUCT(--(J$8&lt;=Model!$D$9:'Model'!$CN$9),--(J$9&gt;=Model!$D$9:'Model'!$CN$9),Model!$D36:'Model'!$CN36)</f>
        <v>-55928.0631549885</v>
      </c>
      <c r="K32" s="35">
        <f>SUMPRODUCT(--(K$8&lt;=Model!$D$9:'Model'!$CN$9),--(K$9&gt;=Model!$D$9:'Model'!$CN$9),Model!$D36:'Model'!$CN36)</f>
        <v>-58724.466312737917</v>
      </c>
      <c r="L32" s="35">
        <f>SUMPRODUCT(--(L$8&lt;=Model!$D$9:'Model'!$CN$9),--(L$9&gt;=Model!$D$9:'Model'!$CN$9),Model!$D36:'Model'!$CN36)</f>
        <v>-54946.168105714336</v>
      </c>
      <c r="M32" s="35">
        <f>SUMPRODUCT(--(M$8&lt;=Model!$D$9:'Model'!$CN$9),--(M$9&gt;=Model!$D$9:'Model'!$CN$9),Model!$D36:'Model'!$CN36)</f>
        <v>-62102.557717281816</v>
      </c>
      <c r="N32" s="35">
        <f>SUMPRODUCT(--(N$8&lt;=Model!$D$9:'Model'!$CN$9),--(N$9&gt;=Model!$D$9:'Model'!$CN$9),Model!$D36:'Model'!$CN36)</f>
        <v>-62786.973270948271</v>
      </c>
      <c r="O32" s="35">
        <f>SUMPRODUCT(--(O$8&lt;=Model!$D$9:'Model'!$CN$9),--(O$9&gt;=Model!$D$9:'Model'!$CN$9),Model!$D36:'Model'!$CN36)</f>
        <v>-68852.516339076916</v>
      </c>
      <c r="P32" s="35">
        <f>SUMPRODUCT(--(P$8&lt;=Model!$D$9:'Model'!$CN$9),--(P$9&gt;=Model!$D$9:'Model'!$CN$9),Model!$D36:'Model'!$CN36)</f>
        <v>-66827.19980264199</v>
      </c>
      <c r="Q32" s="35">
        <f>SUMPRODUCT(--(Q$8&lt;=Model!$D$9:'Model'!$CN$9),--(Q$9&gt;=Model!$D$9:'Model'!$CN$9),Model!$D36:'Model'!$CN36)</f>
        <v>-77604.627690424459</v>
      </c>
      <c r="R32" s="35">
        <f>SUMPRODUCT(--(R$8&lt;=Model!$D$9:'Model'!$CN$9),--(R$9&gt;=Model!$D$9:'Model'!$CN$9),Model!$D36:'Model'!$CN36)</f>
        <v>-71379.955831047409</v>
      </c>
      <c r="S32" s="35">
        <f>SUMPRODUCT(--(S$8&lt;=Model!$D$9:'Model'!$CN$9),--(S$9&gt;=Model!$D$9:'Model'!$CN$9),Model!$D36:'Model'!$CN36)</f>
        <v>-66787.410746046458</v>
      </c>
      <c r="T32" s="35">
        <f>SUMPRODUCT(--(T$8&lt;=Model!$D$9:'Model'!$CN$9),--(T$9&gt;=Model!$D$9:'Model'!$CN$9),Model!$D36:'Model'!$CN36)</f>
        <v>-75486.047046341802</v>
      </c>
      <c r="U32" s="35">
        <f>SUMPRODUCT(--(U$8&lt;=Model!$D$9:'Model'!$CN$9),--(U$9&gt;=Model!$D$9:'Model'!$CN$9),Model!$D36:'Model'!$CN36)</f>
        <v>-76317.958429420571</v>
      </c>
      <c r="V32" s="35">
        <f>SUMPRODUCT(--(V$8&lt;=Model!$D$9:'Model'!$CN$9),--(V$9&gt;=Model!$D$9:'Model'!$CN$9),Model!$D36:'Model'!$CN36)</f>
        <v>-83690.663938375117</v>
      </c>
      <c r="W32" s="35">
        <f>SUMPRODUCT(--(W$8&lt;=Model!$D$9:'Model'!$CN$9),--(W$9&gt;=Model!$D$9:'Model'!$CN$9),Model!$D36:'Model'!$CN36)</f>
        <v>-81228.87903011014</v>
      </c>
      <c r="X32" s="35">
        <f>SUMPRODUCT(--(X$8&lt;=Model!$D$9:'Model'!$CN$9),--(X$9&gt;=Model!$D$9:'Model'!$CN$9),Model!$D36:'Model'!$CN36)</f>
        <v>-94328.909986634011</v>
      </c>
      <c r="Y32" s="35">
        <f>SUMPRODUCT(--(Y$8&lt;=Model!$D$9:'Model'!$CN$9),--(Y$9&gt;=Model!$D$9:'Model'!$CN$9),Model!$D36:'Model'!$CN36)</f>
        <v>-86762.782437362097</v>
      </c>
      <c r="Z32" s="35">
        <f>SUMPRODUCT(--(Z$8&lt;=Model!$D$9:'Model'!$CN$9),--(Z$9&gt;=Model!$D$9:'Model'!$CN$9),Model!$D36:'Model'!$CN36)</f>
        <v>-81180.515183136653</v>
      </c>
      <c r="AA32" s="35"/>
    </row>
    <row r="33" spans="1:27" ht="12.75" customHeight="1" outlineLevel="2">
      <c r="A33" s="35"/>
      <c r="B33" s="63" t="str">
        <f>'операционные  расходы 1 этап'!A16</f>
        <v>Индивидуальная косметика и аксессуары в номерной фонд</v>
      </c>
      <c r="C33" s="74">
        <f t="shared" si="9"/>
        <v>0</v>
      </c>
      <c r="D33" s="60">
        <f>Model!D37</f>
        <v>0</v>
      </c>
      <c r="E33" s="35">
        <f>SUMPRODUCT(--(E$8&lt;=Model!$D$9:'Model'!$CN$9),--(E$9&gt;=Model!$D$9:'Model'!$CN$9),Model!$D37:'Model'!$CN37)</f>
        <v>0</v>
      </c>
      <c r="F33" s="35">
        <f>SUMPRODUCT(--(F$8&lt;=Model!$D$9:'Model'!$CN$9),--(F$9&gt;=Model!$D$9:'Model'!$CN$9),Model!$D37:'Model'!$CN37)</f>
        <v>0</v>
      </c>
      <c r="G33" s="35">
        <f>SUMPRODUCT(--(G$8&lt;=Model!$D$9:'Model'!$CN$9),--(G$9&gt;=Model!$D$9:'Model'!$CN$9),Model!$D37:'Model'!$CN37)</f>
        <v>0</v>
      </c>
      <c r="H33" s="35">
        <f>SUMPRODUCT(--(H$8&lt;=Model!$D$9:'Model'!$CN$9),--(H$9&gt;=Model!$D$9:'Model'!$CN$9),Model!$D37:'Model'!$CN37)</f>
        <v>0</v>
      </c>
      <c r="I33" s="35">
        <f>SUMPRODUCT(--(I$8&lt;=Model!$D$9:'Model'!$CN$9),--(I$9&gt;=Model!$D$9:'Model'!$CN$9),Model!$D37:'Model'!$CN37)</f>
        <v>0</v>
      </c>
      <c r="J33" s="35">
        <f>SUMPRODUCT(--(J$8&lt;=Model!$D$9:'Model'!$CN$9),--(J$9&gt;=Model!$D$9:'Model'!$CN$9),Model!$D37:'Model'!$CN37)</f>
        <v>0</v>
      </c>
      <c r="K33" s="35">
        <f>SUMPRODUCT(--(K$8&lt;=Model!$D$9:'Model'!$CN$9),--(K$9&gt;=Model!$D$9:'Model'!$CN$9),Model!$D37:'Model'!$CN37)</f>
        <v>0</v>
      </c>
      <c r="L33" s="35">
        <f>SUMPRODUCT(--(L$8&lt;=Model!$D$9:'Model'!$CN$9),--(L$9&gt;=Model!$D$9:'Model'!$CN$9),Model!$D37:'Model'!$CN37)</f>
        <v>0</v>
      </c>
      <c r="M33" s="35">
        <f>SUMPRODUCT(--(M$8&lt;=Model!$D$9:'Model'!$CN$9),--(M$9&gt;=Model!$D$9:'Model'!$CN$9),Model!$D37:'Model'!$CN37)</f>
        <v>0</v>
      </c>
      <c r="N33" s="35">
        <f>SUMPRODUCT(--(N$8&lt;=Model!$D$9:'Model'!$CN$9),--(N$9&gt;=Model!$D$9:'Model'!$CN$9),Model!$D37:'Model'!$CN37)</f>
        <v>0</v>
      </c>
      <c r="O33" s="35">
        <f>SUMPRODUCT(--(O$8&lt;=Model!$D$9:'Model'!$CN$9),--(O$9&gt;=Model!$D$9:'Model'!$CN$9),Model!$D37:'Model'!$CN37)</f>
        <v>0</v>
      </c>
      <c r="P33" s="35">
        <f>SUMPRODUCT(--(P$8&lt;=Model!$D$9:'Model'!$CN$9),--(P$9&gt;=Model!$D$9:'Model'!$CN$9),Model!$D37:'Model'!$CN37)</f>
        <v>0</v>
      </c>
      <c r="Q33" s="35">
        <f>SUMPRODUCT(--(Q$8&lt;=Model!$D$9:'Model'!$CN$9),--(Q$9&gt;=Model!$D$9:'Model'!$CN$9),Model!$D37:'Model'!$CN37)</f>
        <v>0</v>
      </c>
      <c r="R33" s="35">
        <f>SUMPRODUCT(--(R$8&lt;=Model!$D$9:'Model'!$CN$9),--(R$9&gt;=Model!$D$9:'Model'!$CN$9),Model!$D37:'Model'!$CN37)</f>
        <v>0</v>
      </c>
      <c r="S33" s="35">
        <f>SUMPRODUCT(--(S$8&lt;=Model!$D$9:'Model'!$CN$9),--(S$9&gt;=Model!$D$9:'Model'!$CN$9),Model!$D37:'Model'!$CN37)</f>
        <v>0</v>
      </c>
      <c r="T33" s="35">
        <f>SUMPRODUCT(--(T$8&lt;=Model!$D$9:'Model'!$CN$9),--(T$9&gt;=Model!$D$9:'Model'!$CN$9),Model!$D37:'Model'!$CN37)</f>
        <v>0</v>
      </c>
      <c r="U33" s="35">
        <f>SUMPRODUCT(--(U$8&lt;=Model!$D$9:'Model'!$CN$9),--(U$9&gt;=Model!$D$9:'Model'!$CN$9),Model!$D37:'Model'!$CN37)</f>
        <v>0</v>
      </c>
      <c r="V33" s="35">
        <f>SUMPRODUCT(--(V$8&lt;=Model!$D$9:'Model'!$CN$9),--(V$9&gt;=Model!$D$9:'Model'!$CN$9),Model!$D37:'Model'!$CN37)</f>
        <v>0</v>
      </c>
      <c r="W33" s="35">
        <f>SUMPRODUCT(--(W$8&lt;=Model!$D$9:'Model'!$CN$9),--(W$9&gt;=Model!$D$9:'Model'!$CN$9),Model!$D37:'Model'!$CN37)</f>
        <v>0</v>
      </c>
      <c r="X33" s="35">
        <f>SUMPRODUCT(--(X$8&lt;=Model!$D$9:'Model'!$CN$9),--(X$9&gt;=Model!$D$9:'Model'!$CN$9),Model!$D37:'Model'!$CN37)</f>
        <v>0</v>
      </c>
      <c r="Y33" s="35">
        <f>SUMPRODUCT(--(Y$8&lt;=Model!$D$9:'Model'!$CN$9),--(Y$9&gt;=Model!$D$9:'Model'!$CN$9),Model!$D37:'Model'!$CN37)</f>
        <v>0</v>
      </c>
      <c r="Z33" s="35">
        <f>SUMPRODUCT(--(Z$8&lt;=Model!$D$9:'Model'!$CN$9),--(Z$9&gt;=Model!$D$9:'Model'!$CN$9),Model!$D37:'Model'!$CN37)</f>
        <v>0</v>
      </c>
      <c r="AA33" s="35"/>
    </row>
    <row r="34" spans="1:27" ht="12.75" customHeight="1" outlineLevel="2">
      <c r="A34" s="35"/>
      <c r="B34" s="63" t="str">
        <f>'операционные  расходы 1 этап'!A17</f>
        <v>Моющие и химические средства</v>
      </c>
      <c r="C34" s="74">
        <f t="shared" si="9"/>
        <v>-241238.2550112069</v>
      </c>
      <c r="D34" s="60">
        <f>Model!D38</f>
        <v>0</v>
      </c>
      <c r="E34" s="35">
        <f>SUMPRODUCT(--(E$8&lt;=Model!$D$9:'Model'!$CN$9),--(E$9&gt;=Model!$D$9:'Model'!$CN$9),Model!$D38:'Model'!$CN38)</f>
        <v>0</v>
      </c>
      <c r="F34" s="35">
        <f>SUMPRODUCT(--(F$8&lt;=Model!$D$9:'Model'!$CN$9),--(F$9&gt;=Model!$D$9:'Model'!$CN$9),Model!$D38:'Model'!$CN38)</f>
        <v>0</v>
      </c>
      <c r="G34" s="35">
        <f>SUMPRODUCT(--(G$8&lt;=Model!$D$9:'Model'!$CN$9),--(G$9&gt;=Model!$D$9:'Model'!$CN$9),Model!$D38:'Model'!$CN38)</f>
        <v>0</v>
      </c>
      <c r="H34" s="35">
        <f>SUMPRODUCT(--(H$8&lt;=Model!$D$9:'Model'!$CN$9),--(H$9&gt;=Model!$D$9:'Model'!$CN$9),Model!$D38:'Model'!$CN38)</f>
        <v>0</v>
      </c>
      <c r="I34" s="35">
        <f>SUMPRODUCT(--(I$8&lt;=Model!$D$9:'Model'!$CN$9),--(I$9&gt;=Model!$D$9:'Model'!$CN$9),Model!$D38:'Model'!$CN38)</f>
        <v>-6124.8365691110293</v>
      </c>
      <c r="J34" s="35">
        <f>SUMPRODUCT(--(J$8&lt;=Model!$D$9:'Model'!$CN$9),--(J$9&gt;=Model!$D$9:'Model'!$CN$9),Model!$D38:'Model'!$CN38)</f>
        <v>-10510.058374520862</v>
      </c>
      <c r="K34" s="35">
        <f>SUMPRODUCT(--(K$8&lt;=Model!$D$9:'Model'!$CN$9),--(K$9&gt;=Model!$D$9:'Model'!$CN$9),Model!$D38:'Model'!$CN38)</f>
        <v>-11332.783843588197</v>
      </c>
      <c r="L34" s="35">
        <f>SUMPRODUCT(--(L$8&lt;=Model!$D$9:'Model'!$CN$9),--(L$9&gt;=Model!$D$9:'Model'!$CN$9),Model!$D38:'Model'!$CN38)</f>
        <v>-10757.145830689824</v>
      </c>
      <c r="M34" s="35">
        <f>SUMPRODUCT(--(M$8&lt;=Model!$D$9:'Model'!$CN$9),--(M$9&gt;=Model!$D$9:'Model'!$CN$9),Model!$D38:'Model'!$CN38)</f>
        <v>-12081.155665472508</v>
      </c>
      <c r="N34" s="35">
        <f>SUMPRODUCT(--(N$8&lt;=Model!$D$9:'Model'!$CN$9),--(N$9&gt;=Model!$D$9:'Model'!$CN$9),Model!$D38:'Model'!$CN38)</f>
        <v>-11891.456866830296</v>
      </c>
      <c r="O34" s="35">
        <f>SUMPRODUCT(--(O$8&lt;=Model!$D$9:'Model'!$CN$9),--(O$9&gt;=Model!$D$9:'Model'!$CN$9),Model!$D38:'Model'!$CN38)</f>
        <v>-13266.689706330286</v>
      </c>
      <c r="P34" s="35">
        <f>SUMPRODUCT(--(P$8&lt;=Model!$D$9:'Model'!$CN$9),--(P$9&gt;=Model!$D$9:'Model'!$CN$9),Model!$D38:'Model'!$CN38)</f>
        <v>-12775.96653232443</v>
      </c>
      <c r="Q34" s="35">
        <f>SUMPRODUCT(--(Q$8&lt;=Model!$D$9:'Model'!$CN$9),--(Q$9&gt;=Model!$D$9:'Model'!$CN$9),Model!$D38:'Model'!$CN38)</f>
        <v>-14541.577305180603</v>
      </c>
      <c r="R34" s="35">
        <f>SUMPRODUCT(--(R$8&lt;=Model!$D$9:'Model'!$CN$9),--(R$9&gt;=Model!$D$9:'Model'!$CN$9),Model!$D38:'Model'!$CN38)</f>
        <v>-13775.069591780477</v>
      </c>
      <c r="S34" s="35">
        <f>SUMPRODUCT(--(S$8&lt;=Model!$D$9:'Model'!$CN$9),--(S$9&gt;=Model!$D$9:'Model'!$CN$9),Model!$D38:'Model'!$CN38)</f>
        <v>-13075.377989364926</v>
      </c>
      <c r="T34" s="35">
        <f>SUMPRODUCT(--(T$8&lt;=Model!$D$9:'Model'!$CN$9),--(T$9&gt;=Model!$D$9:'Model'!$CN$9),Model!$D38:'Model'!$CN38)</f>
        <v>-14684.720218604747</v>
      </c>
      <c r="U34" s="35">
        <f>SUMPRODUCT(--(U$8&lt;=Model!$D$9:'Model'!$CN$9),--(U$9&gt;=Model!$D$9:'Model'!$CN$9),Model!$D38:'Model'!$CN38)</f>
        <v>-14454.140143237644</v>
      </c>
      <c r="V34" s="35">
        <f>SUMPRODUCT(--(V$8&lt;=Model!$D$9:'Model'!$CN$9),--(V$9&gt;=Model!$D$9:'Model'!$CN$9),Model!$D38:'Model'!$CN38)</f>
        <v>-16125.744254855132</v>
      </c>
      <c r="W34" s="35">
        <f>SUMPRODUCT(--(W$8&lt;=Model!$D$9:'Model'!$CN$9),--(W$9&gt;=Model!$D$9:'Model'!$CN$9),Model!$D38:'Model'!$CN38)</f>
        <v>-15529.267169831175</v>
      </c>
      <c r="X34" s="35">
        <f>SUMPRODUCT(--(X$8&lt;=Model!$D$9:'Model'!$CN$9),--(X$9&gt;=Model!$D$9:'Model'!$CN$9),Model!$D38:'Model'!$CN38)</f>
        <v>-17675.378099305188</v>
      </c>
      <c r="Y34" s="35">
        <f>SUMPRODUCT(--(Y$8&lt;=Model!$D$9:'Model'!$CN$9),--(Y$9&gt;=Model!$D$9:'Model'!$CN$9),Model!$D38:'Model'!$CN38)</f>
        <v>-16743.683182994122</v>
      </c>
      <c r="Z34" s="35">
        <f>SUMPRODUCT(--(Z$8&lt;=Model!$D$9:'Model'!$CN$9),--(Z$9&gt;=Model!$D$9:'Model'!$CN$9),Model!$D38:'Model'!$CN38)</f>
        <v>-15893.203667185506</v>
      </c>
      <c r="AA34" s="35"/>
    </row>
    <row r="35" spans="1:27" ht="12.75" customHeight="1" outlineLevel="2">
      <c r="A35" s="35"/>
      <c r="B35" s="63" t="str">
        <f>'операционные  расходы 1 этап'!A18</f>
        <v>Канцтовары и прочее</v>
      </c>
      <c r="C35" s="74">
        <f t="shared" si="9"/>
        <v>-192990.6040089656</v>
      </c>
      <c r="D35" s="60">
        <f>Model!D39</f>
        <v>0</v>
      </c>
      <c r="E35" s="35">
        <f>SUMPRODUCT(--(E$8&lt;=Model!$D$9:'Model'!$CN$9),--(E$9&gt;=Model!$D$9:'Model'!$CN$9),Model!$D39:'Model'!$CN39)</f>
        <v>0</v>
      </c>
      <c r="F35" s="35">
        <f>SUMPRODUCT(--(F$8&lt;=Model!$D$9:'Model'!$CN$9),--(F$9&gt;=Model!$D$9:'Model'!$CN$9),Model!$D39:'Model'!$CN39)</f>
        <v>0</v>
      </c>
      <c r="G35" s="35">
        <f>SUMPRODUCT(--(G$8&lt;=Model!$D$9:'Model'!$CN$9),--(G$9&gt;=Model!$D$9:'Model'!$CN$9),Model!$D39:'Model'!$CN39)</f>
        <v>0</v>
      </c>
      <c r="H35" s="35">
        <f>SUMPRODUCT(--(H$8&lt;=Model!$D$9:'Model'!$CN$9),--(H$9&gt;=Model!$D$9:'Model'!$CN$9),Model!$D39:'Model'!$CN39)</f>
        <v>0</v>
      </c>
      <c r="I35" s="35">
        <f>SUMPRODUCT(--(I$8&lt;=Model!$D$9:'Model'!$CN$9),--(I$9&gt;=Model!$D$9:'Model'!$CN$9),Model!$D39:'Model'!$CN39)</f>
        <v>-4899.8692552888242</v>
      </c>
      <c r="J35" s="35">
        <f>SUMPRODUCT(--(J$8&lt;=Model!$D$9:'Model'!$CN$9),--(J$9&gt;=Model!$D$9:'Model'!$CN$9),Model!$D39:'Model'!$CN39)</f>
        <v>-8408.0466996166906</v>
      </c>
      <c r="K35" s="35">
        <f>SUMPRODUCT(--(K$8&lt;=Model!$D$9:'Model'!$CN$9),--(K$9&gt;=Model!$D$9:'Model'!$CN$9),Model!$D39:'Model'!$CN39)</f>
        <v>-9066.2270748705578</v>
      </c>
      <c r="L35" s="35">
        <f>SUMPRODUCT(--(L$8&lt;=Model!$D$9:'Model'!$CN$9),--(L$9&gt;=Model!$D$9:'Model'!$CN$9),Model!$D39:'Model'!$CN39)</f>
        <v>-8605.716664551861</v>
      </c>
      <c r="M35" s="35">
        <f>SUMPRODUCT(--(M$8&lt;=Model!$D$9:'Model'!$CN$9),--(M$9&gt;=Model!$D$9:'Model'!$CN$9),Model!$D39:'Model'!$CN39)</f>
        <v>-9664.9245323780069</v>
      </c>
      <c r="N35" s="35">
        <f>SUMPRODUCT(--(N$8&lt;=Model!$D$9:'Model'!$CN$9),--(N$9&gt;=Model!$D$9:'Model'!$CN$9),Model!$D39:'Model'!$CN39)</f>
        <v>-9513.1654934642356</v>
      </c>
      <c r="O35" s="35">
        <f>SUMPRODUCT(--(O$8&lt;=Model!$D$9:'Model'!$CN$9),--(O$9&gt;=Model!$D$9:'Model'!$CN$9),Model!$D39:'Model'!$CN39)</f>
        <v>-10613.35176506423</v>
      </c>
      <c r="P35" s="35">
        <f>SUMPRODUCT(--(P$8&lt;=Model!$D$9:'Model'!$CN$9),--(P$9&gt;=Model!$D$9:'Model'!$CN$9),Model!$D39:'Model'!$CN39)</f>
        <v>-10220.773225859544</v>
      </c>
      <c r="Q35" s="35">
        <f>SUMPRODUCT(--(Q$8&lt;=Model!$D$9:'Model'!$CN$9),--(Q$9&gt;=Model!$D$9:'Model'!$CN$9),Model!$D39:'Model'!$CN39)</f>
        <v>-11633.261844144483</v>
      </c>
      <c r="R35" s="35">
        <f>SUMPRODUCT(--(R$8&lt;=Model!$D$9:'Model'!$CN$9),--(R$9&gt;=Model!$D$9:'Model'!$CN$9),Model!$D39:'Model'!$CN39)</f>
        <v>-11020.055673424382</v>
      </c>
      <c r="S35" s="35">
        <f>SUMPRODUCT(--(S$8&lt;=Model!$D$9:'Model'!$CN$9),--(S$9&gt;=Model!$D$9:'Model'!$CN$9),Model!$D39:'Model'!$CN39)</f>
        <v>-10460.302391491941</v>
      </c>
      <c r="T35" s="35">
        <f>SUMPRODUCT(--(T$8&lt;=Model!$D$9:'Model'!$CN$9),--(T$9&gt;=Model!$D$9:'Model'!$CN$9),Model!$D39:'Model'!$CN39)</f>
        <v>-11747.776174883797</v>
      </c>
      <c r="U35" s="35">
        <f>SUMPRODUCT(--(U$8&lt;=Model!$D$9:'Model'!$CN$9),--(U$9&gt;=Model!$D$9:'Model'!$CN$9),Model!$D39:'Model'!$CN39)</f>
        <v>-11563.312114590115</v>
      </c>
      <c r="V35" s="35">
        <f>SUMPRODUCT(--(V$8&lt;=Model!$D$9:'Model'!$CN$9),--(V$9&gt;=Model!$D$9:'Model'!$CN$9),Model!$D39:'Model'!$CN39)</f>
        <v>-12900.595403884106</v>
      </c>
      <c r="W35" s="35">
        <f>SUMPRODUCT(--(W$8&lt;=Model!$D$9:'Model'!$CN$9),--(W$9&gt;=Model!$D$9:'Model'!$CN$9),Model!$D39:'Model'!$CN39)</f>
        <v>-12423.41373586494</v>
      </c>
      <c r="X35" s="35">
        <f>SUMPRODUCT(--(X$8&lt;=Model!$D$9:'Model'!$CN$9),--(X$9&gt;=Model!$D$9:'Model'!$CN$9),Model!$D39:'Model'!$CN39)</f>
        <v>-14140.30247944415</v>
      </c>
      <c r="Y35" s="35">
        <f>SUMPRODUCT(--(Y$8&lt;=Model!$D$9:'Model'!$CN$9),--(Y$9&gt;=Model!$D$9:'Model'!$CN$9),Model!$D39:'Model'!$CN39)</f>
        <v>-13394.946546395297</v>
      </c>
      <c r="Z35" s="35">
        <f>SUMPRODUCT(--(Z$8&lt;=Model!$D$9:'Model'!$CN$9),--(Z$9&gt;=Model!$D$9:'Model'!$CN$9),Model!$D39:'Model'!$CN39)</f>
        <v>-12714.562933748404</v>
      </c>
      <c r="AA35" s="35"/>
    </row>
    <row r="36" spans="1:27" ht="12.75" customHeight="1" outlineLevel="1">
      <c r="A36" s="35"/>
      <c r="B36" s="73" t="s">
        <v>142</v>
      </c>
      <c r="C36" s="37">
        <f t="shared" si="9"/>
        <v>0</v>
      </c>
      <c r="D36" s="60">
        <f>Model!D41</f>
        <v>0</v>
      </c>
      <c r="E36" s="35">
        <f>SUMPRODUCT(--(E$8&lt;=Model!$D$9:'Model'!$CN$9),--(E$9&gt;=Model!$D$9:'Model'!$CN$9),Model!$D41:'Model'!$CN41)</f>
        <v>0</v>
      </c>
      <c r="F36" s="35">
        <f>SUMPRODUCT(--(F$8&lt;=Model!$D$9:'Model'!$CN$9),--(F$9&gt;=Model!$D$9:'Model'!$CN$9),Model!$D41:'Model'!$CN41)</f>
        <v>0</v>
      </c>
      <c r="G36" s="35">
        <f>SUMPRODUCT(--(G$8&lt;=Model!$D$9:'Model'!$CN$9),--(G$9&gt;=Model!$D$9:'Model'!$CN$9),Model!$D41:'Model'!$CN41)</f>
        <v>0</v>
      </c>
      <c r="H36" s="35">
        <f>SUMPRODUCT(--(H$8&lt;=Model!$D$9:'Model'!$CN$9),--(H$9&gt;=Model!$D$9:'Model'!$CN$9),Model!$D41:'Model'!$CN41)</f>
        <v>0</v>
      </c>
      <c r="I36" s="35">
        <f>SUMPRODUCT(--(I$8&lt;=Model!$D$9:'Model'!$CN$9),--(I$9&gt;=Model!$D$9:'Model'!$CN$9),Model!$D41:'Model'!$CN41)</f>
        <v>0</v>
      </c>
      <c r="J36" s="35">
        <f>SUMPRODUCT(--(J$8&lt;=Model!$D$9:'Model'!$CN$9),--(J$9&gt;=Model!$D$9:'Model'!$CN$9),Model!$D41:'Model'!$CN41)</f>
        <v>0</v>
      </c>
      <c r="K36" s="35">
        <f>SUMPRODUCT(--(K$8&lt;=Model!$D$9:'Model'!$CN$9),--(K$9&gt;=Model!$D$9:'Model'!$CN$9),Model!$D41:'Model'!$CN41)</f>
        <v>0</v>
      </c>
      <c r="L36" s="35">
        <f>SUMPRODUCT(--(L$8&lt;=Model!$D$9:'Model'!$CN$9),--(L$9&gt;=Model!$D$9:'Model'!$CN$9),Model!$D41:'Model'!$CN41)</f>
        <v>0</v>
      </c>
      <c r="M36" s="35">
        <f>SUMPRODUCT(--(M$8&lt;=Model!$D$9:'Model'!$CN$9),--(M$9&gt;=Model!$D$9:'Model'!$CN$9),Model!$D41:'Model'!$CN41)</f>
        <v>0</v>
      </c>
      <c r="N36" s="35">
        <f>SUMPRODUCT(--(N$8&lt;=Model!$D$9:'Model'!$CN$9),--(N$9&gt;=Model!$D$9:'Model'!$CN$9),Model!$D41:'Model'!$CN41)</f>
        <v>0</v>
      </c>
      <c r="O36" s="35">
        <f>SUMPRODUCT(--(O$8&lt;=Model!$D$9:'Model'!$CN$9),--(O$9&gt;=Model!$D$9:'Model'!$CN$9),Model!$D41:'Model'!$CN41)</f>
        <v>0</v>
      </c>
      <c r="P36" s="35">
        <f>SUMPRODUCT(--(P$8&lt;=Model!$D$9:'Model'!$CN$9),--(P$9&gt;=Model!$D$9:'Model'!$CN$9),Model!$D41:'Model'!$CN41)</f>
        <v>0</v>
      </c>
      <c r="Q36" s="35">
        <f>SUMPRODUCT(--(Q$8&lt;=Model!$D$9:'Model'!$CN$9),--(Q$9&gt;=Model!$D$9:'Model'!$CN$9),Model!$D41:'Model'!$CN41)</f>
        <v>0</v>
      </c>
      <c r="R36" s="35">
        <f>SUMPRODUCT(--(R$8&lt;=Model!$D$9:'Model'!$CN$9),--(R$9&gt;=Model!$D$9:'Model'!$CN$9),Model!$D41:'Model'!$CN41)</f>
        <v>0</v>
      </c>
      <c r="S36" s="35">
        <f>SUMPRODUCT(--(S$8&lt;=Model!$D$9:'Model'!$CN$9),--(S$9&gt;=Model!$D$9:'Model'!$CN$9),Model!$D41:'Model'!$CN41)</f>
        <v>0</v>
      </c>
      <c r="T36" s="35">
        <f>SUMPRODUCT(--(T$8&lt;=Model!$D$9:'Model'!$CN$9),--(T$9&gt;=Model!$D$9:'Model'!$CN$9),Model!$D41:'Model'!$CN41)</f>
        <v>0</v>
      </c>
      <c r="U36" s="35">
        <f>SUMPRODUCT(--(U$8&lt;=Model!$D$9:'Model'!$CN$9),--(U$9&gt;=Model!$D$9:'Model'!$CN$9),Model!$D41:'Model'!$CN41)</f>
        <v>0</v>
      </c>
      <c r="V36" s="35">
        <f>SUMPRODUCT(--(V$8&lt;=Model!$D$9:'Model'!$CN$9),--(V$9&gt;=Model!$D$9:'Model'!$CN$9),Model!$D41:'Model'!$CN41)</f>
        <v>0</v>
      </c>
      <c r="W36" s="35">
        <f>SUMPRODUCT(--(W$8&lt;=Model!$D$9:'Model'!$CN$9),--(W$9&gt;=Model!$D$9:'Model'!$CN$9),Model!$D41:'Model'!$CN41)</f>
        <v>0</v>
      </c>
      <c r="X36" s="35">
        <f>SUMPRODUCT(--(X$8&lt;=Model!$D$9:'Model'!$CN$9),--(X$9&gt;=Model!$D$9:'Model'!$CN$9),Model!$D41:'Model'!$CN41)</f>
        <v>0</v>
      </c>
      <c r="Y36" s="35">
        <f>SUMPRODUCT(--(Y$8&lt;=Model!$D$9:'Model'!$CN$9),--(Y$9&gt;=Model!$D$9:'Model'!$CN$9),Model!$D41:'Model'!$CN41)</f>
        <v>0</v>
      </c>
      <c r="Z36" s="35">
        <f>SUMPRODUCT(--(Z$8&lt;=Model!$D$9:'Model'!$CN$9),--(Z$9&gt;=Model!$D$9:'Model'!$CN$9),Model!$D41:'Model'!$CN41)</f>
        <v>0</v>
      </c>
      <c r="AA36" s="35"/>
    </row>
    <row r="37" spans="1:27" ht="12.75" customHeight="1" outlineLevel="2">
      <c r="A37" s="35"/>
      <c r="B37" s="63" t="str">
        <f>'операционные  расходы 1 этап'!A20</f>
        <v>Затраты на выплату зарплаты персонала с учетом налогов и выплат в фонды</v>
      </c>
      <c r="C37" s="74">
        <f t="shared" si="9"/>
        <v>0</v>
      </c>
      <c r="D37" s="60">
        <f>Model!D42</f>
        <v>0</v>
      </c>
      <c r="E37" s="35">
        <f>SUMPRODUCT(--(E$8&lt;=Model!$D$9:'Model'!$CN$9),--(E$9&gt;=Model!$D$9:'Model'!$CN$9),Model!$D42:'Model'!$CN42)</f>
        <v>0</v>
      </c>
      <c r="F37" s="35">
        <f>SUMPRODUCT(--(F$8&lt;=Model!$D$9:'Model'!$CN$9),--(F$9&gt;=Model!$D$9:'Model'!$CN$9),Model!$D42:'Model'!$CN42)</f>
        <v>0</v>
      </c>
      <c r="G37" s="35">
        <f>SUMPRODUCT(--(G$8&lt;=Model!$D$9:'Model'!$CN$9),--(G$9&gt;=Model!$D$9:'Model'!$CN$9),Model!$D42:'Model'!$CN42)</f>
        <v>0</v>
      </c>
      <c r="H37" s="35">
        <f>SUMPRODUCT(--(H$8&lt;=Model!$D$9:'Model'!$CN$9),--(H$9&gt;=Model!$D$9:'Model'!$CN$9),Model!$D42:'Model'!$CN42)</f>
        <v>0</v>
      </c>
      <c r="I37" s="35">
        <f>SUMPRODUCT(--(I$8&lt;=Model!$D$9:'Model'!$CN$9),--(I$9&gt;=Model!$D$9:'Model'!$CN$9),Model!$D42:'Model'!$CN42)</f>
        <v>0</v>
      </c>
      <c r="J37" s="35">
        <f>SUMPRODUCT(--(J$8&lt;=Model!$D$9:'Model'!$CN$9),--(J$9&gt;=Model!$D$9:'Model'!$CN$9),Model!$D42:'Model'!$CN42)</f>
        <v>0</v>
      </c>
      <c r="K37" s="35">
        <f>SUMPRODUCT(--(K$8&lt;=Model!$D$9:'Model'!$CN$9),--(K$9&gt;=Model!$D$9:'Model'!$CN$9),Model!$D42:'Model'!$CN42)</f>
        <v>0</v>
      </c>
      <c r="L37" s="35">
        <f>SUMPRODUCT(--(L$8&lt;=Model!$D$9:'Model'!$CN$9),--(L$9&gt;=Model!$D$9:'Model'!$CN$9),Model!$D42:'Model'!$CN42)</f>
        <v>0</v>
      </c>
      <c r="M37" s="35">
        <f>SUMPRODUCT(--(M$8&lt;=Model!$D$9:'Model'!$CN$9),--(M$9&gt;=Model!$D$9:'Model'!$CN$9),Model!$D42:'Model'!$CN42)</f>
        <v>0</v>
      </c>
      <c r="N37" s="35">
        <f>SUMPRODUCT(--(N$8&lt;=Model!$D$9:'Model'!$CN$9),--(N$9&gt;=Model!$D$9:'Model'!$CN$9),Model!$D42:'Model'!$CN42)</f>
        <v>0</v>
      </c>
      <c r="O37" s="35">
        <f>SUMPRODUCT(--(O$8&lt;=Model!$D$9:'Model'!$CN$9),--(O$9&gt;=Model!$D$9:'Model'!$CN$9),Model!$D42:'Model'!$CN42)</f>
        <v>0</v>
      </c>
      <c r="P37" s="35">
        <f>SUMPRODUCT(--(P$8&lt;=Model!$D$9:'Model'!$CN$9),--(P$9&gt;=Model!$D$9:'Model'!$CN$9),Model!$D42:'Model'!$CN42)</f>
        <v>0</v>
      </c>
      <c r="Q37" s="35">
        <f>SUMPRODUCT(--(Q$8&lt;=Model!$D$9:'Model'!$CN$9),--(Q$9&gt;=Model!$D$9:'Model'!$CN$9),Model!$D42:'Model'!$CN42)</f>
        <v>0</v>
      </c>
      <c r="R37" s="35">
        <f>SUMPRODUCT(--(R$8&lt;=Model!$D$9:'Model'!$CN$9),--(R$9&gt;=Model!$D$9:'Model'!$CN$9),Model!$D42:'Model'!$CN42)</f>
        <v>0</v>
      </c>
      <c r="S37" s="35">
        <f>SUMPRODUCT(--(S$8&lt;=Model!$D$9:'Model'!$CN$9),--(S$9&gt;=Model!$D$9:'Model'!$CN$9),Model!$D42:'Model'!$CN42)</f>
        <v>0</v>
      </c>
      <c r="T37" s="35">
        <f>SUMPRODUCT(--(T$8&lt;=Model!$D$9:'Model'!$CN$9),--(T$9&gt;=Model!$D$9:'Model'!$CN$9),Model!$D42:'Model'!$CN42)</f>
        <v>0</v>
      </c>
      <c r="U37" s="35">
        <f>SUMPRODUCT(--(U$8&lt;=Model!$D$9:'Model'!$CN$9),--(U$9&gt;=Model!$D$9:'Model'!$CN$9),Model!$D42:'Model'!$CN42)</f>
        <v>0</v>
      </c>
      <c r="V37" s="35">
        <f>SUMPRODUCT(--(V$8&lt;=Model!$D$9:'Model'!$CN$9),--(V$9&gt;=Model!$D$9:'Model'!$CN$9),Model!$D42:'Model'!$CN42)</f>
        <v>0</v>
      </c>
      <c r="W37" s="35">
        <f>SUMPRODUCT(--(W$8&lt;=Model!$D$9:'Model'!$CN$9),--(W$9&gt;=Model!$D$9:'Model'!$CN$9),Model!$D42:'Model'!$CN42)</f>
        <v>0</v>
      </c>
      <c r="X37" s="35">
        <f>SUMPRODUCT(--(X$8&lt;=Model!$D$9:'Model'!$CN$9),--(X$9&gt;=Model!$D$9:'Model'!$CN$9),Model!$D42:'Model'!$CN42)</f>
        <v>0</v>
      </c>
      <c r="Y37" s="35">
        <f>SUMPRODUCT(--(Y$8&lt;=Model!$D$9:'Model'!$CN$9),--(Y$9&gt;=Model!$D$9:'Model'!$CN$9),Model!$D42:'Model'!$CN42)</f>
        <v>0</v>
      </c>
      <c r="Z37" s="35">
        <f>SUMPRODUCT(--(Z$8&lt;=Model!$D$9:'Model'!$CN$9),--(Z$9&gt;=Model!$D$9:'Model'!$CN$9),Model!$D42:'Model'!$CN42)</f>
        <v>0</v>
      </c>
      <c r="AA37" s="35"/>
    </row>
    <row r="38" spans="1:27" ht="12.75" customHeight="1" outlineLevel="2">
      <c r="A38" s="35"/>
      <c r="B38" s="63" t="str">
        <f>'операционные  расходы 1 этап'!A21</f>
        <v>Техобслуживание оборудования гостинично-конгрессного комлекса, клубного дома, СПА-комплекса и ресторанно-развлекательного центра</v>
      </c>
      <c r="C38" s="74">
        <f t="shared" si="9"/>
        <v>0</v>
      </c>
      <c r="D38" s="60">
        <f>Model!D43</f>
        <v>0</v>
      </c>
      <c r="E38" s="35">
        <f>SUMPRODUCT(--(E$8&lt;=Model!$D$9:'Model'!$CN$9),--(E$9&gt;=Model!$D$9:'Model'!$CN$9),Model!$D43:'Model'!$CN43)</f>
        <v>0</v>
      </c>
      <c r="F38" s="35">
        <f>SUMPRODUCT(--(F$8&lt;=Model!$D$9:'Model'!$CN$9),--(F$9&gt;=Model!$D$9:'Model'!$CN$9),Model!$D43:'Model'!$CN43)</f>
        <v>0</v>
      </c>
      <c r="G38" s="35">
        <f>SUMPRODUCT(--(G$8&lt;=Model!$D$9:'Model'!$CN$9),--(G$9&gt;=Model!$D$9:'Model'!$CN$9),Model!$D43:'Model'!$CN43)</f>
        <v>0</v>
      </c>
      <c r="H38" s="35">
        <f>SUMPRODUCT(--(H$8&lt;=Model!$D$9:'Model'!$CN$9),--(H$9&gt;=Model!$D$9:'Model'!$CN$9),Model!$D43:'Model'!$CN43)</f>
        <v>0</v>
      </c>
      <c r="I38" s="35">
        <f>SUMPRODUCT(--(I$8&lt;=Model!$D$9:'Model'!$CN$9),--(I$9&gt;=Model!$D$9:'Model'!$CN$9),Model!$D43:'Model'!$CN43)</f>
        <v>0</v>
      </c>
      <c r="J38" s="35">
        <f>SUMPRODUCT(--(J$8&lt;=Model!$D$9:'Model'!$CN$9),--(J$9&gt;=Model!$D$9:'Model'!$CN$9),Model!$D43:'Model'!$CN43)</f>
        <v>0</v>
      </c>
      <c r="K38" s="35">
        <f>SUMPRODUCT(--(K$8&lt;=Model!$D$9:'Model'!$CN$9),--(K$9&gt;=Model!$D$9:'Model'!$CN$9),Model!$D43:'Model'!$CN43)</f>
        <v>0</v>
      </c>
      <c r="L38" s="35">
        <f>SUMPRODUCT(--(L$8&lt;=Model!$D$9:'Model'!$CN$9),--(L$9&gt;=Model!$D$9:'Model'!$CN$9),Model!$D43:'Model'!$CN43)</f>
        <v>0</v>
      </c>
      <c r="M38" s="35">
        <f>SUMPRODUCT(--(M$8&lt;=Model!$D$9:'Model'!$CN$9),--(M$9&gt;=Model!$D$9:'Model'!$CN$9),Model!$D43:'Model'!$CN43)</f>
        <v>0</v>
      </c>
      <c r="N38" s="35">
        <f>SUMPRODUCT(--(N$8&lt;=Model!$D$9:'Model'!$CN$9),--(N$9&gt;=Model!$D$9:'Model'!$CN$9),Model!$D43:'Model'!$CN43)</f>
        <v>0</v>
      </c>
      <c r="O38" s="35">
        <f>SUMPRODUCT(--(O$8&lt;=Model!$D$9:'Model'!$CN$9),--(O$9&gt;=Model!$D$9:'Model'!$CN$9),Model!$D43:'Model'!$CN43)</f>
        <v>0</v>
      </c>
      <c r="P38" s="35">
        <f>SUMPRODUCT(--(P$8&lt;=Model!$D$9:'Model'!$CN$9),--(P$9&gt;=Model!$D$9:'Model'!$CN$9),Model!$D43:'Model'!$CN43)</f>
        <v>0</v>
      </c>
      <c r="Q38" s="35">
        <f>SUMPRODUCT(--(Q$8&lt;=Model!$D$9:'Model'!$CN$9),--(Q$9&gt;=Model!$D$9:'Model'!$CN$9),Model!$D43:'Model'!$CN43)</f>
        <v>0</v>
      </c>
      <c r="R38" s="35">
        <f>SUMPRODUCT(--(R$8&lt;=Model!$D$9:'Model'!$CN$9),--(R$9&gt;=Model!$D$9:'Model'!$CN$9),Model!$D43:'Model'!$CN43)</f>
        <v>0</v>
      </c>
      <c r="S38" s="35">
        <f>SUMPRODUCT(--(S$8&lt;=Model!$D$9:'Model'!$CN$9),--(S$9&gt;=Model!$D$9:'Model'!$CN$9),Model!$D43:'Model'!$CN43)</f>
        <v>0</v>
      </c>
      <c r="T38" s="35">
        <f>SUMPRODUCT(--(T$8&lt;=Model!$D$9:'Model'!$CN$9),--(T$9&gt;=Model!$D$9:'Model'!$CN$9),Model!$D43:'Model'!$CN43)</f>
        <v>0</v>
      </c>
      <c r="U38" s="35">
        <f>SUMPRODUCT(--(U$8&lt;=Model!$D$9:'Model'!$CN$9),--(U$9&gt;=Model!$D$9:'Model'!$CN$9),Model!$D43:'Model'!$CN43)</f>
        <v>0</v>
      </c>
      <c r="V38" s="35">
        <f>SUMPRODUCT(--(V$8&lt;=Model!$D$9:'Model'!$CN$9),--(V$9&gt;=Model!$D$9:'Model'!$CN$9),Model!$D43:'Model'!$CN43)</f>
        <v>0</v>
      </c>
      <c r="W38" s="35">
        <f>SUMPRODUCT(--(W$8&lt;=Model!$D$9:'Model'!$CN$9),--(W$9&gt;=Model!$D$9:'Model'!$CN$9),Model!$D43:'Model'!$CN43)</f>
        <v>0</v>
      </c>
      <c r="X38" s="35">
        <f>SUMPRODUCT(--(X$8&lt;=Model!$D$9:'Model'!$CN$9),--(X$9&gt;=Model!$D$9:'Model'!$CN$9),Model!$D43:'Model'!$CN43)</f>
        <v>0</v>
      </c>
      <c r="Y38" s="35">
        <f>SUMPRODUCT(--(Y$8&lt;=Model!$D$9:'Model'!$CN$9),--(Y$9&gt;=Model!$D$9:'Model'!$CN$9),Model!$D43:'Model'!$CN43)</f>
        <v>0</v>
      </c>
      <c r="Z38" s="35">
        <f>SUMPRODUCT(--(Z$8&lt;=Model!$D$9:'Model'!$CN$9),--(Z$9&gt;=Model!$D$9:'Model'!$CN$9),Model!$D43:'Model'!$CN43)</f>
        <v>0</v>
      </c>
      <c r="AA38" s="35"/>
    </row>
    <row r="39" spans="1:27" ht="12.75" customHeight="1" outlineLevel="2">
      <c r="A39" s="35"/>
      <c r="B39" s="63" t="str">
        <f>'операционные  расходы 1 этап'!A22</f>
        <v>Ремонт и эксплуатация</v>
      </c>
      <c r="C39" s="74">
        <f t="shared" si="9"/>
        <v>-120619.12750560345</v>
      </c>
      <c r="D39" s="60">
        <f>Model!D44</f>
        <v>0</v>
      </c>
      <c r="E39" s="35">
        <f>SUMPRODUCT(--(E$8&lt;=Model!$D$9:'Model'!$CN$9),--(E$9&gt;=Model!$D$9:'Model'!$CN$9),Model!$D44:'Model'!$CN44)</f>
        <v>0</v>
      </c>
      <c r="F39" s="35">
        <f>SUMPRODUCT(--(F$8&lt;=Model!$D$9:'Model'!$CN$9),--(F$9&gt;=Model!$D$9:'Model'!$CN$9),Model!$D44:'Model'!$CN44)</f>
        <v>0</v>
      </c>
      <c r="G39" s="35">
        <f>SUMPRODUCT(--(G$8&lt;=Model!$D$9:'Model'!$CN$9),--(G$9&gt;=Model!$D$9:'Model'!$CN$9),Model!$D44:'Model'!$CN44)</f>
        <v>0</v>
      </c>
      <c r="H39" s="35">
        <f>SUMPRODUCT(--(H$8&lt;=Model!$D$9:'Model'!$CN$9),--(H$9&gt;=Model!$D$9:'Model'!$CN$9),Model!$D44:'Model'!$CN44)</f>
        <v>0</v>
      </c>
      <c r="I39" s="35">
        <f>SUMPRODUCT(--(I$8&lt;=Model!$D$9:'Model'!$CN$9),--(I$9&gt;=Model!$D$9:'Model'!$CN$9),Model!$D44:'Model'!$CN44)</f>
        <v>-3062.4182845555147</v>
      </c>
      <c r="J39" s="35">
        <f>SUMPRODUCT(--(J$8&lt;=Model!$D$9:'Model'!$CN$9),--(J$9&gt;=Model!$D$9:'Model'!$CN$9),Model!$D44:'Model'!$CN44)</f>
        <v>-5255.0291872604312</v>
      </c>
      <c r="K39" s="35">
        <f>SUMPRODUCT(--(K$8&lt;=Model!$D$9:'Model'!$CN$9),--(K$9&gt;=Model!$D$9:'Model'!$CN$9),Model!$D44:'Model'!$CN44)</f>
        <v>-5666.3919217940984</v>
      </c>
      <c r="L39" s="35">
        <f>SUMPRODUCT(--(L$8&lt;=Model!$D$9:'Model'!$CN$9),--(L$9&gt;=Model!$D$9:'Model'!$CN$9),Model!$D44:'Model'!$CN44)</f>
        <v>-5378.572915344912</v>
      </c>
      <c r="M39" s="35">
        <f>SUMPRODUCT(--(M$8&lt;=Model!$D$9:'Model'!$CN$9),--(M$9&gt;=Model!$D$9:'Model'!$CN$9),Model!$D44:'Model'!$CN44)</f>
        <v>-6040.5778327362541</v>
      </c>
      <c r="N39" s="35">
        <f>SUMPRODUCT(--(N$8&lt;=Model!$D$9:'Model'!$CN$9),--(N$9&gt;=Model!$D$9:'Model'!$CN$9),Model!$D44:'Model'!$CN44)</f>
        <v>-5945.7284334151482</v>
      </c>
      <c r="O39" s="35">
        <f>SUMPRODUCT(--(O$8&lt;=Model!$D$9:'Model'!$CN$9),--(O$9&gt;=Model!$D$9:'Model'!$CN$9),Model!$D44:'Model'!$CN44)</f>
        <v>-6633.3448531651429</v>
      </c>
      <c r="P39" s="35">
        <f>SUMPRODUCT(--(P$8&lt;=Model!$D$9:'Model'!$CN$9),--(P$9&gt;=Model!$D$9:'Model'!$CN$9),Model!$D44:'Model'!$CN44)</f>
        <v>-6387.9832661622149</v>
      </c>
      <c r="Q39" s="35">
        <f>SUMPRODUCT(--(Q$8&lt;=Model!$D$9:'Model'!$CN$9),--(Q$9&gt;=Model!$D$9:'Model'!$CN$9),Model!$D44:'Model'!$CN44)</f>
        <v>-7270.7886525903014</v>
      </c>
      <c r="R39" s="35">
        <f>SUMPRODUCT(--(R$8&lt;=Model!$D$9:'Model'!$CN$9),--(R$9&gt;=Model!$D$9:'Model'!$CN$9),Model!$D44:'Model'!$CN44)</f>
        <v>-6887.5347958902385</v>
      </c>
      <c r="S39" s="35">
        <f>SUMPRODUCT(--(S$8&lt;=Model!$D$9:'Model'!$CN$9),--(S$9&gt;=Model!$D$9:'Model'!$CN$9),Model!$D44:'Model'!$CN44)</f>
        <v>-6537.6889946824631</v>
      </c>
      <c r="T39" s="35">
        <f>SUMPRODUCT(--(T$8&lt;=Model!$D$9:'Model'!$CN$9),--(T$9&gt;=Model!$D$9:'Model'!$CN$9),Model!$D44:'Model'!$CN44)</f>
        <v>-7342.3601093023735</v>
      </c>
      <c r="U39" s="35">
        <f>SUMPRODUCT(--(U$8&lt;=Model!$D$9:'Model'!$CN$9),--(U$9&gt;=Model!$D$9:'Model'!$CN$9),Model!$D44:'Model'!$CN44)</f>
        <v>-7227.0700716188221</v>
      </c>
      <c r="V39" s="35">
        <f>SUMPRODUCT(--(V$8&lt;=Model!$D$9:'Model'!$CN$9),--(V$9&gt;=Model!$D$9:'Model'!$CN$9),Model!$D44:'Model'!$CN44)</f>
        <v>-8062.8721274275658</v>
      </c>
      <c r="W39" s="35">
        <f>SUMPRODUCT(--(W$8&lt;=Model!$D$9:'Model'!$CN$9),--(W$9&gt;=Model!$D$9:'Model'!$CN$9),Model!$D44:'Model'!$CN44)</f>
        <v>-7764.6335849155876</v>
      </c>
      <c r="X39" s="35">
        <f>SUMPRODUCT(--(X$8&lt;=Model!$D$9:'Model'!$CN$9),--(X$9&gt;=Model!$D$9:'Model'!$CN$9),Model!$D44:'Model'!$CN44)</f>
        <v>-8837.6890496525939</v>
      </c>
      <c r="Y39" s="35">
        <f>SUMPRODUCT(--(Y$8&lt;=Model!$D$9:'Model'!$CN$9),--(Y$9&gt;=Model!$D$9:'Model'!$CN$9),Model!$D44:'Model'!$CN44)</f>
        <v>-8371.841591497061</v>
      </c>
      <c r="Z39" s="35">
        <f>SUMPRODUCT(--(Z$8&lt;=Model!$D$9:'Model'!$CN$9),--(Z$9&gt;=Model!$D$9:'Model'!$CN$9),Model!$D44:'Model'!$CN44)</f>
        <v>-7946.6018335927529</v>
      </c>
      <c r="AA39" s="35"/>
    </row>
    <row r="40" spans="1:27" ht="12.75" customHeight="1" outlineLevel="2">
      <c r="A40" s="35"/>
      <c r="B40" s="63" t="str">
        <f>'операционные  расходы 1 этап'!A23</f>
        <v>Водоподготовка в крытых бассейнах СПА-центра</v>
      </c>
      <c r="C40" s="74">
        <f t="shared" si="9"/>
        <v>0</v>
      </c>
      <c r="D40" s="60">
        <f>Model!D45</f>
        <v>0</v>
      </c>
      <c r="E40" s="35">
        <f>SUMPRODUCT(--(E$8&lt;=Model!$D$9:'Model'!$CN$9),--(E$9&gt;=Model!$D$9:'Model'!$CN$9),Model!$D45:'Model'!$CN45)</f>
        <v>0</v>
      </c>
      <c r="F40" s="35">
        <f>SUMPRODUCT(--(F$8&lt;=Model!$D$9:'Model'!$CN$9),--(F$9&gt;=Model!$D$9:'Model'!$CN$9),Model!$D45:'Model'!$CN45)</f>
        <v>0</v>
      </c>
      <c r="G40" s="35">
        <f>SUMPRODUCT(--(G$8&lt;=Model!$D$9:'Model'!$CN$9),--(G$9&gt;=Model!$D$9:'Model'!$CN$9),Model!$D45:'Model'!$CN45)</f>
        <v>0</v>
      </c>
      <c r="H40" s="35">
        <f>SUMPRODUCT(--(H$8&lt;=Model!$D$9:'Model'!$CN$9),--(H$9&gt;=Model!$D$9:'Model'!$CN$9),Model!$D45:'Model'!$CN45)</f>
        <v>0</v>
      </c>
      <c r="I40" s="35">
        <f>SUMPRODUCT(--(I$8&lt;=Model!$D$9:'Model'!$CN$9),--(I$9&gt;=Model!$D$9:'Model'!$CN$9),Model!$D45:'Model'!$CN45)</f>
        <v>0</v>
      </c>
      <c r="J40" s="35">
        <f>SUMPRODUCT(--(J$8&lt;=Model!$D$9:'Model'!$CN$9),--(J$9&gt;=Model!$D$9:'Model'!$CN$9),Model!$D45:'Model'!$CN45)</f>
        <v>0</v>
      </c>
      <c r="K40" s="35">
        <f>SUMPRODUCT(--(K$8&lt;=Model!$D$9:'Model'!$CN$9),--(K$9&gt;=Model!$D$9:'Model'!$CN$9),Model!$D45:'Model'!$CN45)</f>
        <v>0</v>
      </c>
      <c r="L40" s="35">
        <f>SUMPRODUCT(--(L$8&lt;=Model!$D$9:'Model'!$CN$9),--(L$9&gt;=Model!$D$9:'Model'!$CN$9),Model!$D45:'Model'!$CN45)</f>
        <v>0</v>
      </c>
      <c r="M40" s="35">
        <f>SUMPRODUCT(--(M$8&lt;=Model!$D$9:'Model'!$CN$9),--(M$9&gt;=Model!$D$9:'Model'!$CN$9),Model!$D45:'Model'!$CN45)</f>
        <v>0</v>
      </c>
      <c r="N40" s="35">
        <f>SUMPRODUCT(--(N$8&lt;=Model!$D$9:'Model'!$CN$9),--(N$9&gt;=Model!$D$9:'Model'!$CN$9),Model!$D45:'Model'!$CN45)</f>
        <v>0</v>
      </c>
      <c r="O40" s="35">
        <f>SUMPRODUCT(--(O$8&lt;=Model!$D$9:'Model'!$CN$9),--(O$9&gt;=Model!$D$9:'Model'!$CN$9),Model!$D45:'Model'!$CN45)</f>
        <v>0</v>
      </c>
      <c r="P40" s="35">
        <f>SUMPRODUCT(--(P$8&lt;=Model!$D$9:'Model'!$CN$9),--(P$9&gt;=Model!$D$9:'Model'!$CN$9),Model!$D45:'Model'!$CN45)</f>
        <v>0</v>
      </c>
      <c r="Q40" s="35">
        <f>SUMPRODUCT(--(Q$8&lt;=Model!$D$9:'Model'!$CN$9),--(Q$9&gt;=Model!$D$9:'Model'!$CN$9),Model!$D45:'Model'!$CN45)</f>
        <v>0</v>
      </c>
      <c r="R40" s="35">
        <f>SUMPRODUCT(--(R$8&lt;=Model!$D$9:'Model'!$CN$9),--(R$9&gt;=Model!$D$9:'Model'!$CN$9),Model!$D45:'Model'!$CN45)</f>
        <v>0</v>
      </c>
      <c r="S40" s="35">
        <f>SUMPRODUCT(--(S$8&lt;=Model!$D$9:'Model'!$CN$9),--(S$9&gt;=Model!$D$9:'Model'!$CN$9),Model!$D45:'Model'!$CN45)</f>
        <v>0</v>
      </c>
      <c r="T40" s="35">
        <f>SUMPRODUCT(--(T$8&lt;=Model!$D$9:'Model'!$CN$9),--(T$9&gt;=Model!$D$9:'Model'!$CN$9),Model!$D45:'Model'!$CN45)</f>
        <v>0</v>
      </c>
      <c r="U40" s="35">
        <f>SUMPRODUCT(--(U$8&lt;=Model!$D$9:'Model'!$CN$9),--(U$9&gt;=Model!$D$9:'Model'!$CN$9),Model!$D45:'Model'!$CN45)</f>
        <v>0</v>
      </c>
      <c r="V40" s="35">
        <f>SUMPRODUCT(--(V$8&lt;=Model!$D$9:'Model'!$CN$9),--(V$9&gt;=Model!$D$9:'Model'!$CN$9),Model!$D45:'Model'!$CN45)</f>
        <v>0</v>
      </c>
      <c r="W40" s="35">
        <f>SUMPRODUCT(--(W$8&lt;=Model!$D$9:'Model'!$CN$9),--(W$9&gt;=Model!$D$9:'Model'!$CN$9),Model!$D45:'Model'!$CN45)</f>
        <v>0</v>
      </c>
      <c r="X40" s="35">
        <f>SUMPRODUCT(--(X$8&lt;=Model!$D$9:'Model'!$CN$9),--(X$9&gt;=Model!$D$9:'Model'!$CN$9),Model!$D45:'Model'!$CN45)</f>
        <v>0</v>
      </c>
      <c r="Y40" s="35">
        <f>SUMPRODUCT(--(Y$8&lt;=Model!$D$9:'Model'!$CN$9),--(Y$9&gt;=Model!$D$9:'Model'!$CN$9),Model!$D45:'Model'!$CN45)</f>
        <v>0</v>
      </c>
      <c r="Z40" s="35">
        <f>SUMPRODUCT(--(Z$8&lt;=Model!$D$9:'Model'!$CN$9),--(Z$9&gt;=Model!$D$9:'Model'!$CN$9),Model!$D45:'Model'!$CN45)</f>
        <v>0</v>
      </c>
      <c r="AA40" s="35"/>
    </row>
    <row r="41" spans="1:27" ht="12.75" customHeight="1" outlineLevel="2">
      <c r="A41" s="35"/>
      <c r="B41" s="63" t="str">
        <f>'операционные  расходы 1 этап'!A24</f>
        <v>Водоподготовка в сезонных открытых бассейнах СПА-центра</v>
      </c>
      <c r="C41" s="74">
        <f t="shared" si="9"/>
        <v>-25599.86819381587</v>
      </c>
      <c r="D41" s="60">
        <f>Model!D46</f>
        <v>0</v>
      </c>
      <c r="E41" s="35">
        <f>SUMPRODUCT(--(E$8&lt;=Model!$D$9:'Model'!$CN$9),--(E$9&gt;=Model!$D$9:'Model'!$CN$9),Model!$D46:'Model'!$CN46)</f>
        <v>0</v>
      </c>
      <c r="F41" s="35">
        <f>SUMPRODUCT(--(F$8&lt;=Model!$D$9:'Model'!$CN$9),--(F$9&gt;=Model!$D$9:'Model'!$CN$9),Model!$D46:'Model'!$CN46)</f>
        <v>0</v>
      </c>
      <c r="G41" s="35">
        <f>SUMPRODUCT(--(G$8&lt;=Model!$D$9:'Model'!$CN$9),--(G$9&gt;=Model!$D$9:'Model'!$CN$9),Model!$D46:'Model'!$CN46)</f>
        <v>0</v>
      </c>
      <c r="H41" s="35">
        <f>SUMPRODUCT(--(H$8&lt;=Model!$D$9:'Model'!$CN$9),--(H$9&gt;=Model!$D$9:'Model'!$CN$9),Model!$D46:'Model'!$CN46)</f>
        <v>0</v>
      </c>
      <c r="I41" s="35">
        <f>SUMPRODUCT(--(I$8&lt;=Model!$D$9:'Model'!$CN$9),--(I$9&gt;=Model!$D$9:'Model'!$CN$9),Model!$D46:'Model'!$CN46)</f>
        <v>-613.11249999999995</v>
      </c>
      <c r="J41" s="35">
        <f>SUMPRODUCT(--(J$8&lt;=Model!$D$9:'Model'!$CN$9),--(J$9&gt;=Model!$D$9:'Model'!$CN$9),Model!$D46:'Model'!$CN46)</f>
        <v>-966.96600000000012</v>
      </c>
      <c r="K41" s="35">
        <f>SUMPRODUCT(--(K$8&lt;=Model!$D$9:'Model'!$CN$9),--(K$9&gt;=Model!$D$9:'Model'!$CN$9),Model!$D46:'Model'!$CN46)</f>
        <v>-1015.3143</v>
      </c>
      <c r="L41" s="35">
        <f>SUMPRODUCT(--(L$8&lt;=Model!$D$9:'Model'!$CN$9),--(L$9&gt;=Model!$D$9:'Model'!$CN$9),Model!$D46:'Model'!$CN46)</f>
        <v>-1066.0800150000002</v>
      </c>
      <c r="M41" s="35">
        <f>SUMPRODUCT(--(M$8&lt;=Model!$D$9:'Model'!$CN$9),--(M$9&gt;=Model!$D$9:'Model'!$CN$9),Model!$D46:'Model'!$CN46)</f>
        <v>-1119.3840157500001</v>
      </c>
      <c r="N41" s="35">
        <f>SUMPRODUCT(--(N$8&lt;=Model!$D$9:'Model'!$CN$9),--(N$9&gt;=Model!$D$9:'Model'!$CN$9),Model!$D46:'Model'!$CN46)</f>
        <v>-1175.3532165375002</v>
      </c>
      <c r="O41" s="35">
        <f>SUMPRODUCT(--(O$8&lt;=Model!$D$9:'Model'!$CN$9),--(O$9&gt;=Model!$D$9:'Model'!$CN$9),Model!$D46:'Model'!$CN46)</f>
        <v>-1234.1208773643752</v>
      </c>
      <c r="P41" s="35">
        <f>SUMPRODUCT(--(P$8&lt;=Model!$D$9:'Model'!$CN$9),--(P$9&gt;=Model!$D$9:'Model'!$CN$9),Model!$D46:'Model'!$CN46)</f>
        <v>-1295.8269212325943</v>
      </c>
      <c r="Q41" s="35">
        <f>SUMPRODUCT(--(Q$8&lt;=Model!$D$9:'Model'!$CN$9),--(Q$9&gt;=Model!$D$9:'Model'!$CN$9),Model!$D46:'Model'!$CN46)</f>
        <v>-1360.6182672942239</v>
      </c>
      <c r="R41" s="35">
        <f>SUMPRODUCT(--(R$8&lt;=Model!$D$9:'Model'!$CN$9),--(R$9&gt;=Model!$D$9:'Model'!$CN$9),Model!$D46:'Model'!$CN46)</f>
        <v>-1428.6491806589352</v>
      </c>
      <c r="S41" s="35">
        <f>SUMPRODUCT(--(S$8&lt;=Model!$D$9:'Model'!$CN$9),--(S$9&gt;=Model!$D$9:'Model'!$CN$9),Model!$D46:'Model'!$CN46)</f>
        <v>-1500.0816396918822</v>
      </c>
      <c r="T41" s="35">
        <f>SUMPRODUCT(--(T$8&lt;=Model!$D$9:'Model'!$CN$9),--(T$9&gt;=Model!$D$9:'Model'!$CN$9),Model!$D46:'Model'!$CN46)</f>
        <v>-1575.0857216764762</v>
      </c>
      <c r="U41" s="35">
        <f>SUMPRODUCT(--(U$8&lt;=Model!$D$9:'Model'!$CN$9),--(U$9&gt;=Model!$D$9:'Model'!$CN$9),Model!$D46:'Model'!$CN46)</f>
        <v>-1653.8400077603001</v>
      </c>
      <c r="V41" s="35">
        <f>SUMPRODUCT(--(V$8&lt;=Model!$D$9:'Model'!$CN$9),--(V$9&gt;=Model!$D$9:'Model'!$CN$9),Model!$D46:'Model'!$CN46)</f>
        <v>-1736.5320081483151</v>
      </c>
      <c r="W41" s="35">
        <f>SUMPRODUCT(--(W$8&lt;=Model!$D$9:'Model'!$CN$9),--(W$9&gt;=Model!$D$9:'Model'!$CN$9),Model!$D46:'Model'!$CN46)</f>
        <v>-1823.3586085557313</v>
      </c>
      <c r="X41" s="35">
        <f>SUMPRODUCT(--(X$8&lt;=Model!$D$9:'Model'!$CN$9),--(X$9&gt;=Model!$D$9:'Model'!$CN$9),Model!$D46:'Model'!$CN46)</f>
        <v>-1914.5265389835176</v>
      </c>
      <c r="Y41" s="35">
        <f>SUMPRODUCT(--(Y$8&lt;=Model!$D$9:'Model'!$CN$9),--(Y$9&gt;=Model!$D$9:'Model'!$CN$9),Model!$D46:'Model'!$CN46)</f>
        <v>-2010.2528659326938</v>
      </c>
      <c r="Z41" s="35">
        <f>SUMPRODUCT(--(Z$8&lt;=Model!$D$9:'Model'!$CN$9),--(Z$9&gt;=Model!$D$9:'Model'!$CN$9),Model!$D46:'Model'!$CN46)</f>
        <v>-2110.7655092293285</v>
      </c>
      <c r="AA41" s="35"/>
    </row>
    <row r="42" spans="1:27" ht="12.75" customHeight="1" outlineLevel="2">
      <c r="A42" s="35"/>
      <c r="B42" s="63" t="str">
        <f>'операционные  расходы 1 этап'!A25</f>
        <v>Затраты на материалы для обеззараживания воды в бассейнах</v>
      </c>
      <c r="C42" s="74">
        <f t="shared" si="9"/>
        <v>-11827.41716456812</v>
      </c>
      <c r="D42" s="60">
        <f>Model!D47</f>
        <v>0</v>
      </c>
      <c r="E42" s="35">
        <f>SUMPRODUCT(--(E$8&lt;=Model!$D$9:'Model'!$CN$9),--(E$9&gt;=Model!$D$9:'Model'!$CN$9),Model!$D47:'Model'!$CN47)</f>
        <v>0</v>
      </c>
      <c r="F42" s="35">
        <f>SUMPRODUCT(--(F$8&lt;=Model!$D$9:'Model'!$CN$9),--(F$9&gt;=Model!$D$9:'Model'!$CN$9),Model!$D47:'Model'!$CN47)</f>
        <v>0</v>
      </c>
      <c r="G42" s="35">
        <f>SUMPRODUCT(--(G$8&lt;=Model!$D$9:'Model'!$CN$9),--(G$9&gt;=Model!$D$9:'Model'!$CN$9),Model!$D47:'Model'!$CN47)</f>
        <v>0</v>
      </c>
      <c r="H42" s="35">
        <f>SUMPRODUCT(--(H$8&lt;=Model!$D$9:'Model'!$CN$9),--(H$9&gt;=Model!$D$9:'Model'!$CN$9),Model!$D47:'Model'!$CN47)</f>
        <v>0</v>
      </c>
      <c r="I42" s="35">
        <f>SUMPRODUCT(--(I$8&lt;=Model!$D$9:'Model'!$CN$9),--(I$9&gt;=Model!$D$9:'Model'!$CN$9),Model!$D47:'Model'!$CN47)</f>
        <v>-420.42</v>
      </c>
      <c r="J42" s="35">
        <f>SUMPRODUCT(--(J$8&lt;=Model!$D$9:'Model'!$CN$9),--(J$9&gt;=Model!$D$9:'Model'!$CN$9),Model!$D47:'Model'!$CN47)</f>
        <v>-441.44100000000003</v>
      </c>
      <c r="K42" s="35">
        <f>SUMPRODUCT(--(K$8&lt;=Model!$D$9:'Model'!$CN$9),--(K$9&gt;=Model!$D$9:'Model'!$CN$9),Model!$D47:'Model'!$CN47)</f>
        <v>-463.51305000000008</v>
      </c>
      <c r="L42" s="35">
        <f>SUMPRODUCT(--(L$8&lt;=Model!$D$9:'Model'!$CN$9),--(L$9&gt;=Model!$D$9:'Model'!$CN$9),Model!$D47:'Model'!$CN47)</f>
        <v>-486.68870250000015</v>
      </c>
      <c r="M42" s="35">
        <f>SUMPRODUCT(--(M$8&lt;=Model!$D$9:'Model'!$CN$9),--(M$9&gt;=Model!$D$9:'Model'!$CN$9),Model!$D47:'Model'!$CN47)</f>
        <v>-511.02313762500017</v>
      </c>
      <c r="N42" s="35">
        <f>SUMPRODUCT(--(N$8&lt;=Model!$D$9:'Model'!$CN$9),--(N$9&gt;=Model!$D$9:'Model'!$CN$9),Model!$D47:'Model'!$CN47)</f>
        <v>-536.57429450625023</v>
      </c>
      <c r="O42" s="35">
        <f>SUMPRODUCT(--(O$8&lt;=Model!$D$9:'Model'!$CN$9),--(O$9&gt;=Model!$D$9:'Model'!$CN$9),Model!$D47:'Model'!$CN47)</f>
        <v>-563.40300923156281</v>
      </c>
      <c r="P42" s="35">
        <f>SUMPRODUCT(--(P$8&lt;=Model!$D$9:'Model'!$CN$9),--(P$9&gt;=Model!$D$9:'Model'!$CN$9),Model!$D47:'Model'!$CN47)</f>
        <v>-591.57315969314095</v>
      </c>
      <c r="Q42" s="35">
        <f>SUMPRODUCT(--(Q$8&lt;=Model!$D$9:'Model'!$CN$9),--(Q$9&gt;=Model!$D$9:'Model'!$CN$9),Model!$D47:'Model'!$CN47)</f>
        <v>-621.15181767779802</v>
      </c>
      <c r="R42" s="35">
        <f>SUMPRODUCT(--(R$8&lt;=Model!$D$9:'Model'!$CN$9),--(R$9&gt;=Model!$D$9:'Model'!$CN$9),Model!$D47:'Model'!$CN47)</f>
        <v>-652.20940856168795</v>
      </c>
      <c r="S42" s="35">
        <f>SUMPRODUCT(--(S$8&lt;=Model!$D$9:'Model'!$CN$9),--(S$9&gt;=Model!$D$9:'Model'!$CN$9),Model!$D47:'Model'!$CN47)</f>
        <v>-684.81987898977229</v>
      </c>
      <c r="T42" s="35">
        <f>SUMPRODUCT(--(T$8&lt;=Model!$D$9:'Model'!$CN$9),--(T$9&gt;=Model!$D$9:'Model'!$CN$9),Model!$D47:'Model'!$CN47)</f>
        <v>-719.06087293926089</v>
      </c>
      <c r="U42" s="35">
        <f>SUMPRODUCT(--(U$8&lt;=Model!$D$9:'Model'!$CN$9),--(U$9&gt;=Model!$D$9:'Model'!$CN$9),Model!$D47:'Model'!$CN47)</f>
        <v>-755.01391658622401</v>
      </c>
      <c r="V42" s="35">
        <f>SUMPRODUCT(--(V$8&lt;=Model!$D$9:'Model'!$CN$9),--(V$9&gt;=Model!$D$9:'Model'!$CN$9),Model!$D47:'Model'!$CN47)</f>
        <v>-792.76461241553534</v>
      </c>
      <c r="W42" s="35">
        <f>SUMPRODUCT(--(W$8&lt;=Model!$D$9:'Model'!$CN$9),--(W$9&gt;=Model!$D$9:'Model'!$CN$9),Model!$D47:'Model'!$CN47)</f>
        <v>-832.40284303631211</v>
      </c>
      <c r="X42" s="35">
        <f>SUMPRODUCT(--(X$8&lt;=Model!$D$9:'Model'!$CN$9),--(X$9&gt;=Model!$D$9:'Model'!$CN$9),Model!$D47:'Model'!$CN47)</f>
        <v>-874.02298518812779</v>
      </c>
      <c r="Y42" s="35">
        <f>SUMPRODUCT(--(Y$8&lt;=Model!$D$9:'Model'!$CN$9),--(Y$9&gt;=Model!$D$9:'Model'!$CN$9),Model!$D47:'Model'!$CN47)</f>
        <v>-917.7241344475342</v>
      </c>
      <c r="Z42" s="35">
        <f>SUMPRODUCT(--(Z$8&lt;=Model!$D$9:'Model'!$CN$9),--(Z$9&gt;=Model!$D$9:'Model'!$CN$9),Model!$D47:'Model'!$CN47)</f>
        <v>-963.61034116991095</v>
      </c>
      <c r="AA42" s="35"/>
    </row>
    <row r="43" spans="1:27" ht="12.75" customHeight="1" outlineLevel="2">
      <c r="A43" s="35"/>
      <c r="B43" s="63" t="str">
        <f>'операционные  расходы 1 этап'!A26</f>
        <v>Информационные услуги (связь, оплата ПО и пр.)</v>
      </c>
      <c r="C43" s="74">
        <f t="shared" si="9"/>
        <v>-65542.512226491439</v>
      </c>
      <c r="D43" s="60">
        <f>Model!D48</f>
        <v>0</v>
      </c>
      <c r="E43" s="35">
        <f>SUMPRODUCT(--(E$8&lt;=Model!$D$9:'Model'!$CN$9),--(E$9&gt;=Model!$D$9:'Model'!$CN$9),Model!$D48:'Model'!$CN48)</f>
        <v>0</v>
      </c>
      <c r="F43" s="35">
        <f>SUMPRODUCT(--(F$8&lt;=Model!$D$9:'Model'!$CN$9),--(F$9&gt;=Model!$D$9:'Model'!$CN$9),Model!$D48:'Model'!$CN48)</f>
        <v>0</v>
      </c>
      <c r="G43" s="35">
        <f>SUMPRODUCT(--(G$8&lt;=Model!$D$9:'Model'!$CN$9),--(G$9&gt;=Model!$D$9:'Model'!$CN$9),Model!$D48:'Model'!$CN48)</f>
        <v>0</v>
      </c>
      <c r="H43" s="35">
        <f>SUMPRODUCT(--(H$8&lt;=Model!$D$9:'Model'!$CN$9),--(H$9&gt;=Model!$D$9:'Model'!$CN$9),Model!$D48:'Model'!$CN48)</f>
        <v>0</v>
      </c>
      <c r="I43" s="35">
        <f>SUMPRODUCT(--(I$8&lt;=Model!$D$9:'Model'!$CN$9),--(I$9&gt;=Model!$D$9:'Model'!$CN$9),Model!$D48:'Model'!$CN48)</f>
        <v>-1200</v>
      </c>
      <c r="J43" s="35">
        <f>SUMPRODUCT(--(J$8&lt;=Model!$D$9:'Model'!$CN$9),--(J$9&gt;=Model!$D$9:'Model'!$CN$9),Model!$D48:'Model'!$CN48)</f>
        <v>-2490</v>
      </c>
      <c r="K43" s="35">
        <f>SUMPRODUCT(--(K$8&lt;=Model!$D$9:'Model'!$CN$9),--(K$9&gt;=Model!$D$9:'Model'!$CN$9),Model!$D48:'Model'!$CN48)</f>
        <v>-2614.5</v>
      </c>
      <c r="L43" s="35">
        <f>SUMPRODUCT(--(L$8&lt;=Model!$D$9:'Model'!$CN$9),--(L$9&gt;=Model!$D$9:'Model'!$CN$9),Model!$D48:'Model'!$CN48)</f>
        <v>-2745.2250000000004</v>
      </c>
      <c r="M43" s="35">
        <f>SUMPRODUCT(--(M$8&lt;=Model!$D$9:'Model'!$CN$9),--(M$9&gt;=Model!$D$9:'Model'!$CN$9),Model!$D48:'Model'!$CN48)</f>
        <v>-2882.4862499999999</v>
      </c>
      <c r="N43" s="35">
        <f>SUMPRODUCT(--(N$8&lt;=Model!$D$9:'Model'!$CN$9),--(N$9&gt;=Model!$D$9:'Model'!$CN$9),Model!$D48:'Model'!$CN48)</f>
        <v>-3026.6105625</v>
      </c>
      <c r="O43" s="35">
        <f>SUMPRODUCT(--(O$8&lt;=Model!$D$9:'Model'!$CN$9),--(O$9&gt;=Model!$D$9:'Model'!$CN$9),Model!$D48:'Model'!$CN48)</f>
        <v>-3177.9410906250009</v>
      </c>
      <c r="P43" s="35">
        <f>SUMPRODUCT(--(P$8&lt;=Model!$D$9:'Model'!$CN$9),--(P$9&gt;=Model!$D$9:'Model'!$CN$9),Model!$D48:'Model'!$CN48)</f>
        <v>-3336.8381451562509</v>
      </c>
      <c r="Q43" s="35">
        <f>SUMPRODUCT(--(Q$8&lt;=Model!$D$9:'Model'!$CN$9),--(Q$9&gt;=Model!$D$9:'Model'!$CN$9),Model!$D48:'Model'!$CN48)</f>
        <v>-3503.6800524140635</v>
      </c>
      <c r="R43" s="35">
        <f>SUMPRODUCT(--(R$8&lt;=Model!$D$9:'Model'!$CN$9),--(R$9&gt;=Model!$D$9:'Model'!$CN$9),Model!$D48:'Model'!$CN48)</f>
        <v>-3678.8640550347664</v>
      </c>
      <c r="S43" s="35">
        <f>SUMPRODUCT(--(S$8&lt;=Model!$D$9:'Model'!$CN$9),--(S$9&gt;=Model!$D$9:'Model'!$CN$9),Model!$D48:'Model'!$CN48)</f>
        <v>-3862.807257786505</v>
      </c>
      <c r="T43" s="35">
        <f>SUMPRODUCT(--(T$8&lt;=Model!$D$9:'Model'!$CN$9),--(T$9&gt;=Model!$D$9:'Model'!$CN$9),Model!$D48:'Model'!$CN48)</f>
        <v>-4055.9476206758304</v>
      </c>
      <c r="U43" s="35">
        <f>SUMPRODUCT(--(U$8&lt;=Model!$D$9:'Model'!$CN$9),--(U$9&gt;=Model!$D$9:'Model'!$CN$9),Model!$D48:'Model'!$CN48)</f>
        <v>-4258.7450017096226</v>
      </c>
      <c r="V43" s="35">
        <f>SUMPRODUCT(--(V$8&lt;=Model!$D$9:'Model'!$CN$9),--(V$9&gt;=Model!$D$9:'Model'!$CN$9),Model!$D48:'Model'!$CN48)</f>
        <v>-4471.6822517951041</v>
      </c>
      <c r="W43" s="35">
        <f>SUMPRODUCT(--(W$8&lt;=Model!$D$9:'Model'!$CN$9),--(W$9&gt;=Model!$D$9:'Model'!$CN$9),Model!$D48:'Model'!$CN48)</f>
        <v>-4695.26636438486</v>
      </c>
      <c r="X43" s="35">
        <f>SUMPRODUCT(--(X$8&lt;=Model!$D$9:'Model'!$CN$9),--(X$9&gt;=Model!$D$9:'Model'!$CN$9),Model!$D48:'Model'!$CN48)</f>
        <v>-4930.0296826041031</v>
      </c>
      <c r="Y43" s="35">
        <f>SUMPRODUCT(--(Y$8&lt;=Model!$D$9:'Model'!$CN$9),--(Y$9&gt;=Model!$D$9:'Model'!$CN$9),Model!$D48:'Model'!$CN48)</f>
        <v>-5176.5311667343085</v>
      </c>
      <c r="Z43" s="35">
        <f>SUMPRODUCT(--(Z$8&lt;=Model!$D$9:'Model'!$CN$9),--(Z$9&gt;=Model!$D$9:'Model'!$CN$9),Model!$D48:'Model'!$CN48)</f>
        <v>-5435.357725071025</v>
      </c>
      <c r="AA43" s="35"/>
    </row>
    <row r="44" spans="1:27" ht="12.75" customHeight="1" outlineLevel="2">
      <c r="A44" s="35"/>
      <c r="B44" s="63" t="str">
        <f>'операционные  расходы 1 этап'!A27</f>
        <v>Благоустройство территории (материалы), вывоз мусора, уборка территории и пр.</v>
      </c>
      <c r="C44" s="74">
        <f t="shared" si="9"/>
        <v>-81928.140283114291</v>
      </c>
      <c r="D44" s="60">
        <f>Model!D49</f>
        <v>0</v>
      </c>
      <c r="E44" s="35">
        <f>SUMPRODUCT(--(E$8&lt;=Model!$D$9:'Model'!$CN$9),--(E$9&gt;=Model!$D$9:'Model'!$CN$9),Model!$D49:'Model'!$CN49)</f>
        <v>0</v>
      </c>
      <c r="F44" s="35">
        <f>SUMPRODUCT(--(F$8&lt;=Model!$D$9:'Model'!$CN$9),--(F$9&gt;=Model!$D$9:'Model'!$CN$9),Model!$D49:'Model'!$CN49)</f>
        <v>0</v>
      </c>
      <c r="G44" s="35">
        <f>SUMPRODUCT(--(G$8&lt;=Model!$D$9:'Model'!$CN$9),--(G$9&gt;=Model!$D$9:'Model'!$CN$9),Model!$D49:'Model'!$CN49)</f>
        <v>0</v>
      </c>
      <c r="H44" s="35">
        <f>SUMPRODUCT(--(H$8&lt;=Model!$D$9:'Model'!$CN$9),--(H$9&gt;=Model!$D$9:'Model'!$CN$9),Model!$D49:'Model'!$CN49)</f>
        <v>0</v>
      </c>
      <c r="I44" s="35">
        <f>SUMPRODUCT(--(I$8&lt;=Model!$D$9:'Model'!$CN$9),--(I$9&gt;=Model!$D$9:'Model'!$CN$9),Model!$D49:'Model'!$CN49)</f>
        <v>-1500</v>
      </c>
      <c r="J44" s="35">
        <f>SUMPRODUCT(--(J$8&lt;=Model!$D$9:'Model'!$CN$9),--(J$9&gt;=Model!$D$9:'Model'!$CN$9),Model!$D49:'Model'!$CN49)</f>
        <v>-3112.5</v>
      </c>
      <c r="K44" s="35">
        <f>SUMPRODUCT(--(K$8&lt;=Model!$D$9:'Model'!$CN$9),--(K$9&gt;=Model!$D$9:'Model'!$CN$9),Model!$D49:'Model'!$CN49)</f>
        <v>-3268.125</v>
      </c>
      <c r="L44" s="35">
        <f>SUMPRODUCT(--(L$8&lt;=Model!$D$9:'Model'!$CN$9),--(L$9&gt;=Model!$D$9:'Model'!$CN$9),Model!$D49:'Model'!$CN49)</f>
        <v>-3431.53125</v>
      </c>
      <c r="M44" s="35">
        <f>SUMPRODUCT(--(M$8&lt;=Model!$D$9:'Model'!$CN$9),--(M$9&gt;=Model!$D$9:'Model'!$CN$9),Model!$D49:'Model'!$CN49)</f>
        <v>-3603.1078125000004</v>
      </c>
      <c r="N44" s="35">
        <f>SUMPRODUCT(--(N$8&lt;=Model!$D$9:'Model'!$CN$9),--(N$9&gt;=Model!$D$9:'Model'!$CN$9),Model!$D49:'Model'!$CN49)</f>
        <v>-3783.2632031250005</v>
      </c>
      <c r="O44" s="35">
        <f>SUMPRODUCT(--(O$8&lt;=Model!$D$9:'Model'!$CN$9),--(O$9&gt;=Model!$D$9:'Model'!$CN$9),Model!$D49:'Model'!$CN49)</f>
        <v>-3972.4263632812504</v>
      </c>
      <c r="P44" s="35">
        <f>SUMPRODUCT(--(P$8&lt;=Model!$D$9:'Model'!$CN$9),--(P$9&gt;=Model!$D$9:'Model'!$CN$9),Model!$D49:'Model'!$CN49)</f>
        <v>-4171.0476814453132</v>
      </c>
      <c r="Q44" s="35">
        <f>SUMPRODUCT(--(Q$8&lt;=Model!$D$9:'Model'!$CN$9),--(Q$9&gt;=Model!$D$9:'Model'!$CN$9),Model!$D49:'Model'!$CN49)</f>
        <v>-4379.6000655175794</v>
      </c>
      <c r="R44" s="35">
        <f>SUMPRODUCT(--(R$8&lt;=Model!$D$9:'Model'!$CN$9),--(R$9&gt;=Model!$D$9:'Model'!$CN$9),Model!$D49:'Model'!$CN49)</f>
        <v>-4598.5800687934579</v>
      </c>
      <c r="S44" s="35">
        <f>SUMPRODUCT(--(S$8&lt;=Model!$D$9:'Model'!$CN$9),--(S$9&gt;=Model!$D$9:'Model'!$CN$9),Model!$D49:'Model'!$CN49)</f>
        <v>-4828.5090722331315</v>
      </c>
      <c r="T44" s="35">
        <f>SUMPRODUCT(--(T$8&lt;=Model!$D$9:'Model'!$CN$9),--(T$9&gt;=Model!$D$9:'Model'!$CN$9),Model!$D49:'Model'!$CN49)</f>
        <v>-5069.9345258447893</v>
      </c>
      <c r="U44" s="35">
        <f>SUMPRODUCT(--(U$8&lt;=Model!$D$9:'Model'!$CN$9),--(U$9&gt;=Model!$D$9:'Model'!$CN$9),Model!$D49:'Model'!$CN49)</f>
        <v>-5323.4312521370275</v>
      </c>
      <c r="V44" s="35">
        <f>SUMPRODUCT(--(V$8&lt;=Model!$D$9:'Model'!$CN$9),--(V$9&gt;=Model!$D$9:'Model'!$CN$9),Model!$D49:'Model'!$CN49)</f>
        <v>-5589.6028147438792</v>
      </c>
      <c r="W44" s="35">
        <f>SUMPRODUCT(--(W$8&lt;=Model!$D$9:'Model'!$CN$9),--(W$9&gt;=Model!$D$9:'Model'!$CN$9),Model!$D49:'Model'!$CN49)</f>
        <v>-5869.0829554810734</v>
      </c>
      <c r="X44" s="35">
        <f>SUMPRODUCT(--(X$8&lt;=Model!$D$9:'Model'!$CN$9),--(X$9&gt;=Model!$D$9:'Model'!$CN$9),Model!$D49:'Model'!$CN49)</f>
        <v>-6162.5371032551266</v>
      </c>
      <c r="Y44" s="35">
        <f>SUMPRODUCT(--(Y$8&lt;=Model!$D$9:'Model'!$CN$9),--(Y$9&gt;=Model!$D$9:'Model'!$CN$9),Model!$D49:'Model'!$CN49)</f>
        <v>-6470.6639584178838</v>
      </c>
      <c r="Z44" s="35">
        <f>SUMPRODUCT(--(Z$8&lt;=Model!$D$9:'Model'!$CN$9),--(Z$9&gt;=Model!$D$9:'Model'!$CN$9),Model!$D49:'Model'!$CN49)</f>
        <v>-6794.1971563387788</v>
      </c>
      <c r="AA44" s="35"/>
    </row>
    <row r="45" spans="1:27" ht="12.75" customHeight="1" outlineLevel="2">
      <c r="A45" s="35"/>
      <c r="B45" s="63" t="str">
        <f>'операционные  расходы 1 этап'!A28</f>
        <v xml:space="preserve">Коммунальные услуги </v>
      </c>
      <c r="C45" s="74">
        <f t="shared" si="9"/>
        <v>-100070.55636597275</v>
      </c>
      <c r="D45" s="60">
        <f>Model!D50</f>
        <v>0</v>
      </c>
      <c r="E45" s="35">
        <f>SUMPRODUCT(--(E$8&lt;=Model!$D$9:'Model'!$CN$9),--(E$9&gt;=Model!$D$9:'Model'!$CN$9),Model!$D50:'Model'!$CN50)</f>
        <v>0</v>
      </c>
      <c r="F45" s="35">
        <f>SUMPRODUCT(--(F$8&lt;=Model!$D$9:'Model'!$CN$9),--(F$9&gt;=Model!$D$9:'Model'!$CN$9),Model!$D50:'Model'!$CN50)</f>
        <v>0</v>
      </c>
      <c r="G45" s="35">
        <f>SUMPRODUCT(--(G$8&lt;=Model!$D$9:'Model'!$CN$9),--(G$9&gt;=Model!$D$9:'Model'!$CN$9),Model!$D50:'Model'!$CN50)</f>
        <v>0</v>
      </c>
      <c r="H45" s="35">
        <f>SUMPRODUCT(--(H$8&lt;=Model!$D$9:'Model'!$CN$9),--(H$9&gt;=Model!$D$9:'Model'!$CN$9),Model!$D50:'Model'!$CN50)</f>
        <v>0</v>
      </c>
      <c r="I45" s="35">
        <f>SUMPRODUCT(--(I$8&lt;=Model!$D$9:'Model'!$CN$9),--(I$9&gt;=Model!$D$9:'Model'!$CN$9),Model!$D50:'Model'!$CN50)</f>
        <v>-1580</v>
      </c>
      <c r="J45" s="35">
        <f>SUMPRODUCT(--(J$8&lt;=Model!$D$9:'Model'!$CN$9),--(J$9&gt;=Model!$D$9:'Model'!$CN$9),Model!$D50:'Model'!$CN50)</f>
        <v>-3811.5</v>
      </c>
      <c r="K45" s="35">
        <f>SUMPRODUCT(--(K$8&lt;=Model!$D$9:'Model'!$CN$9),--(K$9&gt;=Model!$D$9:'Model'!$CN$9),Model!$D50:'Model'!$CN50)</f>
        <v>-4002.0749999999998</v>
      </c>
      <c r="L45" s="35">
        <f>SUMPRODUCT(--(L$8&lt;=Model!$D$9:'Model'!$CN$9),--(L$9&gt;=Model!$D$9:'Model'!$CN$9),Model!$D50:'Model'!$CN50)</f>
        <v>-4202.1787500000009</v>
      </c>
      <c r="M45" s="35">
        <f>SUMPRODUCT(--(M$8&lt;=Model!$D$9:'Model'!$CN$9),--(M$9&gt;=Model!$D$9:'Model'!$CN$9),Model!$D50:'Model'!$CN50)</f>
        <v>-4412.2876875000011</v>
      </c>
      <c r="N45" s="35">
        <f>SUMPRODUCT(--(N$8&lt;=Model!$D$9:'Model'!$CN$9),--(N$9&gt;=Model!$D$9:'Model'!$CN$9),Model!$D50:'Model'!$CN50)</f>
        <v>-4632.9020718750016</v>
      </c>
      <c r="O45" s="35">
        <f>SUMPRODUCT(--(O$8&lt;=Model!$D$9:'Model'!$CN$9),--(O$9&gt;=Model!$D$9:'Model'!$CN$9),Model!$D50:'Model'!$CN50)</f>
        <v>-4864.5471754687514</v>
      </c>
      <c r="P45" s="35">
        <f>SUMPRODUCT(--(P$8&lt;=Model!$D$9:'Model'!$CN$9),--(P$9&gt;=Model!$D$9:'Model'!$CN$9),Model!$D50:'Model'!$CN50)</f>
        <v>-5107.7745342421886</v>
      </c>
      <c r="Q45" s="35">
        <f>SUMPRODUCT(--(Q$8&lt;=Model!$D$9:'Model'!$CN$9),--(Q$9&gt;=Model!$D$9:'Model'!$CN$9),Model!$D50:'Model'!$CN50)</f>
        <v>-5363.1632609542985</v>
      </c>
      <c r="R45" s="35">
        <f>SUMPRODUCT(--(R$8&lt;=Model!$D$9:'Model'!$CN$9),--(R$9&gt;=Model!$D$9:'Model'!$CN$9),Model!$D50:'Model'!$CN50)</f>
        <v>-5631.3214240020134</v>
      </c>
      <c r="S45" s="35">
        <f>SUMPRODUCT(--(S$8&lt;=Model!$D$9:'Model'!$CN$9),--(S$9&gt;=Model!$D$9:'Model'!$CN$9),Model!$D50:'Model'!$CN50)</f>
        <v>-5912.8874952021142</v>
      </c>
      <c r="T45" s="35">
        <f>SUMPRODUCT(--(T$8&lt;=Model!$D$9:'Model'!$CN$9),--(T$9&gt;=Model!$D$9:'Model'!$CN$9),Model!$D50:'Model'!$CN50)</f>
        <v>-6208.5318699622212</v>
      </c>
      <c r="U45" s="35">
        <f>SUMPRODUCT(--(U$8&lt;=Model!$D$9:'Model'!$CN$9),--(U$9&gt;=Model!$D$9:'Model'!$CN$9),Model!$D50:'Model'!$CN50)</f>
        <v>-6518.9584634603316</v>
      </c>
      <c r="V45" s="35">
        <f>SUMPRODUCT(--(V$8&lt;=Model!$D$9:'Model'!$CN$9),--(V$9&gt;=Model!$D$9:'Model'!$CN$9),Model!$D50:'Model'!$CN50)</f>
        <v>-6844.9063866333481</v>
      </c>
      <c r="W45" s="35">
        <f>SUMPRODUCT(--(W$8&lt;=Model!$D$9:'Model'!$CN$9),--(W$9&gt;=Model!$D$9:'Model'!$CN$9),Model!$D50:'Model'!$CN50)</f>
        <v>-7187.1517059650159</v>
      </c>
      <c r="X45" s="35">
        <f>SUMPRODUCT(--(X$8&lt;=Model!$D$9:'Model'!$CN$9),--(X$9&gt;=Model!$D$9:'Model'!$CN$9),Model!$D50:'Model'!$CN50)</f>
        <v>-7546.5092912632681</v>
      </c>
      <c r="Y45" s="35">
        <f>SUMPRODUCT(--(Y$8&lt;=Model!$D$9:'Model'!$CN$9),--(Y$9&gt;=Model!$D$9:'Model'!$CN$9),Model!$D50:'Model'!$CN50)</f>
        <v>-7923.8347558264313</v>
      </c>
      <c r="Z45" s="35">
        <f>SUMPRODUCT(--(Z$8&lt;=Model!$D$9:'Model'!$CN$9),--(Z$9&gt;=Model!$D$9:'Model'!$CN$9),Model!$D50:'Model'!$CN50)</f>
        <v>-8320.0264936177537</v>
      </c>
      <c r="AA45" s="35"/>
    </row>
    <row r="46" spans="1:27" ht="12.75" customHeight="1" outlineLevel="2">
      <c r="A46" s="35"/>
      <c r="B46" s="63" t="str">
        <f>'операционные  расходы 1 этап'!A29</f>
        <v xml:space="preserve">Маркетинг и реклама </v>
      </c>
      <c r="C46" s="74">
        <f t="shared" si="9"/>
        <v>-2054896.1263347734</v>
      </c>
      <c r="D46" s="60">
        <f>Model!D51</f>
        <v>0</v>
      </c>
      <c r="E46" s="35">
        <f>SUMPRODUCT(--(E$8&lt;=Model!$D$9:'Model'!$CN$9),--(E$9&gt;=Model!$D$9:'Model'!$CN$9),Model!$D51:'Model'!$CN51)</f>
        <v>0</v>
      </c>
      <c r="F46" s="35">
        <f>SUMPRODUCT(--(F$8&lt;=Model!$D$9:'Model'!$CN$9),--(F$9&gt;=Model!$D$9:'Model'!$CN$9),Model!$D51:'Model'!$CN51)</f>
        <v>0</v>
      </c>
      <c r="G46" s="35">
        <f>SUMPRODUCT(--(G$8&lt;=Model!$D$9:'Model'!$CN$9),--(G$9&gt;=Model!$D$9:'Model'!$CN$9),Model!$D51:'Model'!$CN51)</f>
        <v>0</v>
      </c>
      <c r="H46" s="35">
        <f>SUMPRODUCT(--(H$8&lt;=Model!$D$9:'Model'!$CN$9),--(H$9&gt;=Model!$D$9:'Model'!$CN$9),Model!$D51:'Model'!$CN51)</f>
        <v>0</v>
      </c>
      <c r="I46" s="35">
        <f>SUMPRODUCT(--(I$8&lt;=Model!$D$9:'Model'!$CN$9),--(I$9&gt;=Model!$D$9:'Model'!$CN$9),Model!$D51:'Model'!$CN51)</f>
        <v>-37622.533342642506</v>
      </c>
      <c r="J46" s="35">
        <f>SUMPRODUCT(--(J$8&lt;=Model!$D$9:'Model'!$CN$9),--(J$9&gt;=Model!$D$9:'Model'!$CN$9),Model!$D51:'Model'!$CN51)</f>
        <v>-78066.756685983215</v>
      </c>
      <c r="K46" s="35">
        <f>SUMPRODUCT(--(K$8&lt;=Model!$D$9:'Model'!$CN$9),--(K$9&gt;=Model!$D$9:'Model'!$CN$9),Model!$D51:'Model'!$CN51)</f>
        <v>-81970.094520282364</v>
      </c>
      <c r="L46" s="35">
        <f>SUMPRODUCT(--(L$8&lt;=Model!$D$9:'Model'!$CN$9),--(L$9&gt;=Model!$D$9:'Model'!$CN$9),Model!$D51:'Model'!$CN51)</f>
        <v>-86068.599246296479</v>
      </c>
      <c r="M46" s="35">
        <f>SUMPRODUCT(--(M$8&lt;=Model!$D$9:'Model'!$CN$9),--(M$9&gt;=Model!$D$9:'Model'!$CN$9),Model!$D51:'Model'!$CN51)</f>
        <v>-90372.029208611304</v>
      </c>
      <c r="N46" s="35">
        <f>SUMPRODUCT(--(N$8&lt;=Model!$D$9:'Model'!$CN$9),--(N$9&gt;=Model!$D$9:'Model'!$CN$9),Model!$D51:'Model'!$CN51)</f>
        <v>-94890.630669041871</v>
      </c>
      <c r="O46" s="35">
        <f>SUMPRODUCT(--(O$8&lt;=Model!$D$9:'Model'!$CN$9),--(O$9&gt;=Model!$D$9:'Model'!$CN$9),Model!$D51:'Model'!$CN51)</f>
        <v>-99635.162202493972</v>
      </c>
      <c r="P46" s="35">
        <f>SUMPRODUCT(--(P$8&lt;=Model!$D$9:'Model'!$CN$9),--(P$9&gt;=Model!$D$9:'Model'!$CN$9),Model!$D51:'Model'!$CN51)</f>
        <v>-104616.92031261866</v>
      </c>
      <c r="Q46" s="35">
        <f>SUMPRODUCT(--(Q$8&lt;=Model!$D$9:'Model'!$CN$9),--(Q$9&gt;=Model!$D$9:'Model'!$CN$9),Model!$D51:'Model'!$CN51)</f>
        <v>-109847.76632824961</v>
      </c>
      <c r="R46" s="35">
        <f>SUMPRODUCT(--(R$8&lt;=Model!$D$9:'Model'!$CN$9),--(R$9&gt;=Model!$D$9:'Model'!$CN$9),Model!$D51:'Model'!$CN51)</f>
        <v>-115340.15464466211</v>
      </c>
      <c r="S46" s="35">
        <f>SUMPRODUCT(--(S$8&lt;=Model!$D$9:'Model'!$CN$9),--(S$9&gt;=Model!$D$9:'Model'!$CN$9),Model!$D51:'Model'!$CN51)</f>
        <v>-121107.1623768952</v>
      </c>
      <c r="T46" s="35">
        <f>SUMPRODUCT(--(T$8&lt;=Model!$D$9:'Model'!$CN$9),--(T$9&gt;=Model!$D$9:'Model'!$CN$9),Model!$D51:'Model'!$CN51)</f>
        <v>-127162.52049573997</v>
      </c>
      <c r="U46" s="35">
        <f>SUMPRODUCT(--(U$8&lt;=Model!$D$9:'Model'!$CN$9),--(U$9&gt;=Model!$D$9:'Model'!$CN$9),Model!$D51:'Model'!$CN51)</f>
        <v>-133520.64652052696</v>
      </c>
      <c r="V46" s="35">
        <f>SUMPRODUCT(--(V$8&lt;=Model!$D$9:'Model'!$CN$9),--(V$9&gt;=Model!$D$9:'Model'!$CN$9),Model!$D51:'Model'!$CN51)</f>
        <v>-140196.67884655332</v>
      </c>
      <c r="W46" s="35">
        <f>SUMPRODUCT(--(W$8&lt;=Model!$D$9:'Model'!$CN$9),--(W$9&gt;=Model!$D$9:'Model'!$CN$9),Model!$D51:'Model'!$CN51)</f>
        <v>-147206.51278888097</v>
      </c>
      <c r="X46" s="35">
        <f>SUMPRODUCT(--(X$8&lt;=Model!$D$9:'Model'!$CN$9),--(X$9&gt;=Model!$D$9:'Model'!$CN$9),Model!$D51:'Model'!$CN51)</f>
        <v>-154566.83842832502</v>
      </c>
      <c r="Y46" s="35">
        <f>SUMPRODUCT(--(Y$8&lt;=Model!$D$9:'Model'!$CN$9),--(Y$9&gt;=Model!$D$9:'Model'!$CN$9),Model!$D51:'Model'!$CN51)</f>
        <v>-162295.18034974128</v>
      </c>
      <c r="Z46" s="35">
        <f>SUMPRODUCT(--(Z$8&lt;=Model!$D$9:'Model'!$CN$9),--(Z$9&gt;=Model!$D$9:'Model'!$CN$9),Model!$D51:'Model'!$CN51)</f>
        <v>-170409.93936722836</v>
      </c>
      <c r="AA46" s="35"/>
    </row>
    <row r="47" spans="1:27" ht="12.75" customHeight="1" outlineLevel="2">
      <c r="A47" s="35"/>
      <c r="B47" s="63" t="str">
        <f>'операционные  расходы 1 этап'!A30</f>
        <v>ГСМ и Транспортные расходы</v>
      </c>
      <c r="C47" s="74">
        <f t="shared" si="9"/>
        <v>-558821.98642729933</v>
      </c>
      <c r="D47" s="60">
        <f>Model!D52</f>
        <v>0</v>
      </c>
      <c r="E47" s="35">
        <f>SUMPRODUCT(--(E$8&lt;=Model!$D$9:'Model'!$CN$9),--(E$9&gt;=Model!$D$9:'Model'!$CN$9),Model!$D52:'Model'!$CN52)</f>
        <v>0</v>
      </c>
      <c r="F47" s="35">
        <f>SUMPRODUCT(--(F$8&lt;=Model!$D$9:'Model'!$CN$9),--(F$9&gt;=Model!$D$9:'Model'!$CN$9),Model!$D52:'Model'!$CN52)</f>
        <v>0</v>
      </c>
      <c r="G47" s="35">
        <f>SUMPRODUCT(--(G$8&lt;=Model!$D$9:'Model'!$CN$9),--(G$9&gt;=Model!$D$9:'Model'!$CN$9),Model!$D52:'Model'!$CN52)</f>
        <v>0</v>
      </c>
      <c r="H47" s="35">
        <f>SUMPRODUCT(--(H$8&lt;=Model!$D$9:'Model'!$CN$9),--(H$9&gt;=Model!$D$9:'Model'!$CN$9),Model!$D52:'Model'!$CN52)</f>
        <v>0</v>
      </c>
      <c r="I47" s="35">
        <f>SUMPRODUCT(--(I$8&lt;=Model!$D$9:'Model'!$CN$9),--(I$9&gt;=Model!$D$9:'Model'!$CN$9),Model!$D52:'Model'!$CN52)</f>
        <v>-12249.673138222061</v>
      </c>
      <c r="J47" s="35">
        <f>SUMPRODUCT(--(J$8&lt;=Model!$D$9:'Model'!$CN$9),--(J$9&gt;=Model!$D$9:'Model'!$CN$9),Model!$D52:'Model'!$CN52)</f>
        <v>-21151.879418370903</v>
      </c>
      <c r="K47" s="35">
        <f>SUMPRODUCT(--(K$8&lt;=Model!$D$9:'Model'!$CN$9),--(K$9&gt;=Model!$D$9:'Model'!$CN$9),Model!$D52:'Model'!$CN52)</f>
        <v>-22209.473389289451</v>
      </c>
      <c r="L47" s="35">
        <f>SUMPRODUCT(--(L$8&lt;=Model!$D$9:'Model'!$CN$9),--(L$9&gt;=Model!$D$9:'Model'!$CN$9),Model!$D52:'Model'!$CN52)</f>
        <v>-23319.947058753925</v>
      </c>
      <c r="M47" s="35">
        <f>SUMPRODUCT(--(M$8&lt;=Model!$D$9:'Model'!$CN$9),--(M$9&gt;=Model!$D$9:'Model'!$CN$9),Model!$D52:'Model'!$CN52)</f>
        <v>-24485.94441169162</v>
      </c>
      <c r="N47" s="35">
        <f>SUMPRODUCT(--(N$8&lt;=Model!$D$9:'Model'!$CN$9),--(N$9&gt;=Model!$D$9:'Model'!$CN$9),Model!$D52:'Model'!$CN52)</f>
        <v>-25710.2416322762</v>
      </c>
      <c r="O47" s="35">
        <f>SUMPRODUCT(--(O$8&lt;=Model!$D$9:'Model'!$CN$9),--(O$9&gt;=Model!$D$9:'Model'!$CN$9),Model!$D52:'Model'!$CN52)</f>
        <v>-26995.753713890015</v>
      </c>
      <c r="P47" s="35">
        <f>SUMPRODUCT(--(P$8&lt;=Model!$D$9:'Model'!$CN$9),--(P$9&gt;=Model!$D$9:'Model'!$CN$9),Model!$D52:'Model'!$CN52)</f>
        <v>-28345.541399584512</v>
      </c>
      <c r="Q47" s="35">
        <f>SUMPRODUCT(--(Q$8&lt;=Model!$D$9:'Model'!$CN$9),--(Q$9&gt;=Model!$D$9:'Model'!$CN$9),Model!$D52:'Model'!$CN52)</f>
        <v>-29762.818469563743</v>
      </c>
      <c r="R47" s="35">
        <f>SUMPRODUCT(--(R$8&lt;=Model!$D$9:'Model'!$CN$9),--(R$9&gt;=Model!$D$9:'Model'!$CN$9),Model!$D52:'Model'!$CN52)</f>
        <v>-31250.959393041929</v>
      </c>
      <c r="S47" s="35">
        <f>SUMPRODUCT(--(S$8&lt;=Model!$D$9:'Model'!$CN$9),--(S$9&gt;=Model!$D$9:'Model'!$CN$9),Model!$D52:'Model'!$CN52)</f>
        <v>-32813.507362694028</v>
      </c>
      <c r="T47" s="35">
        <f>SUMPRODUCT(--(T$8&lt;=Model!$D$9:'Model'!$CN$9),--(T$9&gt;=Model!$D$9:'Model'!$CN$9),Model!$D52:'Model'!$CN52)</f>
        <v>-34454.182730828732</v>
      </c>
      <c r="U47" s="35">
        <f>SUMPRODUCT(--(U$8&lt;=Model!$D$9:'Model'!$CN$9),--(U$9&gt;=Model!$D$9:'Model'!$CN$9),Model!$D52:'Model'!$CN52)</f>
        <v>-36176.89186737017</v>
      </c>
      <c r="V47" s="35">
        <f>SUMPRODUCT(--(V$8&lt;=Model!$D$9:'Model'!$CN$9),--(V$9&gt;=Model!$D$9:'Model'!$CN$9),Model!$D52:'Model'!$CN52)</f>
        <v>-37985.736460738677</v>
      </c>
      <c r="W47" s="35">
        <f>SUMPRODUCT(--(W$8&lt;=Model!$D$9:'Model'!$CN$9),--(W$9&gt;=Model!$D$9:'Model'!$CN$9),Model!$D52:'Model'!$CN52)</f>
        <v>-39885.023283775612</v>
      </c>
      <c r="X47" s="35">
        <f>SUMPRODUCT(--(X$8&lt;=Model!$D$9:'Model'!$CN$9),--(X$9&gt;=Model!$D$9:'Model'!$CN$9),Model!$D52:'Model'!$CN52)</f>
        <v>-41879.274447964395</v>
      </c>
      <c r="Y47" s="35">
        <f>SUMPRODUCT(--(Y$8&lt;=Model!$D$9:'Model'!$CN$9),--(Y$9&gt;=Model!$D$9:'Model'!$CN$9),Model!$D52:'Model'!$CN52)</f>
        <v>-43973.238170362616</v>
      </c>
      <c r="Z47" s="35">
        <f>SUMPRODUCT(--(Z$8&lt;=Model!$D$9:'Model'!$CN$9),--(Z$9&gt;=Model!$D$9:'Model'!$CN$9),Model!$D52:'Model'!$CN52)</f>
        <v>-46171.900078880753</v>
      </c>
      <c r="AA47" s="35"/>
    </row>
    <row r="48" spans="1:27" ht="12.75" customHeight="1" outlineLevel="2">
      <c r="A48" s="35"/>
      <c r="B48" s="63" t="str">
        <f>'операционные  расходы 1 этап'!A31</f>
        <v>Охрана труда и Техника безопасности</v>
      </c>
      <c r="C48" s="74">
        <f t="shared" si="9"/>
        <v>-131587.58775018706</v>
      </c>
      <c r="D48" s="60">
        <f>Model!D53</f>
        <v>0</v>
      </c>
      <c r="E48" s="35">
        <f>SUMPRODUCT(--(E$8&lt;=Model!$D$9:'Model'!$CN$9),--(E$9&gt;=Model!$D$9:'Model'!$CN$9),Model!$D53:'Model'!$CN53)</f>
        <v>0</v>
      </c>
      <c r="F48" s="35">
        <f>SUMPRODUCT(--(F$8&lt;=Model!$D$9:'Model'!$CN$9),--(F$9&gt;=Model!$D$9:'Model'!$CN$9),Model!$D53:'Model'!$CN53)</f>
        <v>0</v>
      </c>
      <c r="G48" s="35">
        <f>SUMPRODUCT(--(G$8&lt;=Model!$D$9:'Model'!$CN$9),--(G$9&gt;=Model!$D$9:'Model'!$CN$9),Model!$D53:'Model'!$CN53)</f>
        <v>0</v>
      </c>
      <c r="H48" s="35">
        <f>SUMPRODUCT(--(H$8&lt;=Model!$D$9:'Model'!$CN$9),--(H$9&gt;=Model!$D$9:'Model'!$CN$9),Model!$D53:'Model'!$CN53)</f>
        <v>0</v>
      </c>
      <c r="I48" s="35">
        <f>SUMPRODUCT(--(I$8&lt;=Model!$D$9:'Model'!$CN$9),--(I$9&gt;=Model!$D$9:'Model'!$CN$9),Model!$D53:'Model'!$CN53)</f>
        <v>-2670</v>
      </c>
      <c r="J48" s="35">
        <f>SUMPRODUCT(--(J$8&lt;=Model!$D$9:'Model'!$CN$9),--(J$9&gt;=Model!$D$9:'Model'!$CN$9),Model!$D53:'Model'!$CN53)</f>
        <v>-4989</v>
      </c>
      <c r="K48" s="35">
        <f>SUMPRODUCT(--(K$8&lt;=Model!$D$9:'Model'!$CN$9),--(K$9&gt;=Model!$D$9:'Model'!$CN$9),Model!$D53:'Model'!$CN53)</f>
        <v>-5238.45</v>
      </c>
      <c r="L48" s="35">
        <f>SUMPRODUCT(--(L$8&lt;=Model!$D$9:'Model'!$CN$9),--(L$9&gt;=Model!$D$9:'Model'!$CN$9),Model!$D53:'Model'!$CN53)</f>
        <v>-5500.3725000000004</v>
      </c>
      <c r="M48" s="35">
        <f>SUMPRODUCT(--(M$8&lt;=Model!$D$9:'Model'!$CN$9),--(M$9&gt;=Model!$D$9:'Model'!$CN$9),Model!$D53:'Model'!$CN53)</f>
        <v>-5775.3911250000001</v>
      </c>
      <c r="N48" s="35">
        <f>SUMPRODUCT(--(N$8&lt;=Model!$D$9:'Model'!$CN$9),--(N$9&gt;=Model!$D$9:'Model'!$CN$9),Model!$D53:'Model'!$CN53)</f>
        <v>-6064.1606812500004</v>
      </c>
      <c r="O48" s="35">
        <f>SUMPRODUCT(--(O$8&lt;=Model!$D$9:'Model'!$CN$9),--(O$9&gt;=Model!$D$9:'Model'!$CN$9),Model!$D53:'Model'!$CN53)</f>
        <v>-6367.3687153125002</v>
      </c>
      <c r="P48" s="35">
        <f>SUMPRODUCT(--(P$8&lt;=Model!$D$9:'Model'!$CN$9),--(P$9&gt;=Model!$D$9:'Model'!$CN$9),Model!$D53:'Model'!$CN53)</f>
        <v>-6685.7371510781259</v>
      </c>
      <c r="Q48" s="35">
        <f>SUMPRODUCT(--(Q$8&lt;=Model!$D$9:'Model'!$CN$9),--(Q$9&gt;=Model!$D$9:'Model'!$CN$9),Model!$D53:'Model'!$CN53)</f>
        <v>-7020.0240086320318</v>
      </c>
      <c r="R48" s="35">
        <f>SUMPRODUCT(--(R$8&lt;=Model!$D$9:'Model'!$CN$9),--(R$9&gt;=Model!$D$9:'Model'!$CN$9),Model!$D53:'Model'!$CN53)</f>
        <v>-7371.025209063635</v>
      </c>
      <c r="S48" s="35">
        <f>SUMPRODUCT(--(S$8&lt;=Model!$D$9:'Model'!$CN$9),--(S$9&gt;=Model!$D$9:'Model'!$CN$9),Model!$D53:'Model'!$CN53)</f>
        <v>-7739.5764695168164</v>
      </c>
      <c r="T48" s="35">
        <f>SUMPRODUCT(--(T$8&lt;=Model!$D$9:'Model'!$CN$9),--(T$9&gt;=Model!$D$9:'Model'!$CN$9),Model!$D53:'Model'!$CN53)</f>
        <v>-8126.555292992658</v>
      </c>
      <c r="U48" s="35">
        <f>SUMPRODUCT(--(U$8&lt;=Model!$D$9:'Model'!$CN$9),--(U$9&gt;=Model!$D$9:'Model'!$CN$9),Model!$D53:'Model'!$CN53)</f>
        <v>-8532.8830576422915</v>
      </c>
      <c r="V48" s="35">
        <f>SUMPRODUCT(--(V$8&lt;=Model!$D$9:'Model'!$CN$9),--(V$9&gt;=Model!$D$9:'Model'!$CN$9),Model!$D53:'Model'!$CN53)</f>
        <v>-8959.5272105244057</v>
      </c>
      <c r="W48" s="35">
        <f>SUMPRODUCT(--(W$8&lt;=Model!$D$9:'Model'!$CN$9),--(W$9&gt;=Model!$D$9:'Model'!$CN$9),Model!$D53:'Model'!$CN53)</f>
        <v>-9407.5035710506272</v>
      </c>
      <c r="X48" s="35">
        <f>SUMPRODUCT(--(X$8&lt;=Model!$D$9:'Model'!$CN$9),--(X$9&gt;=Model!$D$9:'Model'!$CN$9),Model!$D53:'Model'!$CN53)</f>
        <v>-9877.8787496031582</v>
      </c>
      <c r="Y48" s="35">
        <f>SUMPRODUCT(--(Y$8&lt;=Model!$D$9:'Model'!$CN$9),--(Y$9&gt;=Model!$D$9:'Model'!$CN$9),Model!$D53:'Model'!$CN53)</f>
        <v>-10371.772687083316</v>
      </c>
      <c r="Z48" s="35">
        <f>SUMPRODUCT(--(Z$8&lt;=Model!$D$9:'Model'!$CN$9),--(Z$9&gt;=Model!$D$9:'Model'!$CN$9),Model!$D53:'Model'!$CN53)</f>
        <v>-10890.361321437482</v>
      </c>
      <c r="AA48" s="35"/>
    </row>
    <row r="49" spans="1:27" ht="12.75" customHeight="1" outlineLevel="2">
      <c r="A49" s="35"/>
      <c r="B49" s="63" t="str">
        <f>'операционные  расходы 1 этап'!A32</f>
        <v>Прочие</v>
      </c>
      <c r="C49" s="74">
        <f t="shared" si="9"/>
        <v>-49156.884169868579</v>
      </c>
      <c r="D49" s="60">
        <f>Model!D54</f>
        <v>0</v>
      </c>
      <c r="E49" s="35">
        <f>SUMPRODUCT(--(E$8&lt;=Model!$D$9:'Model'!$CN$9),--(E$9&gt;=Model!$D$9:'Model'!$CN$9),Model!$D54:'Model'!$CN54)</f>
        <v>0</v>
      </c>
      <c r="F49" s="35">
        <f>SUMPRODUCT(--(F$8&lt;=Model!$D$9:'Model'!$CN$9),--(F$9&gt;=Model!$D$9:'Model'!$CN$9),Model!$D54:'Model'!$CN54)</f>
        <v>0</v>
      </c>
      <c r="G49" s="35">
        <f>SUMPRODUCT(--(G$8&lt;=Model!$D$9:'Model'!$CN$9),--(G$9&gt;=Model!$D$9:'Model'!$CN$9),Model!$D54:'Model'!$CN54)</f>
        <v>0</v>
      </c>
      <c r="H49" s="35">
        <f>SUMPRODUCT(--(H$8&lt;=Model!$D$9:'Model'!$CN$9),--(H$9&gt;=Model!$D$9:'Model'!$CN$9),Model!$D54:'Model'!$CN54)</f>
        <v>0</v>
      </c>
      <c r="I49" s="35">
        <f>SUMPRODUCT(--(I$8&lt;=Model!$D$9:'Model'!$CN$9),--(I$9&gt;=Model!$D$9:'Model'!$CN$9),Model!$D54:'Model'!$CN54)</f>
        <v>-900</v>
      </c>
      <c r="J49" s="35">
        <f>SUMPRODUCT(--(J$8&lt;=Model!$D$9:'Model'!$CN$9),--(J$9&gt;=Model!$D$9:'Model'!$CN$9),Model!$D54:'Model'!$CN54)</f>
        <v>-1867.5</v>
      </c>
      <c r="K49" s="35">
        <f>SUMPRODUCT(--(K$8&lt;=Model!$D$9:'Model'!$CN$9),--(K$9&gt;=Model!$D$9:'Model'!$CN$9),Model!$D54:'Model'!$CN54)</f>
        <v>-1960.875</v>
      </c>
      <c r="L49" s="35">
        <f>SUMPRODUCT(--(L$8&lt;=Model!$D$9:'Model'!$CN$9),--(L$9&gt;=Model!$D$9:'Model'!$CN$9),Model!$D54:'Model'!$CN54)</f>
        <v>-2058.9187499999998</v>
      </c>
      <c r="M49" s="35">
        <f>SUMPRODUCT(--(M$8&lt;=Model!$D$9:'Model'!$CN$9),--(M$9&gt;=Model!$D$9:'Model'!$CN$9),Model!$D54:'Model'!$CN54)</f>
        <v>-2161.8646874999999</v>
      </c>
      <c r="N49" s="35">
        <f>SUMPRODUCT(--(N$8&lt;=Model!$D$9:'Model'!$CN$9),--(N$9&gt;=Model!$D$9:'Model'!$CN$9),Model!$D54:'Model'!$CN54)</f>
        <v>-2269.9579218750005</v>
      </c>
      <c r="O49" s="35">
        <f>SUMPRODUCT(--(O$8&lt;=Model!$D$9:'Model'!$CN$9),--(O$9&gt;=Model!$D$9:'Model'!$CN$9),Model!$D54:'Model'!$CN54)</f>
        <v>-2383.4558179687506</v>
      </c>
      <c r="P49" s="35">
        <f>SUMPRODUCT(--(P$8&lt;=Model!$D$9:'Model'!$CN$9),--(P$9&gt;=Model!$D$9:'Model'!$CN$9),Model!$D54:'Model'!$CN54)</f>
        <v>-2502.6286088671877</v>
      </c>
      <c r="Q49" s="35">
        <f>SUMPRODUCT(--(Q$8&lt;=Model!$D$9:'Model'!$CN$9),--(Q$9&gt;=Model!$D$9:'Model'!$CN$9),Model!$D54:'Model'!$CN54)</f>
        <v>-2627.7600393105477</v>
      </c>
      <c r="R49" s="35">
        <f>SUMPRODUCT(--(R$8&lt;=Model!$D$9:'Model'!$CN$9),--(R$9&gt;=Model!$D$9:'Model'!$CN$9),Model!$D54:'Model'!$CN54)</f>
        <v>-2759.1480412760752</v>
      </c>
      <c r="S49" s="35">
        <f>SUMPRODUCT(--(S$8&lt;=Model!$D$9:'Model'!$CN$9),--(S$9&gt;=Model!$D$9:'Model'!$CN$9),Model!$D54:'Model'!$CN54)</f>
        <v>-2897.105443339879</v>
      </c>
      <c r="T49" s="35">
        <f>SUMPRODUCT(--(T$8&lt;=Model!$D$9:'Model'!$CN$9),--(T$9&gt;=Model!$D$9:'Model'!$CN$9),Model!$D54:'Model'!$CN54)</f>
        <v>-3041.9607155068729</v>
      </c>
      <c r="U49" s="35">
        <f>SUMPRODUCT(--(U$8&lt;=Model!$D$9:'Model'!$CN$9),--(U$9&gt;=Model!$D$9:'Model'!$CN$9),Model!$D54:'Model'!$CN54)</f>
        <v>-3194.0587512822167</v>
      </c>
      <c r="V49" s="35">
        <f>SUMPRODUCT(--(V$8&lt;=Model!$D$9:'Model'!$CN$9),--(V$9&gt;=Model!$D$9:'Model'!$CN$9),Model!$D54:'Model'!$CN54)</f>
        <v>-3353.7616888463276</v>
      </c>
      <c r="W49" s="35">
        <f>SUMPRODUCT(--(W$8&lt;=Model!$D$9:'Model'!$CN$9),--(W$9&gt;=Model!$D$9:'Model'!$CN$9),Model!$D54:'Model'!$CN54)</f>
        <v>-3521.4497732886443</v>
      </c>
      <c r="X49" s="35">
        <f>SUMPRODUCT(--(X$8&lt;=Model!$D$9:'Model'!$CN$9),--(X$9&gt;=Model!$D$9:'Model'!$CN$9),Model!$D54:'Model'!$CN54)</f>
        <v>-3697.5222619530768</v>
      </c>
      <c r="Y49" s="35">
        <f>SUMPRODUCT(--(Y$8&lt;=Model!$D$9:'Model'!$CN$9),--(Y$9&gt;=Model!$D$9:'Model'!$CN$9),Model!$D54:'Model'!$CN54)</f>
        <v>-3882.3983750507314</v>
      </c>
      <c r="Z49" s="35">
        <f>SUMPRODUCT(--(Z$8&lt;=Model!$D$9:'Model'!$CN$9),--(Z$9&gt;=Model!$D$9:'Model'!$CN$9),Model!$D54:'Model'!$CN54)</f>
        <v>-4076.5182938032681</v>
      </c>
      <c r="AA49" s="35"/>
    </row>
    <row r="50" spans="1:27" ht="12.75" customHeight="1" outlineLevel="2">
      <c r="A50" s="35"/>
      <c r="B50" s="63" t="str">
        <f>'операционные  расходы 1 этап'!A33</f>
        <v>Административные и прочие расходы</v>
      </c>
      <c r="C50" s="74">
        <f t="shared" si="9"/>
        <v>-558821.98642729933</v>
      </c>
      <c r="D50" s="60">
        <f>Model!D55</f>
        <v>0</v>
      </c>
      <c r="E50" s="35">
        <f>SUMPRODUCT(--(E$8&lt;=Model!$D$9:'Model'!$CN$9),--(E$9&gt;=Model!$D$9:'Model'!$CN$9),Model!$D55:'Model'!$CN55)</f>
        <v>0</v>
      </c>
      <c r="F50" s="35">
        <f>SUMPRODUCT(--(F$8&lt;=Model!$D$9:'Model'!$CN$9),--(F$9&gt;=Model!$D$9:'Model'!$CN$9),Model!$D55:'Model'!$CN55)</f>
        <v>0</v>
      </c>
      <c r="G50" s="35">
        <f>SUMPRODUCT(--(G$8&lt;=Model!$D$9:'Model'!$CN$9),--(G$9&gt;=Model!$D$9:'Model'!$CN$9),Model!$D55:'Model'!$CN55)</f>
        <v>0</v>
      </c>
      <c r="H50" s="35">
        <f>SUMPRODUCT(--(H$8&lt;=Model!$D$9:'Model'!$CN$9),--(H$9&gt;=Model!$D$9:'Model'!$CN$9),Model!$D55:'Model'!$CN55)</f>
        <v>0</v>
      </c>
      <c r="I50" s="35">
        <f>SUMPRODUCT(--(I$8&lt;=Model!$D$9:'Model'!$CN$9),--(I$9&gt;=Model!$D$9:'Model'!$CN$9),Model!$D55:'Model'!$CN55)</f>
        <v>-12249.673138222061</v>
      </c>
      <c r="J50" s="35">
        <f>SUMPRODUCT(--(J$8&lt;=Model!$D$9:'Model'!$CN$9),--(J$9&gt;=Model!$D$9:'Model'!$CN$9),Model!$D55:'Model'!$CN55)</f>
        <v>-21151.879418370903</v>
      </c>
      <c r="K50" s="35">
        <f>SUMPRODUCT(--(K$8&lt;=Model!$D$9:'Model'!$CN$9),--(K$9&gt;=Model!$D$9:'Model'!$CN$9),Model!$D55:'Model'!$CN55)</f>
        <v>-22209.473389289451</v>
      </c>
      <c r="L50" s="35">
        <f>SUMPRODUCT(--(L$8&lt;=Model!$D$9:'Model'!$CN$9),--(L$9&gt;=Model!$D$9:'Model'!$CN$9),Model!$D55:'Model'!$CN55)</f>
        <v>-23319.947058753925</v>
      </c>
      <c r="M50" s="35">
        <f>SUMPRODUCT(--(M$8&lt;=Model!$D$9:'Model'!$CN$9),--(M$9&gt;=Model!$D$9:'Model'!$CN$9),Model!$D55:'Model'!$CN55)</f>
        <v>-24485.94441169162</v>
      </c>
      <c r="N50" s="35">
        <f>SUMPRODUCT(--(N$8&lt;=Model!$D$9:'Model'!$CN$9),--(N$9&gt;=Model!$D$9:'Model'!$CN$9),Model!$D55:'Model'!$CN55)</f>
        <v>-25710.2416322762</v>
      </c>
      <c r="O50" s="35">
        <f>SUMPRODUCT(--(O$8&lt;=Model!$D$9:'Model'!$CN$9),--(O$9&gt;=Model!$D$9:'Model'!$CN$9),Model!$D55:'Model'!$CN55)</f>
        <v>-26995.753713890015</v>
      </c>
      <c r="P50" s="35">
        <f>SUMPRODUCT(--(P$8&lt;=Model!$D$9:'Model'!$CN$9),--(P$9&gt;=Model!$D$9:'Model'!$CN$9),Model!$D55:'Model'!$CN55)</f>
        <v>-28345.541399584512</v>
      </c>
      <c r="Q50" s="35">
        <f>SUMPRODUCT(--(Q$8&lt;=Model!$D$9:'Model'!$CN$9),--(Q$9&gt;=Model!$D$9:'Model'!$CN$9),Model!$D55:'Model'!$CN55)</f>
        <v>-29762.818469563743</v>
      </c>
      <c r="R50" s="35">
        <f>SUMPRODUCT(--(R$8&lt;=Model!$D$9:'Model'!$CN$9),--(R$9&gt;=Model!$D$9:'Model'!$CN$9),Model!$D55:'Model'!$CN55)</f>
        <v>-31250.959393041929</v>
      </c>
      <c r="S50" s="35">
        <f>SUMPRODUCT(--(S$8&lt;=Model!$D$9:'Model'!$CN$9),--(S$9&gt;=Model!$D$9:'Model'!$CN$9),Model!$D55:'Model'!$CN55)</f>
        <v>-32813.507362694028</v>
      </c>
      <c r="T50" s="35">
        <f>SUMPRODUCT(--(T$8&lt;=Model!$D$9:'Model'!$CN$9),--(T$9&gt;=Model!$D$9:'Model'!$CN$9),Model!$D55:'Model'!$CN55)</f>
        <v>-34454.182730828732</v>
      </c>
      <c r="U50" s="35">
        <f>SUMPRODUCT(--(U$8&lt;=Model!$D$9:'Model'!$CN$9),--(U$9&gt;=Model!$D$9:'Model'!$CN$9),Model!$D55:'Model'!$CN55)</f>
        <v>-36176.89186737017</v>
      </c>
      <c r="V50" s="35">
        <f>SUMPRODUCT(--(V$8&lt;=Model!$D$9:'Model'!$CN$9),--(V$9&gt;=Model!$D$9:'Model'!$CN$9),Model!$D55:'Model'!$CN55)</f>
        <v>-37985.736460738677</v>
      </c>
      <c r="W50" s="35">
        <f>SUMPRODUCT(--(W$8&lt;=Model!$D$9:'Model'!$CN$9),--(W$9&gt;=Model!$D$9:'Model'!$CN$9),Model!$D55:'Model'!$CN55)</f>
        <v>-39885.023283775612</v>
      </c>
      <c r="X50" s="35">
        <f>SUMPRODUCT(--(X$8&lt;=Model!$D$9:'Model'!$CN$9),--(X$9&gt;=Model!$D$9:'Model'!$CN$9),Model!$D55:'Model'!$CN55)</f>
        <v>-41879.274447964395</v>
      </c>
      <c r="Y50" s="35">
        <f>SUMPRODUCT(--(Y$8&lt;=Model!$D$9:'Model'!$CN$9),--(Y$9&gt;=Model!$D$9:'Model'!$CN$9),Model!$D55:'Model'!$CN55)</f>
        <v>-43973.238170362616</v>
      </c>
      <c r="Z50" s="35">
        <f>SUMPRODUCT(--(Z$8&lt;=Model!$D$9:'Model'!$CN$9),--(Z$9&gt;=Model!$D$9:'Model'!$CN$9),Model!$D55:'Model'!$CN55)</f>
        <v>-46171.900078880753</v>
      </c>
      <c r="AA50" s="35"/>
    </row>
    <row r="51" spans="1:27" ht="12.75" customHeight="1" outlineLevel="2">
      <c r="A51" s="35"/>
      <c r="B51" s="63" t="e">
        <f>'операционные  расходы 1 этап'!#REF!</f>
        <v>#REF!</v>
      </c>
      <c r="C51" s="74">
        <f t="shared" si="9"/>
        <v>-279410.99321364966</v>
      </c>
      <c r="D51" s="60">
        <f>Model!D56</f>
        <v>0</v>
      </c>
      <c r="E51" s="35">
        <f>SUMPRODUCT(--(E$8&lt;=Model!$D$9:'Model'!$CN$9),--(E$9&gt;=Model!$D$9:'Model'!$CN$9),Model!$D56:'Model'!$CN56)</f>
        <v>0</v>
      </c>
      <c r="F51" s="35">
        <f>SUMPRODUCT(--(F$8&lt;=Model!$D$9:'Model'!$CN$9),--(F$9&gt;=Model!$D$9:'Model'!$CN$9),Model!$D56:'Model'!$CN56)</f>
        <v>0</v>
      </c>
      <c r="G51" s="35">
        <f>SUMPRODUCT(--(G$8&lt;=Model!$D$9:'Model'!$CN$9),--(G$9&gt;=Model!$D$9:'Model'!$CN$9),Model!$D56:'Model'!$CN56)</f>
        <v>0</v>
      </c>
      <c r="H51" s="35">
        <f>SUMPRODUCT(--(H$8&lt;=Model!$D$9:'Model'!$CN$9),--(H$9&gt;=Model!$D$9:'Model'!$CN$9),Model!$D56:'Model'!$CN56)</f>
        <v>0</v>
      </c>
      <c r="I51" s="35">
        <f>SUMPRODUCT(--(I$8&lt;=Model!$D$9:'Model'!$CN$9),--(I$9&gt;=Model!$D$9:'Model'!$CN$9),Model!$D56:'Model'!$CN56)</f>
        <v>-6124.8365691110303</v>
      </c>
      <c r="J51" s="35">
        <f>SUMPRODUCT(--(J$8&lt;=Model!$D$9:'Model'!$CN$9),--(J$9&gt;=Model!$D$9:'Model'!$CN$9),Model!$D56:'Model'!$CN56)</f>
        <v>-10575.939709185452</v>
      </c>
      <c r="K51" s="35">
        <f>SUMPRODUCT(--(K$8&lt;=Model!$D$9:'Model'!$CN$9),--(K$9&gt;=Model!$D$9:'Model'!$CN$9),Model!$D56:'Model'!$CN56)</f>
        <v>-11104.736694644726</v>
      </c>
      <c r="L51" s="35">
        <f>SUMPRODUCT(--(L$8&lt;=Model!$D$9:'Model'!$CN$9),--(L$9&gt;=Model!$D$9:'Model'!$CN$9),Model!$D56:'Model'!$CN56)</f>
        <v>-11659.973529376963</v>
      </c>
      <c r="M51" s="35">
        <f>SUMPRODUCT(--(M$8&lt;=Model!$D$9:'Model'!$CN$9),--(M$9&gt;=Model!$D$9:'Model'!$CN$9),Model!$D56:'Model'!$CN56)</f>
        <v>-12242.97220584581</v>
      </c>
      <c r="N51" s="35">
        <f>SUMPRODUCT(--(N$8&lt;=Model!$D$9:'Model'!$CN$9),--(N$9&gt;=Model!$D$9:'Model'!$CN$9),Model!$D56:'Model'!$CN56)</f>
        <v>-12855.1208161381</v>
      </c>
      <c r="O51" s="35">
        <f>SUMPRODUCT(--(O$8&lt;=Model!$D$9:'Model'!$CN$9),--(O$9&gt;=Model!$D$9:'Model'!$CN$9),Model!$D56:'Model'!$CN56)</f>
        <v>-13497.876856945008</v>
      </c>
      <c r="P51" s="35">
        <f>SUMPRODUCT(--(P$8&lt;=Model!$D$9:'Model'!$CN$9),--(P$9&gt;=Model!$D$9:'Model'!$CN$9),Model!$D56:'Model'!$CN56)</f>
        <v>-14172.770699792256</v>
      </c>
      <c r="Q51" s="35">
        <f>SUMPRODUCT(--(Q$8&lt;=Model!$D$9:'Model'!$CN$9),--(Q$9&gt;=Model!$D$9:'Model'!$CN$9),Model!$D56:'Model'!$CN56)</f>
        <v>-14881.409234781871</v>
      </c>
      <c r="R51" s="35">
        <f>SUMPRODUCT(--(R$8&lt;=Model!$D$9:'Model'!$CN$9),--(R$9&gt;=Model!$D$9:'Model'!$CN$9),Model!$D56:'Model'!$CN56)</f>
        <v>-15625.479696520964</v>
      </c>
      <c r="S51" s="35">
        <f>SUMPRODUCT(--(S$8&lt;=Model!$D$9:'Model'!$CN$9),--(S$9&gt;=Model!$D$9:'Model'!$CN$9),Model!$D56:'Model'!$CN56)</f>
        <v>-16406.753681347014</v>
      </c>
      <c r="T51" s="35">
        <f>SUMPRODUCT(--(T$8&lt;=Model!$D$9:'Model'!$CN$9),--(T$9&gt;=Model!$D$9:'Model'!$CN$9),Model!$D56:'Model'!$CN56)</f>
        <v>-17227.091365414366</v>
      </c>
      <c r="U51" s="35">
        <f>SUMPRODUCT(--(U$8&lt;=Model!$D$9:'Model'!$CN$9),--(U$9&gt;=Model!$D$9:'Model'!$CN$9),Model!$D56:'Model'!$CN56)</f>
        <v>-18088.445933685085</v>
      </c>
      <c r="V51" s="35">
        <f>SUMPRODUCT(--(V$8&lt;=Model!$D$9:'Model'!$CN$9),--(V$9&gt;=Model!$D$9:'Model'!$CN$9),Model!$D56:'Model'!$CN56)</f>
        <v>-18992.868230369339</v>
      </c>
      <c r="W51" s="35">
        <f>SUMPRODUCT(--(W$8&lt;=Model!$D$9:'Model'!$CN$9),--(W$9&gt;=Model!$D$9:'Model'!$CN$9),Model!$D56:'Model'!$CN56)</f>
        <v>-19942.511641887806</v>
      </c>
      <c r="X51" s="35">
        <f>SUMPRODUCT(--(X$8&lt;=Model!$D$9:'Model'!$CN$9),--(X$9&gt;=Model!$D$9:'Model'!$CN$9),Model!$D56:'Model'!$CN56)</f>
        <v>-20939.637223982198</v>
      </c>
      <c r="Y51" s="35">
        <f>SUMPRODUCT(--(Y$8&lt;=Model!$D$9:'Model'!$CN$9),--(Y$9&gt;=Model!$D$9:'Model'!$CN$9),Model!$D56:'Model'!$CN56)</f>
        <v>-21986.619085181308</v>
      </c>
      <c r="Z51" s="35">
        <f>SUMPRODUCT(--(Z$8&lt;=Model!$D$9:'Model'!$CN$9),--(Z$9&gt;=Model!$D$9:'Model'!$CN$9),Model!$D56:'Model'!$CN56)</f>
        <v>-23085.950039440377</v>
      </c>
      <c r="AA51" s="35"/>
    </row>
    <row r="52" spans="1:27" ht="12.75" customHeight="1" outlineLevel="2">
      <c r="A52" s="35"/>
      <c r="B52" s="63" t="e">
        <f>'операционные  расходы 1 этап'!#REF!</f>
        <v>#REF!</v>
      </c>
      <c r="C52" s="74">
        <f t="shared" si="9"/>
        <v>-362713.90988868754</v>
      </c>
      <c r="D52" s="60">
        <f>Model!D57</f>
        <v>0</v>
      </c>
      <c r="E52" s="35">
        <f>SUMPRODUCT(--(E$8&lt;=Model!$D$9:'Model'!$CN$9),--(E$9&gt;=Model!$D$9:'Model'!$CN$9),Model!$D57:'Model'!$CN57)</f>
        <v>0</v>
      </c>
      <c r="F52" s="35">
        <f>SUMPRODUCT(--(F$8&lt;=Model!$D$9:'Model'!$CN$9),--(F$9&gt;=Model!$D$9:'Model'!$CN$9),Model!$D57:'Model'!$CN57)</f>
        <v>0</v>
      </c>
      <c r="G52" s="35">
        <f>SUMPRODUCT(--(G$8&lt;=Model!$D$9:'Model'!$CN$9),--(G$9&gt;=Model!$D$9:'Model'!$CN$9),Model!$D57:'Model'!$CN57)</f>
        <v>0</v>
      </c>
      <c r="H52" s="35">
        <f>SUMPRODUCT(--(H$8&lt;=Model!$D$9:'Model'!$CN$9),--(H$9&gt;=Model!$D$9:'Model'!$CN$9),Model!$D57:'Model'!$CN57)</f>
        <v>0</v>
      </c>
      <c r="I52" s="35">
        <f>SUMPRODUCT(--(I$8&lt;=Model!$D$9:'Model'!$CN$9),--(I$9&gt;=Model!$D$9:'Model'!$CN$9),Model!$D57:'Model'!$CN57)</f>
        <v>-10238.924767500002</v>
      </c>
      <c r="J52" s="35">
        <f>SUMPRODUCT(--(J$8&lt;=Model!$D$9:'Model'!$CN$9),--(J$9&gt;=Model!$D$9:'Model'!$CN$9),Model!$D57:'Model'!$CN57)</f>
        <v>-20733.822654187505</v>
      </c>
      <c r="K52" s="35">
        <f>SUMPRODUCT(--(K$8&lt;=Model!$D$9:'Model'!$CN$9),--(K$9&gt;=Model!$D$9:'Model'!$CN$9),Model!$D57:'Model'!$CN57)</f>
        <v>-20733.822654187505</v>
      </c>
      <c r="L52" s="35">
        <f>SUMPRODUCT(--(L$8&lt;=Model!$D$9:'Model'!$CN$9),--(L$9&gt;=Model!$D$9:'Model'!$CN$9),Model!$D57:'Model'!$CN57)</f>
        <v>-20733.822654187505</v>
      </c>
      <c r="M52" s="35">
        <f>SUMPRODUCT(--(M$8&lt;=Model!$D$9:'Model'!$CN$9),--(M$9&gt;=Model!$D$9:'Model'!$CN$9),Model!$D57:'Model'!$CN57)</f>
        <v>-20733.822654187505</v>
      </c>
      <c r="N52" s="35">
        <f>SUMPRODUCT(--(N$8&lt;=Model!$D$9:'Model'!$CN$9),--(N$9&gt;=Model!$D$9:'Model'!$CN$9),Model!$D57:'Model'!$CN57)</f>
        <v>-20733.822654187505</v>
      </c>
      <c r="O52" s="35">
        <f>SUMPRODUCT(--(O$8&lt;=Model!$D$9:'Model'!$CN$9),--(O$9&gt;=Model!$D$9:'Model'!$CN$9),Model!$D57:'Model'!$CN57)</f>
        <v>-20733.822654187505</v>
      </c>
      <c r="P52" s="35">
        <f>SUMPRODUCT(--(P$8&lt;=Model!$D$9:'Model'!$CN$9),--(P$9&gt;=Model!$D$9:'Model'!$CN$9),Model!$D57:'Model'!$CN57)</f>
        <v>-20733.822654187505</v>
      </c>
      <c r="Q52" s="35">
        <f>SUMPRODUCT(--(Q$8&lt;=Model!$D$9:'Model'!$CN$9),--(Q$9&gt;=Model!$D$9:'Model'!$CN$9),Model!$D57:'Model'!$CN57)</f>
        <v>-20733.822654187505</v>
      </c>
      <c r="R52" s="35">
        <f>SUMPRODUCT(--(R$8&lt;=Model!$D$9:'Model'!$CN$9),--(R$9&gt;=Model!$D$9:'Model'!$CN$9),Model!$D57:'Model'!$CN57)</f>
        <v>-20733.822654187505</v>
      </c>
      <c r="S52" s="35">
        <f>SUMPRODUCT(--(S$8&lt;=Model!$D$9:'Model'!$CN$9),--(S$9&gt;=Model!$D$9:'Model'!$CN$9),Model!$D57:'Model'!$CN57)</f>
        <v>-20733.822654187505</v>
      </c>
      <c r="T52" s="35">
        <f>SUMPRODUCT(--(T$8&lt;=Model!$D$9:'Model'!$CN$9),--(T$9&gt;=Model!$D$9:'Model'!$CN$9),Model!$D57:'Model'!$CN57)</f>
        <v>-20733.822654187505</v>
      </c>
      <c r="U52" s="35">
        <f>SUMPRODUCT(--(U$8&lt;=Model!$D$9:'Model'!$CN$9),--(U$9&gt;=Model!$D$9:'Model'!$CN$9),Model!$D57:'Model'!$CN57)</f>
        <v>-20733.822654187505</v>
      </c>
      <c r="V52" s="35">
        <f>SUMPRODUCT(--(V$8&lt;=Model!$D$9:'Model'!$CN$9),--(V$9&gt;=Model!$D$9:'Model'!$CN$9),Model!$D57:'Model'!$CN57)</f>
        <v>-20733.822654187505</v>
      </c>
      <c r="W52" s="35">
        <f>SUMPRODUCT(--(W$8&lt;=Model!$D$9:'Model'!$CN$9),--(W$9&gt;=Model!$D$9:'Model'!$CN$9),Model!$D57:'Model'!$CN57)</f>
        <v>-20733.822654187505</v>
      </c>
      <c r="X52" s="35">
        <f>SUMPRODUCT(--(X$8&lt;=Model!$D$9:'Model'!$CN$9),--(X$9&gt;=Model!$D$9:'Model'!$CN$9),Model!$D57:'Model'!$CN57)</f>
        <v>-20733.822654187505</v>
      </c>
      <c r="Y52" s="35">
        <f>SUMPRODUCT(--(Y$8&lt;=Model!$D$9:'Model'!$CN$9),--(Y$9&gt;=Model!$D$9:'Model'!$CN$9),Model!$D57:'Model'!$CN57)</f>
        <v>-20733.822654187505</v>
      </c>
      <c r="Z52" s="35">
        <f>SUMPRODUCT(--(Z$8&lt;=Model!$D$9:'Model'!$CN$9),--(Z$9&gt;=Model!$D$9:'Model'!$CN$9),Model!$D57:'Model'!$CN57)</f>
        <v>-20733.822654187505</v>
      </c>
      <c r="AA52" s="35"/>
    </row>
    <row r="53" spans="1:27" ht="15" customHeight="1">
      <c r="B53" s="63" t="e">
        <f>'операционные  расходы 1 этап'!#REF!</f>
        <v>#REF!</v>
      </c>
    </row>
    <row r="54" spans="1:27" ht="12.75" customHeight="1" outlineLevel="2">
      <c r="A54" s="35"/>
      <c r="B54" s="63"/>
      <c r="C54" s="74">
        <f>SUM(D54:AA54)</f>
        <v>-59500</v>
      </c>
      <c r="D54" s="60">
        <f>Model!D58</f>
        <v>0</v>
      </c>
      <c r="E54" s="35">
        <f>SUMPRODUCT(--(E$8&lt;=Model!$D$9:'Model'!$CN$9),--(E$9&gt;=Model!$D$9:'Model'!$CN$9),Model!$D58:'Model'!$CN58)</f>
        <v>-700</v>
      </c>
      <c r="F54" s="35">
        <f>SUMPRODUCT(--(F$8&lt;=Model!$D$9:'Model'!$CN$9),--(F$9&gt;=Model!$D$9:'Model'!$CN$9),Model!$D58:'Model'!$CN58)</f>
        <v>-2800</v>
      </c>
      <c r="G54" s="35">
        <f>SUMPRODUCT(--(G$8&lt;=Model!$D$9:'Model'!$CN$9),--(G$9&gt;=Model!$D$9:'Model'!$CN$9),Model!$D58:'Model'!$CN58)</f>
        <v>-2800</v>
      </c>
      <c r="H54" s="35">
        <f>SUMPRODUCT(--(H$8&lt;=Model!$D$9:'Model'!$CN$9),--(H$9&gt;=Model!$D$9:'Model'!$CN$9),Model!$D58:'Model'!$CN58)</f>
        <v>-2800</v>
      </c>
      <c r="I54" s="35">
        <f>SUMPRODUCT(--(I$8&lt;=Model!$D$9:'Model'!$CN$9),--(I$9&gt;=Model!$D$9:'Model'!$CN$9),Model!$D58:'Model'!$CN58)</f>
        <v>-2800</v>
      </c>
      <c r="J54" s="35">
        <f>SUMPRODUCT(--(J$8&lt;=Model!$D$9:'Model'!$CN$9),--(J$9&gt;=Model!$D$9:'Model'!$CN$9),Model!$D58:'Model'!$CN58)</f>
        <v>-2800</v>
      </c>
      <c r="K54" s="35">
        <f>SUMPRODUCT(--(K$8&lt;=Model!$D$9:'Model'!$CN$9),--(K$9&gt;=Model!$D$9:'Model'!$CN$9),Model!$D58:'Model'!$CN58)</f>
        <v>-2800</v>
      </c>
      <c r="L54" s="35">
        <f>SUMPRODUCT(--(L$8&lt;=Model!$D$9:'Model'!$CN$9),--(L$9&gt;=Model!$D$9:'Model'!$CN$9),Model!$D58:'Model'!$CN58)</f>
        <v>-2800</v>
      </c>
      <c r="M54" s="35">
        <f>SUMPRODUCT(--(M$8&lt;=Model!$D$9:'Model'!$CN$9),--(M$9&gt;=Model!$D$9:'Model'!$CN$9),Model!$D58:'Model'!$CN58)</f>
        <v>-2800</v>
      </c>
      <c r="N54" s="35">
        <f>SUMPRODUCT(--(N$8&lt;=Model!$D$9:'Model'!$CN$9),--(N$9&gt;=Model!$D$9:'Model'!$CN$9),Model!$D58:'Model'!$CN58)</f>
        <v>-2800</v>
      </c>
      <c r="O54" s="35">
        <f>SUMPRODUCT(--(O$8&lt;=Model!$D$9:'Model'!$CN$9),--(O$9&gt;=Model!$D$9:'Model'!$CN$9),Model!$D58:'Model'!$CN58)</f>
        <v>-2800</v>
      </c>
      <c r="P54" s="35">
        <f>SUMPRODUCT(--(P$8&lt;=Model!$D$9:'Model'!$CN$9),--(P$9&gt;=Model!$D$9:'Model'!$CN$9),Model!$D58:'Model'!$CN58)</f>
        <v>-2800</v>
      </c>
      <c r="Q54" s="35">
        <f>SUMPRODUCT(--(Q$8&lt;=Model!$D$9:'Model'!$CN$9),--(Q$9&gt;=Model!$D$9:'Model'!$CN$9),Model!$D58:'Model'!$CN58)</f>
        <v>-2800</v>
      </c>
      <c r="R54" s="35">
        <f>SUMPRODUCT(--(R$8&lt;=Model!$D$9:'Model'!$CN$9),--(R$9&gt;=Model!$D$9:'Model'!$CN$9),Model!$D58:'Model'!$CN58)</f>
        <v>-2800</v>
      </c>
      <c r="S54" s="35">
        <f>SUMPRODUCT(--(S$8&lt;=Model!$D$9:'Model'!$CN$9),--(S$9&gt;=Model!$D$9:'Model'!$CN$9),Model!$D58:'Model'!$CN58)</f>
        <v>-2800</v>
      </c>
      <c r="T54" s="35">
        <f>SUMPRODUCT(--(T$8&lt;=Model!$D$9:'Model'!$CN$9),--(T$9&gt;=Model!$D$9:'Model'!$CN$9),Model!$D58:'Model'!$CN58)</f>
        <v>-2800</v>
      </c>
      <c r="U54" s="35">
        <f>SUMPRODUCT(--(U$8&lt;=Model!$D$9:'Model'!$CN$9),--(U$9&gt;=Model!$D$9:'Model'!$CN$9),Model!$D58:'Model'!$CN58)</f>
        <v>-2800</v>
      </c>
      <c r="V54" s="35">
        <f>SUMPRODUCT(--(V$8&lt;=Model!$D$9:'Model'!$CN$9),--(V$9&gt;=Model!$D$9:'Model'!$CN$9),Model!$D58:'Model'!$CN58)</f>
        <v>-2800</v>
      </c>
      <c r="W54" s="35">
        <f>SUMPRODUCT(--(W$8&lt;=Model!$D$9:'Model'!$CN$9),--(W$9&gt;=Model!$D$9:'Model'!$CN$9),Model!$D58:'Model'!$CN58)</f>
        <v>-2800</v>
      </c>
      <c r="X54" s="35">
        <f>SUMPRODUCT(--(X$8&lt;=Model!$D$9:'Model'!$CN$9),--(X$9&gt;=Model!$D$9:'Model'!$CN$9),Model!$D58:'Model'!$CN58)</f>
        <v>-2800</v>
      </c>
      <c r="Y54" s="35">
        <f>SUMPRODUCT(--(Y$8&lt;=Model!$D$9:'Model'!$CN$9),--(Y$9&gt;=Model!$D$9:'Model'!$CN$9),Model!$D58:'Model'!$CN58)</f>
        <v>-2800</v>
      </c>
      <c r="Z54" s="35">
        <f>SUMPRODUCT(--(Z$8&lt;=Model!$D$9:'Model'!$CN$9),--(Z$9&gt;=Model!$D$9:'Model'!$CN$9),Model!$D58:'Model'!$CN58)</f>
        <v>-2800</v>
      </c>
      <c r="AA54" s="35"/>
    </row>
    <row r="55" spans="1:27" ht="12.75" customHeight="1" outlineLevel="1">
      <c r="A55" s="37"/>
      <c r="B55" s="70" t="s">
        <v>159</v>
      </c>
      <c r="C55" s="70">
        <f t="shared" si="9"/>
        <v>-9578558.019392414</v>
      </c>
      <c r="D55" s="71">
        <f>Model!D59</f>
        <v>0</v>
      </c>
      <c r="E55" s="70">
        <f>SUMPRODUCT(--(E$8&lt;=Model!$D$9:'Model'!$CN$9),--(E$9&gt;=Model!$D$9:'Model'!$CN$9),Model!$D59:'Model'!$CN59)</f>
        <v>-700</v>
      </c>
      <c r="F55" s="70">
        <f>SUMPRODUCT(--(F$8&lt;=Model!$D$9:'Model'!$CN$9),--(F$9&gt;=Model!$D$9:'Model'!$CN$9),Model!$D59:'Model'!$CN59)</f>
        <v>-2800</v>
      </c>
      <c r="G55" s="70">
        <f>SUMPRODUCT(--(G$8&lt;=Model!$D$9:'Model'!$CN$9),--(G$9&gt;=Model!$D$9:'Model'!$CN$9),Model!$D59:'Model'!$CN59)</f>
        <v>-2800</v>
      </c>
      <c r="H55" s="70">
        <f>SUMPRODUCT(--(H$8&lt;=Model!$D$9:'Model'!$CN$9),--(H$9&gt;=Model!$D$9:'Model'!$CN$9),Model!$D59:'Model'!$CN59)</f>
        <v>-2800</v>
      </c>
      <c r="I55" s="70">
        <f>SUMPRODUCT(--(I$8&lt;=Model!$D$9:'Model'!$CN$9),--(I$9&gt;=Model!$D$9:'Model'!$CN$9),Model!$D59:'Model'!$CN59)</f>
        <v>-224486.81993136735</v>
      </c>
      <c r="J55" s="70">
        <f>SUMPRODUCT(--(J$8&lt;=Model!$D$9:'Model'!$CN$9),--(J$9&gt;=Model!$D$9:'Model'!$CN$9),Model!$D59:'Model'!$CN59)</f>
        <v>-405619.49213048443</v>
      </c>
      <c r="K55" s="70">
        <f>SUMPRODUCT(--(K$8&lt;=Model!$D$9:'Model'!$CN$9),--(K$9&gt;=Model!$D$9:'Model'!$CN$9),Model!$D59:'Model'!$CN59)</f>
        <v>-427378.36399942194</v>
      </c>
      <c r="L55" s="70">
        <f>SUMPRODUCT(--(L$8&lt;=Model!$D$9:'Model'!$CN$9),--(L$9&gt;=Model!$D$9:'Model'!$CN$9),Model!$D59:'Model'!$CN59)</f>
        <v>-424817.15836911905</v>
      </c>
      <c r="M55" s="70">
        <f>SUMPRODUCT(--(M$8&lt;=Model!$D$9:'Model'!$CN$9),--(M$9&gt;=Model!$D$9:'Model'!$CN$9),Model!$D59:'Model'!$CN59)</f>
        <v>-458055.94180891372</v>
      </c>
      <c r="N55" s="70">
        <f>SUMPRODUCT(--(N$8&lt;=Model!$D$9:'Model'!$CN$9),--(N$9&gt;=Model!$D$9:'Model'!$CN$9),Model!$D59:'Model'!$CN59)</f>
        <v>-465829.21103695501</v>
      </c>
      <c r="O55" s="70">
        <f>SUMPRODUCT(--(O$8&lt;=Model!$D$9:'Model'!$CN$9),--(O$9&gt;=Model!$D$9:'Model'!$CN$9),Model!$D59:'Model'!$CN59)</f>
        <v>-500701.03554311243</v>
      </c>
      <c r="P55" s="70">
        <f>SUMPRODUCT(--(P$8&lt;=Model!$D$9:'Model'!$CN$9),--(P$9&gt;=Model!$D$9:'Model'!$CN$9),Model!$D59:'Model'!$CN59)</f>
        <v>-501562.06378477195</v>
      </c>
      <c r="Q55" s="70">
        <f>SUMPRODUCT(--(Q$8&lt;=Model!$D$9:'Model'!$CN$9),--(Q$9&gt;=Model!$D$9:'Model'!$CN$9),Model!$D59:'Model'!$CN59)</f>
        <v>-547865.25104761031</v>
      </c>
      <c r="R55" s="70">
        <f>SUMPRODUCT(--(R$8&lt;=Model!$D$9:'Model'!$CN$9),--(R$9&gt;=Model!$D$9:'Model'!$CN$9),Model!$D59:'Model'!$CN59)</f>
        <v>-541230.97544255562</v>
      </c>
      <c r="S55" s="70">
        <f>SUMPRODUCT(--(S$8&lt;=Model!$D$9:'Model'!$CN$9),--(S$9&gt;=Model!$D$9:'Model'!$CN$9),Model!$D59:'Model'!$CN59)</f>
        <v>-539612.79104029667</v>
      </c>
      <c r="T55" s="70">
        <f>SUMPRODUCT(--(T$8&lt;=Model!$D$9:'Model'!$CN$9),--(T$9&gt;=Model!$D$9:'Model'!$CN$9),Model!$D59:'Model'!$CN59)</f>
        <v>-581584.4659551183</v>
      </c>
      <c r="U55" s="70">
        <f>SUMPRODUCT(--(U$8&lt;=Model!$D$9:'Model'!$CN$9),--(U$9&gt;=Model!$D$9:'Model'!$CN$9),Model!$D59:'Model'!$CN59)</f>
        <v>-592681.13548115757</v>
      </c>
      <c r="V55" s="70">
        <f>SUMPRODUCT(--(V$8&lt;=Model!$D$9:'Model'!$CN$9),--(V$9&gt;=Model!$D$9:'Model'!$CN$9),Model!$D59:'Model'!$CN59)</f>
        <v>-636798.67892353889</v>
      </c>
      <c r="W55" s="70">
        <f>SUMPRODUCT(--(W$8&lt;=Model!$D$9:'Model'!$CN$9),--(W$9&gt;=Model!$D$9:'Model'!$CN$9),Model!$D59:'Model'!$CN59)</f>
        <v>-639662.41807925829</v>
      </c>
      <c r="X55" s="70">
        <f>SUMPRODUCT(--(X$8&lt;=Model!$D$9:'Model'!$CN$9),--(X$9&gt;=Model!$D$9:'Model'!$CN$9),Model!$D59:'Model'!$CN59)</f>
        <v>-697852.24323604233</v>
      </c>
      <c r="Y55" s="70">
        <f>SUMPRODUCT(--(Y$8&lt;=Model!$D$9:'Model'!$CN$9),--(Y$9&gt;=Model!$D$9:'Model'!$CN$9),Model!$D59:'Model'!$CN59)</f>
        <v>-691791.65199995367</v>
      </c>
      <c r="Z55" s="70">
        <f>SUMPRODUCT(--(Z$8&lt;=Model!$D$9:'Model'!$CN$9),--(Z$9&gt;=Model!$D$9:'Model'!$CN$9),Model!$D59:'Model'!$CN59)</f>
        <v>-691928.32158273703</v>
      </c>
      <c r="AA55" s="70"/>
    </row>
    <row r="56" spans="1:27" ht="12.75" customHeight="1">
      <c r="A56" s="37"/>
      <c r="B56" s="75" t="s">
        <v>160</v>
      </c>
      <c r="C56" s="70">
        <f t="shared" si="9"/>
        <v>14545267.48172828</v>
      </c>
      <c r="D56" s="76">
        <f>Model!D60</f>
        <v>0</v>
      </c>
      <c r="E56" s="75">
        <f>SUMPRODUCT(--(E$8&lt;=Model!$D$9:'Model'!$CN$9),--(E$9&gt;=Model!$D$9:'Model'!$CN$9),Model!$D60:'Model'!$CN60)</f>
        <v>-700</v>
      </c>
      <c r="F56" s="75">
        <f>SUMPRODUCT(--(F$8&lt;=Model!$D$9:'Model'!$CN$9),--(F$9&gt;=Model!$D$9:'Model'!$CN$9),Model!$D60:'Model'!$CN60)</f>
        <v>-2800</v>
      </c>
      <c r="G56" s="75">
        <f>SUMPRODUCT(--(G$8&lt;=Model!$D$9:'Model'!$CN$9),--(G$9&gt;=Model!$D$9:'Model'!$CN$9),Model!$D60:'Model'!$CN60)</f>
        <v>-2800</v>
      </c>
      <c r="H56" s="75">
        <f>SUMPRODUCT(--(H$8&lt;=Model!$D$9:'Model'!$CN$9),--(H$9&gt;=Model!$D$9:'Model'!$CN$9),Model!$D60:'Model'!$CN60)</f>
        <v>-2800</v>
      </c>
      <c r="I56" s="75">
        <f>SUMPRODUCT(--(I$8&lt;=Model!$D$9:'Model'!$CN$9),--(I$9&gt;=Model!$D$9:'Model'!$CN$9),Model!$D60:'Model'!$CN60)</f>
        <v>387996.83697973558</v>
      </c>
      <c r="J56" s="75">
        <f>SUMPRODUCT(--(J$8&lt;=Model!$D$9:'Model'!$CN$9),--(J$9&gt;=Model!$D$9:'Model'!$CN$9),Model!$D60:'Model'!$CN60)</f>
        <v>645386.34532160172</v>
      </c>
      <c r="K56" s="75">
        <f>SUMPRODUCT(--(K$8&lt;=Model!$D$9:'Model'!$CN$9),--(K$9&gt;=Model!$D$9:'Model'!$CN$9),Model!$D60:'Model'!$CN60)</f>
        <v>705900.02035939775</v>
      </c>
      <c r="L56" s="75">
        <f>SUMPRODUCT(--(L$8&lt;=Model!$D$9:'Model'!$CN$9),--(L$9&gt;=Model!$D$9:'Model'!$CN$9),Model!$D60:'Model'!$CN60)</f>
        <v>650897.42469986342</v>
      </c>
      <c r="M56" s="75">
        <f>SUMPRODUCT(--(M$8&lt;=Model!$D$9:'Model'!$CN$9),--(M$9&gt;=Model!$D$9:'Model'!$CN$9),Model!$D60:'Model'!$CN60)</f>
        <v>750059.62473833701</v>
      </c>
      <c r="N56" s="75">
        <f>SUMPRODUCT(--(N$8&lt;=Model!$D$9:'Model'!$CN$9),--(N$9&gt;=Model!$D$9:'Model'!$CN$9),Model!$D60:'Model'!$CN60)</f>
        <v>723316.4756460744</v>
      </c>
      <c r="O56" s="75">
        <f>SUMPRODUCT(--(O$8&lt;=Model!$D$9:'Model'!$CN$9),--(O$9&gt;=Model!$D$9:'Model'!$CN$9),Model!$D60:'Model'!$CN60)</f>
        <v>825967.93508991634</v>
      </c>
      <c r="P56" s="75">
        <f>SUMPRODUCT(--(P$8&lt;=Model!$D$9:'Model'!$CN$9),--(P$9&gt;=Model!$D$9:'Model'!$CN$9),Model!$D60:'Model'!$CN60)</f>
        <v>776034.58944767108</v>
      </c>
      <c r="Q56" s="75">
        <f>SUMPRODUCT(--(Q$8&lt;=Model!$D$9:'Model'!$CN$9),--(Q$9&gt;=Model!$D$9:'Model'!$CN$9),Model!$D60:'Model'!$CN60)</f>
        <v>906292.47947045008</v>
      </c>
      <c r="R56" s="75">
        <f>SUMPRODUCT(--(R$8&lt;=Model!$D$9:'Model'!$CN$9),--(R$9&gt;=Model!$D$9:'Model'!$CN$9),Model!$D60:'Model'!$CN60)</f>
        <v>836275.9837354921</v>
      </c>
      <c r="S56" s="75">
        <f>SUMPRODUCT(--(S$8&lt;=Model!$D$9:'Model'!$CN$9),--(S$9&gt;=Model!$D$9:'Model'!$CN$9),Model!$D60:'Model'!$CN60)</f>
        <v>767925.00789619598</v>
      </c>
      <c r="T56" s="75">
        <f>SUMPRODUCT(--(T$8&lt;=Model!$D$9:'Model'!$CN$9),--(T$9&gt;=Model!$D$9:'Model'!$CN$9),Model!$D60:'Model'!$CN60)</f>
        <v>886887.55590535619</v>
      </c>
      <c r="U56" s="75">
        <f>SUMPRODUCT(--(U$8&lt;=Model!$D$9:'Model'!$CN$9),--(U$9&gt;=Model!$D$9:'Model'!$CN$9),Model!$D60:'Model'!$CN60)</f>
        <v>852732.87884260667</v>
      </c>
      <c r="V56" s="75">
        <f>SUMPRODUCT(--(V$8&lt;=Model!$D$9:'Model'!$CN$9),--(V$9&gt;=Model!$D$9:'Model'!$CN$9),Model!$D60:'Model'!$CN60)</f>
        <v>975775.74656197452</v>
      </c>
      <c r="W56" s="75">
        <f>SUMPRODUCT(--(W$8&lt;=Model!$D$9:'Model'!$CN$9),--(W$9&gt;=Model!$D$9:'Model'!$CN$9),Model!$D60:'Model'!$CN60)</f>
        <v>913264.2989038591</v>
      </c>
      <c r="X56" s="75">
        <f>SUMPRODUCT(--(X$8&lt;=Model!$D$9:'Model'!$CN$9),--(X$9&gt;=Model!$D$9:'Model'!$CN$9),Model!$D60:'Model'!$CN60)</f>
        <v>1069685.5666944762</v>
      </c>
      <c r="Y56" s="75">
        <f>SUMPRODUCT(--(Y$8&lt;=Model!$D$9:'Model'!$CN$9),--(Y$9&gt;=Model!$D$9:'Model'!$CN$9),Model!$D60:'Model'!$CN60)</f>
        <v>982576.66629945836</v>
      </c>
      <c r="Z56" s="75">
        <f>SUMPRODUCT(--(Z$8&lt;=Model!$D$9:'Model'!$CN$9),--(Z$9&gt;=Model!$D$9:'Model'!$CN$9),Model!$D60:'Model'!$CN60)</f>
        <v>897392.0451358133</v>
      </c>
      <c r="AA56" s="75"/>
    </row>
    <row r="57" spans="1:27" ht="12.75" customHeight="1">
      <c r="A57" s="35"/>
      <c r="B57" s="78" t="s">
        <v>161</v>
      </c>
      <c r="C57" s="78"/>
      <c r="D57" s="79">
        <f>Model!D61</f>
        <v>0</v>
      </c>
      <c r="E57" s="80">
        <f t="shared" ref="E57:Z57" si="10">IF(ISERROR(E56/E23),0,E56/E23)</f>
        <v>0</v>
      </c>
      <c r="F57" s="80">
        <f t="shared" si="10"/>
        <v>0</v>
      </c>
      <c r="G57" s="80">
        <f t="shared" si="10"/>
        <v>0</v>
      </c>
      <c r="H57" s="80">
        <f t="shared" si="10"/>
        <v>0</v>
      </c>
      <c r="I57" s="80">
        <f t="shared" si="10"/>
        <v>0.63348112656016586</v>
      </c>
      <c r="J57" s="80">
        <f t="shared" si="10"/>
        <v>0.61406542411428233</v>
      </c>
      <c r="K57" s="80">
        <f t="shared" si="10"/>
        <v>0.6228831592502122</v>
      </c>
      <c r="L57" s="80">
        <f t="shared" si="10"/>
        <v>0.60508376008334108</v>
      </c>
      <c r="M57" s="80">
        <f t="shared" si="10"/>
        <v>0.62085089002038063</v>
      </c>
      <c r="N57" s="80">
        <f t="shared" si="10"/>
        <v>0.60826565133804056</v>
      </c>
      <c r="O57" s="80">
        <f t="shared" si="10"/>
        <v>0.62258781457427192</v>
      </c>
      <c r="P57" s="80">
        <f t="shared" si="10"/>
        <v>0.60741751904580266</v>
      </c>
      <c r="Q57" s="80">
        <f t="shared" si="10"/>
        <v>0.62324221124731283</v>
      </c>
      <c r="R57" s="80">
        <f t="shared" si="10"/>
        <v>0.60709383583404486</v>
      </c>
      <c r="S57" s="80">
        <f t="shared" si="10"/>
        <v>0.58730616317233852</v>
      </c>
      <c r="T57" s="80">
        <f t="shared" si="10"/>
        <v>0.60395264104638346</v>
      </c>
      <c r="U57" s="80">
        <f t="shared" si="10"/>
        <v>0.58995752801079415</v>
      </c>
      <c r="V57" s="80">
        <f t="shared" si="10"/>
        <v>0.60510431713450274</v>
      </c>
      <c r="W57" s="80">
        <f t="shared" si="10"/>
        <v>0.58809233489012569</v>
      </c>
      <c r="X57" s="80">
        <f t="shared" si="10"/>
        <v>0.60518398004539731</v>
      </c>
      <c r="Y57" s="80">
        <f t="shared" si="10"/>
        <v>0.58683424403145745</v>
      </c>
      <c r="Z57" s="80">
        <f t="shared" si="10"/>
        <v>0.56463886320707457</v>
      </c>
      <c r="AA57" s="80"/>
    </row>
    <row r="58" spans="1:27" ht="12" customHeight="1" outlineLevel="2">
      <c r="A58" s="35"/>
      <c r="B58" s="63" t="s">
        <v>55</v>
      </c>
      <c r="C58" s="35">
        <f t="shared" ref="C58:C62" si="11">SUM(D58:AA58)</f>
        <v>-1518806.386363636</v>
      </c>
      <c r="D58" s="82">
        <f>Model!D62</f>
        <v>0</v>
      </c>
      <c r="E58" s="83">
        <f>SUMPRODUCT(--(E$8&lt;=Model!$D$9:'Model'!$CN$9),--(E$9&gt;=Model!$D$9:'Model'!$CN$9),Model!$D62:'Model'!$CN62)</f>
        <v>0</v>
      </c>
      <c r="F58" s="83">
        <f>SUMPRODUCT(--(F$8&lt;=Model!$D$9:'Model'!$CN$9),--(F$9&gt;=Model!$D$9:'Model'!$CN$9),Model!$D62:'Model'!$CN62)</f>
        <v>0</v>
      </c>
      <c r="G58" s="83">
        <f>SUMPRODUCT(--(G$8&lt;=Model!$D$9:'Model'!$CN$9),--(G$9&gt;=Model!$D$9:'Model'!$CN$9),Model!$D62:'Model'!$CN62)</f>
        <v>0</v>
      </c>
      <c r="H58" s="83">
        <f>SUMPRODUCT(--(H$8&lt;=Model!$D$9:'Model'!$CN$9),--(H$9&gt;=Model!$D$9:'Model'!$CN$9),Model!$D62:'Model'!$CN62)</f>
        <v>0</v>
      </c>
      <c r="I58" s="83">
        <f>SUMPRODUCT(--(I$8&lt;=Model!$D$9:'Model'!$CN$9),--(I$9&gt;=Model!$D$9:'Model'!$CN$9),Model!$D62:'Model'!$CN62)</f>
        <v>-43394.468181818178</v>
      </c>
      <c r="J58" s="83">
        <f>SUMPRODUCT(--(J$8&lt;=Model!$D$9:'Model'!$CN$9),--(J$9&gt;=Model!$D$9:'Model'!$CN$9),Model!$D62:'Model'!$CN62)</f>
        <v>-86788.936363636356</v>
      </c>
      <c r="K58" s="83">
        <f>SUMPRODUCT(--(K$8&lt;=Model!$D$9:'Model'!$CN$9),--(K$9&gt;=Model!$D$9:'Model'!$CN$9),Model!$D62:'Model'!$CN62)</f>
        <v>-86788.936363636356</v>
      </c>
      <c r="L58" s="83">
        <f>SUMPRODUCT(--(L$8&lt;=Model!$D$9:'Model'!$CN$9),--(L$9&gt;=Model!$D$9:'Model'!$CN$9),Model!$D62:'Model'!$CN62)</f>
        <v>-86788.936363636356</v>
      </c>
      <c r="M58" s="83">
        <f>SUMPRODUCT(--(M$8&lt;=Model!$D$9:'Model'!$CN$9),--(M$9&gt;=Model!$D$9:'Model'!$CN$9),Model!$D62:'Model'!$CN62)</f>
        <v>-86788.936363636356</v>
      </c>
      <c r="N58" s="83">
        <f>SUMPRODUCT(--(N$8&lt;=Model!$D$9:'Model'!$CN$9),--(N$9&gt;=Model!$D$9:'Model'!$CN$9),Model!$D62:'Model'!$CN62)</f>
        <v>-86788.936363636356</v>
      </c>
      <c r="O58" s="83">
        <f>SUMPRODUCT(--(O$8&lt;=Model!$D$9:'Model'!$CN$9),--(O$9&gt;=Model!$D$9:'Model'!$CN$9),Model!$D62:'Model'!$CN62)</f>
        <v>-86788.936363636356</v>
      </c>
      <c r="P58" s="83">
        <f>SUMPRODUCT(--(P$8&lt;=Model!$D$9:'Model'!$CN$9),--(P$9&gt;=Model!$D$9:'Model'!$CN$9),Model!$D62:'Model'!$CN62)</f>
        <v>-86788.936363636356</v>
      </c>
      <c r="Q58" s="83">
        <f>SUMPRODUCT(--(Q$8&lt;=Model!$D$9:'Model'!$CN$9),--(Q$9&gt;=Model!$D$9:'Model'!$CN$9),Model!$D62:'Model'!$CN62)</f>
        <v>-86788.936363636356</v>
      </c>
      <c r="R58" s="83">
        <f>SUMPRODUCT(--(R$8&lt;=Model!$D$9:'Model'!$CN$9),--(R$9&gt;=Model!$D$9:'Model'!$CN$9),Model!$D62:'Model'!$CN62)</f>
        <v>-86788.936363636356</v>
      </c>
      <c r="S58" s="83">
        <f>SUMPRODUCT(--(S$8&lt;=Model!$D$9:'Model'!$CN$9),--(S$9&gt;=Model!$D$9:'Model'!$CN$9),Model!$D62:'Model'!$CN62)</f>
        <v>-86788.936363636356</v>
      </c>
      <c r="T58" s="83">
        <f>SUMPRODUCT(--(T$8&lt;=Model!$D$9:'Model'!$CN$9),--(T$9&gt;=Model!$D$9:'Model'!$CN$9),Model!$D62:'Model'!$CN62)</f>
        <v>-86788.936363636356</v>
      </c>
      <c r="U58" s="83">
        <f>SUMPRODUCT(--(U$8&lt;=Model!$D$9:'Model'!$CN$9),--(U$9&gt;=Model!$D$9:'Model'!$CN$9),Model!$D62:'Model'!$CN62)</f>
        <v>-86788.936363636356</v>
      </c>
      <c r="V58" s="83">
        <f>SUMPRODUCT(--(V$8&lt;=Model!$D$9:'Model'!$CN$9),--(V$9&gt;=Model!$D$9:'Model'!$CN$9),Model!$D62:'Model'!$CN62)</f>
        <v>-86788.936363636356</v>
      </c>
      <c r="W58" s="83">
        <f>SUMPRODUCT(--(W$8&lt;=Model!$D$9:'Model'!$CN$9),--(W$9&gt;=Model!$D$9:'Model'!$CN$9),Model!$D62:'Model'!$CN62)</f>
        <v>-86788.936363636356</v>
      </c>
      <c r="X58" s="83">
        <f>SUMPRODUCT(--(X$8&lt;=Model!$D$9:'Model'!$CN$9),--(X$9&gt;=Model!$D$9:'Model'!$CN$9),Model!$D62:'Model'!$CN62)</f>
        <v>-86788.936363636356</v>
      </c>
      <c r="Y58" s="83">
        <f>SUMPRODUCT(--(Y$8&lt;=Model!$D$9:'Model'!$CN$9),--(Y$9&gt;=Model!$D$9:'Model'!$CN$9),Model!$D62:'Model'!$CN62)</f>
        <v>-86788.936363636356</v>
      </c>
      <c r="Z58" s="83">
        <f>SUMPRODUCT(--(Z$8&lt;=Model!$D$9:'Model'!$CN$9),--(Z$9&gt;=Model!$D$9:'Model'!$CN$9),Model!$D62:'Model'!$CN62)</f>
        <v>-86788.936363636356</v>
      </c>
      <c r="AA58" s="83"/>
    </row>
    <row r="59" spans="1:27" ht="12" customHeight="1" outlineLevel="2">
      <c r="A59" s="35"/>
      <c r="B59" s="63" t="s">
        <v>162</v>
      </c>
      <c r="C59" s="35">
        <f t="shared" si="11"/>
        <v>-1923705.6546557879</v>
      </c>
      <c r="D59" s="82">
        <f>Model!D63</f>
        <v>0</v>
      </c>
      <c r="E59" s="83">
        <f>SUMPRODUCT(--(E$8&lt;=Model!$D$9:'Model'!$CN$9),--(E$9&gt;=Model!$D$9:'Model'!$CN$9),Model!$D63:'Model'!$CN63)</f>
        <v>0</v>
      </c>
      <c r="F59" s="83">
        <f>SUMPRODUCT(--(F$8&lt;=Model!$D$9:'Model'!$CN$9),--(F$9&gt;=Model!$D$9:'Model'!$CN$9),Model!$D63:'Model'!$CN63)</f>
        <v>0</v>
      </c>
      <c r="G59" s="83">
        <f>SUMPRODUCT(--(G$8&lt;=Model!$D$9:'Model'!$CN$9),--(G$9&gt;=Model!$D$9:'Model'!$CN$9),Model!$D63:'Model'!$CN63)</f>
        <v>-23099.210273437493</v>
      </c>
      <c r="H59" s="83">
        <f>SUMPRODUCT(--(H$8&lt;=Model!$D$9:'Model'!$CN$9),--(H$9&gt;=Model!$D$9:'Model'!$CN$9),Model!$D63:'Model'!$CN63)</f>
        <v>-151258.47012499999</v>
      </c>
      <c r="I59" s="83">
        <f>SUMPRODUCT(--(I$8&lt;=Model!$D$9:'Model'!$CN$9),--(I$9&gt;=Model!$D$9:'Model'!$CN$9),Model!$D63:'Model'!$CN63)</f>
        <v>-265670.77045810071</v>
      </c>
      <c r="J59" s="83">
        <f>SUMPRODUCT(--(J$8&lt;=Model!$D$9:'Model'!$CN$9),--(J$9&gt;=Model!$D$9:'Model'!$CN$9),Model!$D63:'Model'!$CN63)</f>
        <v>-269377.11747710494</v>
      </c>
      <c r="K59" s="83">
        <f>SUMPRODUCT(--(K$8&lt;=Model!$D$9:'Model'!$CN$9),--(K$9&gt;=Model!$D$9:'Model'!$CN$9),Model!$D63:'Model'!$CN63)</f>
        <v>-250252.8147559549</v>
      </c>
      <c r="L59" s="83">
        <f>SUMPRODUCT(--(L$8&lt;=Model!$D$9:'Model'!$CN$9),--(L$9&gt;=Model!$D$9:'Model'!$CN$9),Model!$D63:'Model'!$CN63)</f>
        <v>-226011.83201343322</v>
      </c>
      <c r="M59" s="83">
        <f>SUMPRODUCT(--(M$8&lt;=Model!$D$9:'Model'!$CN$9),--(M$9&gt;=Model!$D$9:'Model'!$CN$9),Model!$D63:'Model'!$CN63)</f>
        <v>-202406.88927550407</v>
      </c>
      <c r="N59" s="83">
        <f>SUMPRODUCT(--(N$8&lt;=Model!$D$9:'Model'!$CN$9),--(N$9&gt;=Model!$D$9:'Model'!$CN$9),Model!$D63:'Model'!$CN63)</f>
        <v>-173730.38192477237</v>
      </c>
      <c r="O59" s="83">
        <f>SUMPRODUCT(--(O$8&lt;=Model!$D$9:'Model'!$CN$9),--(O$9&gt;=Model!$D$9:'Model'!$CN$9),Model!$D63:'Model'!$CN63)</f>
        <v>-143762.2842858138</v>
      </c>
      <c r="P59" s="83">
        <f>SUMPRODUCT(--(P$8&lt;=Model!$D$9:'Model'!$CN$9),--(P$9&gt;=Model!$D$9:'Model'!$CN$9),Model!$D63:'Model'!$CN63)</f>
        <v>-109759.4312087565</v>
      </c>
      <c r="Q59" s="83">
        <f>SUMPRODUCT(--(Q$8&lt;=Model!$D$9:'Model'!$CN$9),--(Q$9&gt;=Model!$D$9:'Model'!$CN$9),Model!$D63:'Model'!$CN63)</f>
        <v>-72554.697870852571</v>
      </c>
      <c r="R59" s="83">
        <f>SUMPRODUCT(--(R$8&lt;=Model!$D$9:'Model'!$CN$9),--(R$9&gt;=Model!$D$9:'Model'!$CN$9),Model!$D63:'Model'!$CN63)</f>
        <v>-34396.724367137365</v>
      </c>
      <c r="S59" s="83">
        <f>SUMPRODUCT(--(S$8&lt;=Model!$D$9:'Model'!$CN$9),--(S$9&gt;=Model!$D$9:'Model'!$CN$9),Model!$D63:'Model'!$CN63)</f>
        <v>-1425.0306199198976</v>
      </c>
      <c r="T59" s="83">
        <f>SUMPRODUCT(--(T$8&lt;=Model!$D$9:'Model'!$CN$9),--(T$9&gt;=Model!$D$9:'Model'!$CN$9),Model!$D63:'Model'!$CN63)</f>
        <v>0</v>
      </c>
      <c r="U59" s="83">
        <f>SUMPRODUCT(--(U$8&lt;=Model!$D$9:'Model'!$CN$9),--(U$9&gt;=Model!$D$9:'Model'!$CN$9),Model!$D63:'Model'!$CN63)</f>
        <v>0</v>
      </c>
      <c r="V59" s="83">
        <f>SUMPRODUCT(--(V$8&lt;=Model!$D$9:'Model'!$CN$9),--(V$9&gt;=Model!$D$9:'Model'!$CN$9),Model!$D63:'Model'!$CN63)</f>
        <v>0</v>
      </c>
      <c r="W59" s="83">
        <f>SUMPRODUCT(--(W$8&lt;=Model!$D$9:'Model'!$CN$9),--(W$9&gt;=Model!$D$9:'Model'!$CN$9),Model!$D63:'Model'!$CN63)</f>
        <v>0</v>
      </c>
      <c r="X59" s="83">
        <f>SUMPRODUCT(--(X$8&lt;=Model!$D$9:'Model'!$CN$9),--(X$9&gt;=Model!$D$9:'Model'!$CN$9),Model!$D63:'Model'!$CN63)</f>
        <v>0</v>
      </c>
      <c r="Y59" s="83">
        <f>SUMPRODUCT(--(Y$8&lt;=Model!$D$9:'Model'!$CN$9),--(Y$9&gt;=Model!$D$9:'Model'!$CN$9),Model!$D63:'Model'!$CN63)</f>
        <v>0</v>
      </c>
      <c r="Z59" s="83">
        <f>SUMPRODUCT(--(Z$8&lt;=Model!$D$9:'Model'!$CN$9),--(Z$9&gt;=Model!$D$9:'Model'!$CN$9),Model!$D63:'Model'!$CN63)</f>
        <v>0</v>
      </c>
      <c r="AA59" s="83"/>
    </row>
    <row r="60" spans="1:27" ht="12.75" customHeight="1">
      <c r="A60" s="37"/>
      <c r="B60" s="70" t="s">
        <v>163</v>
      </c>
      <c r="C60" s="70">
        <f t="shared" si="11"/>
        <v>11102755.440708855</v>
      </c>
      <c r="D60" s="71">
        <f>Model!D64</f>
        <v>0</v>
      </c>
      <c r="E60" s="70">
        <f>SUMPRODUCT(--(E$8&lt;=Model!$D$9:'Model'!$CN$9),--(E$9&gt;=Model!$D$9:'Model'!$CN$9),Model!$D64:'Model'!$CN64)</f>
        <v>-700</v>
      </c>
      <c r="F60" s="70">
        <f>SUMPRODUCT(--(F$8&lt;=Model!$D$9:'Model'!$CN$9),--(F$9&gt;=Model!$D$9:'Model'!$CN$9),Model!$D64:'Model'!$CN64)</f>
        <v>-2800</v>
      </c>
      <c r="G60" s="70">
        <f>SUMPRODUCT(--(G$8&lt;=Model!$D$9:'Model'!$CN$9),--(G$9&gt;=Model!$D$9:'Model'!$CN$9),Model!$D64:'Model'!$CN64)</f>
        <v>-25899.210273437493</v>
      </c>
      <c r="H60" s="70">
        <f>SUMPRODUCT(--(H$8&lt;=Model!$D$9:'Model'!$CN$9),--(H$9&gt;=Model!$D$9:'Model'!$CN$9),Model!$D64:'Model'!$CN64)</f>
        <v>-154058.47012499999</v>
      </c>
      <c r="I60" s="70">
        <f>SUMPRODUCT(--(I$8&lt;=Model!$D$9:'Model'!$CN$9),--(I$9&gt;=Model!$D$9:'Model'!$CN$9),Model!$D64:'Model'!$CN64)</f>
        <v>78931.598339816686</v>
      </c>
      <c r="J60" s="70">
        <f>SUMPRODUCT(--(J$8&lt;=Model!$D$9:'Model'!$CN$9),--(J$9&gt;=Model!$D$9:'Model'!$CN$9),Model!$D64:'Model'!$CN64)</f>
        <v>289220.2914808605</v>
      </c>
      <c r="K60" s="70">
        <f>SUMPRODUCT(--(K$8&lt;=Model!$D$9:'Model'!$CN$9),--(K$9&gt;=Model!$D$9:'Model'!$CN$9),Model!$D64:'Model'!$CN64)</f>
        <v>368858.26923980645</v>
      </c>
      <c r="L60" s="70">
        <f>SUMPRODUCT(--(L$8&lt;=Model!$D$9:'Model'!$CN$9),--(L$9&gt;=Model!$D$9:'Model'!$CN$9),Model!$D64:'Model'!$CN64)</f>
        <v>338096.65632279386</v>
      </c>
      <c r="M60" s="70">
        <f>SUMPRODUCT(--(M$8&lt;=Model!$D$9:'Model'!$CN$9),--(M$9&gt;=Model!$D$9:'Model'!$CN$9),Model!$D64:'Model'!$CN64)</f>
        <v>460863.79909919656</v>
      </c>
      <c r="N60" s="70">
        <f>SUMPRODUCT(--(N$8&lt;=Model!$D$9:'Model'!$CN$9),--(N$9&gt;=Model!$D$9:'Model'!$CN$9),Model!$D64:'Model'!$CN64)</f>
        <v>462797.15735766571</v>
      </c>
      <c r="O60" s="70">
        <f>SUMPRODUCT(--(O$8&lt;=Model!$D$9:'Model'!$CN$9),--(O$9&gt;=Model!$D$9:'Model'!$CN$9),Model!$D64:'Model'!$CN64)</f>
        <v>595416.71444046614</v>
      </c>
      <c r="P60" s="70">
        <f>SUMPRODUCT(--(P$8&lt;=Model!$D$9:'Model'!$CN$9),--(P$9&gt;=Model!$D$9:'Model'!$CN$9),Model!$D64:'Model'!$CN64)</f>
        <v>579486.22187527816</v>
      </c>
      <c r="Q60" s="70">
        <f>SUMPRODUCT(--(Q$8&lt;=Model!$D$9:'Model'!$CN$9),--(Q$9&gt;=Model!$D$9:'Model'!$CN$9),Model!$D64:'Model'!$CN64)</f>
        <v>746948.84523596114</v>
      </c>
      <c r="R60" s="70">
        <f>SUMPRODUCT(--(R$8&lt;=Model!$D$9:'Model'!$CN$9),--(R$9&gt;=Model!$D$9:'Model'!$CN$9),Model!$D64:'Model'!$CN64)</f>
        <v>715090.3230047184</v>
      </c>
      <c r="S60" s="70">
        <f>SUMPRODUCT(--(S$8&lt;=Model!$D$9:'Model'!$CN$9),--(S$9&gt;=Model!$D$9:'Model'!$CN$9),Model!$D64:'Model'!$CN64)</f>
        <v>679711.04091263958</v>
      </c>
      <c r="T60" s="70">
        <f>SUMPRODUCT(--(T$8&lt;=Model!$D$9:'Model'!$CN$9),--(T$9&gt;=Model!$D$9:'Model'!$CN$9),Model!$D64:'Model'!$CN64)</f>
        <v>800098.61954171979</v>
      </c>
      <c r="U60" s="70">
        <f>SUMPRODUCT(--(U$8&lt;=Model!$D$9:'Model'!$CN$9),--(U$9&gt;=Model!$D$9:'Model'!$CN$9),Model!$D64:'Model'!$CN64)</f>
        <v>765943.94247897028</v>
      </c>
      <c r="V60" s="70">
        <f>SUMPRODUCT(--(V$8&lt;=Model!$D$9:'Model'!$CN$9),--(V$9&gt;=Model!$D$9:'Model'!$CN$9),Model!$D64:'Model'!$CN64)</f>
        <v>888986.81019833812</v>
      </c>
      <c r="W60" s="70">
        <f>SUMPRODUCT(--(W$8&lt;=Model!$D$9:'Model'!$CN$9),--(W$9&gt;=Model!$D$9:'Model'!$CN$9),Model!$D64:'Model'!$CN64)</f>
        <v>826475.36254022282</v>
      </c>
      <c r="X60" s="70">
        <f>SUMPRODUCT(--(X$8&lt;=Model!$D$9:'Model'!$CN$9),--(X$9&gt;=Model!$D$9:'Model'!$CN$9),Model!$D64:'Model'!$CN64)</f>
        <v>982896.63033083989</v>
      </c>
      <c r="Y60" s="70">
        <f>SUMPRODUCT(--(Y$8&lt;=Model!$D$9:'Model'!$CN$9),--(Y$9&gt;=Model!$D$9:'Model'!$CN$9),Model!$D64:'Model'!$CN64)</f>
        <v>895787.72993582196</v>
      </c>
      <c r="Z60" s="70">
        <f>SUMPRODUCT(--(Z$8&lt;=Model!$D$9:'Model'!$CN$9),--(Z$9&gt;=Model!$D$9:'Model'!$CN$9),Model!$D64:'Model'!$CN64)</f>
        <v>810603.10877217713</v>
      </c>
      <c r="AA60" s="70"/>
    </row>
    <row r="61" spans="1:27" ht="12.75" customHeight="1">
      <c r="A61" s="35"/>
      <c r="B61" s="63" t="s">
        <v>164</v>
      </c>
      <c r="C61" s="74">
        <f t="shared" si="11"/>
        <v>-2074719.5892305851</v>
      </c>
      <c r="D61" s="60">
        <f>Model!D65</f>
        <v>0</v>
      </c>
      <c r="E61" s="35">
        <f>SUMPRODUCT(--(E$8&lt;=Model!$D$9:'Model'!$CN$9),--(E$9&gt;=Model!$D$9:'Model'!$CN$9),Model!$D65:'Model'!$CN65)</f>
        <v>0</v>
      </c>
      <c r="F61" s="35">
        <f>SUMPRODUCT(--(F$8&lt;=Model!$D$9:'Model'!$CN$9),--(F$9&gt;=Model!$D$9:'Model'!$CN$9),Model!$D65:'Model'!$CN65)</f>
        <v>0</v>
      </c>
      <c r="G61" s="35">
        <f>SUMPRODUCT(--(G$8&lt;=Model!$D$9:'Model'!$CN$9),--(G$9&gt;=Model!$D$9:'Model'!$CN$9),Model!$D65:'Model'!$CN65)</f>
        <v>0</v>
      </c>
      <c r="H61" s="35">
        <f>SUMPRODUCT(--(H$8&lt;=Model!$D$9:'Model'!$CN$9),--(H$9&gt;=Model!$D$9:'Model'!$CN$9),Model!$D65:'Model'!$CN65)</f>
        <v>0</v>
      </c>
      <c r="I61" s="35">
        <f>SUMPRODUCT(--(I$8&lt;=Model!$D$9:'Model'!$CN$9),--(I$9&gt;=Model!$D$9:'Model'!$CN$9),Model!$D65:'Model'!$CN65)</f>
        <v>0</v>
      </c>
      <c r="J61" s="35">
        <f>SUMPRODUCT(--(J$8&lt;=Model!$D$9:'Model'!$CN$9),--(J$9&gt;=Model!$D$9:'Model'!$CN$9),Model!$D65:'Model'!$CN65)</f>
        <v>-28627.602460447153</v>
      </c>
      <c r="K61" s="35">
        <f>SUMPRODUCT(--(K$8&lt;=Model!$D$9:'Model'!$CN$9),--(K$9&gt;=Model!$D$9:'Model'!$CN$9),Model!$D65:'Model'!$CN65)</f>
        <v>-57173.031732170006</v>
      </c>
      <c r="L61" s="35">
        <f>SUMPRODUCT(--(L$8&lt;=Model!$D$9:'Model'!$CN$9),--(L$9&gt;=Model!$D$9:'Model'!$CN$9),Model!$D65:'Model'!$CN65)</f>
        <v>-52404.98173003304</v>
      </c>
      <c r="M61" s="35">
        <f>SUMPRODUCT(--(M$8&lt;=Model!$D$9:'Model'!$CN$9),--(M$9&gt;=Model!$D$9:'Model'!$CN$9),Model!$D65:'Model'!$CN65)</f>
        <v>-71433.888860375475</v>
      </c>
      <c r="N61" s="35">
        <f>SUMPRODUCT(--(N$8&lt;=Model!$D$9:'Model'!$CN$9),--(N$9&gt;=Model!$D$9:'Model'!$CN$9),Model!$D65:'Model'!$CN65)</f>
        <v>-71733.559390438168</v>
      </c>
      <c r="O61" s="35">
        <f>SUMPRODUCT(--(O$8&lt;=Model!$D$9:'Model'!$CN$9),--(O$9&gt;=Model!$D$9:'Model'!$CN$9),Model!$D65:'Model'!$CN65)</f>
        <v>-92289.590738272251</v>
      </c>
      <c r="P61" s="35">
        <f>SUMPRODUCT(--(P$8&lt;=Model!$D$9:'Model'!$CN$9),--(P$9&gt;=Model!$D$9:'Model'!$CN$9),Model!$D65:'Model'!$CN65)</f>
        <v>-89820.364390668125</v>
      </c>
      <c r="Q61" s="35">
        <f>SUMPRODUCT(--(Q$8&lt;=Model!$D$9:'Model'!$CN$9),--(Q$9&gt;=Model!$D$9:'Model'!$CN$9),Model!$D65:'Model'!$CN65)</f>
        <v>-138117.85638509144</v>
      </c>
      <c r="R61" s="35">
        <f>SUMPRODUCT(--(R$8&lt;=Model!$D$9:'Model'!$CN$9),--(R$9&gt;=Model!$D$9:'Model'!$CN$9),Model!$D65:'Model'!$CN65)</f>
        <v>-143018.0646009437</v>
      </c>
      <c r="S61" s="35">
        <f>SUMPRODUCT(--(S$8&lt;=Model!$D$9:'Model'!$CN$9),--(S$9&gt;=Model!$D$9:'Model'!$CN$9),Model!$D65:'Model'!$CN65)</f>
        <v>-135942.20818252795</v>
      </c>
      <c r="T61" s="35">
        <f>SUMPRODUCT(--(T$8&lt;=Model!$D$9:'Model'!$CN$9),--(T$9&gt;=Model!$D$9:'Model'!$CN$9),Model!$D65:'Model'!$CN65)</f>
        <v>-160019.72390834393</v>
      </c>
      <c r="U61" s="35">
        <f>SUMPRODUCT(--(U$8&lt;=Model!$D$9:'Model'!$CN$9),--(U$9&gt;=Model!$D$9:'Model'!$CN$9),Model!$D65:'Model'!$CN65)</f>
        <v>-153188.78849579408</v>
      </c>
      <c r="V61" s="35">
        <f>SUMPRODUCT(--(V$8&lt;=Model!$D$9:'Model'!$CN$9),--(V$9&gt;=Model!$D$9:'Model'!$CN$9),Model!$D65:'Model'!$CN65)</f>
        <v>-177797.36203966764</v>
      </c>
      <c r="W61" s="35">
        <f>SUMPRODUCT(--(W$8&lt;=Model!$D$9:'Model'!$CN$9),--(W$9&gt;=Model!$D$9:'Model'!$CN$9),Model!$D65:'Model'!$CN65)</f>
        <v>-165295.0725080446</v>
      </c>
      <c r="X61" s="35">
        <f>SUMPRODUCT(--(X$8&lt;=Model!$D$9:'Model'!$CN$9),--(X$9&gt;=Model!$D$9:'Model'!$CN$9),Model!$D65:'Model'!$CN65)</f>
        <v>-196579.326066168</v>
      </c>
      <c r="Y61" s="35">
        <f>SUMPRODUCT(--(Y$8&lt;=Model!$D$9:'Model'!$CN$9),--(Y$9&gt;=Model!$D$9:'Model'!$CN$9),Model!$D65:'Model'!$CN65)</f>
        <v>-179157.54598716443</v>
      </c>
      <c r="Z61" s="35">
        <f>SUMPRODUCT(--(Z$8&lt;=Model!$D$9:'Model'!$CN$9),--(Z$9&gt;=Model!$D$9:'Model'!$CN$9),Model!$D65:'Model'!$CN65)</f>
        <v>-162120.62175443541</v>
      </c>
      <c r="AA61" s="35"/>
    </row>
    <row r="62" spans="1:27" ht="12.75" customHeight="1">
      <c r="A62" s="37"/>
      <c r="B62" s="70" t="s">
        <v>165</v>
      </c>
      <c r="C62" s="70">
        <f t="shared" si="11"/>
        <v>9028035.8514782712</v>
      </c>
      <c r="D62" s="71">
        <f>Model!D66</f>
        <v>0</v>
      </c>
      <c r="E62" s="70">
        <f>SUMPRODUCT(--(E$8&lt;=Model!$D$9:'Model'!$CN$9),--(E$9&gt;=Model!$D$9:'Model'!$CN$9),Model!$D66:'Model'!$CN66)</f>
        <v>-700</v>
      </c>
      <c r="F62" s="70">
        <f>SUMPRODUCT(--(F$8&lt;=Model!$D$9:'Model'!$CN$9),--(F$9&gt;=Model!$D$9:'Model'!$CN$9),Model!$D66:'Model'!$CN66)</f>
        <v>-2800</v>
      </c>
      <c r="G62" s="70">
        <f>SUMPRODUCT(--(G$8&lt;=Model!$D$9:'Model'!$CN$9),--(G$9&gt;=Model!$D$9:'Model'!$CN$9),Model!$D66:'Model'!$CN66)</f>
        <v>-25899.210273437493</v>
      </c>
      <c r="H62" s="70">
        <f>SUMPRODUCT(--(H$8&lt;=Model!$D$9:'Model'!$CN$9),--(H$9&gt;=Model!$D$9:'Model'!$CN$9),Model!$D66:'Model'!$CN66)</f>
        <v>-154058.47012499999</v>
      </c>
      <c r="I62" s="70">
        <f>SUMPRODUCT(--(I$8&lt;=Model!$D$9:'Model'!$CN$9),--(I$9&gt;=Model!$D$9:'Model'!$CN$9),Model!$D66:'Model'!$CN66)</f>
        <v>78931.598339816686</v>
      </c>
      <c r="J62" s="70">
        <f>SUMPRODUCT(--(J$8&lt;=Model!$D$9:'Model'!$CN$9),--(J$9&gt;=Model!$D$9:'Model'!$CN$9),Model!$D66:'Model'!$CN66)</f>
        <v>260592.68902041335</v>
      </c>
      <c r="K62" s="70">
        <f>SUMPRODUCT(--(K$8&lt;=Model!$D$9:'Model'!$CN$9),--(K$9&gt;=Model!$D$9:'Model'!$CN$9),Model!$D66:'Model'!$CN66)</f>
        <v>311685.23750763648</v>
      </c>
      <c r="L62" s="70">
        <f>SUMPRODUCT(--(L$8&lt;=Model!$D$9:'Model'!$CN$9),--(L$9&gt;=Model!$D$9:'Model'!$CN$9),Model!$D66:'Model'!$CN66)</f>
        <v>285691.67459276074</v>
      </c>
      <c r="M62" s="70">
        <f>SUMPRODUCT(--(M$8&lt;=Model!$D$9:'Model'!$CN$9),--(M$9&gt;=Model!$D$9:'Model'!$CN$9),Model!$D66:'Model'!$CN66)</f>
        <v>389429.91023882118</v>
      </c>
      <c r="N62" s="70">
        <f>SUMPRODUCT(--(N$8&lt;=Model!$D$9:'Model'!$CN$9),--(N$9&gt;=Model!$D$9:'Model'!$CN$9),Model!$D66:'Model'!$CN66)</f>
        <v>391063.59796722751</v>
      </c>
      <c r="O62" s="70">
        <f>SUMPRODUCT(--(O$8&lt;=Model!$D$9:'Model'!$CN$9),--(O$9&gt;=Model!$D$9:'Model'!$CN$9),Model!$D66:'Model'!$CN66)</f>
        <v>503127.12370219384</v>
      </c>
      <c r="P62" s="70">
        <f>SUMPRODUCT(--(P$8&lt;=Model!$D$9:'Model'!$CN$9),--(P$9&gt;=Model!$D$9:'Model'!$CN$9),Model!$D66:'Model'!$CN66)</f>
        <v>489665.85748461005</v>
      </c>
      <c r="Q62" s="70">
        <f>SUMPRODUCT(--(Q$8&lt;=Model!$D$9:'Model'!$CN$9),--(Q$9&gt;=Model!$D$9:'Model'!$CN$9),Model!$D66:'Model'!$CN66)</f>
        <v>608830.9888508697</v>
      </c>
      <c r="R62" s="70">
        <f>SUMPRODUCT(--(R$8&lt;=Model!$D$9:'Model'!$CN$9),--(R$9&gt;=Model!$D$9:'Model'!$CN$9),Model!$D66:'Model'!$CN66)</f>
        <v>572072.2584037747</v>
      </c>
      <c r="S62" s="70">
        <f>SUMPRODUCT(--(S$8&lt;=Model!$D$9:'Model'!$CN$9),--(S$9&gt;=Model!$D$9:'Model'!$CN$9),Model!$D66:'Model'!$CN66)</f>
        <v>543768.83273011178</v>
      </c>
      <c r="T62" s="70">
        <f>SUMPRODUCT(--(T$8&lt;=Model!$D$9:'Model'!$CN$9),--(T$9&gt;=Model!$D$9:'Model'!$CN$9),Model!$D66:'Model'!$CN66)</f>
        <v>640078.89563337574</v>
      </c>
      <c r="U62" s="70">
        <f>SUMPRODUCT(--(U$8&lt;=Model!$D$9:'Model'!$CN$9),--(U$9&gt;=Model!$D$9:'Model'!$CN$9),Model!$D66:'Model'!$CN66)</f>
        <v>612755.15398317634</v>
      </c>
      <c r="V62" s="70">
        <f>SUMPRODUCT(--(V$8&lt;=Model!$D$9:'Model'!$CN$9),--(V$9&gt;=Model!$D$9:'Model'!$CN$9),Model!$D66:'Model'!$CN66)</f>
        <v>711189.44815867045</v>
      </c>
      <c r="W62" s="70">
        <f>SUMPRODUCT(--(W$8&lt;=Model!$D$9:'Model'!$CN$9),--(W$9&gt;=Model!$D$9:'Model'!$CN$9),Model!$D66:'Model'!$CN66)</f>
        <v>661180.29003217816</v>
      </c>
      <c r="X62" s="70">
        <f>SUMPRODUCT(--(X$8&lt;=Model!$D$9:'Model'!$CN$9),--(X$9&gt;=Model!$D$9:'Model'!$CN$9),Model!$D66:'Model'!$CN66)</f>
        <v>786317.30426467187</v>
      </c>
      <c r="Y62" s="70">
        <f>SUMPRODUCT(--(Y$8&lt;=Model!$D$9:'Model'!$CN$9),--(Y$9&gt;=Model!$D$9:'Model'!$CN$9),Model!$D66:'Model'!$CN66)</f>
        <v>716630.18394865759</v>
      </c>
      <c r="Z62" s="70">
        <f>SUMPRODUCT(--(Z$8&lt;=Model!$D$9:'Model'!$CN$9),--(Z$9&gt;=Model!$D$9:'Model'!$CN$9),Model!$D66:'Model'!$CN66)</f>
        <v>648482.48701774154</v>
      </c>
      <c r="AA62" s="70"/>
    </row>
    <row r="63" spans="1:27" ht="12.75" customHeight="1">
      <c r="A63" s="35"/>
      <c r="B63" s="35"/>
      <c r="C63" s="35"/>
      <c r="D63" s="60">
        <f>Model!D67</f>
        <v>0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</row>
    <row r="64" spans="1:27" ht="12.75" customHeight="1">
      <c r="A64" s="35"/>
      <c r="B64" s="35"/>
      <c r="C64" s="35"/>
      <c r="D64" s="60">
        <f>Model!D68</f>
        <v>0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</row>
    <row r="65" spans="1:27" ht="12.75" customHeight="1">
      <c r="A65" s="35"/>
      <c r="B65" s="67" t="s">
        <v>166</v>
      </c>
      <c r="C65" s="68"/>
      <c r="D65" s="61" t="str">
        <f>Model!D69</f>
        <v>0 период</v>
      </c>
      <c r="E65" s="62">
        <f>E6</f>
        <v>2023</v>
      </c>
      <c r="F65" s="62">
        <f t="shared" ref="F65:Z65" si="12">E65+1</f>
        <v>2024</v>
      </c>
      <c r="G65" s="62">
        <f t="shared" si="12"/>
        <v>2025</v>
      </c>
      <c r="H65" s="62">
        <f t="shared" si="12"/>
        <v>2026</v>
      </c>
      <c r="I65" s="62">
        <f t="shared" si="12"/>
        <v>2027</v>
      </c>
      <c r="J65" s="62">
        <f t="shared" si="12"/>
        <v>2028</v>
      </c>
      <c r="K65" s="62">
        <f t="shared" si="12"/>
        <v>2029</v>
      </c>
      <c r="L65" s="62">
        <f t="shared" si="12"/>
        <v>2030</v>
      </c>
      <c r="M65" s="62">
        <f t="shared" si="12"/>
        <v>2031</v>
      </c>
      <c r="N65" s="62">
        <f t="shared" si="12"/>
        <v>2032</v>
      </c>
      <c r="O65" s="62">
        <f t="shared" si="12"/>
        <v>2033</v>
      </c>
      <c r="P65" s="62">
        <f t="shared" si="12"/>
        <v>2034</v>
      </c>
      <c r="Q65" s="62">
        <f t="shared" si="12"/>
        <v>2035</v>
      </c>
      <c r="R65" s="62">
        <f t="shared" si="12"/>
        <v>2036</v>
      </c>
      <c r="S65" s="62">
        <f t="shared" si="12"/>
        <v>2037</v>
      </c>
      <c r="T65" s="62">
        <f t="shared" si="12"/>
        <v>2038</v>
      </c>
      <c r="U65" s="62">
        <f t="shared" si="12"/>
        <v>2039</v>
      </c>
      <c r="V65" s="62">
        <f t="shared" si="12"/>
        <v>2040</v>
      </c>
      <c r="W65" s="62">
        <f t="shared" si="12"/>
        <v>2041</v>
      </c>
      <c r="X65" s="62">
        <f t="shared" si="12"/>
        <v>2042</v>
      </c>
      <c r="Y65" s="62">
        <f t="shared" si="12"/>
        <v>2043</v>
      </c>
      <c r="Z65" s="62">
        <f t="shared" si="12"/>
        <v>2044</v>
      </c>
      <c r="AA65" s="62"/>
    </row>
    <row r="66" spans="1:27" ht="12.75" customHeight="1">
      <c r="A66" s="35"/>
      <c r="B66" s="37" t="s">
        <v>167</v>
      </c>
      <c r="C66" s="35"/>
      <c r="D66" s="46">
        <f>Model!D70</f>
        <v>0</v>
      </c>
      <c r="E66" s="47">
        <f>SUMPRODUCT(--(E$8&lt;=Model!$D$9:'Model'!$CN$9),--(E$9&gt;=Model!$D$9:'Model'!$CN$9),Model!$D70:'Model'!$CN70)</f>
        <v>0</v>
      </c>
      <c r="F66" s="47">
        <f>SUMPRODUCT(--(F$8&lt;=Model!$D$9:'Model'!$CN$9),--(F$9&gt;=Model!$D$9:'Model'!$CN$9),Model!$D70:'Model'!$CN70)</f>
        <v>0</v>
      </c>
      <c r="G66" s="47">
        <f>SUMPRODUCT(--(G$8&lt;=Model!$D$9:'Model'!$CN$9),--(G$9&gt;=Model!$D$9:'Model'!$CN$9),Model!$D70:'Model'!$CN70)</f>
        <v>0</v>
      </c>
      <c r="H66" s="47">
        <f>SUMPRODUCT(--(H$8&lt;=Model!$D$9:'Model'!$CN$9),--(H$9&gt;=Model!$D$9:'Model'!$CN$9),Model!$D70:'Model'!$CN70)</f>
        <v>0</v>
      </c>
      <c r="I66" s="47">
        <f>SUMPRODUCT(--(I$8&lt;=Model!$D$9:'Model'!$CN$9),--(I$9&gt;=Model!$D$9:'Model'!$CN$9),Model!$D70:'Model'!$CN70)</f>
        <v>0</v>
      </c>
      <c r="J66" s="47">
        <f>SUMPRODUCT(--(J$8&lt;=Model!$D$9:'Model'!$CN$9),--(J$9&gt;=Model!$D$9:'Model'!$CN$9),Model!$D70:'Model'!$CN70)</f>
        <v>0</v>
      </c>
      <c r="K66" s="47">
        <f>SUMPRODUCT(--(K$8&lt;=Model!$D$9:'Model'!$CN$9),--(K$9&gt;=Model!$D$9:'Model'!$CN$9),Model!$D70:'Model'!$CN70)</f>
        <v>0</v>
      </c>
      <c r="L66" s="47">
        <f>SUMPRODUCT(--(L$8&lt;=Model!$D$9:'Model'!$CN$9),--(L$9&gt;=Model!$D$9:'Model'!$CN$9),Model!$D70:'Model'!$CN70)</f>
        <v>0</v>
      </c>
      <c r="M66" s="47">
        <f>SUMPRODUCT(--(M$8&lt;=Model!$D$9:'Model'!$CN$9),--(M$9&gt;=Model!$D$9:'Model'!$CN$9),Model!$D70:'Model'!$CN70)</f>
        <v>0</v>
      </c>
      <c r="N66" s="47">
        <f>SUMPRODUCT(--(N$8&lt;=Model!$D$9:'Model'!$CN$9),--(N$9&gt;=Model!$D$9:'Model'!$CN$9),Model!$D70:'Model'!$CN70)</f>
        <v>0</v>
      </c>
      <c r="O66" s="47">
        <f>SUMPRODUCT(--(O$8&lt;=Model!$D$9:'Model'!$CN$9),--(O$9&gt;=Model!$D$9:'Model'!$CN$9),Model!$D70:'Model'!$CN70)</f>
        <v>0</v>
      </c>
      <c r="P66" s="47">
        <f>SUMPRODUCT(--(P$8&lt;=Model!$D$9:'Model'!$CN$9),--(P$9&gt;=Model!$D$9:'Model'!$CN$9),Model!$D70:'Model'!$CN70)</f>
        <v>0</v>
      </c>
      <c r="Q66" s="47">
        <f>SUMPRODUCT(--(Q$8&lt;=Model!$D$9:'Model'!$CN$9),--(Q$9&gt;=Model!$D$9:'Model'!$CN$9),Model!$D70:'Model'!$CN70)</f>
        <v>0</v>
      </c>
      <c r="R66" s="47">
        <f>SUMPRODUCT(--(R$8&lt;=Model!$D$9:'Model'!$CN$9),--(R$9&gt;=Model!$D$9:'Model'!$CN$9),Model!$D70:'Model'!$CN70)</f>
        <v>0</v>
      </c>
      <c r="S66" s="47">
        <f>SUMPRODUCT(--(S$8&lt;=Model!$D$9:'Model'!$CN$9),--(S$9&gt;=Model!$D$9:'Model'!$CN$9),Model!$D70:'Model'!$CN70)</f>
        <v>0</v>
      </c>
      <c r="T66" s="47">
        <f>SUMPRODUCT(--(T$8&lt;=Model!$D$9:'Model'!$CN$9),--(T$9&gt;=Model!$D$9:'Model'!$CN$9),Model!$D70:'Model'!$CN70)</f>
        <v>0</v>
      </c>
      <c r="U66" s="47">
        <f>SUMPRODUCT(--(U$8&lt;=Model!$D$9:'Model'!$CN$9),--(U$9&gt;=Model!$D$9:'Model'!$CN$9),Model!$D70:'Model'!$CN70)</f>
        <v>0</v>
      </c>
      <c r="V66" s="47">
        <f>SUMPRODUCT(--(V$8&lt;=Model!$D$9:'Model'!$CN$9),--(V$9&gt;=Model!$D$9:'Model'!$CN$9),Model!$D70:'Model'!$CN70)</f>
        <v>0</v>
      </c>
      <c r="W66" s="47">
        <f>SUMPRODUCT(--(W$8&lt;=Model!$D$9:'Model'!$CN$9),--(W$9&gt;=Model!$D$9:'Model'!$CN$9),Model!$D70:'Model'!$CN70)</f>
        <v>0</v>
      </c>
      <c r="X66" s="47">
        <f>SUMPRODUCT(--(X$8&lt;=Model!$D$9:'Model'!$CN$9),--(X$9&gt;=Model!$D$9:'Model'!$CN$9),Model!$D70:'Model'!$CN70)</f>
        <v>0</v>
      </c>
      <c r="Y66" s="47">
        <f>SUMPRODUCT(--(Y$8&lt;=Model!$D$9:'Model'!$CN$9),--(Y$9&gt;=Model!$D$9:'Model'!$CN$9),Model!$D70:'Model'!$CN70)</f>
        <v>0</v>
      </c>
      <c r="Z66" s="47">
        <f>SUMPRODUCT(--(Z$8&lt;=Model!$D$9:'Model'!$CN$9),--(Z$9&gt;=Model!$D$9:'Model'!$CN$9),Model!$D70:'Model'!$CN70)</f>
        <v>0</v>
      </c>
      <c r="AA66" s="47"/>
    </row>
    <row r="67" spans="1:27" ht="12.75" customHeight="1">
      <c r="A67" s="35"/>
      <c r="B67" s="63" t="s">
        <v>160</v>
      </c>
      <c r="C67" s="35">
        <f t="shared" ref="C67:C76" si="13">SUM(D67:AA67)</f>
        <v>14545267.48172828</v>
      </c>
      <c r="D67" s="60">
        <f>Model!D71</f>
        <v>0</v>
      </c>
      <c r="E67" s="35">
        <f>SUMPRODUCT(--(E$8&lt;=Model!$D$9:'Model'!$CN$9),--(E$9&gt;=Model!$D$9:'Model'!$CN$9),Model!$D71:'Model'!$CN71)</f>
        <v>-700</v>
      </c>
      <c r="F67" s="35">
        <f>SUMPRODUCT(--(F$8&lt;=Model!$D$9:'Model'!$CN$9),--(F$9&gt;=Model!$D$9:'Model'!$CN$9),Model!$D71:'Model'!$CN71)</f>
        <v>-2800</v>
      </c>
      <c r="G67" s="35">
        <f>SUMPRODUCT(--(G$8&lt;=Model!$D$9:'Model'!$CN$9),--(G$9&gt;=Model!$D$9:'Model'!$CN$9),Model!$D71:'Model'!$CN71)</f>
        <v>-2800</v>
      </c>
      <c r="H67" s="35">
        <f>SUMPRODUCT(--(H$8&lt;=Model!$D$9:'Model'!$CN$9),--(H$9&gt;=Model!$D$9:'Model'!$CN$9),Model!$D71:'Model'!$CN71)</f>
        <v>-2800</v>
      </c>
      <c r="I67" s="35">
        <f>SUMPRODUCT(--(I$8&lt;=Model!$D$9:'Model'!$CN$9),--(I$9&gt;=Model!$D$9:'Model'!$CN$9),Model!$D71:'Model'!$CN71)</f>
        <v>387996.83697973558</v>
      </c>
      <c r="J67" s="35">
        <f>SUMPRODUCT(--(J$8&lt;=Model!$D$9:'Model'!$CN$9),--(J$9&gt;=Model!$D$9:'Model'!$CN$9),Model!$D71:'Model'!$CN71)</f>
        <v>645386.34532160172</v>
      </c>
      <c r="K67" s="35">
        <f>SUMPRODUCT(--(K$8&lt;=Model!$D$9:'Model'!$CN$9),--(K$9&gt;=Model!$D$9:'Model'!$CN$9),Model!$D71:'Model'!$CN71)</f>
        <v>705900.02035939775</v>
      </c>
      <c r="L67" s="35">
        <f>SUMPRODUCT(--(L$8&lt;=Model!$D$9:'Model'!$CN$9),--(L$9&gt;=Model!$D$9:'Model'!$CN$9),Model!$D71:'Model'!$CN71)</f>
        <v>650897.42469986342</v>
      </c>
      <c r="M67" s="35">
        <f>SUMPRODUCT(--(M$8&lt;=Model!$D$9:'Model'!$CN$9),--(M$9&gt;=Model!$D$9:'Model'!$CN$9),Model!$D71:'Model'!$CN71)</f>
        <v>750059.62473833701</v>
      </c>
      <c r="N67" s="35">
        <f>SUMPRODUCT(--(N$8&lt;=Model!$D$9:'Model'!$CN$9),--(N$9&gt;=Model!$D$9:'Model'!$CN$9),Model!$D71:'Model'!$CN71)</f>
        <v>723316.4756460744</v>
      </c>
      <c r="O67" s="35">
        <f>SUMPRODUCT(--(O$8&lt;=Model!$D$9:'Model'!$CN$9),--(O$9&gt;=Model!$D$9:'Model'!$CN$9),Model!$D71:'Model'!$CN71)</f>
        <v>825967.93508991634</v>
      </c>
      <c r="P67" s="35">
        <f>SUMPRODUCT(--(P$8&lt;=Model!$D$9:'Model'!$CN$9),--(P$9&gt;=Model!$D$9:'Model'!$CN$9),Model!$D71:'Model'!$CN71)</f>
        <v>776034.58944767108</v>
      </c>
      <c r="Q67" s="35">
        <f>SUMPRODUCT(--(Q$8&lt;=Model!$D$9:'Model'!$CN$9),--(Q$9&gt;=Model!$D$9:'Model'!$CN$9),Model!$D71:'Model'!$CN71)</f>
        <v>906292.47947045008</v>
      </c>
      <c r="R67" s="35">
        <f>SUMPRODUCT(--(R$8&lt;=Model!$D$9:'Model'!$CN$9),--(R$9&gt;=Model!$D$9:'Model'!$CN$9),Model!$D71:'Model'!$CN71)</f>
        <v>836275.9837354921</v>
      </c>
      <c r="S67" s="35">
        <f>SUMPRODUCT(--(S$8&lt;=Model!$D$9:'Model'!$CN$9),--(S$9&gt;=Model!$D$9:'Model'!$CN$9),Model!$D71:'Model'!$CN71)</f>
        <v>767925.00789619598</v>
      </c>
      <c r="T67" s="35">
        <f>SUMPRODUCT(--(T$8&lt;=Model!$D$9:'Model'!$CN$9),--(T$9&gt;=Model!$D$9:'Model'!$CN$9),Model!$D71:'Model'!$CN71)</f>
        <v>886887.55590535619</v>
      </c>
      <c r="U67" s="35">
        <f>SUMPRODUCT(--(U$8&lt;=Model!$D$9:'Model'!$CN$9),--(U$9&gt;=Model!$D$9:'Model'!$CN$9),Model!$D71:'Model'!$CN71)</f>
        <v>852732.87884260667</v>
      </c>
      <c r="V67" s="35">
        <f>SUMPRODUCT(--(V$8&lt;=Model!$D$9:'Model'!$CN$9),--(V$9&gt;=Model!$D$9:'Model'!$CN$9),Model!$D71:'Model'!$CN71)</f>
        <v>975775.74656197452</v>
      </c>
      <c r="W67" s="35">
        <f>SUMPRODUCT(--(W$8&lt;=Model!$D$9:'Model'!$CN$9),--(W$9&gt;=Model!$D$9:'Model'!$CN$9),Model!$D71:'Model'!$CN71)</f>
        <v>913264.2989038591</v>
      </c>
      <c r="X67" s="35">
        <f>SUMPRODUCT(--(X$8&lt;=Model!$D$9:'Model'!$CN$9),--(X$9&gt;=Model!$D$9:'Model'!$CN$9),Model!$D71:'Model'!$CN71)</f>
        <v>1069685.5666944762</v>
      </c>
      <c r="Y67" s="35">
        <f>SUMPRODUCT(--(Y$8&lt;=Model!$D$9:'Model'!$CN$9),--(Y$9&gt;=Model!$D$9:'Model'!$CN$9),Model!$D71:'Model'!$CN71)</f>
        <v>982576.66629945836</v>
      </c>
      <c r="Z67" s="35">
        <f>SUMPRODUCT(--(Z$8&lt;=Model!$D$9:'Model'!$CN$9),--(Z$9&gt;=Model!$D$9:'Model'!$CN$9),Model!$D71:'Model'!$CN71)</f>
        <v>897392.0451358133</v>
      </c>
      <c r="AA67" s="35"/>
    </row>
    <row r="68" spans="1:27" ht="12.75" customHeight="1">
      <c r="A68" s="35"/>
      <c r="B68" s="87" t="s">
        <v>168</v>
      </c>
      <c r="C68" s="35">
        <f t="shared" si="13"/>
        <v>-4663.5351842170285</v>
      </c>
      <c r="D68" s="60">
        <f>Model!D72</f>
        <v>0</v>
      </c>
      <c r="E68" s="35">
        <f>SUMPRODUCT(--(E$8&lt;=Model!$D$9:'Model'!$CN$9),--(E$9&gt;=Model!$D$9:'Model'!$CN$9),Model!$D72:'Model'!$CN72)</f>
        <v>0</v>
      </c>
      <c r="F68" s="35">
        <f>SUMPRODUCT(--(F$8&lt;=Model!$D$9:'Model'!$CN$9),--(F$9&gt;=Model!$D$9:'Model'!$CN$9),Model!$D72:'Model'!$CN72)</f>
        <v>0</v>
      </c>
      <c r="G68" s="35">
        <f>SUMPRODUCT(--(G$8&lt;=Model!$D$9:'Model'!$CN$9),--(G$9&gt;=Model!$D$9:'Model'!$CN$9),Model!$D72:'Model'!$CN72)</f>
        <v>0</v>
      </c>
      <c r="H68" s="35">
        <f>SUMPRODUCT(--(H$8&lt;=Model!$D$9:'Model'!$CN$9),--(H$9&gt;=Model!$D$9:'Model'!$CN$9),Model!$D72:'Model'!$CN72)</f>
        <v>0</v>
      </c>
      <c r="I68" s="35">
        <f>SUMPRODUCT(--(I$8&lt;=Model!$D$9:'Model'!$CN$9),--(I$9&gt;=Model!$D$9:'Model'!$CN$9),Model!$D72:'Model'!$CN72)</f>
        <v>-2143.5875015373854</v>
      </c>
      <c r="J68" s="35">
        <f>SUMPRODUCT(--(J$8&lt;=Model!$D$9:'Model'!$CN$9),--(J$9&gt;=Model!$D$9:'Model'!$CN$9),Model!$D72:'Model'!$CN72)</f>
        <v>-105.06169041236581</v>
      </c>
      <c r="K68" s="35">
        <f>SUMPRODUCT(--(K$8&lt;=Model!$D$9:'Model'!$CN$9),--(K$9&gt;=Model!$D$9:'Model'!$CN$9),Model!$D72:'Model'!$CN72)</f>
        <v>-139.8195356921243</v>
      </c>
      <c r="L68" s="35">
        <f>SUMPRODUCT(--(L$8&lt;=Model!$D$9:'Model'!$CN$9),--(L$9&gt;=Model!$D$9:'Model'!$CN$9),Model!$D72:'Model'!$CN72)</f>
        <v>-303.95662705574819</v>
      </c>
      <c r="M68" s="35">
        <f>SUMPRODUCT(--(M$8&lt;=Model!$D$9:'Model'!$CN$9),--(M$9&gt;=Model!$D$9:'Model'!$CN$9),Model!$D72:'Model'!$CN72)</f>
        <v>-345.53962794526763</v>
      </c>
      <c r="N68" s="35">
        <f>SUMPRODUCT(--(N$8&lt;=Model!$D$9:'Model'!$CN$9),--(N$9&gt;=Model!$D$9:'Model'!$CN$9),Model!$D72:'Model'!$CN72)</f>
        <v>-190.587220514286</v>
      </c>
      <c r="O68" s="35">
        <f>SUMPRODUCT(--(O$8&lt;=Model!$D$9:'Model'!$CN$9),--(O$9&gt;=Model!$D$9:'Model'!$CN$9),Model!$D72:'Model'!$CN72)</f>
        <v>-342.02435086124228</v>
      </c>
      <c r="P68" s="35">
        <f>SUMPRODUCT(--(P$8&lt;=Model!$D$9:'Model'!$CN$9),--(P$9&gt;=Model!$D$9:'Model'!$CN$9),Model!$D72:'Model'!$CN72)</f>
        <v>-223.40201696142572</v>
      </c>
      <c r="Q68" s="35">
        <f>SUMPRODUCT(--(Q$8&lt;=Model!$D$9:'Model'!$CN$9),--(Q$9&gt;=Model!$D$9:'Model'!$CN$9),Model!$D72:'Model'!$CN72)</f>
        <v>823.61755878553367</v>
      </c>
      <c r="R68" s="35">
        <f>SUMPRODUCT(--(R$8&lt;=Model!$D$9:'Model'!$CN$9),--(R$9&gt;=Model!$D$9:'Model'!$CN$9),Model!$D72:'Model'!$CN72)</f>
        <v>-181.80721277197108</v>
      </c>
      <c r="S68" s="35">
        <f>SUMPRODUCT(--(S$8&lt;=Model!$D$9:'Model'!$CN$9),--(S$9&gt;=Model!$D$9:'Model'!$CN$9),Model!$D72:'Model'!$CN72)</f>
        <v>-381.90965784458308</v>
      </c>
      <c r="T68" s="35">
        <f>SUMPRODUCT(--(T$8&lt;=Model!$D$9:'Model'!$CN$9),--(T$9&gt;=Model!$D$9:'Model'!$CN$9),Model!$D72:'Model'!$CN72)</f>
        <v>-433.07647921601938</v>
      </c>
      <c r="U68" s="35">
        <f>SUMPRODUCT(--(U$8&lt;=Model!$D$9:'Model'!$CN$9),--(U$9&gt;=Model!$D$9:'Model'!$CN$9),Model!$D72:'Model'!$CN72)</f>
        <v>-245.38440462240681</v>
      </c>
      <c r="V68" s="35">
        <f>SUMPRODUCT(--(V$8&lt;=Model!$D$9:'Model'!$CN$9),--(V$9&gt;=Model!$D$9:'Model'!$CN$9),Model!$D72:'Model'!$CN72)</f>
        <v>-430.1434053870567</v>
      </c>
      <c r="W68" s="35">
        <f>SUMPRODUCT(--(W$8&lt;=Model!$D$9:'Model'!$CN$9),--(W$9&gt;=Model!$D$9:'Model'!$CN$9),Model!$D72:'Model'!$CN72)</f>
        <v>-286.67775060539458</v>
      </c>
      <c r="X68" s="35">
        <f>SUMPRODUCT(--(X$8&lt;=Model!$D$9:'Model'!$CN$9),--(X$9&gt;=Model!$D$9:'Model'!$CN$9),Model!$D72:'Model'!$CN72)</f>
        <v>985.22452745107557</v>
      </c>
      <c r="Y68" s="35">
        <f>SUMPRODUCT(--(Y$8&lt;=Model!$D$9:'Model'!$CN$9),--(Y$9&gt;=Model!$D$9:'Model'!$CN$9),Model!$D72:'Model'!$CN72)</f>
        <v>-237.66995442501889</v>
      </c>
      <c r="Z68" s="35">
        <f>SUMPRODUCT(--(Z$8&lt;=Model!$D$9:'Model'!$CN$9),--(Z$9&gt;=Model!$D$9:'Model'!$CN$9),Model!$D72:'Model'!$CN72)</f>
        <v>-481.72983460134037</v>
      </c>
      <c r="AA68" s="35"/>
    </row>
    <row r="69" spans="1:27" ht="12.75" customHeight="1">
      <c r="A69" s="35"/>
      <c r="B69" s="87" t="s">
        <v>169</v>
      </c>
      <c r="C69" s="35">
        <f t="shared" si="13"/>
        <v>10149.619014366712</v>
      </c>
      <c r="D69" s="60">
        <f>Model!D73</f>
        <v>0</v>
      </c>
      <c r="E69" s="35">
        <f>SUMPRODUCT(--(E$8&lt;=Model!$D$9:'Model'!$CN$9),--(E$9&gt;=Model!$D$9:'Model'!$CN$9),Model!$D73:'Model'!$CN73)</f>
        <v>0</v>
      </c>
      <c r="F69" s="35">
        <f>SUMPRODUCT(--(F$8&lt;=Model!$D$9:'Model'!$CN$9),--(F$9&gt;=Model!$D$9:'Model'!$CN$9),Model!$D73:'Model'!$CN73)</f>
        <v>0</v>
      </c>
      <c r="G69" s="35">
        <f>SUMPRODUCT(--(G$8&lt;=Model!$D$9:'Model'!$CN$9),--(G$9&gt;=Model!$D$9:'Model'!$CN$9),Model!$D73:'Model'!$CN73)</f>
        <v>0</v>
      </c>
      <c r="H69" s="35">
        <f>SUMPRODUCT(--(H$8&lt;=Model!$D$9:'Model'!$CN$9),--(H$9&gt;=Model!$D$9:'Model'!$CN$9),Model!$D73:'Model'!$CN73)</f>
        <v>0</v>
      </c>
      <c r="I69" s="35">
        <f>SUMPRODUCT(--(I$8&lt;=Model!$D$9:'Model'!$CN$9),--(I$9&gt;=Model!$D$9:'Model'!$CN$9),Model!$D73:'Model'!$CN73)</f>
        <v>4749.2385005087735</v>
      </c>
      <c r="J69" s="35">
        <f>SUMPRODUCT(--(J$8&lt;=Model!$D$9:'Model'!$CN$9),--(J$9&gt;=Model!$D$9:'Model'!$CN$9),Model!$D73:'Model'!$CN73)</f>
        <v>187.04086158487644</v>
      </c>
      <c r="K69" s="35">
        <f>SUMPRODUCT(--(K$8&lt;=Model!$D$9:'Model'!$CN$9),--(K$9&gt;=Model!$D$9:'Model'!$CN$9),Model!$D73:'Model'!$CN73)</f>
        <v>451.50963901838804</v>
      </c>
      <c r="L69" s="35">
        <f>SUMPRODUCT(--(L$8&lt;=Model!$D$9:'Model'!$CN$9),--(L$9&gt;=Model!$D$9:'Model'!$CN$9),Model!$D73:'Model'!$CN73)</f>
        <v>1481.8726574061566</v>
      </c>
      <c r="M69" s="35">
        <f>SUMPRODUCT(--(M$8&lt;=Model!$D$9:'Model'!$CN$9),--(M$9&gt;=Model!$D$9:'Model'!$CN$9),Model!$D73:'Model'!$CN73)</f>
        <v>1444.6615095258476</v>
      </c>
      <c r="N69" s="35">
        <f>SUMPRODUCT(--(N$8&lt;=Model!$D$9:'Model'!$CN$9),--(N$9&gt;=Model!$D$9:'Model'!$CN$9),Model!$D73:'Model'!$CN73)</f>
        <v>720.33993081396011</v>
      </c>
      <c r="O69" s="35">
        <f>SUMPRODUCT(--(O$8&lt;=Model!$D$9:'Model'!$CN$9),--(O$9&gt;=Model!$D$9:'Model'!$CN$9),Model!$D73:'Model'!$CN73)</f>
        <v>1519.3866174752891</v>
      </c>
      <c r="P69" s="35">
        <f>SUMPRODUCT(--(P$8&lt;=Model!$D$9:'Model'!$CN$9),--(P$9&gt;=Model!$D$9:'Model'!$CN$9),Model!$D73:'Model'!$CN73)</f>
        <v>895.16703811136517</v>
      </c>
      <c r="Q69" s="35">
        <f>SUMPRODUCT(--(Q$8&lt;=Model!$D$9:'Model'!$CN$9),--(Q$9&gt;=Model!$D$9:'Model'!$CN$9),Model!$D73:'Model'!$CN73)</f>
        <v>-5449.1383380738116</v>
      </c>
      <c r="R69" s="35">
        <f>SUMPRODUCT(--(R$8&lt;=Model!$D$9:'Model'!$CN$9),--(R$9&gt;=Model!$D$9:'Model'!$CN$9),Model!$D73:'Model'!$CN73)</f>
        <v>548.81278816209579</v>
      </c>
      <c r="S69" s="35">
        <f>SUMPRODUCT(--(S$8&lt;=Model!$D$9:'Model'!$CN$9),--(S$9&gt;=Model!$D$9:'Model'!$CN$9),Model!$D73:'Model'!$CN73)</f>
        <v>1801.2254767812947</v>
      </c>
      <c r="T69" s="35">
        <f>SUMPRODUCT(--(T$8&lt;=Model!$D$9:'Model'!$CN$9),--(T$9&gt;=Model!$D$9:'Model'!$CN$9),Model!$D73:'Model'!$CN73)</f>
        <v>1755.9950939630999</v>
      </c>
      <c r="U69" s="35">
        <f>SUMPRODUCT(--(U$8&lt;=Model!$D$9:'Model'!$CN$9),--(U$9&gt;=Model!$D$9:'Model'!$CN$9),Model!$D73:'Model'!$CN73)</f>
        <v>875.57768802893997</v>
      </c>
      <c r="V69" s="35">
        <f>SUMPRODUCT(--(V$8&lt;=Model!$D$9:'Model'!$CN$9),--(V$9&gt;=Model!$D$9:'Model'!$CN$9),Model!$D73:'Model'!$CN73)</f>
        <v>1846.8239297075706</v>
      </c>
      <c r="W69" s="35">
        <f>SUMPRODUCT(--(W$8&lt;=Model!$D$9:'Model'!$CN$9),--(W$9&gt;=Model!$D$9:'Model'!$CN$9),Model!$D73:'Model'!$CN73)</f>
        <v>1088.0811296183579</v>
      </c>
      <c r="X69" s="35">
        <f>SUMPRODUCT(--(X$8&lt;=Model!$D$9:'Model'!$CN$9),--(X$9&gt;=Model!$D$9:'Model'!$CN$9),Model!$D73:'Model'!$CN73)</f>
        <v>-6623.4617070433351</v>
      </c>
      <c r="Y69" s="35">
        <f>SUMPRODUCT(--(Y$8&lt;=Model!$D$9:'Model'!$CN$9),--(Y$9&gt;=Model!$D$9:'Model'!$CN$9),Model!$D73:'Model'!$CN73)</f>
        <v>667.08537409095061</v>
      </c>
      <c r="Z69" s="35">
        <f>SUMPRODUCT(--(Z$8&lt;=Model!$D$9:'Model'!$CN$9),--(Z$9&gt;=Model!$D$9:'Model'!$CN$9),Model!$D73:'Model'!$CN73)</f>
        <v>2189.4008246868925</v>
      </c>
      <c r="AA69" s="35"/>
    </row>
    <row r="70" spans="1:27" ht="12.75" customHeight="1">
      <c r="A70" s="35"/>
      <c r="B70" s="87" t="s">
        <v>170</v>
      </c>
      <c r="C70" s="35">
        <f t="shared" si="13"/>
        <v>-17612.915749647113</v>
      </c>
      <c r="D70" s="60">
        <f>Model!D74</f>
        <v>0</v>
      </c>
      <c r="E70" s="35">
        <f>SUMPRODUCT(--(E$8&lt;=Model!$D$9:'Model'!$CN$9),--(E$9&gt;=Model!$D$9:'Model'!$CN$9),Model!$D74:'Model'!$CN74)</f>
        <v>0</v>
      </c>
      <c r="F70" s="35">
        <f>SUMPRODUCT(--(F$8&lt;=Model!$D$9:'Model'!$CN$9),--(F$9&gt;=Model!$D$9:'Model'!$CN$9),Model!$D74:'Model'!$CN74)</f>
        <v>0</v>
      </c>
      <c r="G70" s="35">
        <f>SUMPRODUCT(--(G$8&lt;=Model!$D$9:'Model'!$CN$9),--(G$9&gt;=Model!$D$9:'Model'!$CN$9),Model!$D74:'Model'!$CN74)</f>
        <v>0</v>
      </c>
      <c r="H70" s="35">
        <f>SUMPRODUCT(--(H$8&lt;=Model!$D$9:'Model'!$CN$9),--(H$9&gt;=Model!$D$9:'Model'!$CN$9),Model!$D74:'Model'!$CN74)</f>
        <v>0</v>
      </c>
      <c r="I70" s="35">
        <f>SUMPRODUCT(--(I$8&lt;=Model!$D$9:'Model'!$CN$9),--(I$9&gt;=Model!$D$9:'Model'!$CN$9),Model!$D74:'Model'!$CN74)</f>
        <v>-20105.631318192878</v>
      </c>
      <c r="J70" s="35">
        <f>SUMPRODUCT(--(J$8&lt;=Model!$D$9:'Model'!$CN$9),--(J$9&gt;=Model!$D$9:'Model'!$CN$9),Model!$D74:'Model'!$CN74)</f>
        <v>-863.43409380717958</v>
      </c>
      <c r="K70" s="35">
        <f>SUMPRODUCT(--(K$8&lt;=Model!$D$9:'Model'!$CN$9),--(K$9&gt;=Model!$D$9:'Model'!$CN$9),Model!$D74:'Model'!$CN74)</f>
        <v>-1778.5415723193132</v>
      </c>
      <c r="L70" s="35">
        <f>SUMPRODUCT(--(L$8&lt;=Model!$D$9:'Model'!$CN$9),--(L$9&gt;=Model!$D$9:'Model'!$CN$9),Model!$D74:'Model'!$CN74)</f>
        <v>10826.492324863211</v>
      </c>
      <c r="M70" s="35">
        <f>SUMPRODUCT(--(M$8&lt;=Model!$D$9:'Model'!$CN$9),--(M$9&gt;=Model!$D$9:'Model'!$CN$9),Model!$D74:'Model'!$CN74)</f>
        <v>-1090.395778229411</v>
      </c>
      <c r="N70" s="35">
        <f>SUMPRODUCT(--(N$8&lt;=Model!$D$9:'Model'!$CN$9),--(N$9&gt;=Model!$D$9:'Model'!$CN$9),Model!$D74:'Model'!$CN74)</f>
        <v>-3578.7224676358665</v>
      </c>
      <c r="O70" s="35">
        <f>SUMPRODUCT(--(O$8&lt;=Model!$D$9:'Model'!$CN$9),--(O$9&gt;=Model!$D$9:'Model'!$CN$9),Model!$D74:'Model'!$CN74)</f>
        <v>-3488.8575455049249</v>
      </c>
      <c r="P70" s="35">
        <f>SUMPRODUCT(--(P$8&lt;=Model!$D$9:'Model'!$CN$9),--(P$9&gt;=Model!$D$9:'Model'!$CN$9),Model!$D74:'Model'!$CN74)</f>
        <v>-1739.6209329157118</v>
      </c>
      <c r="Q70" s="35">
        <f>SUMPRODUCT(--(Q$8&lt;=Model!$D$9:'Model'!$CN$9),--(Q$9&gt;=Model!$D$9:'Model'!$CN$9),Model!$D74:'Model'!$CN74)</f>
        <v>-3669.3186812028216</v>
      </c>
      <c r="R70" s="35">
        <f>SUMPRODUCT(--(R$8&lt;=Model!$D$9:'Model'!$CN$9),--(R$9&gt;=Model!$D$9:'Model'!$CN$9),Model!$D74:'Model'!$CN74)</f>
        <v>-2161.828397038953</v>
      </c>
      <c r="S70" s="35">
        <f>SUMPRODUCT(--(S$8&lt;=Model!$D$9:'Model'!$CN$9),--(S$9&gt;=Model!$D$9:'Model'!$CN$9),Model!$D74:'Model'!$CN74)</f>
        <v>13159.669086448261</v>
      </c>
      <c r="T70" s="35">
        <f>SUMPRODUCT(--(T$8&lt;=Model!$D$9:'Model'!$CN$9),--(T$9&gt;=Model!$D$9:'Model'!$CN$9),Model!$D74:'Model'!$CN74)</f>
        <v>-1325.3828834114574</v>
      </c>
      <c r="U70" s="35">
        <f>SUMPRODUCT(--(U$8&lt;=Model!$D$9:'Model'!$CN$9),--(U$9&gt;=Model!$D$9:'Model'!$CN$9),Model!$D74:'Model'!$CN74)</f>
        <v>-4349.95952642682</v>
      </c>
      <c r="V70" s="35">
        <f>SUMPRODUCT(--(V$8&lt;=Model!$D$9:'Model'!$CN$9),--(V$9&gt;=Model!$D$9:'Model'!$CN$9),Model!$D74:'Model'!$CN74)</f>
        <v>-4240.7281519208973</v>
      </c>
      <c r="W70" s="35">
        <f>SUMPRODUCT(--(W$8&lt;=Model!$D$9:'Model'!$CN$9),--(W$9&gt;=Model!$D$9:'Model'!$CN$9),Model!$D74:'Model'!$CN74)</f>
        <v>-2114.5201165898798</v>
      </c>
      <c r="X70" s="35">
        <f>SUMPRODUCT(--(X$8&lt;=Model!$D$9:'Model'!$CN$9),--(X$9&gt;=Model!$D$9:'Model'!$CN$9),Model!$D74:'Model'!$CN74)</f>
        <v>-4460.0797902437862</v>
      </c>
      <c r="Y70" s="35">
        <f>SUMPRODUCT(--(Y$8&lt;=Model!$D$9:'Model'!$CN$9),--(Y$9&gt;=Model!$D$9:'Model'!$CN$9),Model!$D74:'Model'!$CN74)</f>
        <v>-2627.7159280283295</v>
      </c>
      <c r="Z70" s="35">
        <f>SUMPRODUCT(--(Z$8&lt;=Model!$D$9:'Model'!$CN$9),--(Z$9&gt;=Model!$D$9:'Model'!$CN$9),Model!$D74:'Model'!$CN74)</f>
        <v>15995.660022509652</v>
      </c>
      <c r="AA70" s="35"/>
    </row>
    <row r="71" spans="1:27" ht="12.75" customHeight="1">
      <c r="A71" s="35"/>
      <c r="B71" s="87" t="s">
        <v>171</v>
      </c>
      <c r="C71" s="35">
        <f t="shared" si="13"/>
        <v>-4819.5799102138453</v>
      </c>
      <c r="D71" s="60">
        <f>Model!D75</f>
        <v>0</v>
      </c>
      <c r="E71" s="35">
        <f>SUMPRODUCT(--(E$8&lt;=Model!$D$9:'Model'!$CN$9),--(E$9&gt;=Model!$D$9:'Model'!$CN$9),Model!$D75:'Model'!$CN75)</f>
        <v>0</v>
      </c>
      <c r="F71" s="35">
        <f>SUMPRODUCT(--(F$8&lt;=Model!$D$9:'Model'!$CN$9),--(F$9&gt;=Model!$D$9:'Model'!$CN$9),Model!$D75:'Model'!$CN75)</f>
        <v>0</v>
      </c>
      <c r="G71" s="35">
        <f>SUMPRODUCT(--(G$8&lt;=Model!$D$9:'Model'!$CN$9),--(G$9&gt;=Model!$D$9:'Model'!$CN$9),Model!$D75:'Model'!$CN75)</f>
        <v>0</v>
      </c>
      <c r="H71" s="35">
        <f>SUMPRODUCT(--(H$8&lt;=Model!$D$9:'Model'!$CN$9),--(H$9&gt;=Model!$D$9:'Model'!$CN$9),Model!$D75:'Model'!$CN75)</f>
        <v>0</v>
      </c>
      <c r="I71" s="35">
        <f>SUMPRODUCT(--(I$8&lt;=Model!$D$9:'Model'!$CN$9),--(I$9&gt;=Model!$D$9:'Model'!$CN$9),Model!$D75:'Model'!$CN75)</f>
        <v>-2374.9208899034302</v>
      </c>
      <c r="J71" s="35">
        <f>SUMPRODUCT(--(J$8&lt;=Model!$D$9:'Model'!$CN$9),--(J$9&gt;=Model!$D$9:'Model'!$CN$9),Model!$D75:'Model'!$CN75)</f>
        <v>-114.30058740182858</v>
      </c>
      <c r="K71" s="35">
        <f>SUMPRODUCT(--(K$8&lt;=Model!$D$9:'Model'!$CN$9),--(K$9&gt;=Model!$D$9:'Model'!$CN$9),Model!$D75:'Model'!$CN75)</f>
        <v>-190.52693463682181</v>
      </c>
      <c r="L71" s="35">
        <f>SUMPRODUCT(--(L$8&lt;=Model!$D$9:'Model'!$CN$9),--(L$9&gt;=Model!$D$9:'Model'!$CN$9),Model!$D75:'Model'!$CN75)</f>
        <v>-582.33297973333538</v>
      </c>
      <c r="M71" s="35">
        <f>SUMPRODUCT(--(M$8&lt;=Model!$D$9:'Model'!$CN$9),--(M$9&gt;=Model!$D$9:'Model'!$CN$9),Model!$D75:'Model'!$CN75)</f>
        <v>-681.01173694492627</v>
      </c>
      <c r="N71" s="35">
        <f>SUMPRODUCT(--(N$8&lt;=Model!$D$9:'Model'!$CN$9),--(N$9&gt;=Model!$D$9:'Model'!$CN$9),Model!$D75:'Model'!$CN75)</f>
        <v>-290.18784988081825</v>
      </c>
      <c r="O71" s="35">
        <f>SUMPRODUCT(--(O$8&lt;=Model!$D$9:'Model'!$CN$9),--(O$9&gt;=Model!$D$9:'Model'!$CN$9),Model!$D75:'Model'!$CN75)</f>
        <v>-652.72569491294325</v>
      </c>
      <c r="P71" s="35">
        <f>SUMPRODUCT(--(P$8&lt;=Model!$D$9:'Model'!$CN$9),--(P$9&gt;=Model!$D$9:'Model'!$CN$9),Model!$D75:'Model'!$CN75)</f>
        <v>-351.93319119523858</v>
      </c>
      <c r="Q71" s="35">
        <f>SUMPRODUCT(--(Q$8&lt;=Model!$D$9:'Model'!$CN$9),--(Q$9&gt;=Model!$D$9:'Model'!$CN$9),Model!$D75:'Model'!$CN75)</f>
        <v>2212.2756013105654</v>
      </c>
      <c r="R71" s="35">
        <f>SUMPRODUCT(--(R$8&lt;=Model!$D$9:'Model'!$CN$9),--(R$9&gt;=Model!$D$9:'Model'!$CN$9),Model!$D75:'Model'!$CN75)</f>
        <v>-231.58667984439717</v>
      </c>
      <c r="S71" s="35">
        <f>SUMPRODUCT(--(S$8&lt;=Model!$D$9:'Model'!$CN$9),--(S$9&gt;=Model!$D$9:'Model'!$CN$9),Model!$D75:'Model'!$CN75)</f>
        <v>-707.82937644699132</v>
      </c>
      <c r="T71" s="35">
        <f>SUMPRODUCT(--(T$8&lt;=Model!$D$9:'Model'!$CN$9),--(T$9&gt;=Model!$D$9:'Model'!$CN$9),Model!$D75:'Model'!$CN75)</f>
        <v>-827.77402257991525</v>
      </c>
      <c r="U71" s="35">
        <f>SUMPRODUCT(--(U$8&lt;=Model!$D$9:'Model'!$CN$9),--(U$9&gt;=Model!$D$9:'Model'!$CN$9),Model!$D75:'Model'!$CN75)</f>
        <v>-352.72514520419645</v>
      </c>
      <c r="V71" s="35">
        <f>SUMPRODUCT(--(V$8&lt;=Model!$D$9:'Model'!$CN$9),--(V$9&gt;=Model!$D$9:'Model'!$CN$9),Model!$D75:'Model'!$CN75)</f>
        <v>-793.3921617022761</v>
      </c>
      <c r="W71" s="35">
        <f>SUMPRODUCT(--(W$8&lt;=Model!$D$9:'Model'!$CN$9),--(W$9&gt;=Model!$D$9:'Model'!$CN$9),Model!$D75:'Model'!$CN75)</f>
        <v>-427.77699348025726</v>
      </c>
      <c r="X71" s="35">
        <f>SUMPRODUCT(--(X$8&lt;=Model!$D$9:'Model'!$CN$9),--(X$9&gt;=Model!$D$9:'Model'!$CN$9),Model!$D75:'Model'!$CN75)</f>
        <v>2689.0348201155016</v>
      </c>
      <c r="Y71" s="35">
        <f>SUMPRODUCT(--(Y$8&lt;=Model!$D$9:'Model'!$CN$9),--(Y$9&gt;=Model!$D$9:'Model'!$CN$9),Model!$D75:'Model'!$CN75)</f>
        <v>-281.49505676761419</v>
      </c>
      <c r="Z71" s="35">
        <f>SUMPRODUCT(--(Z$8&lt;=Model!$D$9:'Model'!$CN$9),--(Z$9&gt;=Model!$D$9:'Model'!$CN$9),Model!$D75:'Model'!$CN75)</f>
        <v>-860.37103100492232</v>
      </c>
      <c r="AA71" s="35"/>
    </row>
    <row r="72" spans="1:27" ht="12.75" customHeight="1">
      <c r="A72" s="35"/>
      <c r="B72" s="87" t="s">
        <v>172</v>
      </c>
      <c r="C72" s="35">
        <f t="shared" si="13"/>
        <v>1733.3734944711659</v>
      </c>
      <c r="D72" s="60">
        <f>Model!D76</f>
        <v>0</v>
      </c>
      <c r="E72" s="35">
        <f>SUMPRODUCT(--(E$8&lt;=Model!$D$9:'Model'!$CN$9),--(E$9&gt;=Model!$D$9:'Model'!$CN$9),Model!$D76:'Model'!$CN76)</f>
        <v>0</v>
      </c>
      <c r="F72" s="35">
        <f>SUMPRODUCT(--(F$8&lt;=Model!$D$9:'Model'!$CN$9),--(F$9&gt;=Model!$D$9:'Model'!$CN$9),Model!$D76:'Model'!$CN76)</f>
        <v>0</v>
      </c>
      <c r="G72" s="35">
        <f>SUMPRODUCT(--(G$8&lt;=Model!$D$9:'Model'!$CN$9),--(G$9&gt;=Model!$D$9:'Model'!$CN$9),Model!$D76:'Model'!$CN76)</f>
        <v>0</v>
      </c>
      <c r="H72" s="35">
        <f>SUMPRODUCT(--(H$8&lt;=Model!$D$9:'Model'!$CN$9),--(H$9&gt;=Model!$D$9:'Model'!$CN$9),Model!$D76:'Model'!$CN76)</f>
        <v>0</v>
      </c>
      <c r="I72" s="35">
        <f>SUMPRODUCT(--(I$8&lt;=Model!$D$9:'Model'!$CN$9),--(I$9&gt;=Model!$D$9:'Model'!$CN$9),Model!$D76:'Model'!$CN76)</f>
        <v>1865.6177519678345</v>
      </c>
      <c r="J72" s="35">
        <f>SUMPRODUCT(--(J$8&lt;=Model!$D$9:'Model'!$CN$9),--(J$9&gt;=Model!$D$9:'Model'!$CN$9),Model!$D76:'Model'!$CN76)</f>
        <v>63.037610953497506</v>
      </c>
      <c r="K72" s="35">
        <f>SUMPRODUCT(--(K$8&lt;=Model!$D$9:'Model'!$CN$9),--(K$9&gt;=Model!$D$9:'Model'!$CN$9),Model!$D76:'Model'!$CN76)</f>
        <v>124.06938537918018</v>
      </c>
      <c r="L72" s="35">
        <f>SUMPRODUCT(--(L$8&lt;=Model!$D$9:'Model'!$CN$9),--(L$9&gt;=Model!$D$9:'Model'!$CN$9),Model!$D76:'Model'!$CN76)</f>
        <v>-694.9131219670719</v>
      </c>
      <c r="M72" s="35">
        <f>SUMPRODUCT(--(M$8&lt;=Model!$D$9:'Model'!$CN$9),--(M$9&gt;=Model!$D$9:'Model'!$CN$9),Model!$D76:'Model'!$CN76)</f>
        <v>76.90691448004236</v>
      </c>
      <c r="N72" s="35">
        <f>SUMPRODUCT(--(N$8&lt;=Model!$D$9:'Model'!$CN$9),--(N$9&gt;=Model!$D$9:'Model'!$CN$9),Model!$D76:'Model'!$CN76)</f>
        <v>231.58782427020446</v>
      </c>
      <c r="O72" s="35">
        <f>SUMPRODUCT(--(O$8&lt;=Model!$D$9:'Model'!$CN$9),--(O$9&gt;=Model!$D$9:'Model'!$CN$9),Model!$D76:'Model'!$CN76)</f>
        <v>225.58298166335589</v>
      </c>
      <c r="P72" s="35">
        <f>SUMPRODUCT(--(P$8&lt;=Model!$D$9:'Model'!$CN$9),--(P$9&gt;=Model!$D$9:'Model'!$CN$9),Model!$D76:'Model'!$CN76)</f>
        <v>100.38625496722511</v>
      </c>
      <c r="Q72" s="35">
        <f>SUMPRODUCT(--(Q$8&lt;=Model!$D$9:'Model'!$CN$9),--(Q$9&gt;=Model!$D$9:'Model'!$CN$9),Model!$D76:'Model'!$CN76)</f>
        <v>235.54074039245211</v>
      </c>
      <c r="R72" s="35">
        <f>SUMPRODUCT(--(R$8&lt;=Model!$D$9:'Model'!$CN$9),--(R$9&gt;=Model!$D$9:'Model'!$CN$9),Model!$D76:'Model'!$CN76)</f>
        <v>150.80711336205286</v>
      </c>
      <c r="S72" s="35">
        <f>SUMPRODUCT(--(S$8&lt;=Model!$D$9:'Model'!$CN$9),--(S$9&gt;=Model!$D$9:'Model'!$CN$9),Model!$D76:'Model'!$CN76)</f>
        <v>-844.67124295798817</v>
      </c>
      <c r="T72" s="35">
        <f>SUMPRODUCT(--(T$8&lt;=Model!$D$9:'Model'!$CN$9),--(T$9&gt;=Model!$D$9:'Model'!$CN$9),Model!$D76:'Model'!$CN76)</f>
        <v>97.033846891640906</v>
      </c>
      <c r="U72" s="35">
        <f>SUMPRODUCT(--(U$8&lt;=Model!$D$9:'Model'!$CN$9),--(U$9&gt;=Model!$D$9:'Model'!$CN$9),Model!$D76:'Model'!$CN76)</f>
        <v>277.93857525036901</v>
      </c>
      <c r="V72" s="35">
        <f>SUMPRODUCT(--(V$8&lt;=Model!$D$9:'Model'!$CN$9),--(V$9&gt;=Model!$D$9:'Model'!$CN$9),Model!$D76:'Model'!$CN76)</f>
        <v>274.19752410544493</v>
      </c>
      <c r="W72" s="35">
        <f>SUMPRODUCT(--(W$8&lt;=Model!$D$9:'Model'!$CN$9),--(W$9&gt;=Model!$D$9:'Model'!$CN$9),Model!$D76:'Model'!$CN76)</f>
        <v>122.02012032675634</v>
      </c>
      <c r="X72" s="35">
        <f>SUMPRODUCT(--(X$8&lt;=Model!$D$9:'Model'!$CN$9),--(X$9&gt;=Model!$D$9:'Model'!$CN$9),Model!$D76:'Model'!$CN76)</f>
        <v>275.62615124400509</v>
      </c>
      <c r="Y72" s="35">
        <f>SUMPRODUCT(--(Y$8&lt;=Model!$D$9:'Model'!$CN$9),--(Y$9&gt;=Model!$D$9:'Model'!$CN$9),Model!$D76:'Model'!$CN76)</f>
        <v>179.30823915286828</v>
      </c>
      <c r="Z72" s="35">
        <f>SUMPRODUCT(--(Z$8&lt;=Model!$D$9:'Model'!$CN$9),--(Z$9&gt;=Model!$D$9:'Model'!$CN$9),Model!$D76:'Model'!$CN76)</f>
        <v>-1026.703175010703</v>
      </c>
      <c r="AA72" s="35"/>
    </row>
    <row r="73" spans="1:27" ht="12.75" customHeight="1">
      <c r="A73" s="35"/>
      <c r="B73" s="87" t="s">
        <v>173</v>
      </c>
      <c r="C73" s="35">
        <f t="shared" si="13"/>
        <v>872.46465888381852</v>
      </c>
      <c r="D73" s="60">
        <f>Model!D77</f>
        <v>0</v>
      </c>
      <c r="E73" s="35">
        <f>SUMPRODUCT(--(E$8&lt;=Model!$D$9:'Model'!$CN$9),--(E$9&gt;=Model!$D$9:'Model'!$CN$9),Model!$D77:'Model'!$CN77)</f>
        <v>0</v>
      </c>
      <c r="F73" s="35">
        <f>SUMPRODUCT(--(F$8&lt;=Model!$D$9:'Model'!$CN$9),--(F$9&gt;=Model!$D$9:'Model'!$CN$9),Model!$D77:'Model'!$CN77)</f>
        <v>0</v>
      </c>
      <c r="G73" s="35">
        <f>SUMPRODUCT(--(G$8&lt;=Model!$D$9:'Model'!$CN$9),--(G$9&gt;=Model!$D$9:'Model'!$CN$9),Model!$D77:'Model'!$CN77)</f>
        <v>0</v>
      </c>
      <c r="H73" s="35">
        <f>SUMPRODUCT(--(H$8&lt;=Model!$D$9:'Model'!$CN$9),--(H$9&gt;=Model!$D$9:'Model'!$CN$9),Model!$D77:'Model'!$CN77)</f>
        <v>0</v>
      </c>
      <c r="I73" s="35">
        <f>SUMPRODUCT(--(I$8&lt;=Model!$D$9:'Model'!$CN$9),--(I$9&gt;=Model!$D$9:'Model'!$CN$9),Model!$D77:'Model'!$CN77)</f>
        <v>939.02760182380973</v>
      </c>
      <c r="J73" s="35">
        <f>SUMPRODUCT(--(J$8&lt;=Model!$D$9:'Model'!$CN$9),--(J$9&gt;=Model!$D$9:'Model'!$CN$9),Model!$D77:'Model'!$CN77)</f>
        <v>31.728930846593585</v>
      </c>
      <c r="K73" s="35">
        <f>SUMPRODUCT(--(K$8&lt;=Model!$D$9:'Model'!$CN$9),--(K$9&gt;=Model!$D$9:'Model'!$CN$9),Model!$D77:'Model'!$CN77)</f>
        <v>62.448257307520635</v>
      </c>
      <c r="L73" s="35">
        <f>SUMPRODUCT(--(L$8&lt;=Model!$D$9:'Model'!$CN$9),--(L$9&gt;=Model!$D$9:'Model'!$CN$9),Model!$D77:'Model'!$CN77)</f>
        <v>-349.77293805675913</v>
      </c>
      <c r="M73" s="35">
        <f>SUMPRODUCT(--(M$8&lt;=Model!$D$9:'Model'!$CN$9),--(M$9&gt;=Model!$D$9:'Model'!$CN$9),Model!$D77:'Model'!$CN77)</f>
        <v>38.709813621621606</v>
      </c>
      <c r="N73" s="35">
        <f>SUMPRODUCT(--(N$8&lt;=Model!$D$9:'Model'!$CN$9),--(N$9&gt;=Model!$D$9:'Model'!$CN$9),Model!$D77:'Model'!$CN77)</f>
        <v>116.56587154933618</v>
      </c>
      <c r="O73" s="35">
        <f>SUMPRODUCT(--(O$8&lt;=Model!$D$9:'Model'!$CN$9),--(O$9&gt;=Model!$D$9:'Model'!$CN$9),Model!$D77:'Model'!$CN77)</f>
        <v>113.54343410388867</v>
      </c>
      <c r="P73" s="35">
        <f>SUMPRODUCT(--(P$8&lt;=Model!$D$9:'Model'!$CN$9),--(P$9&gt;=Model!$D$9:'Model'!$CN$9),Model!$D77:'Model'!$CN77)</f>
        <v>50.527748333503268</v>
      </c>
      <c r="Q73" s="35">
        <f>SUMPRODUCT(--(Q$8&lt;=Model!$D$9:'Model'!$CN$9),--(Q$9&gt;=Model!$D$9:'Model'!$CN$9),Model!$D77:'Model'!$CN77)</f>
        <v>118.5555059975344</v>
      </c>
      <c r="R73" s="35">
        <f>SUMPRODUCT(--(R$8&lt;=Model!$D$9:'Model'!$CN$9),--(R$9&gt;=Model!$D$9:'Model'!$CN$9),Model!$D77:'Model'!$CN77)</f>
        <v>75.906247058899794</v>
      </c>
      <c r="S73" s="35">
        <f>SUMPRODUCT(--(S$8&lt;=Model!$D$9:'Model'!$CN$9),--(S$9&gt;=Model!$D$9:'Model'!$CN$9),Model!$D77:'Model'!$CN77)</f>
        <v>-425.15119228885408</v>
      </c>
      <c r="T73" s="35">
        <f>SUMPRODUCT(--(T$8&lt;=Model!$D$9:'Model'!$CN$9),--(T$9&gt;=Model!$D$9:'Model'!$CN$9),Model!$D77:'Model'!$CN77)</f>
        <v>48.84036960212552</v>
      </c>
      <c r="U73" s="35">
        <f>SUMPRODUCT(--(U$8&lt;=Model!$D$9:'Model'!$CN$9),--(U$9&gt;=Model!$D$9:'Model'!$CN$9),Model!$D77:'Model'!$CN77)</f>
        <v>139.89574954268585</v>
      </c>
      <c r="V73" s="35">
        <f>SUMPRODUCT(--(V$8&lt;=Model!$D$9:'Model'!$CN$9),--(V$9&gt;=Model!$D$9:'Model'!$CN$9),Model!$D77:'Model'!$CN77)</f>
        <v>138.01275379973993</v>
      </c>
      <c r="W73" s="35">
        <f>SUMPRODUCT(--(W$8&lt;=Model!$D$9:'Model'!$CN$9),--(W$9&gt;=Model!$D$9:'Model'!$CN$9),Model!$D77:'Model'!$CN77)</f>
        <v>61.416793897800403</v>
      </c>
      <c r="X73" s="35">
        <f>SUMPRODUCT(--(X$8&lt;=Model!$D$9:'Model'!$CN$9),--(X$9&gt;=Model!$D$9:'Model'!$CN$9),Model!$D77:'Model'!$CN77)</f>
        <v>138.73182945948236</v>
      </c>
      <c r="Y73" s="35">
        <f>SUMPRODUCT(--(Y$8&lt;=Model!$D$9:'Model'!$CN$9),--(Y$9&gt;=Model!$D$9:'Model'!$CN$9),Model!$D77:'Model'!$CN77)</f>
        <v>90.251813706943608</v>
      </c>
      <c r="Z73" s="35">
        <f>SUMPRODUCT(--(Z$8&lt;=Model!$D$9:'Model'!$CN$9),--(Z$9&gt;=Model!$D$9:'Model'!$CN$9),Model!$D77:'Model'!$CN77)</f>
        <v>-516.77393142205403</v>
      </c>
      <c r="AA73" s="35"/>
    </row>
    <row r="74" spans="1:27" ht="12.75" customHeight="1">
      <c r="A74" s="35"/>
      <c r="B74" s="63" t="s">
        <v>164</v>
      </c>
      <c r="C74" s="35">
        <f t="shared" si="13"/>
        <v>-2074719.5892305851</v>
      </c>
      <c r="D74" s="60">
        <f>Model!D78</f>
        <v>0</v>
      </c>
      <c r="E74" s="35">
        <f>SUMPRODUCT(--(E$8&lt;=Model!$D$9:'Model'!$CN$9),--(E$9&gt;=Model!$D$9:'Model'!$CN$9),Model!$D78:'Model'!$CN78)</f>
        <v>0</v>
      </c>
      <c r="F74" s="35">
        <f>SUMPRODUCT(--(F$8&lt;=Model!$D$9:'Model'!$CN$9),--(F$9&gt;=Model!$D$9:'Model'!$CN$9),Model!$D78:'Model'!$CN78)</f>
        <v>0</v>
      </c>
      <c r="G74" s="35">
        <f>SUMPRODUCT(--(G$8&lt;=Model!$D$9:'Model'!$CN$9),--(G$9&gt;=Model!$D$9:'Model'!$CN$9),Model!$D78:'Model'!$CN78)</f>
        <v>0</v>
      </c>
      <c r="H74" s="35">
        <f>SUMPRODUCT(--(H$8&lt;=Model!$D$9:'Model'!$CN$9),--(H$9&gt;=Model!$D$9:'Model'!$CN$9),Model!$D78:'Model'!$CN78)</f>
        <v>0</v>
      </c>
      <c r="I74" s="35">
        <f>SUMPRODUCT(--(I$8&lt;=Model!$D$9:'Model'!$CN$9),--(I$9&gt;=Model!$D$9:'Model'!$CN$9),Model!$D78:'Model'!$CN78)</f>
        <v>0</v>
      </c>
      <c r="J74" s="35">
        <f>SUMPRODUCT(--(J$8&lt;=Model!$D$9:'Model'!$CN$9),--(J$9&gt;=Model!$D$9:'Model'!$CN$9),Model!$D78:'Model'!$CN78)</f>
        <v>-28627.602460447153</v>
      </c>
      <c r="K74" s="35">
        <f>SUMPRODUCT(--(K$8&lt;=Model!$D$9:'Model'!$CN$9),--(K$9&gt;=Model!$D$9:'Model'!$CN$9),Model!$D78:'Model'!$CN78)</f>
        <v>-57173.031732170006</v>
      </c>
      <c r="L74" s="35">
        <f>SUMPRODUCT(--(L$8&lt;=Model!$D$9:'Model'!$CN$9),--(L$9&gt;=Model!$D$9:'Model'!$CN$9),Model!$D78:'Model'!$CN78)</f>
        <v>-52404.98173003304</v>
      </c>
      <c r="M74" s="35">
        <f>SUMPRODUCT(--(M$8&lt;=Model!$D$9:'Model'!$CN$9),--(M$9&gt;=Model!$D$9:'Model'!$CN$9),Model!$D78:'Model'!$CN78)</f>
        <v>-71433.888860375475</v>
      </c>
      <c r="N74" s="35">
        <f>SUMPRODUCT(--(N$8&lt;=Model!$D$9:'Model'!$CN$9),--(N$9&gt;=Model!$D$9:'Model'!$CN$9),Model!$D78:'Model'!$CN78)</f>
        <v>-71733.559390438168</v>
      </c>
      <c r="O74" s="35">
        <f>SUMPRODUCT(--(O$8&lt;=Model!$D$9:'Model'!$CN$9),--(O$9&gt;=Model!$D$9:'Model'!$CN$9),Model!$D78:'Model'!$CN78)</f>
        <v>-92289.590738272251</v>
      </c>
      <c r="P74" s="35">
        <f>SUMPRODUCT(--(P$8&lt;=Model!$D$9:'Model'!$CN$9),--(P$9&gt;=Model!$D$9:'Model'!$CN$9),Model!$D78:'Model'!$CN78)</f>
        <v>-89820.364390668125</v>
      </c>
      <c r="Q74" s="35">
        <f>SUMPRODUCT(--(Q$8&lt;=Model!$D$9:'Model'!$CN$9),--(Q$9&gt;=Model!$D$9:'Model'!$CN$9),Model!$D78:'Model'!$CN78)</f>
        <v>-138117.85638509144</v>
      </c>
      <c r="R74" s="35">
        <f>SUMPRODUCT(--(R$8&lt;=Model!$D$9:'Model'!$CN$9),--(R$9&gt;=Model!$D$9:'Model'!$CN$9),Model!$D78:'Model'!$CN78)</f>
        <v>-143018.0646009437</v>
      </c>
      <c r="S74" s="35">
        <f>SUMPRODUCT(--(S$8&lt;=Model!$D$9:'Model'!$CN$9),--(S$9&gt;=Model!$D$9:'Model'!$CN$9),Model!$D78:'Model'!$CN78)</f>
        <v>-135942.20818252795</v>
      </c>
      <c r="T74" s="35">
        <f>SUMPRODUCT(--(T$8&lt;=Model!$D$9:'Model'!$CN$9),--(T$9&gt;=Model!$D$9:'Model'!$CN$9),Model!$D78:'Model'!$CN78)</f>
        <v>-160019.72390834393</v>
      </c>
      <c r="U74" s="35">
        <f>SUMPRODUCT(--(U$8&lt;=Model!$D$9:'Model'!$CN$9),--(U$9&gt;=Model!$D$9:'Model'!$CN$9),Model!$D78:'Model'!$CN78)</f>
        <v>-153188.78849579408</v>
      </c>
      <c r="V74" s="35">
        <f>SUMPRODUCT(--(V$8&lt;=Model!$D$9:'Model'!$CN$9),--(V$9&gt;=Model!$D$9:'Model'!$CN$9),Model!$D78:'Model'!$CN78)</f>
        <v>-177797.36203966764</v>
      </c>
      <c r="W74" s="35">
        <f>SUMPRODUCT(--(W$8&lt;=Model!$D$9:'Model'!$CN$9),--(W$9&gt;=Model!$D$9:'Model'!$CN$9),Model!$D78:'Model'!$CN78)</f>
        <v>-165295.0725080446</v>
      </c>
      <c r="X74" s="35">
        <f>SUMPRODUCT(--(X$8&lt;=Model!$D$9:'Model'!$CN$9),--(X$9&gt;=Model!$D$9:'Model'!$CN$9),Model!$D78:'Model'!$CN78)</f>
        <v>-196579.326066168</v>
      </c>
      <c r="Y74" s="35">
        <f>SUMPRODUCT(--(Y$8&lt;=Model!$D$9:'Model'!$CN$9),--(Y$9&gt;=Model!$D$9:'Model'!$CN$9),Model!$D78:'Model'!$CN78)</f>
        <v>-179157.54598716443</v>
      </c>
      <c r="Z74" s="35">
        <f>SUMPRODUCT(--(Z$8&lt;=Model!$D$9:'Model'!$CN$9),--(Z$9&gt;=Model!$D$9:'Model'!$CN$9),Model!$D78:'Model'!$CN78)</f>
        <v>-162120.62175443541</v>
      </c>
      <c r="AA74" s="35"/>
    </row>
    <row r="75" spans="1:27" ht="12.75" customHeight="1">
      <c r="A75" s="35"/>
      <c r="B75" s="63" t="s">
        <v>174</v>
      </c>
      <c r="C75" s="35">
        <f t="shared" si="13"/>
        <v>3475948.9891643752</v>
      </c>
      <c r="D75" s="60">
        <f>Model!D79</f>
        <v>0</v>
      </c>
      <c r="E75" s="35">
        <f>SUMPRODUCT(--(E$8&lt;=Model!$D$9:'Model'!$CN$9),--(E$9&gt;=Model!$D$9:'Model'!$CN$9),Model!$D79:'Model'!$CN79)</f>
        <v>0</v>
      </c>
      <c r="F75" s="35">
        <f>SUMPRODUCT(--(F$8&lt;=Model!$D$9:'Model'!$CN$9),--(F$9&gt;=Model!$D$9:'Model'!$CN$9),Model!$D79:'Model'!$CN79)</f>
        <v>0</v>
      </c>
      <c r="G75" s="35">
        <f>SUMPRODUCT(--(G$8&lt;=Model!$D$9:'Model'!$CN$9),--(G$9&gt;=Model!$D$9:'Model'!$CN$9),Model!$D79:'Model'!$CN79)</f>
        <v>0</v>
      </c>
      <c r="H75" s="35">
        <f>SUMPRODUCT(--(H$8&lt;=Model!$D$9:'Model'!$CN$9),--(H$9&gt;=Model!$D$9:'Model'!$CN$9),Model!$D79:'Model'!$CN79)</f>
        <v>0</v>
      </c>
      <c r="I75" s="35">
        <f>SUMPRODUCT(--(I$8&lt;=Model!$D$9:'Model'!$CN$9),--(I$9&gt;=Model!$D$9:'Model'!$CN$9),Model!$D79:'Model'!$CN79)</f>
        <v>92415.616854358697</v>
      </c>
      <c r="J75" s="35">
        <f>SUMPRODUCT(--(J$8&lt;=Model!$D$9:'Model'!$CN$9),--(J$9&gt;=Model!$D$9:'Model'!$CN$9),Model!$D79:'Model'!$CN79)</f>
        <v>155395.90781554941</v>
      </c>
      <c r="K75" s="35">
        <f>SUMPRODUCT(--(K$8&lt;=Model!$D$9:'Model'!$CN$9),--(K$9&gt;=Model!$D$9:'Model'!$CN$9),Model!$D79:'Model'!$CN79)</f>
        <v>168579.45388483477</v>
      </c>
      <c r="L75" s="35">
        <f>SUMPRODUCT(--(L$8&lt;=Model!$D$9:'Model'!$CN$9),--(L$9&gt;=Model!$D$9:'Model'!$CN$9),Model!$D79:'Model'!$CN79)</f>
        <v>156569.22919383607</v>
      </c>
      <c r="M75" s="35">
        <f>SUMPRODUCT(--(M$8&lt;=Model!$D$9:'Model'!$CN$9),--(M$9&gt;=Model!$D$9:'Model'!$CN$9),Model!$D79:'Model'!$CN79)</f>
        <v>178622.64472155762</v>
      </c>
      <c r="N75" s="35">
        <f>SUMPRODUCT(--(N$8&lt;=Model!$D$9:'Model'!$CN$9),--(N$9&gt;=Model!$D$9:'Model'!$CN$9),Model!$D79:'Model'!$CN79)</f>
        <v>173499.66991607469</v>
      </c>
      <c r="O75" s="35">
        <f>SUMPRODUCT(--(O$8&lt;=Model!$D$9:'Model'!$CN$9),--(O$9&gt;=Model!$D$9:'Model'!$CN$9),Model!$D79:'Model'!$CN79)</f>
        <v>196027.41991526974</v>
      </c>
      <c r="P75" s="35">
        <f>SUMPRODUCT(--(P$8&lt;=Model!$D$9:'Model'!$CN$9),--(P$9&gt;=Model!$D$9:'Model'!$CN$9),Model!$D79:'Model'!$CN79)</f>
        <v>185565.22970303384</v>
      </c>
      <c r="Q75" s="35">
        <f>SUMPRODUCT(--(Q$8&lt;=Model!$D$9:'Model'!$CN$9),--(Q$9&gt;=Model!$D$9:'Model'!$CN$9),Model!$D79:'Model'!$CN79)</f>
        <v>215260.9192147319</v>
      </c>
      <c r="R75" s="35">
        <f>SUMPRODUCT(--(R$8&lt;=Model!$D$9:'Model'!$CN$9),--(R$9&gt;=Model!$D$9:'Model'!$CN$9),Model!$D79:'Model'!$CN79)</f>
        <v>199354.9921908814</v>
      </c>
      <c r="S75" s="35">
        <f>SUMPRODUCT(--(S$8&lt;=Model!$D$9:'Model'!$CN$9),--(S$9&gt;=Model!$D$9:'Model'!$CN$9),Model!$D79:'Model'!$CN79)</f>
        <v>184478.7696336821</v>
      </c>
      <c r="T75" s="35">
        <f>SUMPRODUCT(--(T$8&lt;=Model!$D$9:'Model'!$CN$9),--(T$9&gt;=Model!$D$9:'Model'!$CN$9),Model!$D79:'Model'!$CN79)</f>
        <v>210993.22869101926</v>
      </c>
      <c r="U75" s="35">
        <f>SUMPRODUCT(--(U$8&lt;=Model!$D$9:'Model'!$CN$9),--(U$9&gt;=Model!$D$9:'Model'!$CN$9),Model!$D79:'Model'!$CN79)</f>
        <v>204460.03517838407</v>
      </c>
      <c r="V75" s="35">
        <f>SUMPRODUCT(--(V$8&lt;=Model!$D$9:'Model'!$CN$9),--(V$9&gt;=Model!$D$9:'Model'!$CN$9),Model!$D79:'Model'!$CN79)</f>
        <v>231521.16120196608</v>
      </c>
      <c r="W75" s="35">
        <f>SUMPRODUCT(--(W$8&lt;=Model!$D$9:'Model'!$CN$9),--(W$9&gt;=Model!$D$9:'Model'!$CN$9),Model!$D79:'Model'!$CN79)</f>
        <v>218466.73396648356</v>
      </c>
      <c r="X75" s="35">
        <f>SUMPRODUCT(--(X$8&lt;=Model!$D$9:'Model'!$CN$9),--(X$9&gt;=Model!$D$9:'Model'!$CN$9),Model!$D79:'Model'!$CN79)</f>
        <v>254207.58204000001</v>
      </c>
      <c r="Y75" s="35">
        <f>SUMPRODUCT(--(Y$8&lt;=Model!$D$9:'Model'!$CN$9),--(Y$9&gt;=Model!$D$9:'Model'!$CN$9),Model!$D79:'Model'!$CN79)</f>
        <v>234501.6577981532</v>
      </c>
      <c r="Z75" s="35">
        <f>SUMPRODUCT(--(Z$8&lt;=Model!$D$9:'Model'!$CN$9),--(Z$9&gt;=Model!$D$9:'Model'!$CN$9),Model!$D79:'Model'!$CN79)</f>
        <v>216028.73724455823</v>
      </c>
      <c r="AA75" s="35"/>
    </row>
    <row r="76" spans="1:27" ht="12.75" customHeight="1">
      <c r="A76" s="88"/>
      <c r="B76" s="89" t="s">
        <v>175</v>
      </c>
      <c r="C76" s="88">
        <f t="shared" si="13"/>
        <v>-3475948.9891643752</v>
      </c>
      <c r="D76" s="60">
        <f>Model!D80</f>
        <v>0</v>
      </c>
      <c r="E76" s="88">
        <f>SUMPRODUCT(--(E$8&lt;=Model!$D$9:'Model'!$CN$9),--(E$9&gt;=Model!$D$9:'Model'!$CN$9),Model!$D80:'Model'!$CN80)</f>
        <v>0</v>
      </c>
      <c r="F76" s="88">
        <f>SUMPRODUCT(--(F$8&lt;=Model!$D$9:'Model'!$CN$9),--(F$9&gt;=Model!$D$9:'Model'!$CN$9),Model!$D80:'Model'!$CN80)</f>
        <v>0</v>
      </c>
      <c r="G76" s="88">
        <f>SUMPRODUCT(--(G$8&lt;=Model!$D$9:'Model'!$CN$9),--(G$9&gt;=Model!$D$9:'Model'!$CN$9),Model!$D80:'Model'!$CN80)</f>
        <v>0</v>
      </c>
      <c r="H76" s="88">
        <f>SUMPRODUCT(--(H$8&lt;=Model!$D$9:'Model'!$CN$9),--(H$9&gt;=Model!$D$9:'Model'!$CN$9),Model!$D80:'Model'!$CN80)</f>
        <v>0</v>
      </c>
      <c r="I76" s="88">
        <f>SUMPRODUCT(--(I$8&lt;=Model!$D$9:'Model'!$CN$9),--(I$9&gt;=Model!$D$9:'Model'!$CN$9),Model!$D80:'Model'!$CN80)</f>
        <v>-92415.616854358697</v>
      </c>
      <c r="J76" s="88">
        <f>SUMPRODUCT(--(J$8&lt;=Model!$D$9:'Model'!$CN$9),--(J$9&gt;=Model!$D$9:'Model'!$CN$9),Model!$D80:'Model'!$CN80)</f>
        <v>-155395.90781554941</v>
      </c>
      <c r="K76" s="88">
        <f>SUMPRODUCT(--(K$8&lt;=Model!$D$9:'Model'!$CN$9),--(K$9&gt;=Model!$D$9:'Model'!$CN$9),Model!$D80:'Model'!$CN80)</f>
        <v>-168579.45388483477</v>
      </c>
      <c r="L76" s="88">
        <f>SUMPRODUCT(--(L$8&lt;=Model!$D$9:'Model'!$CN$9),--(L$9&gt;=Model!$D$9:'Model'!$CN$9),Model!$D80:'Model'!$CN80)</f>
        <v>-156569.22919383607</v>
      </c>
      <c r="M76" s="88">
        <f>SUMPRODUCT(--(M$8&lt;=Model!$D$9:'Model'!$CN$9),--(M$9&gt;=Model!$D$9:'Model'!$CN$9),Model!$D80:'Model'!$CN80)</f>
        <v>-178622.64472155762</v>
      </c>
      <c r="N76" s="88">
        <f>SUMPRODUCT(--(N$8&lt;=Model!$D$9:'Model'!$CN$9),--(N$9&gt;=Model!$D$9:'Model'!$CN$9),Model!$D80:'Model'!$CN80)</f>
        <v>-173499.66991607469</v>
      </c>
      <c r="O76" s="88">
        <f>SUMPRODUCT(--(O$8&lt;=Model!$D$9:'Model'!$CN$9),--(O$9&gt;=Model!$D$9:'Model'!$CN$9),Model!$D80:'Model'!$CN80)</f>
        <v>-196027.41991526974</v>
      </c>
      <c r="P76" s="88">
        <f>SUMPRODUCT(--(P$8&lt;=Model!$D$9:'Model'!$CN$9),--(P$9&gt;=Model!$D$9:'Model'!$CN$9),Model!$D80:'Model'!$CN80)</f>
        <v>-185565.22970303384</v>
      </c>
      <c r="Q76" s="88">
        <f>SUMPRODUCT(--(Q$8&lt;=Model!$D$9:'Model'!$CN$9),--(Q$9&gt;=Model!$D$9:'Model'!$CN$9),Model!$D80:'Model'!$CN80)</f>
        <v>-215260.9192147319</v>
      </c>
      <c r="R76" s="88">
        <f>SUMPRODUCT(--(R$8&lt;=Model!$D$9:'Model'!$CN$9),--(R$9&gt;=Model!$D$9:'Model'!$CN$9),Model!$D80:'Model'!$CN80)</f>
        <v>-199354.9921908814</v>
      </c>
      <c r="S76" s="88">
        <f>SUMPRODUCT(--(S$8&lt;=Model!$D$9:'Model'!$CN$9),--(S$9&gt;=Model!$D$9:'Model'!$CN$9),Model!$D80:'Model'!$CN80)</f>
        <v>-184478.7696336821</v>
      </c>
      <c r="T76" s="88">
        <f>SUMPRODUCT(--(T$8&lt;=Model!$D$9:'Model'!$CN$9),--(T$9&gt;=Model!$D$9:'Model'!$CN$9),Model!$D80:'Model'!$CN80)</f>
        <v>-210993.22869101926</v>
      </c>
      <c r="U76" s="88">
        <f>SUMPRODUCT(--(U$8&lt;=Model!$D$9:'Model'!$CN$9),--(U$9&gt;=Model!$D$9:'Model'!$CN$9),Model!$D80:'Model'!$CN80)</f>
        <v>-204460.03517838407</v>
      </c>
      <c r="V76" s="88">
        <f>SUMPRODUCT(--(V$8&lt;=Model!$D$9:'Model'!$CN$9),--(V$9&gt;=Model!$D$9:'Model'!$CN$9),Model!$D80:'Model'!$CN80)</f>
        <v>-231521.16120196608</v>
      </c>
      <c r="W76" s="88">
        <f>SUMPRODUCT(--(W$8&lt;=Model!$D$9:'Model'!$CN$9),--(W$9&gt;=Model!$D$9:'Model'!$CN$9),Model!$D80:'Model'!$CN80)</f>
        <v>-218466.73396648356</v>
      </c>
      <c r="X76" s="88">
        <f>SUMPRODUCT(--(X$8&lt;=Model!$D$9:'Model'!$CN$9),--(X$9&gt;=Model!$D$9:'Model'!$CN$9),Model!$D80:'Model'!$CN80)</f>
        <v>-254207.58204000001</v>
      </c>
      <c r="Y76" s="88">
        <f>SUMPRODUCT(--(Y$8&lt;=Model!$D$9:'Model'!$CN$9),--(Y$9&gt;=Model!$D$9:'Model'!$CN$9),Model!$D80:'Model'!$CN80)</f>
        <v>-234501.6577981532</v>
      </c>
      <c r="Z76" s="88">
        <f>SUMPRODUCT(--(Z$8&lt;=Model!$D$9:'Model'!$CN$9),--(Z$9&gt;=Model!$D$9:'Model'!$CN$9),Model!$D80:'Model'!$CN80)</f>
        <v>-216028.73724455823</v>
      </c>
      <c r="AA76" s="88"/>
    </row>
    <row r="77" spans="1:27" ht="12.75" customHeight="1">
      <c r="A77" s="37"/>
      <c r="B77" s="70" t="s">
        <v>176</v>
      </c>
      <c r="C77" s="70">
        <f>SUM(D77:Z77)</f>
        <v>12456207.318821339</v>
      </c>
      <c r="D77" s="71">
        <f>Model!D81</f>
        <v>0</v>
      </c>
      <c r="E77" s="70">
        <f>SUMPRODUCT(--(E$8&lt;=Model!$D$9:'Model'!$CN$9),--(E$9&gt;=Model!$D$9:'Model'!$CN$9),Model!$D81:'Model'!$CN81)</f>
        <v>-700</v>
      </c>
      <c r="F77" s="70">
        <f>SUMPRODUCT(--(F$8&lt;=Model!$D$9:'Model'!$CN$9),--(F$9&gt;=Model!$D$9:'Model'!$CN$9),Model!$D81:'Model'!$CN81)</f>
        <v>-2800</v>
      </c>
      <c r="G77" s="70">
        <f>SUMPRODUCT(--(G$8&lt;=Model!$D$9:'Model'!$CN$9),--(G$9&gt;=Model!$D$9:'Model'!$CN$9),Model!$D81:'Model'!$CN81)</f>
        <v>-2800</v>
      </c>
      <c r="H77" s="70">
        <f>SUMPRODUCT(--(H$8&lt;=Model!$D$9:'Model'!$CN$9),--(H$9&gt;=Model!$D$9:'Model'!$CN$9),Model!$D81:'Model'!$CN81)</f>
        <v>-2800</v>
      </c>
      <c r="I77" s="70">
        <f>SUMPRODUCT(--(I$8&lt;=Model!$D$9:'Model'!$CN$9),--(I$9&gt;=Model!$D$9:'Model'!$CN$9),Model!$D81:'Model'!$CN81)</f>
        <v>370926.58112440235</v>
      </c>
      <c r="J77" s="70">
        <f>SUMPRODUCT(--(J$8&lt;=Model!$D$9:'Model'!$CN$9),--(J$9&gt;=Model!$D$9:'Model'!$CN$9),Model!$D81:'Model'!$CN81)</f>
        <v>615957.75389291823</v>
      </c>
      <c r="K77" s="70">
        <f>SUMPRODUCT(--(K$8&lt;=Model!$D$9:'Model'!$CN$9),--(K$9&gt;=Model!$D$9:'Model'!$CN$9),Model!$D81:'Model'!$CN81)</f>
        <v>647256.12786628457</v>
      </c>
      <c r="L77" s="70">
        <f>SUMPRODUCT(--(L$8&lt;=Model!$D$9:'Model'!$CN$9),--(L$9&gt;=Model!$D$9:'Model'!$CN$9),Model!$D81:'Model'!$CN81)</f>
        <v>608869.83228528686</v>
      </c>
      <c r="M77" s="70">
        <f>SUMPRODUCT(--(M$8&lt;=Model!$D$9:'Model'!$CN$9),--(M$9&gt;=Model!$D$9:'Model'!$CN$9),Model!$D81:'Model'!$CN81)</f>
        <v>678069.06697246945</v>
      </c>
      <c r="N77" s="70">
        <f>SUMPRODUCT(--(N$8&lt;=Model!$D$9:'Model'!$CN$9),--(N$9&gt;=Model!$D$9:'Model'!$CN$9),Model!$D81:'Model'!$CN81)</f>
        <v>648591.91234423884</v>
      </c>
      <c r="O77" s="70">
        <f>SUMPRODUCT(--(O$8&lt;=Model!$D$9:'Model'!$CN$9),--(O$9&gt;=Model!$D$9:'Model'!$CN$9),Model!$D81:'Model'!$CN81)</f>
        <v>731053.24979360751</v>
      </c>
      <c r="P77" s="70">
        <f>SUMPRODUCT(--(P$8&lt;=Model!$D$9:'Model'!$CN$9),--(P$9&gt;=Model!$D$9:'Model'!$CN$9),Model!$D81:'Model'!$CN81)</f>
        <v>684945.34995734273</v>
      </c>
      <c r="Q77" s="70">
        <f>SUMPRODUCT(--(Q$8&lt;=Model!$D$9:'Model'!$CN$9),--(Q$9&gt;=Model!$D$9:'Model'!$CN$9),Model!$D81:'Model'!$CN81)</f>
        <v>762446.155472568</v>
      </c>
      <c r="R77" s="70">
        <f>SUMPRODUCT(--(R$8&lt;=Model!$D$9:'Model'!$CN$9),--(R$9&gt;=Model!$D$9:'Model'!$CN$9),Model!$D81:'Model'!$CN81)</f>
        <v>691458.2229934762</v>
      </c>
      <c r="S77" s="70">
        <f>SUMPRODUCT(--(S$8&lt;=Model!$D$9:'Model'!$CN$9),--(S$9&gt;=Model!$D$9:'Model'!$CN$9),Model!$D81:'Model'!$CN81)</f>
        <v>644584.1328073591</v>
      </c>
      <c r="T77" s="70">
        <f>SUMPRODUCT(--(T$8&lt;=Model!$D$9:'Model'!$CN$9),--(T$9&gt;=Model!$D$9:'Model'!$CN$9),Model!$D81:'Model'!$CN81)</f>
        <v>726183.46792226168</v>
      </c>
      <c r="U77" s="70">
        <f>SUMPRODUCT(--(U$8&lt;=Model!$D$9:'Model'!$CN$9),--(U$9&gt;=Model!$D$9:'Model'!$CN$9),Model!$D81:'Model'!$CN81)</f>
        <v>695889.43328338116</v>
      </c>
      <c r="V77" s="70">
        <f>SUMPRODUCT(--(V$8&lt;=Model!$D$9:'Model'!$CN$9),--(V$9&gt;=Model!$D$9:'Model'!$CN$9),Model!$D81:'Model'!$CN81)</f>
        <v>794773.15501090942</v>
      </c>
      <c r="W77" s="70">
        <f>SUMPRODUCT(--(W$8&lt;=Model!$D$9:'Model'!$CN$9),--(W$9&gt;=Model!$D$9:'Model'!$CN$9),Model!$D81:'Model'!$CN81)</f>
        <v>746411.76957898191</v>
      </c>
      <c r="X77" s="70">
        <f>SUMPRODUCT(--(X$8&lt;=Model!$D$9:'Model'!$CN$9),--(X$9&gt;=Model!$D$9:'Model'!$CN$9),Model!$D81:'Model'!$CN81)</f>
        <v>866111.31645929115</v>
      </c>
      <c r="Y77" s="70">
        <f>SUMPRODUCT(--(Y$8&lt;=Model!$D$9:'Model'!$CN$9),--(Y$9&gt;=Model!$D$9:'Model'!$CN$9),Model!$D81:'Model'!$CN81)</f>
        <v>801208.88480002386</v>
      </c>
      <c r="Z77" s="70">
        <f>SUMPRODUCT(--(Z$8&lt;=Model!$D$9:'Model'!$CN$9),--(Z$9&gt;=Model!$D$9:'Model'!$CN$9),Model!$D81:'Model'!$CN81)</f>
        <v>750570.90625653532</v>
      </c>
      <c r="AA77" s="70"/>
    </row>
    <row r="78" spans="1:27" ht="12.75" customHeight="1">
      <c r="A78" s="35"/>
      <c r="B78" s="37" t="s">
        <v>177</v>
      </c>
      <c r="C78" s="35"/>
      <c r="D78" s="60">
        <f>Model!D82</f>
        <v>0</v>
      </c>
      <c r="E78" s="35">
        <f>SUMPRODUCT(--(E$8&lt;=Model!$D$9:'Model'!$CN$9),--(E$9&gt;=Model!$D$9:'Model'!$CN$9),Model!$D82:'Model'!$CN82)</f>
        <v>0</v>
      </c>
      <c r="F78" s="35">
        <f>SUMPRODUCT(--(F$8&lt;=Model!$D$9:'Model'!$CN$9),--(F$9&gt;=Model!$D$9:'Model'!$CN$9),Model!$D82:'Model'!$CN82)</f>
        <v>0</v>
      </c>
      <c r="G78" s="35">
        <f>SUMPRODUCT(--(G$8&lt;=Model!$D$9:'Model'!$CN$9),--(G$9&gt;=Model!$D$9:'Model'!$CN$9),Model!$D82:'Model'!$CN82)</f>
        <v>0</v>
      </c>
      <c r="H78" s="35">
        <f>SUMPRODUCT(--(H$8&lt;=Model!$D$9:'Model'!$CN$9),--(H$9&gt;=Model!$D$9:'Model'!$CN$9),Model!$D82:'Model'!$CN82)</f>
        <v>0</v>
      </c>
      <c r="I78" s="35">
        <f>SUMPRODUCT(--(I$8&lt;=Model!$D$9:'Model'!$CN$9),--(I$9&gt;=Model!$D$9:'Model'!$CN$9),Model!$D82:'Model'!$CN82)</f>
        <v>0</v>
      </c>
      <c r="J78" s="35">
        <f>SUMPRODUCT(--(J$8&lt;=Model!$D$9:'Model'!$CN$9),--(J$9&gt;=Model!$D$9:'Model'!$CN$9),Model!$D82:'Model'!$CN82)</f>
        <v>0</v>
      </c>
      <c r="K78" s="35">
        <f>SUMPRODUCT(--(K$8&lt;=Model!$D$9:'Model'!$CN$9),--(K$9&gt;=Model!$D$9:'Model'!$CN$9),Model!$D82:'Model'!$CN82)</f>
        <v>0</v>
      </c>
      <c r="L78" s="35">
        <f>SUMPRODUCT(--(L$8&lt;=Model!$D$9:'Model'!$CN$9),--(L$9&gt;=Model!$D$9:'Model'!$CN$9),Model!$D82:'Model'!$CN82)</f>
        <v>0</v>
      </c>
      <c r="M78" s="35">
        <f>SUMPRODUCT(--(M$8&lt;=Model!$D$9:'Model'!$CN$9),--(M$9&gt;=Model!$D$9:'Model'!$CN$9),Model!$D82:'Model'!$CN82)</f>
        <v>0</v>
      </c>
      <c r="N78" s="35">
        <f>SUMPRODUCT(--(N$8&lt;=Model!$D$9:'Model'!$CN$9),--(N$9&gt;=Model!$D$9:'Model'!$CN$9),Model!$D82:'Model'!$CN82)</f>
        <v>0</v>
      </c>
      <c r="O78" s="35">
        <f>SUMPRODUCT(--(O$8&lt;=Model!$D$9:'Model'!$CN$9),--(O$9&gt;=Model!$D$9:'Model'!$CN$9),Model!$D82:'Model'!$CN82)</f>
        <v>0</v>
      </c>
      <c r="P78" s="35">
        <f>SUMPRODUCT(--(P$8&lt;=Model!$D$9:'Model'!$CN$9),--(P$9&gt;=Model!$D$9:'Model'!$CN$9),Model!$D82:'Model'!$CN82)</f>
        <v>0</v>
      </c>
      <c r="Q78" s="35">
        <f>SUMPRODUCT(--(Q$8&lt;=Model!$D$9:'Model'!$CN$9),--(Q$9&gt;=Model!$D$9:'Model'!$CN$9),Model!$D82:'Model'!$CN82)</f>
        <v>0</v>
      </c>
      <c r="R78" s="35">
        <f>SUMPRODUCT(--(R$8&lt;=Model!$D$9:'Model'!$CN$9),--(R$9&gt;=Model!$D$9:'Model'!$CN$9),Model!$D82:'Model'!$CN82)</f>
        <v>0</v>
      </c>
      <c r="S78" s="35">
        <f>SUMPRODUCT(--(S$8&lt;=Model!$D$9:'Model'!$CN$9),--(S$9&gt;=Model!$D$9:'Model'!$CN$9),Model!$D82:'Model'!$CN82)</f>
        <v>0</v>
      </c>
      <c r="T78" s="35">
        <f>SUMPRODUCT(--(T$8&lt;=Model!$D$9:'Model'!$CN$9),--(T$9&gt;=Model!$D$9:'Model'!$CN$9),Model!$D82:'Model'!$CN82)</f>
        <v>0</v>
      </c>
      <c r="U78" s="35">
        <f>SUMPRODUCT(--(U$8&lt;=Model!$D$9:'Model'!$CN$9),--(U$9&gt;=Model!$D$9:'Model'!$CN$9),Model!$D82:'Model'!$CN82)</f>
        <v>0</v>
      </c>
      <c r="V78" s="35">
        <f>SUMPRODUCT(--(V$8&lt;=Model!$D$9:'Model'!$CN$9),--(V$9&gt;=Model!$D$9:'Model'!$CN$9),Model!$D82:'Model'!$CN82)</f>
        <v>0</v>
      </c>
      <c r="W78" s="35">
        <f>SUMPRODUCT(--(W$8&lt;=Model!$D$9:'Model'!$CN$9),--(W$9&gt;=Model!$D$9:'Model'!$CN$9),Model!$D82:'Model'!$CN82)</f>
        <v>0</v>
      </c>
      <c r="X78" s="35">
        <f>SUMPRODUCT(--(X$8&lt;=Model!$D$9:'Model'!$CN$9),--(X$9&gt;=Model!$D$9:'Model'!$CN$9),Model!$D82:'Model'!$CN82)</f>
        <v>0</v>
      </c>
      <c r="Y78" s="35">
        <f>SUMPRODUCT(--(Y$8&lt;=Model!$D$9:'Model'!$CN$9),--(Y$9&gt;=Model!$D$9:'Model'!$CN$9),Model!$D82:'Model'!$CN82)</f>
        <v>0</v>
      </c>
      <c r="Z78" s="35">
        <f>SUMPRODUCT(--(Z$8&lt;=Model!$D$9:'Model'!$CN$9),--(Z$9&gt;=Model!$D$9:'Model'!$CN$9),Model!$D82:'Model'!$CN82)</f>
        <v>0</v>
      </c>
      <c r="AA78" s="35"/>
    </row>
    <row r="79" spans="1:27" ht="12.75" customHeight="1">
      <c r="A79" s="35"/>
      <c r="B79" s="63" t="s">
        <v>178</v>
      </c>
      <c r="C79" s="35">
        <f t="shared" ref="C79:C81" si="14">SUM(D79:AA79)</f>
        <v>-4773391.5</v>
      </c>
      <c r="D79" s="60">
        <f>Model!D83</f>
        <v>0</v>
      </c>
      <c r="E79" s="35">
        <f>SUMPRODUCT(--(E$8&lt;=Model!$D$9:'Model'!$CN$9),--(E$9&gt;=Model!$D$9:'Model'!$CN$9),Model!$D83:'Model'!$CN83)</f>
        <v>-50990</v>
      </c>
      <c r="F79" s="35">
        <f>SUMPRODUCT(--(F$8&lt;=Model!$D$9:'Model'!$CN$9),--(F$9&gt;=Model!$D$9:'Model'!$CN$9),Model!$D83:'Model'!$CN83)</f>
        <v>-607140.92500000005</v>
      </c>
      <c r="G79" s="35">
        <f>SUMPRODUCT(--(G$8&lt;=Model!$D$9:'Model'!$CN$9),--(G$9&gt;=Model!$D$9:'Model'!$CN$9),Model!$D83:'Model'!$CN83)</f>
        <v>-1625116.4416666667</v>
      </c>
      <c r="H79" s="35">
        <f>SUMPRODUCT(--(H$8&lt;=Model!$D$9:'Model'!$CN$9),--(H$9&gt;=Model!$D$9:'Model'!$CN$9),Model!$D83:'Model'!$CN83)</f>
        <v>-1774227.6266666669</v>
      </c>
      <c r="I79" s="35">
        <f>SUMPRODUCT(--(I$8&lt;=Model!$D$9:'Model'!$CN$9),--(I$9&gt;=Model!$D$9:'Model'!$CN$9),Model!$D83:'Model'!$CN83)</f>
        <v>-715916.50666666671</v>
      </c>
      <c r="J79" s="35">
        <f>SUMPRODUCT(--(J$8&lt;=Model!$D$9:'Model'!$CN$9),--(J$9&gt;=Model!$D$9:'Model'!$CN$9),Model!$D83:'Model'!$CN83)</f>
        <v>0</v>
      </c>
      <c r="K79" s="35">
        <f>SUMPRODUCT(--(K$8&lt;=Model!$D$9:'Model'!$CN$9),--(K$9&gt;=Model!$D$9:'Model'!$CN$9),Model!$D83:'Model'!$CN83)</f>
        <v>0</v>
      </c>
      <c r="L79" s="35">
        <f>SUMPRODUCT(--(L$8&lt;=Model!$D$9:'Model'!$CN$9),--(L$9&gt;=Model!$D$9:'Model'!$CN$9),Model!$D83:'Model'!$CN83)</f>
        <v>0</v>
      </c>
      <c r="M79" s="35">
        <f>SUMPRODUCT(--(M$8&lt;=Model!$D$9:'Model'!$CN$9),--(M$9&gt;=Model!$D$9:'Model'!$CN$9),Model!$D83:'Model'!$CN83)</f>
        <v>0</v>
      </c>
      <c r="N79" s="35">
        <f>SUMPRODUCT(--(N$8&lt;=Model!$D$9:'Model'!$CN$9),--(N$9&gt;=Model!$D$9:'Model'!$CN$9),Model!$D83:'Model'!$CN83)</f>
        <v>0</v>
      </c>
      <c r="O79" s="35">
        <f>SUMPRODUCT(--(O$8&lt;=Model!$D$9:'Model'!$CN$9),--(O$9&gt;=Model!$D$9:'Model'!$CN$9),Model!$D83:'Model'!$CN83)</f>
        <v>0</v>
      </c>
      <c r="P79" s="35">
        <f>SUMPRODUCT(--(P$8&lt;=Model!$D$9:'Model'!$CN$9),--(P$9&gt;=Model!$D$9:'Model'!$CN$9),Model!$D83:'Model'!$CN83)</f>
        <v>0</v>
      </c>
      <c r="Q79" s="35">
        <f>SUMPRODUCT(--(Q$8&lt;=Model!$D$9:'Model'!$CN$9),--(Q$9&gt;=Model!$D$9:'Model'!$CN$9),Model!$D83:'Model'!$CN83)</f>
        <v>0</v>
      </c>
      <c r="R79" s="35">
        <f>SUMPRODUCT(--(R$8&lt;=Model!$D$9:'Model'!$CN$9),--(R$9&gt;=Model!$D$9:'Model'!$CN$9),Model!$D83:'Model'!$CN83)</f>
        <v>0</v>
      </c>
      <c r="S79" s="35">
        <f>SUMPRODUCT(--(S$8&lt;=Model!$D$9:'Model'!$CN$9),--(S$9&gt;=Model!$D$9:'Model'!$CN$9),Model!$D83:'Model'!$CN83)</f>
        <v>0</v>
      </c>
      <c r="T79" s="35">
        <f>SUMPRODUCT(--(T$8&lt;=Model!$D$9:'Model'!$CN$9),--(T$9&gt;=Model!$D$9:'Model'!$CN$9),Model!$D83:'Model'!$CN83)</f>
        <v>0</v>
      </c>
      <c r="U79" s="35">
        <f>SUMPRODUCT(--(U$8&lt;=Model!$D$9:'Model'!$CN$9),--(U$9&gt;=Model!$D$9:'Model'!$CN$9),Model!$D83:'Model'!$CN83)</f>
        <v>0</v>
      </c>
      <c r="V79" s="35">
        <f>SUMPRODUCT(--(V$8&lt;=Model!$D$9:'Model'!$CN$9),--(V$9&gt;=Model!$D$9:'Model'!$CN$9),Model!$D83:'Model'!$CN83)</f>
        <v>0</v>
      </c>
      <c r="W79" s="35">
        <f>SUMPRODUCT(--(W$8&lt;=Model!$D$9:'Model'!$CN$9),--(W$9&gt;=Model!$D$9:'Model'!$CN$9),Model!$D83:'Model'!$CN83)</f>
        <v>0</v>
      </c>
      <c r="X79" s="35">
        <f>SUMPRODUCT(--(X$8&lt;=Model!$D$9:'Model'!$CN$9),--(X$9&gt;=Model!$D$9:'Model'!$CN$9),Model!$D83:'Model'!$CN83)</f>
        <v>0</v>
      </c>
      <c r="Y79" s="35">
        <f>SUMPRODUCT(--(Y$8&lt;=Model!$D$9:'Model'!$CN$9),--(Y$9&gt;=Model!$D$9:'Model'!$CN$9),Model!$D83:'Model'!$CN83)</f>
        <v>0</v>
      </c>
      <c r="Z79" s="35">
        <f>SUMPRODUCT(--(Z$8&lt;=Model!$D$9:'Model'!$CN$9),--(Z$9&gt;=Model!$D$9:'Model'!$CN$9),Model!$D83:'Model'!$CN83)</f>
        <v>0</v>
      </c>
      <c r="AA79" s="35"/>
    </row>
    <row r="80" spans="1:27" ht="12.75" customHeight="1">
      <c r="A80" s="35"/>
      <c r="B80" s="63" t="s">
        <v>179</v>
      </c>
      <c r="C80" s="35">
        <f t="shared" si="14"/>
        <v>795565.25000000012</v>
      </c>
      <c r="D80" s="60">
        <f>Model!D84</f>
        <v>0</v>
      </c>
      <c r="E80" s="35">
        <f>SUMPRODUCT(--(E$8&lt;=Model!$D$9:'Model'!$CN$9),--(E$9&gt;=Model!$D$9:'Model'!$CN$9),Model!$D84:'Model'!$CN84)</f>
        <v>581.66666666666674</v>
      </c>
      <c r="F80" s="35">
        <f>SUMPRODUCT(--(F$8&lt;=Model!$D$9:'Model'!$CN$9),--(F$9&gt;=Model!$D$9:'Model'!$CN$9),Model!$D84:'Model'!$CN84)</f>
        <v>16682.777777777781</v>
      </c>
      <c r="G80" s="35">
        <f>SUMPRODUCT(--(G$8&lt;=Model!$D$9:'Model'!$CN$9),--(G$9&gt;=Model!$D$9:'Model'!$CN$9),Model!$D84:'Model'!$CN84)</f>
        <v>204634.28819444447</v>
      </c>
      <c r="H80" s="35">
        <f>SUMPRODUCT(--(H$8&lt;=Model!$D$9:'Model'!$CN$9),--(H$9&gt;=Model!$D$9:'Model'!$CN$9),Model!$D84:'Model'!$CN84)</f>
        <v>306799.75069444452</v>
      </c>
      <c r="I80" s="35">
        <f>SUMPRODUCT(--(I$8&lt;=Model!$D$9:'Model'!$CN$9),--(I$9&gt;=Model!$D$9:'Model'!$CN$9),Model!$D84:'Model'!$CN84)</f>
        <v>266866.76666666672</v>
      </c>
      <c r="J80" s="35">
        <f>SUMPRODUCT(--(J$8&lt;=Model!$D$9:'Model'!$CN$9),--(J$9&gt;=Model!$D$9:'Model'!$CN$9),Model!$D84:'Model'!$CN84)</f>
        <v>0</v>
      </c>
      <c r="K80" s="35">
        <f>SUMPRODUCT(--(K$8&lt;=Model!$D$9:'Model'!$CN$9),--(K$9&gt;=Model!$D$9:'Model'!$CN$9),Model!$D84:'Model'!$CN84)</f>
        <v>0</v>
      </c>
      <c r="L80" s="35">
        <f>SUMPRODUCT(--(L$8&lt;=Model!$D$9:'Model'!$CN$9),--(L$9&gt;=Model!$D$9:'Model'!$CN$9),Model!$D84:'Model'!$CN84)</f>
        <v>0</v>
      </c>
      <c r="M80" s="35">
        <f>SUMPRODUCT(--(M$8&lt;=Model!$D$9:'Model'!$CN$9),--(M$9&gt;=Model!$D$9:'Model'!$CN$9),Model!$D84:'Model'!$CN84)</f>
        <v>0</v>
      </c>
      <c r="N80" s="35">
        <f>SUMPRODUCT(--(N$8&lt;=Model!$D$9:'Model'!$CN$9),--(N$9&gt;=Model!$D$9:'Model'!$CN$9),Model!$D84:'Model'!$CN84)</f>
        <v>0</v>
      </c>
      <c r="O80" s="35">
        <f>SUMPRODUCT(--(O$8&lt;=Model!$D$9:'Model'!$CN$9),--(O$9&gt;=Model!$D$9:'Model'!$CN$9),Model!$D84:'Model'!$CN84)</f>
        <v>0</v>
      </c>
      <c r="P80" s="35">
        <f>SUMPRODUCT(--(P$8&lt;=Model!$D$9:'Model'!$CN$9),--(P$9&gt;=Model!$D$9:'Model'!$CN$9),Model!$D84:'Model'!$CN84)</f>
        <v>0</v>
      </c>
      <c r="Q80" s="35">
        <f>SUMPRODUCT(--(Q$8&lt;=Model!$D$9:'Model'!$CN$9),--(Q$9&gt;=Model!$D$9:'Model'!$CN$9),Model!$D84:'Model'!$CN84)</f>
        <v>0</v>
      </c>
      <c r="R80" s="35">
        <f>SUMPRODUCT(--(R$8&lt;=Model!$D$9:'Model'!$CN$9),--(R$9&gt;=Model!$D$9:'Model'!$CN$9),Model!$D84:'Model'!$CN84)</f>
        <v>0</v>
      </c>
      <c r="S80" s="35">
        <f>SUMPRODUCT(--(S$8&lt;=Model!$D$9:'Model'!$CN$9),--(S$9&gt;=Model!$D$9:'Model'!$CN$9),Model!$D84:'Model'!$CN84)</f>
        <v>0</v>
      </c>
      <c r="T80" s="35">
        <f>SUMPRODUCT(--(T$8&lt;=Model!$D$9:'Model'!$CN$9),--(T$9&gt;=Model!$D$9:'Model'!$CN$9),Model!$D84:'Model'!$CN84)</f>
        <v>0</v>
      </c>
      <c r="U80" s="35">
        <f>SUMPRODUCT(--(U$8&lt;=Model!$D$9:'Model'!$CN$9),--(U$9&gt;=Model!$D$9:'Model'!$CN$9),Model!$D84:'Model'!$CN84)</f>
        <v>0</v>
      </c>
      <c r="V80" s="35">
        <f>SUMPRODUCT(--(V$8&lt;=Model!$D$9:'Model'!$CN$9),--(V$9&gt;=Model!$D$9:'Model'!$CN$9),Model!$D84:'Model'!$CN84)</f>
        <v>0</v>
      </c>
      <c r="W80" s="35">
        <f>SUMPRODUCT(--(W$8&lt;=Model!$D$9:'Model'!$CN$9),--(W$9&gt;=Model!$D$9:'Model'!$CN$9),Model!$D84:'Model'!$CN84)</f>
        <v>0</v>
      </c>
      <c r="X80" s="35">
        <f>SUMPRODUCT(--(X$8&lt;=Model!$D$9:'Model'!$CN$9),--(X$9&gt;=Model!$D$9:'Model'!$CN$9),Model!$D84:'Model'!$CN84)</f>
        <v>0</v>
      </c>
      <c r="Y80" s="35">
        <f>SUMPRODUCT(--(Y$8&lt;=Model!$D$9:'Model'!$CN$9),--(Y$9&gt;=Model!$D$9:'Model'!$CN$9),Model!$D84:'Model'!$CN84)</f>
        <v>0</v>
      </c>
      <c r="Z80" s="35">
        <f>SUMPRODUCT(--(Z$8&lt;=Model!$D$9:'Model'!$CN$9),--(Z$9&gt;=Model!$D$9:'Model'!$CN$9),Model!$D84:'Model'!$CN84)</f>
        <v>0</v>
      </c>
      <c r="AA80" s="35"/>
    </row>
    <row r="81" spans="1:27" ht="12.75" customHeight="1">
      <c r="A81" s="90"/>
      <c r="B81" s="91" t="s">
        <v>180</v>
      </c>
      <c r="C81" s="91">
        <f t="shared" si="14"/>
        <v>-3977826.25</v>
      </c>
      <c r="D81" s="71">
        <f>Model!D85</f>
        <v>0</v>
      </c>
      <c r="E81" s="91">
        <f>SUMPRODUCT(--(E$8&lt;=Model!$D$9:'Model'!$CN$9),--(E$9&gt;=Model!$D$9:'Model'!$CN$9),Model!$D85:'Model'!$CN85)</f>
        <v>-50408.333333333328</v>
      </c>
      <c r="F81" s="91">
        <f>SUMPRODUCT(--(F$8&lt;=Model!$D$9:'Model'!$CN$9),--(F$9&gt;=Model!$D$9:'Model'!$CN$9),Model!$D85:'Model'!$CN85)</f>
        <v>-590458.14722222229</v>
      </c>
      <c r="G81" s="91">
        <f>SUMPRODUCT(--(G$8&lt;=Model!$D$9:'Model'!$CN$9),--(G$9&gt;=Model!$D$9:'Model'!$CN$9),Model!$D85:'Model'!$CN85)</f>
        <v>-1420482.1534722222</v>
      </c>
      <c r="H81" s="91">
        <f>SUMPRODUCT(--(H$8&lt;=Model!$D$9:'Model'!$CN$9),--(H$9&gt;=Model!$D$9:'Model'!$CN$9),Model!$D85:'Model'!$CN85)</f>
        <v>-1467427.8759722223</v>
      </c>
      <c r="I81" s="91">
        <f>SUMPRODUCT(--(I$8&lt;=Model!$D$9:'Model'!$CN$9),--(I$9&gt;=Model!$D$9:'Model'!$CN$9),Model!$D85:'Model'!$CN85)</f>
        <v>-449049.74000000011</v>
      </c>
      <c r="J81" s="91">
        <f>SUMPRODUCT(--(J$8&lt;=Model!$D$9:'Model'!$CN$9),--(J$9&gt;=Model!$D$9:'Model'!$CN$9),Model!$D85:'Model'!$CN85)</f>
        <v>0</v>
      </c>
      <c r="K81" s="91">
        <f>SUMPRODUCT(--(K$8&lt;=Model!$D$9:'Model'!$CN$9),--(K$9&gt;=Model!$D$9:'Model'!$CN$9),Model!$D85:'Model'!$CN85)</f>
        <v>0</v>
      </c>
      <c r="L81" s="91">
        <f>SUMPRODUCT(--(L$8&lt;=Model!$D$9:'Model'!$CN$9),--(L$9&gt;=Model!$D$9:'Model'!$CN$9),Model!$D85:'Model'!$CN85)</f>
        <v>0</v>
      </c>
      <c r="M81" s="91">
        <f>SUMPRODUCT(--(M$8&lt;=Model!$D$9:'Model'!$CN$9),--(M$9&gt;=Model!$D$9:'Model'!$CN$9),Model!$D85:'Model'!$CN85)</f>
        <v>0</v>
      </c>
      <c r="N81" s="91">
        <f>SUMPRODUCT(--(N$8&lt;=Model!$D$9:'Model'!$CN$9),--(N$9&gt;=Model!$D$9:'Model'!$CN$9),Model!$D85:'Model'!$CN85)</f>
        <v>0</v>
      </c>
      <c r="O81" s="91">
        <f>SUMPRODUCT(--(O$8&lt;=Model!$D$9:'Model'!$CN$9),--(O$9&gt;=Model!$D$9:'Model'!$CN$9),Model!$D85:'Model'!$CN85)</f>
        <v>0</v>
      </c>
      <c r="P81" s="91">
        <f>SUMPRODUCT(--(P$8&lt;=Model!$D$9:'Model'!$CN$9),--(P$9&gt;=Model!$D$9:'Model'!$CN$9),Model!$D85:'Model'!$CN85)</f>
        <v>0</v>
      </c>
      <c r="Q81" s="91">
        <f>SUMPRODUCT(--(Q$8&lt;=Model!$D$9:'Model'!$CN$9),--(Q$9&gt;=Model!$D$9:'Model'!$CN$9),Model!$D85:'Model'!$CN85)</f>
        <v>0</v>
      </c>
      <c r="R81" s="91">
        <f>SUMPRODUCT(--(R$8&lt;=Model!$D$9:'Model'!$CN$9),--(R$9&gt;=Model!$D$9:'Model'!$CN$9),Model!$D85:'Model'!$CN85)</f>
        <v>0</v>
      </c>
      <c r="S81" s="91">
        <f>SUMPRODUCT(--(S$8&lt;=Model!$D$9:'Model'!$CN$9),--(S$9&gt;=Model!$D$9:'Model'!$CN$9),Model!$D85:'Model'!$CN85)</f>
        <v>0</v>
      </c>
      <c r="T81" s="91">
        <f>SUMPRODUCT(--(T$8&lt;=Model!$D$9:'Model'!$CN$9),--(T$9&gt;=Model!$D$9:'Model'!$CN$9),Model!$D85:'Model'!$CN85)</f>
        <v>0</v>
      </c>
      <c r="U81" s="91">
        <f>SUMPRODUCT(--(U$8&lt;=Model!$D$9:'Model'!$CN$9),--(U$9&gt;=Model!$D$9:'Model'!$CN$9),Model!$D85:'Model'!$CN85)</f>
        <v>0</v>
      </c>
      <c r="V81" s="91">
        <f>SUMPRODUCT(--(V$8&lt;=Model!$D$9:'Model'!$CN$9),--(V$9&gt;=Model!$D$9:'Model'!$CN$9),Model!$D85:'Model'!$CN85)</f>
        <v>0</v>
      </c>
      <c r="W81" s="91">
        <f>SUMPRODUCT(--(W$8&lt;=Model!$D$9:'Model'!$CN$9),--(W$9&gt;=Model!$D$9:'Model'!$CN$9),Model!$D85:'Model'!$CN85)</f>
        <v>0</v>
      </c>
      <c r="X81" s="91">
        <f>SUMPRODUCT(--(X$8&lt;=Model!$D$9:'Model'!$CN$9),--(X$9&gt;=Model!$D$9:'Model'!$CN$9),Model!$D85:'Model'!$CN85)</f>
        <v>0</v>
      </c>
      <c r="Y81" s="91">
        <f>SUMPRODUCT(--(Y$8&lt;=Model!$D$9:'Model'!$CN$9),--(Y$9&gt;=Model!$D$9:'Model'!$CN$9),Model!$D85:'Model'!$CN85)</f>
        <v>0</v>
      </c>
      <c r="Z81" s="91">
        <f>SUMPRODUCT(--(Z$8&lt;=Model!$D$9:'Model'!$CN$9),--(Z$9&gt;=Model!$D$9:'Model'!$CN$9),Model!$D85:'Model'!$CN85)</f>
        <v>0</v>
      </c>
      <c r="AA81" s="91"/>
    </row>
    <row r="82" spans="1:27" ht="12.75" customHeight="1">
      <c r="A82" s="90"/>
      <c r="B82" s="90" t="s">
        <v>181</v>
      </c>
      <c r="C82" s="90"/>
      <c r="D82" s="92">
        <f>Model!D86</f>
        <v>0</v>
      </c>
      <c r="E82" s="90">
        <f>SUMPRODUCT(--(E$8&lt;=Model!$D$9:'Model'!$CN$9),--(E$9&gt;=Model!$D$9:'Model'!$CN$9),Model!$D86:'Model'!$CN86)</f>
        <v>0</v>
      </c>
      <c r="F82" s="90">
        <f>SUMPRODUCT(--(F$8&lt;=Model!$D$9:'Model'!$CN$9),--(F$9&gt;=Model!$D$9:'Model'!$CN$9),Model!$D86:'Model'!$CN86)</f>
        <v>0</v>
      </c>
      <c r="G82" s="90">
        <f>SUMPRODUCT(--(G$8&lt;=Model!$D$9:'Model'!$CN$9),--(G$9&gt;=Model!$D$9:'Model'!$CN$9),Model!$D86:'Model'!$CN86)</f>
        <v>0</v>
      </c>
      <c r="H82" s="90">
        <f>SUMPRODUCT(--(H$8&lt;=Model!$D$9:'Model'!$CN$9),--(H$9&gt;=Model!$D$9:'Model'!$CN$9),Model!$D86:'Model'!$CN86)</f>
        <v>0</v>
      </c>
      <c r="I82" s="90">
        <f>SUMPRODUCT(--(I$8&lt;=Model!$D$9:'Model'!$CN$9),--(I$9&gt;=Model!$D$9:'Model'!$CN$9),Model!$D86:'Model'!$CN86)</f>
        <v>0</v>
      </c>
      <c r="J82" s="90">
        <f>SUMPRODUCT(--(J$8&lt;=Model!$D$9:'Model'!$CN$9),--(J$9&gt;=Model!$D$9:'Model'!$CN$9),Model!$D86:'Model'!$CN86)</f>
        <v>0</v>
      </c>
      <c r="K82" s="90">
        <f>SUMPRODUCT(--(K$8&lt;=Model!$D$9:'Model'!$CN$9),--(K$9&gt;=Model!$D$9:'Model'!$CN$9),Model!$D86:'Model'!$CN86)</f>
        <v>0</v>
      </c>
      <c r="L82" s="90">
        <f>SUMPRODUCT(--(L$8&lt;=Model!$D$9:'Model'!$CN$9),--(L$9&gt;=Model!$D$9:'Model'!$CN$9),Model!$D86:'Model'!$CN86)</f>
        <v>0</v>
      </c>
      <c r="M82" s="90">
        <f>SUMPRODUCT(--(M$8&lt;=Model!$D$9:'Model'!$CN$9),--(M$9&gt;=Model!$D$9:'Model'!$CN$9),Model!$D86:'Model'!$CN86)</f>
        <v>0</v>
      </c>
      <c r="N82" s="90">
        <f>SUMPRODUCT(--(N$8&lt;=Model!$D$9:'Model'!$CN$9),--(N$9&gt;=Model!$D$9:'Model'!$CN$9),Model!$D86:'Model'!$CN86)</f>
        <v>0</v>
      </c>
      <c r="O82" s="90">
        <f>SUMPRODUCT(--(O$8&lt;=Model!$D$9:'Model'!$CN$9),--(O$9&gt;=Model!$D$9:'Model'!$CN$9),Model!$D86:'Model'!$CN86)</f>
        <v>0</v>
      </c>
      <c r="P82" s="90">
        <f>SUMPRODUCT(--(P$8&lt;=Model!$D$9:'Model'!$CN$9),--(P$9&gt;=Model!$D$9:'Model'!$CN$9),Model!$D86:'Model'!$CN86)</f>
        <v>0</v>
      </c>
      <c r="Q82" s="90">
        <f>SUMPRODUCT(--(Q$8&lt;=Model!$D$9:'Model'!$CN$9),--(Q$9&gt;=Model!$D$9:'Model'!$CN$9),Model!$D86:'Model'!$CN86)</f>
        <v>0</v>
      </c>
      <c r="R82" s="90">
        <f>SUMPRODUCT(--(R$8&lt;=Model!$D$9:'Model'!$CN$9),--(R$9&gt;=Model!$D$9:'Model'!$CN$9),Model!$D86:'Model'!$CN86)</f>
        <v>0</v>
      </c>
      <c r="S82" s="90">
        <f>SUMPRODUCT(--(S$8&lt;=Model!$D$9:'Model'!$CN$9),--(S$9&gt;=Model!$D$9:'Model'!$CN$9),Model!$D86:'Model'!$CN86)</f>
        <v>0</v>
      </c>
      <c r="T82" s="90">
        <f>SUMPRODUCT(--(T$8&lt;=Model!$D$9:'Model'!$CN$9),--(T$9&gt;=Model!$D$9:'Model'!$CN$9),Model!$D86:'Model'!$CN86)</f>
        <v>0</v>
      </c>
      <c r="U82" s="90">
        <f>SUMPRODUCT(--(U$8&lt;=Model!$D$9:'Model'!$CN$9),--(U$9&gt;=Model!$D$9:'Model'!$CN$9),Model!$D86:'Model'!$CN86)</f>
        <v>0</v>
      </c>
      <c r="V82" s="90">
        <f>SUMPRODUCT(--(V$8&lt;=Model!$D$9:'Model'!$CN$9),--(V$9&gt;=Model!$D$9:'Model'!$CN$9),Model!$D86:'Model'!$CN86)</f>
        <v>0</v>
      </c>
      <c r="W82" s="90">
        <f>SUMPRODUCT(--(W$8&lt;=Model!$D$9:'Model'!$CN$9),--(W$9&gt;=Model!$D$9:'Model'!$CN$9),Model!$D86:'Model'!$CN86)</f>
        <v>0</v>
      </c>
      <c r="X82" s="90">
        <f>SUMPRODUCT(--(X$8&lt;=Model!$D$9:'Model'!$CN$9),--(X$9&gt;=Model!$D$9:'Model'!$CN$9),Model!$D86:'Model'!$CN86)</f>
        <v>0</v>
      </c>
      <c r="Y82" s="90">
        <f>SUMPRODUCT(--(Y$8&lt;=Model!$D$9:'Model'!$CN$9),--(Y$9&gt;=Model!$D$9:'Model'!$CN$9),Model!$D86:'Model'!$CN86)</f>
        <v>0</v>
      </c>
      <c r="Z82" s="90">
        <f>SUMPRODUCT(--(Z$8&lt;=Model!$D$9:'Model'!$CN$9),--(Z$9&gt;=Model!$D$9:'Model'!$CN$9),Model!$D86:'Model'!$CN86)</f>
        <v>0</v>
      </c>
      <c r="AA82" s="90"/>
    </row>
    <row r="83" spans="1:27" ht="12.75" customHeight="1">
      <c r="A83" s="35"/>
      <c r="B83" s="63" t="s">
        <v>182</v>
      </c>
      <c r="C83" s="35">
        <f t="shared" ref="C83:C90" si="15">SUM(D83:AA83)</f>
        <v>954678.3</v>
      </c>
      <c r="D83" s="60">
        <f>Model!D87</f>
        <v>954678.3</v>
      </c>
      <c r="E83" s="35">
        <f>SUMPRODUCT(--(E$8&lt;=Model!$D$9:'Model'!$CN$9),--(E$9&gt;=Model!$D$9:'Model'!$CN$9),Model!$D87:'Model'!$CN87)</f>
        <v>0</v>
      </c>
      <c r="F83" s="35">
        <f>SUMPRODUCT(--(F$8&lt;=Model!$D$9:'Model'!$CN$9),--(F$9&gt;=Model!$D$9:'Model'!$CN$9),Model!$D87:'Model'!$CN87)</f>
        <v>0</v>
      </c>
      <c r="G83" s="35">
        <f>SUMPRODUCT(--(G$8&lt;=Model!$D$9:'Model'!$CN$9),--(G$9&gt;=Model!$D$9:'Model'!$CN$9),Model!$D87:'Model'!$CN87)</f>
        <v>0</v>
      </c>
      <c r="H83" s="35">
        <f>SUMPRODUCT(--(H$8&lt;=Model!$D$9:'Model'!$CN$9),--(H$9&gt;=Model!$D$9:'Model'!$CN$9),Model!$D87:'Model'!$CN87)</f>
        <v>0</v>
      </c>
      <c r="I83" s="35">
        <f>SUMPRODUCT(--(I$8&lt;=Model!$D$9:'Model'!$CN$9),--(I$9&gt;=Model!$D$9:'Model'!$CN$9),Model!$D87:'Model'!$CN87)</f>
        <v>0</v>
      </c>
      <c r="J83" s="35">
        <f>SUMPRODUCT(--(J$8&lt;=Model!$D$9:'Model'!$CN$9),--(J$9&gt;=Model!$D$9:'Model'!$CN$9),Model!$D87:'Model'!$CN87)</f>
        <v>0</v>
      </c>
      <c r="K83" s="35">
        <f>SUMPRODUCT(--(K$8&lt;=Model!$D$9:'Model'!$CN$9),--(K$9&gt;=Model!$D$9:'Model'!$CN$9),Model!$D87:'Model'!$CN87)</f>
        <v>0</v>
      </c>
      <c r="L83" s="35">
        <f>SUMPRODUCT(--(L$8&lt;=Model!$D$9:'Model'!$CN$9),--(L$9&gt;=Model!$D$9:'Model'!$CN$9),Model!$D87:'Model'!$CN87)</f>
        <v>0</v>
      </c>
      <c r="M83" s="35">
        <f>SUMPRODUCT(--(M$8&lt;=Model!$D$9:'Model'!$CN$9),--(M$9&gt;=Model!$D$9:'Model'!$CN$9),Model!$D87:'Model'!$CN87)</f>
        <v>0</v>
      </c>
      <c r="N83" s="35">
        <f>SUMPRODUCT(--(N$8&lt;=Model!$D$9:'Model'!$CN$9),--(N$9&gt;=Model!$D$9:'Model'!$CN$9),Model!$D87:'Model'!$CN87)</f>
        <v>0</v>
      </c>
      <c r="O83" s="35">
        <f>SUMPRODUCT(--(O$8&lt;=Model!$D$9:'Model'!$CN$9),--(O$9&gt;=Model!$D$9:'Model'!$CN$9),Model!$D87:'Model'!$CN87)</f>
        <v>0</v>
      </c>
      <c r="P83" s="35">
        <f>SUMPRODUCT(--(P$8&lt;=Model!$D$9:'Model'!$CN$9),--(P$9&gt;=Model!$D$9:'Model'!$CN$9),Model!$D87:'Model'!$CN87)</f>
        <v>0</v>
      </c>
      <c r="Q83" s="35">
        <f>SUMPRODUCT(--(Q$8&lt;=Model!$D$9:'Model'!$CN$9),--(Q$9&gt;=Model!$D$9:'Model'!$CN$9),Model!$D87:'Model'!$CN87)</f>
        <v>0</v>
      </c>
      <c r="R83" s="35">
        <f>SUMPRODUCT(--(R$8&lt;=Model!$D$9:'Model'!$CN$9),--(R$9&gt;=Model!$D$9:'Model'!$CN$9),Model!$D87:'Model'!$CN87)</f>
        <v>0</v>
      </c>
      <c r="S83" s="35">
        <f>SUMPRODUCT(--(S$8&lt;=Model!$D$9:'Model'!$CN$9),--(S$9&gt;=Model!$D$9:'Model'!$CN$9),Model!$D87:'Model'!$CN87)</f>
        <v>0</v>
      </c>
      <c r="T83" s="35">
        <f>SUMPRODUCT(--(T$8&lt;=Model!$D$9:'Model'!$CN$9),--(T$9&gt;=Model!$D$9:'Model'!$CN$9),Model!$D87:'Model'!$CN87)</f>
        <v>0</v>
      </c>
      <c r="U83" s="35">
        <f>SUMPRODUCT(--(U$8&lt;=Model!$D$9:'Model'!$CN$9),--(U$9&gt;=Model!$D$9:'Model'!$CN$9),Model!$D87:'Model'!$CN87)</f>
        <v>0</v>
      </c>
      <c r="V83" s="35">
        <f>SUMPRODUCT(--(V$8&lt;=Model!$D$9:'Model'!$CN$9),--(V$9&gt;=Model!$D$9:'Model'!$CN$9),Model!$D87:'Model'!$CN87)</f>
        <v>0</v>
      </c>
      <c r="W83" s="35">
        <f>SUMPRODUCT(--(W$8&lt;=Model!$D$9:'Model'!$CN$9),--(W$9&gt;=Model!$D$9:'Model'!$CN$9),Model!$D87:'Model'!$CN87)</f>
        <v>0</v>
      </c>
      <c r="X83" s="35">
        <f>SUMPRODUCT(--(X$8&lt;=Model!$D$9:'Model'!$CN$9),--(X$9&gt;=Model!$D$9:'Model'!$CN$9),Model!$D87:'Model'!$CN87)</f>
        <v>0</v>
      </c>
      <c r="Y83" s="35">
        <f>SUMPRODUCT(--(Y$8&lt;=Model!$D$9:'Model'!$CN$9),--(Y$9&gt;=Model!$D$9:'Model'!$CN$9),Model!$D87:'Model'!$CN87)</f>
        <v>0</v>
      </c>
      <c r="Z83" s="35">
        <f>SUMPRODUCT(--(Z$8&lt;=Model!$D$9:'Model'!$CN$9),--(Z$9&gt;=Model!$D$9:'Model'!$CN$9),Model!$D87:'Model'!$CN87)</f>
        <v>0</v>
      </c>
      <c r="AA83" s="35"/>
    </row>
    <row r="84" spans="1:27" ht="12.75" customHeight="1">
      <c r="A84" s="35"/>
      <c r="B84" s="63" t="s">
        <v>183</v>
      </c>
      <c r="C84" s="35">
        <f t="shared" si="15"/>
        <v>-5397816.059714484</v>
      </c>
      <c r="D84" s="60">
        <f>Model!D88</f>
        <v>0</v>
      </c>
      <c r="E84" s="35">
        <f>SUMPRODUCT(--(E$8&lt;=Model!$D$9:'Model'!$CN$9),--(E$9&gt;=Model!$D$9:'Model'!$CN$9),Model!$D88:'Model'!$CN88)</f>
        <v>0</v>
      </c>
      <c r="F84" s="35">
        <f>SUMPRODUCT(--(F$8&lt;=Model!$D$9:'Model'!$CN$9),--(F$9&gt;=Model!$D$9:'Model'!$CN$9),Model!$D88:'Model'!$CN88)</f>
        <v>0</v>
      </c>
      <c r="G84" s="35">
        <f>SUMPRODUCT(--(G$8&lt;=Model!$D$9:'Model'!$CN$9),--(G$9&gt;=Model!$D$9:'Model'!$CN$9),Model!$D88:'Model'!$CN88)</f>
        <v>0</v>
      </c>
      <c r="H84" s="35">
        <f>SUMPRODUCT(--(H$8&lt;=Model!$D$9:'Model'!$CN$9),--(H$9&gt;=Model!$D$9:'Model'!$CN$9),Model!$D88:'Model'!$CN88)</f>
        <v>0</v>
      </c>
      <c r="I84" s="35">
        <f>SUMPRODUCT(--(I$8&lt;=Model!$D$9:'Model'!$CN$9),--(I$9&gt;=Model!$D$9:'Model'!$CN$9),Model!$D88:'Model'!$CN88)</f>
        <v>0</v>
      </c>
      <c r="J84" s="35">
        <f>SUMPRODUCT(--(J$8&lt;=Model!$D$9:'Model'!$CN$9),--(J$9&gt;=Model!$D$9:'Model'!$CN$9),Model!$D88:'Model'!$CN88)</f>
        <v>0</v>
      </c>
      <c r="K84" s="35">
        <f>SUMPRODUCT(--(K$8&lt;=Model!$D$9:'Model'!$CN$9),--(K$9&gt;=Model!$D$9:'Model'!$CN$9),Model!$D88:'Model'!$CN88)</f>
        <v>-171709.34921186676</v>
      </c>
      <c r="L84" s="35">
        <f>SUMPRODUCT(--(L$8&lt;=Model!$D$9:'Model'!$CN$9),--(L$9&gt;=Model!$D$9:'Model'!$CN$9),Model!$D88:'Model'!$CN88)</f>
        <v>0</v>
      </c>
      <c r="M84" s="35">
        <f>SUMPRODUCT(--(M$8&lt;=Model!$D$9:'Model'!$CN$9),--(M$9&gt;=Model!$D$9:'Model'!$CN$9),Model!$D88:'Model'!$CN88)</f>
        <v>0</v>
      </c>
      <c r="N84" s="35">
        <f>SUMPRODUCT(--(N$8&lt;=Model!$D$9:'Model'!$CN$9),--(N$9&gt;=Model!$D$9:'Model'!$CN$9),Model!$D88:'Model'!$CN88)</f>
        <v>0</v>
      </c>
      <c r="O84" s="35">
        <f>SUMPRODUCT(--(O$8&lt;=Model!$D$9:'Model'!$CN$9),--(O$9&gt;=Model!$D$9:'Model'!$CN$9),Model!$D88:'Model'!$CN88)</f>
        <v>0</v>
      </c>
      <c r="P84" s="35">
        <f>SUMPRODUCT(--(P$8&lt;=Model!$D$9:'Model'!$CN$9),--(P$9&gt;=Model!$D$9:'Model'!$CN$9),Model!$D88:'Model'!$CN88)</f>
        <v>0</v>
      </c>
      <c r="Q84" s="35">
        <f>SUMPRODUCT(--(Q$8&lt;=Model!$D$9:'Model'!$CN$9),--(Q$9&gt;=Model!$D$9:'Model'!$CN$9),Model!$D88:'Model'!$CN88)</f>
        <v>0</v>
      </c>
      <c r="R84" s="35">
        <f>SUMPRODUCT(--(R$8&lt;=Model!$D$9:'Model'!$CN$9),--(R$9&gt;=Model!$D$9:'Model'!$CN$9),Model!$D88:'Model'!$CN88)</f>
        <v>0</v>
      </c>
      <c r="S84" s="35">
        <f>SUMPRODUCT(--(S$8&lt;=Model!$D$9:'Model'!$CN$9),--(S$9&gt;=Model!$D$9:'Model'!$CN$9),Model!$D88:'Model'!$CN88)</f>
        <v>-449472.94746414531</v>
      </c>
      <c r="T84" s="35">
        <f>SUMPRODUCT(--(T$8&lt;=Model!$D$9:'Model'!$CN$9),--(T$9&gt;=Model!$D$9:'Model'!$CN$9),Model!$D88:'Model'!$CN88)</f>
        <v>-640078.89563337574</v>
      </c>
      <c r="U84" s="35">
        <f>SUMPRODUCT(--(U$8&lt;=Model!$D$9:'Model'!$CN$9),--(U$9&gt;=Model!$D$9:'Model'!$CN$9),Model!$D88:'Model'!$CN88)</f>
        <v>-612755.15398317634</v>
      </c>
      <c r="V84" s="35">
        <f>SUMPRODUCT(--(V$8&lt;=Model!$D$9:'Model'!$CN$9),--(V$9&gt;=Model!$D$9:'Model'!$CN$9),Model!$D88:'Model'!$CN88)</f>
        <v>-711189.44815867045</v>
      </c>
      <c r="W84" s="35">
        <f>SUMPRODUCT(--(W$8&lt;=Model!$D$9:'Model'!$CN$9),--(W$9&gt;=Model!$D$9:'Model'!$CN$9),Model!$D88:'Model'!$CN88)</f>
        <v>-661180.29003217816</v>
      </c>
      <c r="X84" s="35">
        <f>SUMPRODUCT(--(X$8&lt;=Model!$D$9:'Model'!$CN$9),--(X$9&gt;=Model!$D$9:'Model'!$CN$9),Model!$D88:'Model'!$CN88)</f>
        <v>-786317.30426467187</v>
      </c>
      <c r="Y84" s="35">
        <f>SUMPRODUCT(--(Y$8&lt;=Model!$D$9:'Model'!$CN$9),--(Y$9&gt;=Model!$D$9:'Model'!$CN$9),Model!$D88:'Model'!$CN88)</f>
        <v>-716630.18394865759</v>
      </c>
      <c r="Z84" s="35">
        <f>SUMPRODUCT(--(Z$8&lt;=Model!$D$9:'Model'!$CN$9),--(Z$9&gt;=Model!$D$9:'Model'!$CN$9),Model!$D88:'Model'!$CN88)</f>
        <v>-648482.48701774154</v>
      </c>
      <c r="AA84" s="35"/>
    </row>
    <row r="85" spans="1:27" ht="12.75" customHeight="1">
      <c r="A85" s="35"/>
      <c r="B85" s="63" t="s">
        <v>184</v>
      </c>
      <c r="C85" s="35">
        <f t="shared" si="15"/>
        <v>3818713.2</v>
      </c>
      <c r="D85" s="60">
        <f>Model!D89</f>
        <v>0</v>
      </c>
      <c r="E85" s="35">
        <f>SUMPRODUCT(--(E$8&lt;=Model!$D$9:'Model'!$CN$9),--(E$9&gt;=Model!$D$9:'Model'!$CN$9),Model!$D89:'Model'!$CN89)</f>
        <v>0</v>
      </c>
      <c r="F85" s="35">
        <f>SUMPRODUCT(--(F$8&lt;=Model!$D$9:'Model'!$CN$9),--(F$9&gt;=Model!$D$9:'Model'!$CN$9),Model!$D89:'Model'!$CN89)</f>
        <v>0</v>
      </c>
      <c r="G85" s="35">
        <f>SUMPRODUCT(--(G$8&lt;=Model!$D$9:'Model'!$CN$9),--(G$9&gt;=Model!$D$9:'Model'!$CN$9),Model!$D89:'Model'!$CN89)</f>
        <v>1328569.0666666667</v>
      </c>
      <c r="H85" s="35">
        <f>SUMPRODUCT(--(H$8&lt;=Model!$D$9:'Model'!$CN$9),--(H$9&gt;=Model!$D$9:'Model'!$CN$9),Model!$D89:'Model'!$CN89)</f>
        <v>1774227.6266666667</v>
      </c>
      <c r="I85" s="35">
        <f>SUMPRODUCT(--(I$8&lt;=Model!$D$9:'Model'!$CN$9),--(I$9&gt;=Model!$D$9:'Model'!$CN$9),Model!$D89:'Model'!$CN89)</f>
        <v>715916.50666666683</v>
      </c>
      <c r="J85" s="35">
        <f>SUMPRODUCT(--(J$8&lt;=Model!$D$9:'Model'!$CN$9),--(J$9&gt;=Model!$D$9:'Model'!$CN$9),Model!$D89:'Model'!$CN89)</f>
        <v>0</v>
      </c>
      <c r="K85" s="35">
        <f>SUMPRODUCT(--(K$8&lt;=Model!$D$9:'Model'!$CN$9),--(K$9&gt;=Model!$D$9:'Model'!$CN$9),Model!$D89:'Model'!$CN89)</f>
        <v>0</v>
      </c>
      <c r="L85" s="35">
        <f>SUMPRODUCT(--(L$8&lt;=Model!$D$9:'Model'!$CN$9),--(L$9&gt;=Model!$D$9:'Model'!$CN$9),Model!$D89:'Model'!$CN89)</f>
        <v>0</v>
      </c>
      <c r="M85" s="35">
        <f>SUMPRODUCT(--(M$8&lt;=Model!$D$9:'Model'!$CN$9),--(M$9&gt;=Model!$D$9:'Model'!$CN$9),Model!$D89:'Model'!$CN89)</f>
        <v>0</v>
      </c>
      <c r="N85" s="35">
        <f>SUMPRODUCT(--(N$8&lt;=Model!$D$9:'Model'!$CN$9),--(N$9&gt;=Model!$D$9:'Model'!$CN$9),Model!$D89:'Model'!$CN89)</f>
        <v>0</v>
      </c>
      <c r="O85" s="35">
        <f>SUMPRODUCT(--(O$8&lt;=Model!$D$9:'Model'!$CN$9),--(O$9&gt;=Model!$D$9:'Model'!$CN$9),Model!$D89:'Model'!$CN89)</f>
        <v>0</v>
      </c>
      <c r="P85" s="35">
        <f>SUMPRODUCT(--(P$8&lt;=Model!$D$9:'Model'!$CN$9),--(P$9&gt;=Model!$D$9:'Model'!$CN$9),Model!$D89:'Model'!$CN89)</f>
        <v>0</v>
      </c>
      <c r="Q85" s="35">
        <f>SUMPRODUCT(--(Q$8&lt;=Model!$D$9:'Model'!$CN$9),--(Q$9&gt;=Model!$D$9:'Model'!$CN$9),Model!$D89:'Model'!$CN89)</f>
        <v>0</v>
      </c>
      <c r="R85" s="35">
        <f>SUMPRODUCT(--(R$8&lt;=Model!$D$9:'Model'!$CN$9),--(R$9&gt;=Model!$D$9:'Model'!$CN$9),Model!$D89:'Model'!$CN89)</f>
        <v>0</v>
      </c>
      <c r="S85" s="35">
        <f>SUMPRODUCT(--(S$8&lt;=Model!$D$9:'Model'!$CN$9),--(S$9&gt;=Model!$D$9:'Model'!$CN$9),Model!$D89:'Model'!$CN89)</f>
        <v>0</v>
      </c>
      <c r="T85" s="35">
        <f>SUMPRODUCT(--(T$8&lt;=Model!$D$9:'Model'!$CN$9),--(T$9&gt;=Model!$D$9:'Model'!$CN$9),Model!$D89:'Model'!$CN89)</f>
        <v>0</v>
      </c>
      <c r="U85" s="35">
        <f>SUMPRODUCT(--(U$8&lt;=Model!$D$9:'Model'!$CN$9),--(U$9&gt;=Model!$D$9:'Model'!$CN$9),Model!$D89:'Model'!$CN89)</f>
        <v>0</v>
      </c>
      <c r="V85" s="35">
        <f>SUMPRODUCT(--(V$8&lt;=Model!$D$9:'Model'!$CN$9),--(V$9&gt;=Model!$D$9:'Model'!$CN$9),Model!$D89:'Model'!$CN89)</f>
        <v>0</v>
      </c>
      <c r="W85" s="35">
        <f>SUMPRODUCT(--(W$8&lt;=Model!$D$9:'Model'!$CN$9),--(W$9&gt;=Model!$D$9:'Model'!$CN$9),Model!$D89:'Model'!$CN89)</f>
        <v>0</v>
      </c>
      <c r="X85" s="35">
        <f>SUMPRODUCT(--(X$8&lt;=Model!$D$9:'Model'!$CN$9),--(X$9&gt;=Model!$D$9:'Model'!$CN$9),Model!$D89:'Model'!$CN89)</f>
        <v>0</v>
      </c>
      <c r="Y85" s="35">
        <f>SUMPRODUCT(--(Y$8&lt;=Model!$D$9:'Model'!$CN$9),--(Y$9&gt;=Model!$D$9:'Model'!$CN$9),Model!$D89:'Model'!$CN89)</f>
        <v>0</v>
      </c>
      <c r="Z85" s="35">
        <f>SUMPRODUCT(--(Z$8&lt;=Model!$D$9:'Model'!$CN$9),--(Z$9&gt;=Model!$D$9:'Model'!$CN$9),Model!$D89:'Model'!$CN89)</f>
        <v>0</v>
      </c>
      <c r="AA85" s="35"/>
    </row>
    <row r="86" spans="1:27" ht="12.75" customHeight="1">
      <c r="A86" s="35"/>
      <c r="B86" s="63" t="s">
        <v>185</v>
      </c>
      <c r="C86" s="35">
        <f t="shared" si="15"/>
        <v>-3818713.1999999997</v>
      </c>
      <c r="D86" s="60">
        <f>Model!D90</f>
        <v>0</v>
      </c>
      <c r="E86" s="35">
        <f>SUMPRODUCT(--(E$8&lt;=Model!$D$9:'Model'!$CN$9),--(E$9&gt;=Model!$D$9:'Model'!$CN$9),Model!$D90:'Model'!$CN90)</f>
        <v>0</v>
      </c>
      <c r="F86" s="35">
        <f>SUMPRODUCT(--(F$8&lt;=Model!$D$9:'Model'!$CN$9),--(F$9&gt;=Model!$D$9:'Model'!$CN$9),Model!$D90:'Model'!$CN90)</f>
        <v>0</v>
      </c>
      <c r="G86" s="35">
        <f>SUMPRODUCT(--(G$8&lt;=Model!$D$9:'Model'!$CN$9),--(G$9&gt;=Model!$D$9:'Model'!$CN$9),Model!$D90:'Model'!$CN90)</f>
        <v>0</v>
      </c>
      <c r="H86" s="35">
        <f>SUMPRODUCT(--(H$8&lt;=Model!$D$9:'Model'!$CN$9),--(H$9&gt;=Model!$D$9:'Model'!$CN$9),Model!$D90:'Model'!$CN90)</f>
        <v>0</v>
      </c>
      <c r="I86" s="35">
        <f>SUMPRODUCT(--(I$8&lt;=Model!$D$9:'Model'!$CN$9),--(I$9&gt;=Model!$D$9:'Model'!$CN$9),Model!$D90:'Model'!$CN90)</f>
        <v>-167757.34713510756</v>
      </c>
      <c r="J86" s="35">
        <f>SUMPRODUCT(--(J$8&lt;=Model!$D$9:'Model'!$CN$9),--(J$9&gt;=Model!$D$9:'Model'!$CN$9),Model!$D90:'Model'!$CN90)</f>
        <v>-243921.01076699368</v>
      </c>
      <c r="K86" s="35">
        <f>SUMPRODUCT(--(K$8&lt;=Model!$D$9:'Model'!$CN$9),--(K$9&gt;=Model!$D$9:'Model'!$CN$9),Model!$D90:'Model'!$CN90)</f>
        <v>-289127.29179928231</v>
      </c>
      <c r="L86" s="35">
        <f>SUMPRODUCT(--(L$8&lt;=Model!$D$9:'Model'!$CN$9),--(L$9&gt;=Model!$D$9:'Model'!$CN$9),Model!$D90:'Model'!$CN90)</f>
        <v>-281379.69489097246</v>
      </c>
      <c r="M86" s="35">
        <f>SUMPRODUCT(--(M$8&lt;=Model!$D$9:'Model'!$CN$9),--(M$9&gt;=Model!$D$9:'Model'!$CN$9),Model!$D90:'Model'!$CN90)</f>
        <v>-362650.66653488716</v>
      </c>
      <c r="N86" s="35">
        <f>SUMPRODUCT(--(N$8&lt;=Model!$D$9:'Model'!$CN$9),--(N$9&gt;=Model!$D$9:'Model'!$CN$9),Model!$D90:'Model'!$CN90)</f>
        <v>-366762.87836209335</v>
      </c>
      <c r="O86" s="35">
        <f>SUMPRODUCT(--(O$8&lt;=Model!$D$9:'Model'!$CN$9),--(O$9&gt;=Model!$D$9:'Model'!$CN$9),Model!$D90:'Model'!$CN90)</f>
        <v>-465448.7572088592</v>
      </c>
      <c r="P86" s="35">
        <f>SUMPRODUCT(--(P$8&lt;=Model!$D$9:'Model'!$CN$9),--(P$9&gt;=Model!$D$9:'Model'!$CN$9),Model!$D90:'Model'!$CN90)</f>
        <v>-461028.36042236246</v>
      </c>
      <c r="Q86" s="35">
        <f>SUMPRODUCT(--(Q$8&lt;=Model!$D$9:'Model'!$CN$9),--(Q$9&gt;=Model!$D$9:'Model'!$CN$9),Model!$D90:'Model'!$CN90)</f>
        <v>-562817.09835628746</v>
      </c>
      <c r="R86" s="35">
        <f>SUMPRODUCT(--(R$8&lt;=Model!$D$9:'Model'!$CN$9),--(R$9&gt;=Model!$D$9:'Model'!$CN$9),Model!$D90:'Model'!$CN90)</f>
        <v>-541818.46146075951</v>
      </c>
      <c r="S86" s="35">
        <f>SUMPRODUCT(--(S$8&lt;=Model!$D$9:'Model'!$CN$9),--(S$9&gt;=Model!$D$9:'Model'!$CN$9),Model!$D90:'Model'!$CN90)</f>
        <v>-76001.63306239454</v>
      </c>
      <c r="T86" s="35">
        <f>SUMPRODUCT(--(T$8&lt;=Model!$D$9:'Model'!$CN$9),--(T$9&gt;=Model!$D$9:'Model'!$CN$9),Model!$D90:'Model'!$CN90)</f>
        <v>0</v>
      </c>
      <c r="U86" s="35">
        <f>SUMPRODUCT(--(U$8&lt;=Model!$D$9:'Model'!$CN$9),--(U$9&gt;=Model!$D$9:'Model'!$CN$9),Model!$D90:'Model'!$CN90)</f>
        <v>0</v>
      </c>
      <c r="V86" s="35">
        <f>SUMPRODUCT(--(V$8&lt;=Model!$D$9:'Model'!$CN$9),--(V$9&gt;=Model!$D$9:'Model'!$CN$9),Model!$D90:'Model'!$CN90)</f>
        <v>0</v>
      </c>
      <c r="W86" s="35">
        <f>SUMPRODUCT(--(W$8&lt;=Model!$D$9:'Model'!$CN$9),--(W$9&gt;=Model!$D$9:'Model'!$CN$9),Model!$D90:'Model'!$CN90)</f>
        <v>0</v>
      </c>
      <c r="X86" s="35">
        <f>SUMPRODUCT(--(X$8&lt;=Model!$D$9:'Model'!$CN$9),--(X$9&gt;=Model!$D$9:'Model'!$CN$9),Model!$D90:'Model'!$CN90)</f>
        <v>0</v>
      </c>
      <c r="Y86" s="35">
        <f>SUMPRODUCT(--(Y$8&lt;=Model!$D$9:'Model'!$CN$9),--(Y$9&gt;=Model!$D$9:'Model'!$CN$9),Model!$D90:'Model'!$CN90)</f>
        <v>0</v>
      </c>
      <c r="Z86" s="35">
        <f>SUMPRODUCT(--(Z$8&lt;=Model!$D$9:'Model'!$CN$9),--(Z$9&gt;=Model!$D$9:'Model'!$CN$9),Model!$D90:'Model'!$CN90)</f>
        <v>0</v>
      </c>
      <c r="AA86" s="35"/>
    </row>
    <row r="87" spans="1:27" ht="12.75" customHeight="1">
      <c r="A87" s="35"/>
      <c r="B87" s="63" t="s">
        <v>186</v>
      </c>
      <c r="C87" s="35">
        <f t="shared" si="15"/>
        <v>-1923705.6546557879</v>
      </c>
      <c r="D87" s="60">
        <f>Model!D91</f>
        <v>0</v>
      </c>
      <c r="E87" s="35">
        <f>SUMPRODUCT(--(E$8&lt;=Model!$D$9:'Model'!$CN$9),--(E$9&gt;=Model!$D$9:'Model'!$CN$9),Model!$D91:'Model'!$CN91)</f>
        <v>0</v>
      </c>
      <c r="F87" s="35">
        <f>SUMPRODUCT(--(F$8&lt;=Model!$D$9:'Model'!$CN$9),--(F$9&gt;=Model!$D$9:'Model'!$CN$9),Model!$D91:'Model'!$CN91)</f>
        <v>0</v>
      </c>
      <c r="G87" s="35">
        <f>SUMPRODUCT(--(G$8&lt;=Model!$D$9:'Model'!$CN$9),--(G$9&gt;=Model!$D$9:'Model'!$CN$9),Model!$D91:'Model'!$CN91)</f>
        <v>-23099.210273437493</v>
      </c>
      <c r="H87" s="35">
        <f>SUMPRODUCT(--(H$8&lt;=Model!$D$9:'Model'!$CN$9),--(H$9&gt;=Model!$D$9:'Model'!$CN$9),Model!$D91:'Model'!$CN91)</f>
        <v>-151258.47012499999</v>
      </c>
      <c r="I87" s="35">
        <f>SUMPRODUCT(--(I$8&lt;=Model!$D$9:'Model'!$CN$9),--(I$9&gt;=Model!$D$9:'Model'!$CN$9),Model!$D91:'Model'!$CN91)</f>
        <v>-265670.77045810071</v>
      </c>
      <c r="J87" s="35">
        <f>SUMPRODUCT(--(J$8&lt;=Model!$D$9:'Model'!$CN$9),--(J$9&gt;=Model!$D$9:'Model'!$CN$9),Model!$D91:'Model'!$CN91)</f>
        <v>-269377.11747710494</v>
      </c>
      <c r="K87" s="35">
        <f>SUMPRODUCT(--(K$8&lt;=Model!$D$9:'Model'!$CN$9),--(K$9&gt;=Model!$D$9:'Model'!$CN$9),Model!$D91:'Model'!$CN91)</f>
        <v>-250252.8147559549</v>
      </c>
      <c r="L87" s="35">
        <f>SUMPRODUCT(--(L$8&lt;=Model!$D$9:'Model'!$CN$9),--(L$9&gt;=Model!$D$9:'Model'!$CN$9),Model!$D91:'Model'!$CN91)</f>
        <v>-226011.83201343322</v>
      </c>
      <c r="M87" s="35">
        <f>SUMPRODUCT(--(M$8&lt;=Model!$D$9:'Model'!$CN$9),--(M$9&gt;=Model!$D$9:'Model'!$CN$9),Model!$D91:'Model'!$CN91)</f>
        <v>-202406.88927550407</v>
      </c>
      <c r="N87" s="35">
        <f>SUMPRODUCT(--(N$8&lt;=Model!$D$9:'Model'!$CN$9),--(N$9&gt;=Model!$D$9:'Model'!$CN$9),Model!$D91:'Model'!$CN91)</f>
        <v>-173730.38192477237</v>
      </c>
      <c r="O87" s="35">
        <f>SUMPRODUCT(--(O$8&lt;=Model!$D$9:'Model'!$CN$9),--(O$9&gt;=Model!$D$9:'Model'!$CN$9),Model!$D91:'Model'!$CN91)</f>
        <v>-143762.2842858138</v>
      </c>
      <c r="P87" s="35">
        <f>SUMPRODUCT(--(P$8&lt;=Model!$D$9:'Model'!$CN$9),--(P$9&gt;=Model!$D$9:'Model'!$CN$9),Model!$D91:'Model'!$CN91)</f>
        <v>-109759.4312087565</v>
      </c>
      <c r="Q87" s="35">
        <f>SUMPRODUCT(--(Q$8&lt;=Model!$D$9:'Model'!$CN$9),--(Q$9&gt;=Model!$D$9:'Model'!$CN$9),Model!$D91:'Model'!$CN91)</f>
        <v>-72554.697870852571</v>
      </c>
      <c r="R87" s="35">
        <f>SUMPRODUCT(--(R$8&lt;=Model!$D$9:'Model'!$CN$9),--(R$9&gt;=Model!$D$9:'Model'!$CN$9),Model!$D91:'Model'!$CN91)</f>
        <v>-34396.724367137365</v>
      </c>
      <c r="S87" s="35">
        <f>SUMPRODUCT(--(S$8&lt;=Model!$D$9:'Model'!$CN$9),--(S$9&gt;=Model!$D$9:'Model'!$CN$9),Model!$D91:'Model'!$CN91)</f>
        <v>-1425.0306199198976</v>
      </c>
      <c r="T87" s="35">
        <f>SUMPRODUCT(--(T$8&lt;=Model!$D$9:'Model'!$CN$9),--(T$9&gt;=Model!$D$9:'Model'!$CN$9),Model!$D91:'Model'!$CN91)</f>
        <v>0</v>
      </c>
      <c r="U87" s="35">
        <f>SUMPRODUCT(--(U$8&lt;=Model!$D$9:'Model'!$CN$9),--(U$9&gt;=Model!$D$9:'Model'!$CN$9),Model!$D91:'Model'!$CN91)</f>
        <v>0</v>
      </c>
      <c r="V87" s="35">
        <f>SUMPRODUCT(--(V$8&lt;=Model!$D$9:'Model'!$CN$9),--(V$9&gt;=Model!$D$9:'Model'!$CN$9),Model!$D91:'Model'!$CN91)</f>
        <v>0</v>
      </c>
      <c r="W87" s="35">
        <f>SUMPRODUCT(--(W$8&lt;=Model!$D$9:'Model'!$CN$9),--(W$9&gt;=Model!$D$9:'Model'!$CN$9),Model!$D91:'Model'!$CN91)</f>
        <v>0</v>
      </c>
      <c r="X87" s="35">
        <f>SUMPRODUCT(--(X$8&lt;=Model!$D$9:'Model'!$CN$9),--(X$9&gt;=Model!$D$9:'Model'!$CN$9),Model!$D91:'Model'!$CN91)</f>
        <v>0</v>
      </c>
      <c r="Y87" s="35">
        <f>SUMPRODUCT(--(Y$8&lt;=Model!$D$9:'Model'!$CN$9),--(Y$9&gt;=Model!$D$9:'Model'!$CN$9),Model!$D91:'Model'!$CN91)</f>
        <v>0</v>
      </c>
      <c r="Z87" s="35">
        <f>SUMPRODUCT(--(Z$8&lt;=Model!$D$9:'Model'!$CN$9),--(Z$9&gt;=Model!$D$9:'Model'!$CN$9),Model!$D91:'Model'!$CN91)</f>
        <v>0</v>
      </c>
      <c r="AA87" s="35"/>
    </row>
    <row r="88" spans="1:27" ht="12.75" customHeight="1">
      <c r="A88" s="90"/>
      <c r="B88" s="91" t="s">
        <v>187</v>
      </c>
      <c r="C88" s="91">
        <f t="shared" si="15"/>
        <v>-6366843.4143702714</v>
      </c>
      <c r="D88" s="71">
        <f>Model!D92</f>
        <v>954678.3</v>
      </c>
      <c r="E88" s="91">
        <f>SUMPRODUCT(--(E$8&lt;=Model!$D$9:'Model'!$CN$9),--(E$9&gt;=Model!$D$9:'Model'!$CN$9),Model!$D92:'Model'!$CN92)</f>
        <v>0</v>
      </c>
      <c r="F88" s="91">
        <f>SUMPRODUCT(--(F$8&lt;=Model!$D$9:'Model'!$CN$9),--(F$9&gt;=Model!$D$9:'Model'!$CN$9),Model!$D92:'Model'!$CN92)</f>
        <v>0</v>
      </c>
      <c r="G88" s="91">
        <f>SUMPRODUCT(--(G$8&lt;=Model!$D$9:'Model'!$CN$9),--(G$9&gt;=Model!$D$9:'Model'!$CN$9),Model!$D92:'Model'!$CN92)</f>
        <v>1305469.8563932292</v>
      </c>
      <c r="H88" s="91">
        <f>SUMPRODUCT(--(H$8&lt;=Model!$D$9:'Model'!$CN$9),--(H$9&gt;=Model!$D$9:'Model'!$CN$9),Model!$D92:'Model'!$CN92)</f>
        <v>1622969.1565416665</v>
      </c>
      <c r="I88" s="91">
        <f>SUMPRODUCT(--(I$8&lt;=Model!$D$9:'Model'!$CN$9),--(I$9&gt;=Model!$D$9:'Model'!$CN$9),Model!$D92:'Model'!$CN92)</f>
        <v>282488.3890734585</v>
      </c>
      <c r="J88" s="91">
        <f>SUMPRODUCT(--(J$8&lt;=Model!$D$9:'Model'!$CN$9),--(J$9&gt;=Model!$D$9:'Model'!$CN$9),Model!$D92:'Model'!$CN92)</f>
        <v>-513298.12824409863</v>
      </c>
      <c r="K88" s="91">
        <f>SUMPRODUCT(--(K$8&lt;=Model!$D$9:'Model'!$CN$9),--(K$9&gt;=Model!$D$9:'Model'!$CN$9),Model!$D92:'Model'!$CN92)</f>
        <v>-711089.45576710382</v>
      </c>
      <c r="L88" s="91">
        <f>SUMPRODUCT(--(L$8&lt;=Model!$D$9:'Model'!$CN$9),--(L$9&gt;=Model!$D$9:'Model'!$CN$9),Model!$D92:'Model'!$CN92)</f>
        <v>-507391.52690440573</v>
      </c>
      <c r="M88" s="91">
        <f>SUMPRODUCT(--(M$8&lt;=Model!$D$9:'Model'!$CN$9),--(M$9&gt;=Model!$D$9:'Model'!$CN$9),Model!$D92:'Model'!$CN92)</f>
        <v>-565057.5558103912</v>
      </c>
      <c r="N88" s="91">
        <f>SUMPRODUCT(--(N$8&lt;=Model!$D$9:'Model'!$CN$9),--(N$9&gt;=Model!$D$9:'Model'!$CN$9),Model!$D92:'Model'!$CN92)</f>
        <v>-540493.26028686564</v>
      </c>
      <c r="O88" s="91">
        <f>SUMPRODUCT(--(O$8&lt;=Model!$D$9:'Model'!$CN$9),--(O$9&gt;=Model!$D$9:'Model'!$CN$9),Model!$D92:'Model'!$CN92)</f>
        <v>-609211.041494673</v>
      </c>
      <c r="P88" s="91">
        <f>SUMPRODUCT(--(P$8&lt;=Model!$D$9:'Model'!$CN$9),--(P$9&gt;=Model!$D$9:'Model'!$CN$9),Model!$D92:'Model'!$CN92)</f>
        <v>-570787.79163111886</v>
      </c>
      <c r="Q88" s="91">
        <f>SUMPRODUCT(--(Q$8&lt;=Model!$D$9:'Model'!$CN$9),--(Q$9&gt;=Model!$D$9:'Model'!$CN$9),Model!$D92:'Model'!$CN92)</f>
        <v>-635371.79622714012</v>
      </c>
      <c r="R88" s="91">
        <f>SUMPRODUCT(--(R$8&lt;=Model!$D$9:'Model'!$CN$9),--(R$9&gt;=Model!$D$9:'Model'!$CN$9),Model!$D92:'Model'!$CN92)</f>
        <v>-576215.18582789681</v>
      </c>
      <c r="S88" s="91">
        <f>SUMPRODUCT(--(S$8&lt;=Model!$D$9:'Model'!$CN$9),--(S$9&gt;=Model!$D$9:'Model'!$CN$9),Model!$D92:'Model'!$CN92)</f>
        <v>-526899.61114645982</v>
      </c>
      <c r="T88" s="91">
        <f>SUMPRODUCT(--(T$8&lt;=Model!$D$9:'Model'!$CN$9),--(T$9&gt;=Model!$D$9:'Model'!$CN$9),Model!$D92:'Model'!$CN92)</f>
        <v>-640078.89563337574</v>
      </c>
      <c r="U88" s="91">
        <f>SUMPRODUCT(--(U$8&lt;=Model!$D$9:'Model'!$CN$9),--(U$9&gt;=Model!$D$9:'Model'!$CN$9),Model!$D92:'Model'!$CN92)</f>
        <v>-612755.15398317634</v>
      </c>
      <c r="V88" s="91">
        <f>SUMPRODUCT(--(V$8&lt;=Model!$D$9:'Model'!$CN$9),--(V$9&gt;=Model!$D$9:'Model'!$CN$9),Model!$D92:'Model'!$CN92)</f>
        <v>-711189.44815867045</v>
      </c>
      <c r="W88" s="91">
        <f>SUMPRODUCT(--(W$8&lt;=Model!$D$9:'Model'!$CN$9),--(W$9&gt;=Model!$D$9:'Model'!$CN$9),Model!$D92:'Model'!$CN92)</f>
        <v>-661180.29003217816</v>
      </c>
      <c r="X88" s="91">
        <f>SUMPRODUCT(--(X$8&lt;=Model!$D$9:'Model'!$CN$9),--(X$9&gt;=Model!$D$9:'Model'!$CN$9),Model!$D92:'Model'!$CN92)</f>
        <v>-786317.30426467187</v>
      </c>
      <c r="Y88" s="91">
        <f>SUMPRODUCT(--(Y$8&lt;=Model!$D$9:'Model'!$CN$9),--(Y$9&gt;=Model!$D$9:'Model'!$CN$9),Model!$D92:'Model'!$CN92)</f>
        <v>-716630.18394865759</v>
      </c>
      <c r="Z88" s="91">
        <f>SUMPRODUCT(--(Z$8&lt;=Model!$D$9:'Model'!$CN$9),--(Z$9&gt;=Model!$D$9:'Model'!$CN$9),Model!$D92:'Model'!$CN92)</f>
        <v>-648482.48701774154</v>
      </c>
      <c r="AA88" s="91"/>
    </row>
    <row r="89" spans="1:27" ht="12.75" customHeight="1">
      <c r="A89" s="90"/>
      <c r="B89" s="93" t="s">
        <v>188</v>
      </c>
      <c r="C89" s="90"/>
      <c r="D89" s="92">
        <f>Model!D93</f>
        <v>0</v>
      </c>
      <c r="E89" s="90">
        <f>SUMPRODUCT(--(E$8=Model!$D$9:'Model'!$CN$9),Model!$D93:'Model'!$CN93)</f>
        <v>954678.3</v>
      </c>
      <c r="F89" s="90">
        <f>SUMPRODUCT(--(F$8=Model!$D$9:'Model'!$CN$9),Model!$D93:'Model'!$CN93)</f>
        <v>903569.96666666667</v>
      </c>
      <c r="G89" s="90">
        <f>SUMPRODUCT(--(G$8=Model!$D$9:'Model'!$CN$9),Model!$D93:'Model'!$CN93)</f>
        <v>310311.81944444444</v>
      </c>
      <c r="H89" s="90">
        <f>SUMPRODUCT(--(H$8=Model!$D$9:'Model'!$CN$9),Model!$D93:'Model'!$CN93)</f>
        <v>192499.52236545138</v>
      </c>
      <c r="I89" s="90">
        <f>SUMPRODUCT(--(I$8=Model!$D$9:'Model'!$CN$9),Model!$D93:'Model'!$CN93)</f>
        <v>345240.80293489585</v>
      </c>
      <c r="J89" s="90">
        <f>SUMPRODUCT(--(J$8=Model!$D$9:'Model'!$CN$9),Model!$D93:'Model'!$CN93)</f>
        <v>549606.03313275671</v>
      </c>
      <c r="K89" s="90">
        <f>SUMPRODUCT(--(K$8=Model!$D$9:'Model'!$CN$9),Model!$D93:'Model'!$CN93)</f>
        <v>652265.65878157644</v>
      </c>
      <c r="L89" s="90">
        <f>SUMPRODUCT(--(L$8=Model!$D$9:'Model'!$CN$9),Model!$D93:'Model'!$CN93)</f>
        <v>588432.33088075719</v>
      </c>
      <c r="M89" s="90">
        <f>SUMPRODUCT(--(M$8=Model!$D$9:'Model'!$CN$9),Model!$D93:'Model'!$CN93)</f>
        <v>689910.63626163837</v>
      </c>
      <c r="N89" s="90">
        <f>SUMPRODUCT(--(N$8=Model!$D$9:'Model'!$CN$9),Model!$D93:'Model'!$CN93)</f>
        <v>802922.14742371661</v>
      </c>
      <c r="O89" s="90">
        <f>SUMPRODUCT(--(O$8=Model!$D$9:'Model'!$CN$9),Model!$D93:'Model'!$CN93)</f>
        <v>911020.79948108969</v>
      </c>
      <c r="P89" s="90">
        <f>SUMPRODUCT(--(P$8=Model!$D$9:'Model'!$CN$9),Model!$D93:'Model'!$CN93)</f>
        <v>1032863.0077800241</v>
      </c>
      <c r="Q89" s="90">
        <f>SUMPRODUCT(--(Q$8=Model!$D$9:'Model'!$CN$9),Model!$D93:'Model'!$CN93)</f>
        <v>1147020.5661062477</v>
      </c>
      <c r="R89" s="90">
        <f>SUMPRODUCT(--(R$8=Model!$D$9:'Model'!$CN$9),Model!$D93:'Model'!$CN93)</f>
        <v>1274094.9253516756</v>
      </c>
      <c r="S89" s="90">
        <f>SUMPRODUCT(--(S$8=Model!$D$9:'Model'!$CN$9),Model!$D93:'Model'!$CN93)</f>
        <v>1389337.9625172548</v>
      </c>
      <c r="T89" s="90">
        <f>SUMPRODUCT(--(T$8=Model!$D$9:'Model'!$CN$9),Model!$D93:'Model'!$CN93)</f>
        <v>1507022.484178154</v>
      </c>
      <c r="U89" s="90">
        <f>SUMPRODUCT(--(U$8=Model!$D$9:'Model'!$CN$9),Model!$D93:'Model'!$CN93)</f>
        <v>1593127.0564670397</v>
      </c>
      <c r="V89" s="90">
        <f>SUMPRODUCT(--(V$8=Model!$D$9:'Model'!$CN$9),Model!$D93:'Model'!$CN93)</f>
        <v>1676261.3357672447</v>
      </c>
      <c r="W89" s="90">
        <f>SUMPRODUCT(--(W$8=Model!$D$9:'Model'!$CN$9),Model!$D93:'Model'!$CN93)</f>
        <v>1759845.0426194835</v>
      </c>
      <c r="X89" s="90">
        <f>SUMPRODUCT(--(X$8=Model!$D$9:'Model'!$CN$9),Model!$D93:'Model'!$CN93)</f>
        <v>1845076.5221662871</v>
      </c>
      <c r="Y89" s="90">
        <f>SUMPRODUCT(--(Y$8=Model!$D$9:'Model'!$CN$9),Model!$D93:'Model'!$CN93)</f>
        <v>1924870.5343609061</v>
      </c>
      <c r="Z89" s="90">
        <f>SUMPRODUCT(--(Z$8=Model!$D$9:'Model'!$CN$9),Model!$D93:'Model'!$CN93)</f>
        <v>2009449.2352122725</v>
      </c>
      <c r="AA89" s="90"/>
    </row>
    <row r="90" spans="1:27" ht="12.75" customHeight="1">
      <c r="A90" s="90"/>
      <c r="B90" s="93" t="s">
        <v>189</v>
      </c>
      <c r="C90" s="90">
        <f t="shared" si="15"/>
        <v>2111537.6544510671</v>
      </c>
      <c r="D90" s="92">
        <f>Model!D94</f>
        <v>954678.3</v>
      </c>
      <c r="E90" s="90">
        <f>SUMPRODUCT(--(E$8&lt;=Model!$D$9:'Model'!$CN$9),--(E$9&gt;=Model!$D$9:'Model'!$CN$9),Model!$D94:'Model'!$CN94)</f>
        <v>-51108.333333333328</v>
      </c>
      <c r="F90" s="90">
        <f>SUMPRODUCT(--(F$8&lt;=Model!$D$9:'Model'!$CN$9),--(F$9&gt;=Model!$D$9:'Model'!$CN$9),Model!$D94:'Model'!$CN94)</f>
        <v>-593258.14722222229</v>
      </c>
      <c r="G90" s="90">
        <f>SUMPRODUCT(--(G$8&lt;=Model!$D$9:'Model'!$CN$9),--(G$9&gt;=Model!$D$9:'Model'!$CN$9),Model!$D94:'Model'!$CN94)</f>
        <v>-117812.29707899306</v>
      </c>
      <c r="H90" s="90">
        <f>SUMPRODUCT(--(H$8&lt;=Model!$D$9:'Model'!$CN$9),--(H$9&gt;=Model!$D$9:'Model'!$CN$9),Model!$D94:'Model'!$CN94)</f>
        <v>152741.28056944447</v>
      </c>
      <c r="I90" s="90">
        <f>SUMPRODUCT(--(I$8&lt;=Model!$D$9:'Model'!$CN$9),--(I$9&gt;=Model!$D$9:'Model'!$CN$9),Model!$D94:'Model'!$CN94)</f>
        <v>204365.23019786086</v>
      </c>
      <c r="J90" s="90">
        <f>SUMPRODUCT(--(J$8&lt;=Model!$D$9:'Model'!$CN$9),--(J$9&gt;=Model!$D$9:'Model'!$CN$9),Model!$D94:'Model'!$CN94)</f>
        <v>102659.62564881967</v>
      </c>
      <c r="K90" s="90">
        <f>SUMPRODUCT(--(K$8&lt;=Model!$D$9:'Model'!$CN$9),--(K$9&gt;=Model!$D$9:'Model'!$CN$9),Model!$D94:'Model'!$CN94)</f>
        <v>-63833.32790081932</v>
      </c>
      <c r="L90" s="90">
        <f>SUMPRODUCT(--(L$8&lt;=Model!$D$9:'Model'!$CN$9),--(L$9&gt;=Model!$D$9:'Model'!$CN$9),Model!$D94:'Model'!$CN94)</f>
        <v>101478.30538088111</v>
      </c>
      <c r="M90" s="90">
        <f>SUMPRODUCT(--(M$8&lt;=Model!$D$9:'Model'!$CN$9),--(M$9&gt;=Model!$D$9:'Model'!$CN$9),Model!$D94:'Model'!$CN94)</f>
        <v>113011.51116207823</v>
      </c>
      <c r="N90" s="90">
        <f>SUMPRODUCT(--(N$8&lt;=Model!$D$9:'Model'!$CN$9),--(N$9&gt;=Model!$D$9:'Model'!$CN$9),Model!$D94:'Model'!$CN94)</f>
        <v>108098.65205737312</v>
      </c>
      <c r="O90" s="90">
        <f>SUMPRODUCT(--(O$8&lt;=Model!$D$9:'Model'!$CN$9),--(O$9&gt;=Model!$D$9:'Model'!$CN$9),Model!$D94:'Model'!$CN94)</f>
        <v>121842.20829893451</v>
      </c>
      <c r="P90" s="90">
        <f>SUMPRODUCT(--(P$8&lt;=Model!$D$9:'Model'!$CN$9),--(P$9&gt;=Model!$D$9:'Model'!$CN$9),Model!$D94:'Model'!$CN94)</f>
        <v>114157.55832622372</v>
      </c>
      <c r="Q90" s="90">
        <f>SUMPRODUCT(--(Q$8&lt;=Model!$D$9:'Model'!$CN$9),--(Q$9&gt;=Model!$D$9:'Model'!$CN$9),Model!$D94:'Model'!$CN94)</f>
        <v>127074.359245428</v>
      </c>
      <c r="R90" s="90">
        <f>SUMPRODUCT(--(R$8&lt;=Model!$D$9:'Model'!$CN$9),--(R$9&gt;=Model!$D$9:'Model'!$CN$9),Model!$D94:'Model'!$CN94)</f>
        <v>115243.03716557934</v>
      </c>
      <c r="S90" s="90">
        <f>SUMPRODUCT(--(S$8&lt;=Model!$D$9:'Model'!$CN$9),--(S$9&gt;=Model!$D$9:'Model'!$CN$9),Model!$D94:'Model'!$CN94)</f>
        <v>117684.52166089932</v>
      </c>
      <c r="T90" s="90">
        <f>SUMPRODUCT(--(T$8&lt;=Model!$D$9:'Model'!$CN$9),--(T$9&gt;=Model!$D$9:'Model'!$CN$9),Model!$D94:'Model'!$CN94)</f>
        <v>86104.572288885829</v>
      </c>
      <c r="U90" s="90">
        <f>SUMPRODUCT(--(U$8&lt;=Model!$D$9:'Model'!$CN$9),--(U$9&gt;=Model!$D$9:'Model'!$CN$9),Model!$D94:'Model'!$CN94)</f>
        <v>83134.279300204886</v>
      </c>
      <c r="V90" s="90">
        <f>SUMPRODUCT(--(V$8&lt;=Model!$D$9:'Model'!$CN$9),--(V$9&gt;=Model!$D$9:'Model'!$CN$9),Model!$D94:'Model'!$CN94)</f>
        <v>83583.706852238916</v>
      </c>
      <c r="W90" s="90">
        <f>SUMPRODUCT(--(W$8&lt;=Model!$D$9:'Model'!$CN$9),--(W$9&gt;=Model!$D$9:'Model'!$CN$9),Model!$D94:'Model'!$CN94)</f>
        <v>85231.479546803748</v>
      </c>
      <c r="X90" s="90">
        <f>SUMPRODUCT(--(X$8&lt;=Model!$D$9:'Model'!$CN$9),--(X$9&gt;=Model!$D$9:'Model'!$CN$9),Model!$D94:'Model'!$CN94)</f>
        <v>79794.012194619267</v>
      </c>
      <c r="Y90" s="90">
        <f>SUMPRODUCT(--(Y$8&lt;=Model!$D$9:'Model'!$CN$9),--(Y$9&gt;=Model!$D$9:'Model'!$CN$9),Model!$D94:'Model'!$CN94)</f>
        <v>84578.700851366331</v>
      </c>
      <c r="Z90" s="90">
        <f>SUMPRODUCT(--(Z$8&lt;=Model!$D$9:'Model'!$CN$9),--(Z$9&gt;=Model!$D$9:'Model'!$CN$9),Model!$D94:'Model'!$CN94)</f>
        <v>102088.41923879382</v>
      </c>
      <c r="AA90" s="90"/>
    </row>
    <row r="91" spans="1:27" ht="12.75" customHeight="1">
      <c r="A91" s="90"/>
      <c r="B91" s="94" t="s">
        <v>190</v>
      </c>
      <c r="C91" s="95"/>
      <c r="D91" s="76">
        <f>Model!D95</f>
        <v>954678.3</v>
      </c>
      <c r="E91" s="95">
        <f>SUMPRODUCT(--(E$9=Model!$D$9:'Model'!$CN$9),Model!$D95:'Model'!$CN95)</f>
        <v>903569.96666666667</v>
      </c>
      <c r="F91" s="95">
        <f>SUMPRODUCT(--(F$9=Model!$D$9:'Model'!$CN$9),Model!$D95:'Model'!$CN95)</f>
        <v>310311.81944444444</v>
      </c>
      <c r="G91" s="95">
        <f>SUMPRODUCT(--(G$9=Model!$D$9:'Model'!$CN$9),Model!$D95:'Model'!$CN95)</f>
        <v>192499.52236545138</v>
      </c>
      <c r="H91" s="95">
        <f>SUMPRODUCT(--(H$9=Model!$D$9:'Model'!$CN$9),Model!$D95:'Model'!$CN95)</f>
        <v>345240.80293489585</v>
      </c>
      <c r="I91" s="95">
        <f>SUMPRODUCT(--(I$9=Model!$D$9:'Model'!$CN$9),Model!$D95:'Model'!$CN95)</f>
        <v>549606.03313275671</v>
      </c>
      <c r="J91" s="95">
        <f>SUMPRODUCT(--(J$9=Model!$D$9:'Model'!$CN$9),Model!$D95:'Model'!$CN95)</f>
        <v>652265.65878157644</v>
      </c>
      <c r="K91" s="95">
        <f>SUMPRODUCT(--(K$9=Model!$D$9:'Model'!$CN$9),Model!$D95:'Model'!$CN95)</f>
        <v>588432.33088075719</v>
      </c>
      <c r="L91" s="95">
        <f>SUMPRODUCT(--(L$9=Model!$D$9:'Model'!$CN$9),Model!$D95:'Model'!$CN95)</f>
        <v>689910.63626163837</v>
      </c>
      <c r="M91" s="95">
        <f>SUMPRODUCT(--(M$9=Model!$D$9:'Model'!$CN$9),Model!$D95:'Model'!$CN95)</f>
        <v>802922.14742371661</v>
      </c>
      <c r="N91" s="95">
        <f>SUMPRODUCT(--(N$9=Model!$D$9:'Model'!$CN$9),Model!$D95:'Model'!$CN95)</f>
        <v>911020.79948108969</v>
      </c>
      <c r="O91" s="95">
        <f>SUMPRODUCT(--(O$9=Model!$D$9:'Model'!$CN$9),Model!$D95:'Model'!$CN95)</f>
        <v>1032863.0077800241</v>
      </c>
      <c r="P91" s="95">
        <f>SUMPRODUCT(--(P$9=Model!$D$9:'Model'!$CN$9),Model!$D95:'Model'!$CN95)</f>
        <v>1147020.5661062477</v>
      </c>
      <c r="Q91" s="95">
        <f>SUMPRODUCT(--(Q$9=Model!$D$9:'Model'!$CN$9),Model!$D95:'Model'!$CN95)</f>
        <v>1274094.9253516756</v>
      </c>
      <c r="R91" s="95">
        <f>SUMPRODUCT(--(R$9=Model!$D$9:'Model'!$CN$9),Model!$D95:'Model'!$CN95)</f>
        <v>1389337.9625172548</v>
      </c>
      <c r="S91" s="95">
        <f>SUMPRODUCT(--(S$9=Model!$D$9:'Model'!$CN$9),Model!$D95:'Model'!$CN95)</f>
        <v>1507022.484178154</v>
      </c>
      <c r="T91" s="95">
        <f>SUMPRODUCT(--(T$9=Model!$D$9:'Model'!$CN$9),Model!$D95:'Model'!$CN95)</f>
        <v>1593127.0564670397</v>
      </c>
      <c r="U91" s="95">
        <f>SUMPRODUCT(--(U$9=Model!$D$9:'Model'!$CN$9),Model!$D95:'Model'!$CN95)</f>
        <v>1676261.3357672447</v>
      </c>
      <c r="V91" s="95">
        <f>SUMPRODUCT(--(V$9=Model!$D$9:'Model'!$CN$9),Model!$D95:'Model'!$CN95)</f>
        <v>1759845.0426194835</v>
      </c>
      <c r="W91" s="95">
        <f>SUMPRODUCT(--(W$9=Model!$D$9:'Model'!$CN$9),Model!$D95:'Model'!$CN95)</f>
        <v>1845076.5221662871</v>
      </c>
      <c r="X91" s="95">
        <f>SUMPRODUCT(--(X$9=Model!$D$9:'Model'!$CN$9),Model!$D95:'Model'!$CN95)</f>
        <v>1924870.5343609061</v>
      </c>
      <c r="Y91" s="95">
        <f>SUMPRODUCT(--(Y$9=Model!$D$9:'Model'!$CN$9),Model!$D95:'Model'!$CN95)</f>
        <v>2009449.2352122725</v>
      </c>
      <c r="Z91" s="95">
        <f>SUMPRODUCT(--(Z$9=Model!$D$9:'Model'!$CN$9),Model!$D95:'Model'!$CN95)</f>
        <v>2111537.6544510662</v>
      </c>
      <c r="AA91" s="95"/>
    </row>
    <row r="92" spans="1:27" ht="12.75" customHeight="1">
      <c r="A92" s="90"/>
      <c r="B92" s="93"/>
      <c r="C92" s="90"/>
      <c r="D92" s="92">
        <f>Model!D96</f>
        <v>0</v>
      </c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</row>
    <row r="93" spans="1:27" ht="12.75" customHeight="1">
      <c r="A93" s="90"/>
      <c r="B93" s="96" t="s">
        <v>191</v>
      </c>
      <c r="C93" s="96">
        <f>$Z$77*(1+'выручка номеров'!$O$3)/(DiscRate!$E$3-'выручка номеров'!$O$3)</f>
        <v>12121708.43960508</v>
      </c>
      <c r="D93" s="92">
        <f>Model!D97</f>
        <v>0</v>
      </c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</row>
    <row r="94" spans="1:27" ht="12.75" customHeight="1">
      <c r="A94" s="90"/>
      <c r="B94" s="96" t="s">
        <v>192</v>
      </c>
      <c r="C94" s="96">
        <f>SUM(D94:AA94)</f>
        <v>20600089.50842642</v>
      </c>
      <c r="D94" s="92">
        <f>Model!D98</f>
        <v>0</v>
      </c>
      <c r="E94" s="90">
        <f t="shared" ref="E94:Z94" si="16">E81+E77</f>
        <v>-51108.333333333328</v>
      </c>
      <c r="F94" s="90">
        <f t="shared" si="16"/>
        <v>-593258.14722222229</v>
      </c>
      <c r="G94" s="90">
        <f t="shared" si="16"/>
        <v>-1423282.1534722222</v>
      </c>
      <c r="H94" s="90">
        <f t="shared" si="16"/>
        <v>-1470227.8759722223</v>
      </c>
      <c r="I94" s="90">
        <f t="shared" si="16"/>
        <v>-78123.158875597757</v>
      </c>
      <c r="J94" s="90">
        <f t="shared" si="16"/>
        <v>615957.75389291823</v>
      </c>
      <c r="K94" s="90">
        <f t="shared" si="16"/>
        <v>647256.12786628457</v>
      </c>
      <c r="L94" s="90">
        <f t="shared" si="16"/>
        <v>608869.83228528686</v>
      </c>
      <c r="M94" s="90">
        <f t="shared" si="16"/>
        <v>678069.06697246945</v>
      </c>
      <c r="N94" s="90">
        <f t="shared" si="16"/>
        <v>648591.91234423884</v>
      </c>
      <c r="O94" s="90">
        <f t="shared" si="16"/>
        <v>731053.24979360751</v>
      </c>
      <c r="P94" s="90">
        <f t="shared" si="16"/>
        <v>684945.34995734273</v>
      </c>
      <c r="Q94" s="90">
        <f t="shared" si="16"/>
        <v>762446.155472568</v>
      </c>
      <c r="R94" s="90">
        <f t="shared" si="16"/>
        <v>691458.2229934762</v>
      </c>
      <c r="S94" s="90">
        <f t="shared" si="16"/>
        <v>644584.1328073591</v>
      </c>
      <c r="T94" s="90">
        <f t="shared" si="16"/>
        <v>726183.46792226168</v>
      </c>
      <c r="U94" s="90">
        <f t="shared" si="16"/>
        <v>695889.43328338116</v>
      </c>
      <c r="V94" s="90">
        <f t="shared" si="16"/>
        <v>794773.15501090942</v>
      </c>
      <c r="W94" s="90">
        <f t="shared" si="16"/>
        <v>746411.76957898191</v>
      </c>
      <c r="X94" s="90">
        <f t="shared" si="16"/>
        <v>866111.31645929115</v>
      </c>
      <c r="Y94" s="90">
        <f t="shared" si="16"/>
        <v>801208.88480002386</v>
      </c>
      <c r="Z94" s="90">
        <f t="shared" si="16"/>
        <v>750570.90625653532</v>
      </c>
      <c r="AA94" s="90">
        <f>C93</f>
        <v>12121708.43960508</v>
      </c>
    </row>
    <row r="95" spans="1:27" ht="12.75" customHeight="1">
      <c r="A95" s="90"/>
      <c r="B95" s="96" t="s">
        <v>193</v>
      </c>
      <c r="C95" s="96">
        <f>AA95</f>
        <v>20600089.50842642</v>
      </c>
      <c r="D95" s="92">
        <f>Model!D99</f>
        <v>0</v>
      </c>
      <c r="E95" s="90">
        <f>D95+E94</f>
        <v>-51108.333333333328</v>
      </c>
      <c r="F95" s="90">
        <f t="shared" ref="F95:AA95" si="17">E95+F94</f>
        <v>-644366.48055555567</v>
      </c>
      <c r="G95" s="90">
        <f t="shared" si="17"/>
        <v>-2067648.6340277777</v>
      </c>
      <c r="H95" s="90">
        <f t="shared" si="17"/>
        <v>-3537876.51</v>
      </c>
      <c r="I95" s="90">
        <f t="shared" si="17"/>
        <v>-3615999.6688755974</v>
      </c>
      <c r="J95" s="90">
        <f t="shared" si="17"/>
        <v>-3000041.9149826793</v>
      </c>
      <c r="K95" s="90">
        <f t="shared" si="17"/>
        <v>-2352785.7871163948</v>
      </c>
      <c r="L95" s="90">
        <f t="shared" si="17"/>
        <v>-1743915.954831108</v>
      </c>
      <c r="M95" s="90">
        <f t="shared" si="17"/>
        <v>-1065846.8878586385</v>
      </c>
      <c r="N95" s="90">
        <f t="shared" si="17"/>
        <v>-417254.9755143997</v>
      </c>
      <c r="O95" s="90">
        <f t="shared" si="17"/>
        <v>313798.27427920781</v>
      </c>
      <c r="P95" s="90">
        <f t="shared" si="17"/>
        <v>998743.62423655053</v>
      </c>
      <c r="Q95" s="90">
        <f t="shared" si="17"/>
        <v>1761189.7797091184</v>
      </c>
      <c r="R95" s="90">
        <f t="shared" si="17"/>
        <v>2452648.0027025947</v>
      </c>
      <c r="S95" s="90">
        <f t="shared" si="17"/>
        <v>3097232.1355099538</v>
      </c>
      <c r="T95" s="90">
        <f t="shared" si="17"/>
        <v>3823415.6034322158</v>
      </c>
      <c r="U95" s="90">
        <f t="shared" si="17"/>
        <v>4519305.0367155969</v>
      </c>
      <c r="V95" s="90">
        <f t="shared" si="17"/>
        <v>5314078.1917265067</v>
      </c>
      <c r="W95" s="90">
        <f t="shared" si="17"/>
        <v>6060489.9613054888</v>
      </c>
      <c r="X95" s="90">
        <f t="shared" si="17"/>
        <v>6926601.2777647804</v>
      </c>
      <c r="Y95" s="90">
        <f t="shared" si="17"/>
        <v>7727810.1625648048</v>
      </c>
      <c r="Z95" s="90">
        <f t="shared" si="17"/>
        <v>8478381.0688213408</v>
      </c>
      <c r="AA95" s="90">
        <f t="shared" si="17"/>
        <v>20600089.50842642</v>
      </c>
    </row>
    <row r="96" spans="1:27" ht="12.75" customHeight="1">
      <c r="A96" s="90"/>
      <c r="B96" s="96" t="s">
        <v>194</v>
      </c>
      <c r="C96" s="96">
        <f>SUM(Model!D100:'Model'!CO100)</f>
        <v>1246572.5772201503</v>
      </c>
      <c r="D96" s="92">
        <f>Model!D100</f>
        <v>0</v>
      </c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</row>
    <row r="97" spans="1:27" ht="12.75" customHeight="1">
      <c r="A97" s="90"/>
      <c r="B97" s="96" t="s">
        <v>195</v>
      </c>
      <c r="C97" s="96">
        <f>Model!CO101</f>
        <v>1246572.5772201503</v>
      </c>
      <c r="D97" s="92">
        <f>Model!D101</f>
        <v>0</v>
      </c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</row>
    <row r="98" spans="1:27" ht="12.75" customHeight="1">
      <c r="A98" s="90"/>
      <c r="B98" s="96" t="s">
        <v>196</v>
      </c>
      <c r="C98" s="96">
        <f>Model!D98+NPV(Assump!D11,Model!E98:CN98)+Model!CO100</f>
        <v>1246572.5772201472</v>
      </c>
      <c r="D98" s="92">
        <f>Model!D102</f>
        <v>0</v>
      </c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</row>
    <row r="99" spans="1:27" ht="12.75" customHeight="1">
      <c r="A99" s="90"/>
      <c r="B99" s="408" t="s">
        <v>605</v>
      </c>
      <c r="C99" s="97">
        <f>IRR(D94:AA94)</f>
        <v>0.16013167818587215</v>
      </c>
      <c r="D99" s="92">
        <f>Model!D103</f>
        <v>0.16013167818587215</v>
      </c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</row>
    <row r="100" spans="1:27" ht="12.75" customHeight="1">
      <c r="A100" s="90"/>
      <c r="B100" s="96" t="s">
        <v>199</v>
      </c>
      <c r="C100" s="101">
        <f>(NPV(Assump!D11,Model!E81:CN81)+Model!D81+Model!CO100)/-(NPV(Assump!D11,Model!E85:Z85)+Model!D85)</f>
        <v>1.4409699750970577</v>
      </c>
      <c r="D100" s="92">
        <f>Model!D104</f>
        <v>0</v>
      </c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</row>
    <row r="101" spans="1:27" ht="12.75" customHeight="1">
      <c r="A101" s="90"/>
      <c r="B101" s="96" t="s">
        <v>200</v>
      </c>
      <c r="C101" s="96">
        <f>(COUNTIF(Model!D99:CN99,"&lt;0")+1)/4</f>
        <v>10.5</v>
      </c>
      <c r="D101" s="92">
        <f>Model!D105</f>
        <v>0</v>
      </c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</row>
    <row r="102" spans="1:27" ht="12.75" customHeight="1">
      <c r="A102" s="90"/>
      <c r="B102" s="96" t="s">
        <v>201</v>
      </c>
      <c r="C102" s="96">
        <f>IF(Model!C102&lt;0,"выходит за рамки модели",(COUNTIF(Model!D101:CN101,"&lt;0")+1)/4)</f>
        <v>19</v>
      </c>
      <c r="D102" s="92">
        <f>Model!D106</f>
        <v>0</v>
      </c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</row>
    <row r="103" spans="1:27" ht="12.75" customHeight="1">
      <c r="A103" s="90"/>
      <c r="B103" s="102" t="s">
        <v>202</v>
      </c>
      <c r="C103" s="102">
        <f>SUM(D103:AA103)</f>
        <v>5918223.2141655507</v>
      </c>
      <c r="D103" s="90">
        <f>Model!D107</f>
        <v>0</v>
      </c>
      <c r="E103" s="90">
        <f>E81*(Финансирование!$D$5)+(E77+E86+E87)</f>
        <v>-10781.666666666666</v>
      </c>
      <c r="F103" s="90">
        <f>F81*(Финансирование!$D$5)+(F77+F86+F87)</f>
        <v>-120891.62944444446</v>
      </c>
      <c r="G103" s="90">
        <f>G81*(Финансирование!$D$5)+(G77+G86+G87)</f>
        <v>-309995.64096788195</v>
      </c>
      <c r="H103" s="90">
        <f>H81*(Финансирование!$D$5)+(H77+H86+H87)</f>
        <v>-447544.04531944444</v>
      </c>
      <c r="I103" s="90">
        <f>I81*(Финансирование!$D$5)+(I77+I86+I87)</f>
        <v>-152311.48446880595</v>
      </c>
      <c r="J103" s="90">
        <f>J81*(Финансирование!$D$5)+(J77+J86+J87)</f>
        <v>102659.62564881961</v>
      </c>
      <c r="K103" s="90">
        <f>K81*(Финансирование!$D$5)+(K77+K86+K87)</f>
        <v>107876.02131104737</v>
      </c>
      <c r="L103" s="90">
        <f>L81*(Финансирование!$D$5)+(L77+L86+L87)</f>
        <v>101478.30538088118</v>
      </c>
      <c r="M103" s="90">
        <f>M81*(Финансирование!$D$5)+(M77+M86+M87)</f>
        <v>113011.51116207821</v>
      </c>
      <c r="N103" s="90">
        <f>N81*(Финансирование!$D$5)+(N77+N86+N87)</f>
        <v>108098.65205737311</v>
      </c>
      <c r="O103" s="90">
        <f>O81*(Финансирование!$D$5)+(O77+O86+O87)</f>
        <v>121842.20829893451</v>
      </c>
      <c r="P103" s="90">
        <f>P81*(Финансирование!$D$5)+(P77+P86+P87)</f>
        <v>114157.55832622376</v>
      </c>
      <c r="Q103" s="90">
        <f>Q81*(Финансирование!$D$5)+(Q77+Q86+Q87)</f>
        <v>127074.35924542797</v>
      </c>
      <c r="R103" s="90">
        <f>R81*(Финансирование!$D$5)+(R77+R86+R87)</f>
        <v>115243.03716557933</v>
      </c>
      <c r="S103" s="90">
        <f>S81*(Финансирование!$D$5)+(S77+S86+S87)</f>
        <v>567157.46912504465</v>
      </c>
      <c r="T103" s="90">
        <f>T81*(Финансирование!$D$5)+(T77+T86+T87)</f>
        <v>726183.46792226168</v>
      </c>
      <c r="U103" s="90">
        <f>U81*(Финансирование!$D$5)+(U77+U86+U87)</f>
        <v>695889.43328338116</v>
      </c>
      <c r="V103" s="90">
        <f>V81*(Финансирование!$D$5)+(V77+V86+V87)</f>
        <v>794773.15501090942</v>
      </c>
      <c r="W103" s="90">
        <f>W81*(Финансирование!$D$5)+(W77+W86+W87)</f>
        <v>746411.76957898191</v>
      </c>
      <c r="X103" s="90">
        <f>X81*(Финансирование!$D$5)+(X77+X86+X87)</f>
        <v>866111.31645929115</v>
      </c>
      <c r="Y103" s="90">
        <f>Y81*(Финансирование!$D$5)+(Y77+Y86+Y87)</f>
        <v>801208.88480002386</v>
      </c>
      <c r="Z103" s="90">
        <f>Z81*(Финансирование!$D$5)+(Z77+Z86+Z87)</f>
        <v>750570.90625653532</v>
      </c>
      <c r="AA103" s="90">
        <f>AA81*(Финансирование!$D$5)+(AA77+AA86+AA87)</f>
        <v>0</v>
      </c>
    </row>
    <row r="104" spans="1:27" ht="12.75" customHeight="1">
      <c r="A104" s="90"/>
      <c r="B104" s="102" t="s">
        <v>203</v>
      </c>
      <c r="C104" s="102">
        <f>Model!CO108</f>
        <v>5918223.2141655507</v>
      </c>
      <c r="D104" s="92">
        <f>Model!D108</f>
        <v>0</v>
      </c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</row>
    <row r="105" spans="1:27" ht="12.75" customHeight="1">
      <c r="A105" s="90"/>
      <c r="B105" s="102" t="s">
        <v>204</v>
      </c>
      <c r="C105" s="102">
        <f>SUM(Model!D109:CO109)</f>
        <v>-84993.015521213543</v>
      </c>
      <c r="D105" s="92">
        <f>Model!D109</f>
        <v>0</v>
      </c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</row>
    <row r="106" spans="1:27" ht="12.75" customHeight="1">
      <c r="A106" s="90"/>
      <c r="B106" s="102" t="s">
        <v>205</v>
      </c>
      <c r="C106" s="102">
        <f>Model!CO110</f>
        <v>-84993.015521213543</v>
      </c>
      <c r="D106" s="92">
        <f>Model!D110</f>
        <v>0</v>
      </c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</row>
    <row r="107" spans="1:27" ht="12.75" customHeight="1">
      <c r="A107" s="90"/>
      <c r="B107" s="102" t="s">
        <v>206</v>
      </c>
      <c r="C107" s="102">
        <f>Model!D107+NPV(DiscRate!G20,Model!E107:CN107)+Model!CO109</f>
        <v>-84993.015521213587</v>
      </c>
      <c r="D107" s="92">
        <f>Model!D111</f>
        <v>0</v>
      </c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</row>
    <row r="108" spans="1:27" ht="12.75" customHeight="1">
      <c r="A108" s="90"/>
      <c r="B108" s="416" t="s">
        <v>606</v>
      </c>
      <c r="C108" s="103">
        <f>IRR(D103:AA103)</f>
        <v>0.16278210897451739</v>
      </c>
      <c r="D108" s="92">
        <f>Model!D112</f>
        <v>0.16278210897451739</v>
      </c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</row>
    <row r="109" spans="1:27" ht="12.75" customHeight="1">
      <c r="A109" s="90"/>
      <c r="B109" s="102" t="s">
        <v>208</v>
      </c>
      <c r="C109" s="102">
        <f>(COUNTIF(Model!D108:CO108,"&lt;0")+1)/4</f>
        <v>14.25</v>
      </c>
      <c r="D109" s="92">
        <f>Model!D113</f>
        <v>0</v>
      </c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</row>
    <row r="110" spans="1:27" ht="12.75" customHeight="1">
      <c r="A110" s="90"/>
      <c r="B110" s="102" t="s">
        <v>209</v>
      </c>
      <c r="C110" s="102" t="str">
        <f>IF(Model!C110&lt;0,"выходит за рамки модели",(COUNTIF(Model!D110:CO110,"&lt;0")+1)/4)</f>
        <v>выходит за рамки модели</v>
      </c>
      <c r="D110" s="92">
        <f>Model!D114</f>
        <v>0</v>
      </c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</row>
    <row r="111" spans="1:27" ht="12.75" customHeight="1">
      <c r="A111" s="90"/>
      <c r="B111" s="96" t="s">
        <v>210</v>
      </c>
      <c r="C111" s="96"/>
      <c r="D111" s="92" t="str">
        <f>Model!D115</f>
        <v>-</v>
      </c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</row>
    <row r="112" spans="1:27" ht="12.75" customHeight="1">
      <c r="A112" s="90"/>
      <c r="B112" s="96" t="s">
        <v>211</v>
      </c>
      <c r="C112" s="96"/>
      <c r="D112" s="92">
        <f>Model!D116</f>
        <v>0</v>
      </c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</row>
    <row r="113" spans="1:27" ht="12.75" customHeight="1">
      <c r="A113" s="90"/>
      <c r="B113" s="96" t="s">
        <v>212</v>
      </c>
      <c r="C113" s="96"/>
      <c r="D113" s="92">
        <f>Model!D117</f>
        <v>0</v>
      </c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</row>
    <row r="114" spans="1:27" ht="12.75" customHeight="1">
      <c r="A114" s="90"/>
      <c r="B114" s="96" t="s">
        <v>213</v>
      </c>
      <c r="C114" s="96"/>
      <c r="D114" s="92" t="str">
        <f>Model!D118</f>
        <v>-</v>
      </c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</row>
    <row r="115" spans="1:27" ht="12.75" customHeight="1">
      <c r="A115" s="90"/>
      <c r="B115" s="96" t="s">
        <v>214</v>
      </c>
      <c r="C115" s="96"/>
      <c r="D115" s="92" t="str">
        <f>Model!D119</f>
        <v>-</v>
      </c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</row>
    <row r="116" spans="1:27" ht="12.75" customHeight="1">
      <c r="A116" s="90"/>
      <c r="B116" s="408" t="s">
        <v>215</v>
      </c>
      <c r="C116" s="96"/>
      <c r="D116" s="92">
        <f>Model!D120</f>
        <v>954678.3</v>
      </c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</row>
    <row r="117" spans="1:27" ht="12.75" customHeight="1">
      <c r="A117" s="90"/>
      <c r="B117" s="96" t="s">
        <v>216</v>
      </c>
      <c r="C117" s="96"/>
      <c r="D117" s="92" t="str">
        <f>Model!D121</f>
        <v>-</v>
      </c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</row>
    <row r="118" spans="1:27" ht="12.75" customHeight="1">
      <c r="A118" s="90"/>
      <c r="B118" s="96" t="s">
        <v>217</v>
      </c>
      <c r="C118" s="96">
        <f>SUM(Model!D122:CN122)</f>
        <v>6176564.7608352806</v>
      </c>
      <c r="D118" s="92">
        <f>Model!D122</f>
        <v>0</v>
      </c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</row>
    <row r="119" spans="1:27" ht="12.75" customHeight="1">
      <c r="A119" s="90"/>
      <c r="B119" s="96" t="s">
        <v>218</v>
      </c>
      <c r="C119" s="96">
        <f>Model!D122+NPV(Assump!D12,Model!E122:CN122)</f>
        <v>1320804.2061741778</v>
      </c>
      <c r="D119" s="92">
        <f>Model!D123</f>
        <v>0</v>
      </c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</row>
    <row r="120" spans="1:27" ht="12.75" customHeight="1">
      <c r="A120" s="90"/>
      <c r="B120" s="96" t="s">
        <v>219</v>
      </c>
      <c r="C120" s="96">
        <f>SUM(Model!D124:CN124)</f>
        <v>795565.25000000012</v>
      </c>
      <c r="D120" s="92">
        <f>Model!D124</f>
        <v>0</v>
      </c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</row>
    <row r="121" spans="1:27" ht="12.75" customHeight="1">
      <c r="A121" s="90"/>
      <c r="B121" s="96" t="s">
        <v>220</v>
      </c>
      <c r="C121" s="96">
        <f>Model!D124+NPV(Assump!D12,Model!E124:CN124)</f>
        <v>518823.65688893362</v>
      </c>
      <c r="D121" s="92">
        <f>Model!D125</f>
        <v>0</v>
      </c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</row>
    <row r="122" spans="1:27" ht="12.75" customHeight="1">
      <c r="A122" s="90"/>
      <c r="B122" s="96" t="s">
        <v>221</v>
      </c>
      <c r="C122" s="96">
        <f>C119-C120</f>
        <v>525238.9561741777</v>
      </c>
      <c r="D122" s="90">
        <f>Model!D126</f>
        <v>0</v>
      </c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</row>
    <row r="123" spans="1:27" ht="12.75" customHeight="1">
      <c r="A123" s="35"/>
      <c r="B123" s="96" t="s">
        <v>222</v>
      </c>
      <c r="C123" s="107">
        <f>C119/C121</f>
        <v>2.5457671188207343</v>
      </c>
      <c r="D123" s="60">
        <f>Model!D127</f>
        <v>0</v>
      </c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</row>
    <row r="124" spans="1:27" ht="12.75" customHeight="1">
      <c r="A124" s="35"/>
      <c r="B124" s="90"/>
      <c r="C124" s="90"/>
      <c r="D124" s="60">
        <f>Model!D128</f>
        <v>0</v>
      </c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</row>
    <row r="125" spans="1:27" ht="12.75" customHeight="1" outlineLevel="1">
      <c r="A125" s="35"/>
      <c r="B125" s="35" t="s">
        <v>223</v>
      </c>
      <c r="C125" s="35"/>
      <c r="D125" s="60">
        <f>Model!D129</f>
        <v>0</v>
      </c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</row>
    <row r="126" spans="1:27" ht="12.75" customHeight="1" outlineLevel="1">
      <c r="A126" s="35"/>
      <c r="B126" s="37" t="s">
        <v>224</v>
      </c>
      <c r="C126" s="37"/>
      <c r="D126" s="60">
        <f>Model!D130</f>
        <v>3037282.2187955473</v>
      </c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</row>
    <row r="127" spans="1:27" ht="12.75" customHeight="1" outlineLevel="1">
      <c r="A127" s="35"/>
      <c r="B127" s="35"/>
      <c r="C127" s="35"/>
      <c r="D127" s="60">
        <f>Model!D131</f>
        <v>0</v>
      </c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</row>
    <row r="128" spans="1:27" ht="12.75" customHeight="1" outlineLevel="1">
      <c r="A128" s="35"/>
      <c r="B128" s="35" t="s">
        <v>164</v>
      </c>
      <c r="C128" s="35"/>
      <c r="D128" s="60">
        <f>Model!D132</f>
        <v>0</v>
      </c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</row>
    <row r="129" spans="1:27" ht="12.75" customHeight="1" outlineLevel="1">
      <c r="A129" s="35"/>
      <c r="B129" s="49" t="s">
        <v>160</v>
      </c>
      <c r="C129" s="50">
        <f t="shared" ref="C129:C135" si="18">SUM(D129:AA129)</f>
        <v>14545267.48172828</v>
      </c>
      <c r="D129" s="53">
        <f>Model!D133</f>
        <v>0</v>
      </c>
      <c r="E129" s="50">
        <f>SUMPRODUCT(--(E$8&lt;=Model!$D$9:'Model'!$CN$9),--(E$9&gt;=Model!$D$9:'Model'!$CN$9),Model!$D133:'Model'!$CN133)</f>
        <v>-700</v>
      </c>
      <c r="F129" s="50">
        <f>SUMPRODUCT(--(F$8&lt;=Model!$D$9:'Model'!$CN$9),--(F$9&gt;=Model!$D$9:'Model'!$CN$9),Model!$D133:'Model'!$CN133)</f>
        <v>-2800</v>
      </c>
      <c r="G129" s="50">
        <f>SUMPRODUCT(--(G$8&lt;=Model!$D$9:'Model'!$CN$9),--(G$9&gt;=Model!$D$9:'Model'!$CN$9),Model!$D133:'Model'!$CN133)</f>
        <v>-2800</v>
      </c>
      <c r="H129" s="50">
        <f>SUMPRODUCT(--(H$8&lt;=Model!$D$9:'Model'!$CN$9),--(H$9&gt;=Model!$D$9:'Model'!$CN$9),Model!$D133:'Model'!$CN133)</f>
        <v>-2800</v>
      </c>
      <c r="I129" s="50">
        <f>SUMPRODUCT(--(I$8&lt;=Model!$D$9:'Model'!$CN$9),--(I$9&gt;=Model!$D$9:'Model'!$CN$9),Model!$D133:'Model'!$CN133)</f>
        <v>387996.83697973558</v>
      </c>
      <c r="J129" s="50">
        <f>SUMPRODUCT(--(J$8&lt;=Model!$D$9:'Model'!$CN$9),--(J$9&gt;=Model!$D$9:'Model'!$CN$9),Model!$D133:'Model'!$CN133)</f>
        <v>645386.34532160172</v>
      </c>
      <c r="K129" s="50">
        <f>SUMPRODUCT(--(K$8&lt;=Model!$D$9:'Model'!$CN$9),--(K$9&gt;=Model!$D$9:'Model'!$CN$9),Model!$D133:'Model'!$CN133)</f>
        <v>705900.02035939775</v>
      </c>
      <c r="L129" s="50">
        <f>SUMPRODUCT(--(L$8&lt;=Model!$D$9:'Model'!$CN$9),--(L$9&gt;=Model!$D$9:'Model'!$CN$9),Model!$D133:'Model'!$CN133)</f>
        <v>650897.42469986342</v>
      </c>
      <c r="M129" s="50">
        <f>SUMPRODUCT(--(M$8&lt;=Model!$D$9:'Model'!$CN$9),--(M$9&gt;=Model!$D$9:'Model'!$CN$9),Model!$D133:'Model'!$CN133)</f>
        <v>750059.62473833701</v>
      </c>
      <c r="N129" s="50">
        <f>SUMPRODUCT(--(N$8&lt;=Model!$D$9:'Model'!$CN$9),--(N$9&gt;=Model!$D$9:'Model'!$CN$9),Model!$D133:'Model'!$CN133)</f>
        <v>723316.4756460744</v>
      </c>
      <c r="O129" s="50">
        <f>SUMPRODUCT(--(O$8&lt;=Model!$D$9:'Model'!$CN$9),--(O$9&gt;=Model!$D$9:'Model'!$CN$9),Model!$D133:'Model'!$CN133)</f>
        <v>825967.93508991634</v>
      </c>
      <c r="P129" s="50">
        <f>SUMPRODUCT(--(P$8&lt;=Model!$D$9:'Model'!$CN$9),--(P$9&gt;=Model!$D$9:'Model'!$CN$9),Model!$D133:'Model'!$CN133)</f>
        <v>776034.58944767108</v>
      </c>
      <c r="Q129" s="50">
        <f>SUMPRODUCT(--(Q$8&lt;=Model!$D$9:'Model'!$CN$9),--(Q$9&gt;=Model!$D$9:'Model'!$CN$9),Model!$D133:'Model'!$CN133)</f>
        <v>906292.47947045008</v>
      </c>
      <c r="R129" s="50">
        <f>SUMPRODUCT(--(R$8&lt;=Model!$D$9:'Model'!$CN$9),--(R$9&gt;=Model!$D$9:'Model'!$CN$9),Model!$D133:'Model'!$CN133)</f>
        <v>836275.9837354921</v>
      </c>
      <c r="S129" s="50">
        <f>SUMPRODUCT(--(S$8&lt;=Model!$D$9:'Model'!$CN$9),--(S$9&gt;=Model!$D$9:'Model'!$CN$9),Model!$D133:'Model'!$CN133)</f>
        <v>767925.00789619598</v>
      </c>
      <c r="T129" s="50">
        <f>SUMPRODUCT(--(T$8&lt;=Model!$D$9:'Model'!$CN$9),--(T$9&gt;=Model!$D$9:'Model'!$CN$9),Model!$D133:'Model'!$CN133)</f>
        <v>886887.55590535619</v>
      </c>
      <c r="U129" s="50">
        <f>SUMPRODUCT(--(U$8&lt;=Model!$D$9:'Model'!$CN$9),--(U$9&gt;=Model!$D$9:'Model'!$CN$9),Model!$D133:'Model'!$CN133)</f>
        <v>852732.87884260667</v>
      </c>
      <c r="V129" s="50">
        <f>SUMPRODUCT(--(V$8&lt;=Model!$D$9:'Model'!$CN$9),--(V$9&gt;=Model!$D$9:'Model'!$CN$9),Model!$D133:'Model'!$CN133)</f>
        <v>975775.74656197452</v>
      </c>
      <c r="W129" s="50">
        <f>SUMPRODUCT(--(W$8&lt;=Model!$D$9:'Model'!$CN$9),--(W$9&gt;=Model!$D$9:'Model'!$CN$9),Model!$D133:'Model'!$CN133)</f>
        <v>913264.2989038591</v>
      </c>
      <c r="X129" s="50">
        <f>SUMPRODUCT(--(X$8&lt;=Model!$D$9:'Model'!$CN$9),--(X$9&gt;=Model!$D$9:'Model'!$CN$9),Model!$D133:'Model'!$CN133)</f>
        <v>1069685.5666944762</v>
      </c>
      <c r="Y129" s="50">
        <f>SUMPRODUCT(--(Y$8&lt;=Model!$D$9:'Model'!$CN$9),--(Y$9&gt;=Model!$D$9:'Model'!$CN$9),Model!$D133:'Model'!$CN133)</f>
        <v>982576.66629945836</v>
      </c>
      <c r="Z129" s="50">
        <f>SUMPRODUCT(--(Z$8&lt;=Model!$D$9:'Model'!$CN$9),--(Z$9&gt;=Model!$D$9:'Model'!$CN$9),Model!$D133:'Model'!$CN133)</f>
        <v>897392.0451358133</v>
      </c>
      <c r="AA129" s="50"/>
    </row>
    <row r="130" spans="1:27" ht="12.75" customHeight="1" outlineLevel="1">
      <c r="A130" s="35"/>
      <c r="B130" s="63" t="s">
        <v>55</v>
      </c>
      <c r="C130" s="35">
        <f t="shared" si="18"/>
        <v>-1518806.386363636</v>
      </c>
      <c r="D130" s="60">
        <f>Model!D134</f>
        <v>0</v>
      </c>
      <c r="E130" s="35">
        <f>SUMPRODUCT(--(E$8&lt;=Model!$D$9:'Model'!$CN$9),--(E$9&gt;=Model!$D$9:'Model'!$CN$9),Model!$D134:'Model'!$CN134)</f>
        <v>0</v>
      </c>
      <c r="F130" s="35">
        <f>SUMPRODUCT(--(F$8&lt;=Model!$D$9:'Model'!$CN$9),--(F$9&gt;=Model!$D$9:'Model'!$CN$9),Model!$D134:'Model'!$CN134)</f>
        <v>0</v>
      </c>
      <c r="G130" s="35">
        <f>SUMPRODUCT(--(G$8&lt;=Model!$D$9:'Model'!$CN$9),--(G$9&gt;=Model!$D$9:'Model'!$CN$9),Model!$D134:'Model'!$CN134)</f>
        <v>0</v>
      </c>
      <c r="H130" s="35">
        <f>SUMPRODUCT(--(H$8&lt;=Model!$D$9:'Model'!$CN$9),--(H$9&gt;=Model!$D$9:'Model'!$CN$9),Model!$D134:'Model'!$CN134)</f>
        <v>0</v>
      </c>
      <c r="I130" s="35">
        <f>SUMPRODUCT(--(I$8&lt;=Model!$D$9:'Model'!$CN$9),--(I$9&gt;=Model!$D$9:'Model'!$CN$9),Model!$D134:'Model'!$CN134)</f>
        <v>-43394.468181818178</v>
      </c>
      <c r="J130" s="35">
        <f>SUMPRODUCT(--(J$8&lt;=Model!$D$9:'Model'!$CN$9),--(J$9&gt;=Model!$D$9:'Model'!$CN$9),Model!$D134:'Model'!$CN134)</f>
        <v>-86788.936363636356</v>
      </c>
      <c r="K130" s="35">
        <f>SUMPRODUCT(--(K$8&lt;=Model!$D$9:'Model'!$CN$9),--(K$9&gt;=Model!$D$9:'Model'!$CN$9),Model!$D134:'Model'!$CN134)</f>
        <v>-86788.936363636356</v>
      </c>
      <c r="L130" s="35">
        <f>SUMPRODUCT(--(L$8&lt;=Model!$D$9:'Model'!$CN$9),--(L$9&gt;=Model!$D$9:'Model'!$CN$9),Model!$D134:'Model'!$CN134)</f>
        <v>-86788.936363636356</v>
      </c>
      <c r="M130" s="35">
        <f>SUMPRODUCT(--(M$8&lt;=Model!$D$9:'Model'!$CN$9),--(M$9&gt;=Model!$D$9:'Model'!$CN$9),Model!$D134:'Model'!$CN134)</f>
        <v>-86788.936363636356</v>
      </c>
      <c r="N130" s="35">
        <f>SUMPRODUCT(--(N$8&lt;=Model!$D$9:'Model'!$CN$9),--(N$9&gt;=Model!$D$9:'Model'!$CN$9),Model!$D134:'Model'!$CN134)</f>
        <v>-86788.936363636356</v>
      </c>
      <c r="O130" s="35">
        <f>SUMPRODUCT(--(O$8&lt;=Model!$D$9:'Model'!$CN$9),--(O$9&gt;=Model!$D$9:'Model'!$CN$9),Model!$D134:'Model'!$CN134)</f>
        <v>-86788.936363636356</v>
      </c>
      <c r="P130" s="35">
        <f>SUMPRODUCT(--(P$8&lt;=Model!$D$9:'Model'!$CN$9),--(P$9&gt;=Model!$D$9:'Model'!$CN$9),Model!$D134:'Model'!$CN134)</f>
        <v>-86788.936363636356</v>
      </c>
      <c r="Q130" s="35">
        <f>SUMPRODUCT(--(Q$8&lt;=Model!$D$9:'Model'!$CN$9),--(Q$9&gt;=Model!$D$9:'Model'!$CN$9),Model!$D134:'Model'!$CN134)</f>
        <v>-86788.936363636356</v>
      </c>
      <c r="R130" s="35">
        <f>SUMPRODUCT(--(R$8&lt;=Model!$D$9:'Model'!$CN$9),--(R$9&gt;=Model!$D$9:'Model'!$CN$9),Model!$D134:'Model'!$CN134)</f>
        <v>-86788.936363636356</v>
      </c>
      <c r="S130" s="35">
        <f>SUMPRODUCT(--(S$8&lt;=Model!$D$9:'Model'!$CN$9),--(S$9&gt;=Model!$D$9:'Model'!$CN$9),Model!$D134:'Model'!$CN134)</f>
        <v>-86788.936363636356</v>
      </c>
      <c r="T130" s="35">
        <f>SUMPRODUCT(--(T$8&lt;=Model!$D$9:'Model'!$CN$9),--(T$9&gt;=Model!$D$9:'Model'!$CN$9),Model!$D134:'Model'!$CN134)</f>
        <v>-86788.936363636356</v>
      </c>
      <c r="U130" s="35">
        <f>SUMPRODUCT(--(U$8&lt;=Model!$D$9:'Model'!$CN$9),--(U$9&gt;=Model!$D$9:'Model'!$CN$9),Model!$D134:'Model'!$CN134)</f>
        <v>-86788.936363636356</v>
      </c>
      <c r="V130" s="35">
        <f>SUMPRODUCT(--(V$8&lt;=Model!$D$9:'Model'!$CN$9),--(V$9&gt;=Model!$D$9:'Model'!$CN$9),Model!$D134:'Model'!$CN134)</f>
        <v>-86788.936363636356</v>
      </c>
      <c r="W130" s="35">
        <f>SUMPRODUCT(--(W$8&lt;=Model!$D$9:'Model'!$CN$9),--(W$9&gt;=Model!$D$9:'Model'!$CN$9),Model!$D134:'Model'!$CN134)</f>
        <v>-86788.936363636356</v>
      </c>
      <c r="X130" s="35">
        <f>SUMPRODUCT(--(X$8&lt;=Model!$D$9:'Model'!$CN$9),--(X$9&gt;=Model!$D$9:'Model'!$CN$9),Model!$D134:'Model'!$CN134)</f>
        <v>-86788.936363636356</v>
      </c>
      <c r="Y130" s="35">
        <f>SUMPRODUCT(--(Y$8&lt;=Model!$D$9:'Model'!$CN$9),--(Y$9&gt;=Model!$D$9:'Model'!$CN$9),Model!$D134:'Model'!$CN134)</f>
        <v>-86788.936363636356</v>
      </c>
      <c r="Z130" s="35">
        <f>SUMPRODUCT(--(Z$8&lt;=Model!$D$9:'Model'!$CN$9),--(Z$9&gt;=Model!$D$9:'Model'!$CN$9),Model!$D134:'Model'!$CN134)</f>
        <v>-86788.936363636356</v>
      </c>
      <c r="AA130" s="35"/>
    </row>
    <row r="131" spans="1:27" ht="12.75" customHeight="1" outlineLevel="1">
      <c r="A131" s="35"/>
      <c r="B131" s="63" t="s">
        <v>162</v>
      </c>
      <c r="C131" s="35">
        <f t="shared" si="18"/>
        <v>-1923705.6546557879</v>
      </c>
      <c r="D131" s="60">
        <f>Model!D135</f>
        <v>0</v>
      </c>
      <c r="E131" s="35">
        <f>SUMPRODUCT(--(E$8&lt;=Model!$D$9:'Model'!$CN$9),--(E$9&gt;=Model!$D$9:'Model'!$CN$9),Model!$D135:'Model'!$CN135)</f>
        <v>0</v>
      </c>
      <c r="F131" s="35">
        <f>SUMPRODUCT(--(F$8&lt;=Model!$D$9:'Model'!$CN$9),--(F$9&gt;=Model!$D$9:'Model'!$CN$9),Model!$D135:'Model'!$CN135)</f>
        <v>0</v>
      </c>
      <c r="G131" s="35">
        <f>SUMPRODUCT(--(G$8&lt;=Model!$D$9:'Model'!$CN$9),--(G$9&gt;=Model!$D$9:'Model'!$CN$9),Model!$D135:'Model'!$CN135)</f>
        <v>-23099.210273437493</v>
      </c>
      <c r="H131" s="35">
        <f>SUMPRODUCT(--(H$8&lt;=Model!$D$9:'Model'!$CN$9),--(H$9&gt;=Model!$D$9:'Model'!$CN$9),Model!$D135:'Model'!$CN135)</f>
        <v>-151258.47012499999</v>
      </c>
      <c r="I131" s="35">
        <f>SUMPRODUCT(--(I$8&lt;=Model!$D$9:'Model'!$CN$9),--(I$9&gt;=Model!$D$9:'Model'!$CN$9),Model!$D135:'Model'!$CN135)</f>
        <v>-265670.77045810071</v>
      </c>
      <c r="J131" s="35">
        <f>SUMPRODUCT(--(J$8&lt;=Model!$D$9:'Model'!$CN$9),--(J$9&gt;=Model!$D$9:'Model'!$CN$9),Model!$D135:'Model'!$CN135)</f>
        <v>-269377.11747710494</v>
      </c>
      <c r="K131" s="35">
        <f>SUMPRODUCT(--(K$8&lt;=Model!$D$9:'Model'!$CN$9),--(K$9&gt;=Model!$D$9:'Model'!$CN$9),Model!$D135:'Model'!$CN135)</f>
        <v>-250252.8147559549</v>
      </c>
      <c r="L131" s="35">
        <f>SUMPRODUCT(--(L$8&lt;=Model!$D$9:'Model'!$CN$9),--(L$9&gt;=Model!$D$9:'Model'!$CN$9),Model!$D135:'Model'!$CN135)</f>
        <v>-226011.83201343322</v>
      </c>
      <c r="M131" s="35">
        <f>SUMPRODUCT(--(M$8&lt;=Model!$D$9:'Model'!$CN$9),--(M$9&gt;=Model!$D$9:'Model'!$CN$9),Model!$D135:'Model'!$CN135)</f>
        <v>-202406.88927550407</v>
      </c>
      <c r="N131" s="35">
        <f>SUMPRODUCT(--(N$8&lt;=Model!$D$9:'Model'!$CN$9),--(N$9&gt;=Model!$D$9:'Model'!$CN$9),Model!$D135:'Model'!$CN135)</f>
        <v>-173730.38192477237</v>
      </c>
      <c r="O131" s="35">
        <f>SUMPRODUCT(--(O$8&lt;=Model!$D$9:'Model'!$CN$9),--(O$9&gt;=Model!$D$9:'Model'!$CN$9),Model!$D135:'Model'!$CN135)</f>
        <v>-143762.2842858138</v>
      </c>
      <c r="P131" s="35">
        <f>SUMPRODUCT(--(P$8&lt;=Model!$D$9:'Model'!$CN$9),--(P$9&gt;=Model!$D$9:'Model'!$CN$9),Model!$D135:'Model'!$CN135)</f>
        <v>-109759.4312087565</v>
      </c>
      <c r="Q131" s="35">
        <f>SUMPRODUCT(--(Q$8&lt;=Model!$D$9:'Model'!$CN$9),--(Q$9&gt;=Model!$D$9:'Model'!$CN$9),Model!$D135:'Model'!$CN135)</f>
        <v>-72554.697870852571</v>
      </c>
      <c r="R131" s="35">
        <f>SUMPRODUCT(--(R$8&lt;=Model!$D$9:'Model'!$CN$9),--(R$9&gt;=Model!$D$9:'Model'!$CN$9),Model!$D135:'Model'!$CN135)</f>
        <v>-34396.724367137365</v>
      </c>
      <c r="S131" s="35">
        <f>SUMPRODUCT(--(S$8&lt;=Model!$D$9:'Model'!$CN$9),--(S$9&gt;=Model!$D$9:'Model'!$CN$9),Model!$D135:'Model'!$CN135)</f>
        <v>-1425.0306199198976</v>
      </c>
      <c r="T131" s="35">
        <f>SUMPRODUCT(--(T$8&lt;=Model!$D$9:'Model'!$CN$9),--(T$9&gt;=Model!$D$9:'Model'!$CN$9),Model!$D135:'Model'!$CN135)</f>
        <v>0</v>
      </c>
      <c r="U131" s="35">
        <f>SUMPRODUCT(--(U$8&lt;=Model!$D$9:'Model'!$CN$9),--(U$9&gt;=Model!$D$9:'Model'!$CN$9),Model!$D135:'Model'!$CN135)</f>
        <v>0</v>
      </c>
      <c r="V131" s="35">
        <f>SUMPRODUCT(--(V$8&lt;=Model!$D$9:'Model'!$CN$9),--(V$9&gt;=Model!$D$9:'Model'!$CN$9),Model!$D135:'Model'!$CN135)</f>
        <v>0</v>
      </c>
      <c r="W131" s="35">
        <f>SUMPRODUCT(--(W$8&lt;=Model!$D$9:'Model'!$CN$9),--(W$9&gt;=Model!$D$9:'Model'!$CN$9),Model!$D135:'Model'!$CN135)</f>
        <v>0</v>
      </c>
      <c r="X131" s="35">
        <f>SUMPRODUCT(--(X$8&lt;=Model!$D$9:'Model'!$CN$9),--(X$9&gt;=Model!$D$9:'Model'!$CN$9),Model!$D135:'Model'!$CN135)</f>
        <v>0</v>
      </c>
      <c r="Y131" s="35">
        <f>SUMPRODUCT(--(Y$8&lt;=Model!$D$9:'Model'!$CN$9),--(Y$9&gt;=Model!$D$9:'Model'!$CN$9),Model!$D135:'Model'!$CN135)</f>
        <v>0</v>
      </c>
      <c r="Z131" s="35">
        <f>SUMPRODUCT(--(Z$8&lt;=Model!$D$9:'Model'!$CN$9),--(Z$9&gt;=Model!$D$9:'Model'!$CN$9),Model!$D135:'Model'!$CN135)</f>
        <v>0</v>
      </c>
      <c r="AA131" s="35"/>
    </row>
    <row r="132" spans="1:27" ht="12.75" customHeight="1" outlineLevel="1">
      <c r="A132" s="35"/>
      <c r="B132" s="70" t="s">
        <v>225</v>
      </c>
      <c r="C132" s="70">
        <f t="shared" si="18"/>
        <v>11102755.440708855</v>
      </c>
      <c r="D132" s="71">
        <f>Model!D136</f>
        <v>0</v>
      </c>
      <c r="E132" s="70">
        <f>SUMPRODUCT(--(E$8&lt;=Model!$D$9:'Model'!$CN$9),--(E$9&gt;=Model!$D$9:'Model'!$CN$9),Model!$D136:'Model'!$CN136)</f>
        <v>-700</v>
      </c>
      <c r="F132" s="70">
        <f>SUMPRODUCT(--(F$8&lt;=Model!$D$9:'Model'!$CN$9),--(F$9&gt;=Model!$D$9:'Model'!$CN$9),Model!$D136:'Model'!$CN136)</f>
        <v>-2800</v>
      </c>
      <c r="G132" s="70">
        <f>SUMPRODUCT(--(G$8&lt;=Model!$D$9:'Model'!$CN$9),--(G$9&gt;=Model!$D$9:'Model'!$CN$9),Model!$D136:'Model'!$CN136)</f>
        <v>-25899.210273437493</v>
      </c>
      <c r="H132" s="70">
        <f>SUMPRODUCT(--(H$8&lt;=Model!$D$9:'Model'!$CN$9),--(H$9&gt;=Model!$D$9:'Model'!$CN$9),Model!$D136:'Model'!$CN136)</f>
        <v>-154058.47012499999</v>
      </c>
      <c r="I132" s="70">
        <f>SUMPRODUCT(--(I$8&lt;=Model!$D$9:'Model'!$CN$9),--(I$9&gt;=Model!$D$9:'Model'!$CN$9),Model!$D136:'Model'!$CN136)</f>
        <v>78931.598339816686</v>
      </c>
      <c r="J132" s="70">
        <f>SUMPRODUCT(--(J$8&lt;=Model!$D$9:'Model'!$CN$9),--(J$9&gt;=Model!$D$9:'Model'!$CN$9),Model!$D136:'Model'!$CN136)</f>
        <v>289220.2914808605</v>
      </c>
      <c r="K132" s="70">
        <f>SUMPRODUCT(--(K$8&lt;=Model!$D$9:'Model'!$CN$9),--(K$9&gt;=Model!$D$9:'Model'!$CN$9),Model!$D136:'Model'!$CN136)</f>
        <v>368858.26923980645</v>
      </c>
      <c r="L132" s="70">
        <f>SUMPRODUCT(--(L$8&lt;=Model!$D$9:'Model'!$CN$9),--(L$9&gt;=Model!$D$9:'Model'!$CN$9),Model!$D136:'Model'!$CN136)</f>
        <v>338096.65632279386</v>
      </c>
      <c r="M132" s="70">
        <f>SUMPRODUCT(--(M$8&lt;=Model!$D$9:'Model'!$CN$9),--(M$9&gt;=Model!$D$9:'Model'!$CN$9),Model!$D136:'Model'!$CN136)</f>
        <v>460863.79909919656</v>
      </c>
      <c r="N132" s="70">
        <f>SUMPRODUCT(--(N$8&lt;=Model!$D$9:'Model'!$CN$9),--(N$9&gt;=Model!$D$9:'Model'!$CN$9),Model!$D136:'Model'!$CN136)</f>
        <v>462797.15735766571</v>
      </c>
      <c r="O132" s="70">
        <f>SUMPRODUCT(--(O$8&lt;=Model!$D$9:'Model'!$CN$9),--(O$9&gt;=Model!$D$9:'Model'!$CN$9),Model!$D136:'Model'!$CN136)</f>
        <v>595416.71444046614</v>
      </c>
      <c r="P132" s="70">
        <f>SUMPRODUCT(--(P$8&lt;=Model!$D$9:'Model'!$CN$9),--(P$9&gt;=Model!$D$9:'Model'!$CN$9),Model!$D136:'Model'!$CN136)</f>
        <v>579486.22187527816</v>
      </c>
      <c r="Q132" s="70">
        <f>SUMPRODUCT(--(Q$8&lt;=Model!$D$9:'Model'!$CN$9),--(Q$9&gt;=Model!$D$9:'Model'!$CN$9),Model!$D136:'Model'!$CN136)</f>
        <v>746948.84523596114</v>
      </c>
      <c r="R132" s="70">
        <f>SUMPRODUCT(--(R$8&lt;=Model!$D$9:'Model'!$CN$9),--(R$9&gt;=Model!$D$9:'Model'!$CN$9),Model!$D136:'Model'!$CN136)</f>
        <v>715090.3230047184</v>
      </c>
      <c r="S132" s="70">
        <f>SUMPRODUCT(--(S$8&lt;=Model!$D$9:'Model'!$CN$9),--(S$9&gt;=Model!$D$9:'Model'!$CN$9),Model!$D136:'Model'!$CN136)</f>
        <v>679711.04091263958</v>
      </c>
      <c r="T132" s="70">
        <f>SUMPRODUCT(--(T$8&lt;=Model!$D$9:'Model'!$CN$9),--(T$9&gt;=Model!$D$9:'Model'!$CN$9),Model!$D136:'Model'!$CN136)</f>
        <v>800098.61954171979</v>
      </c>
      <c r="U132" s="70">
        <f>SUMPRODUCT(--(U$8&lt;=Model!$D$9:'Model'!$CN$9),--(U$9&gt;=Model!$D$9:'Model'!$CN$9),Model!$D136:'Model'!$CN136)</f>
        <v>765943.94247897028</v>
      </c>
      <c r="V132" s="70">
        <f>SUMPRODUCT(--(V$8&lt;=Model!$D$9:'Model'!$CN$9),--(V$9&gt;=Model!$D$9:'Model'!$CN$9),Model!$D136:'Model'!$CN136)</f>
        <v>888986.81019833812</v>
      </c>
      <c r="W132" s="70">
        <f>SUMPRODUCT(--(W$8&lt;=Model!$D$9:'Model'!$CN$9),--(W$9&gt;=Model!$D$9:'Model'!$CN$9),Model!$D136:'Model'!$CN136)</f>
        <v>826475.36254022282</v>
      </c>
      <c r="X132" s="70">
        <f>SUMPRODUCT(--(X$8&lt;=Model!$D$9:'Model'!$CN$9),--(X$9&gt;=Model!$D$9:'Model'!$CN$9),Model!$D136:'Model'!$CN136)</f>
        <v>982896.63033083989</v>
      </c>
      <c r="Y132" s="70">
        <f>SUMPRODUCT(--(Y$8&lt;=Model!$D$9:'Model'!$CN$9),--(Y$9&gt;=Model!$D$9:'Model'!$CN$9),Model!$D136:'Model'!$CN136)</f>
        <v>895787.72993582196</v>
      </c>
      <c r="Z132" s="70">
        <f>SUMPRODUCT(--(Z$8&lt;=Model!$D$9:'Model'!$CN$9),--(Z$9&gt;=Model!$D$9:'Model'!$CN$9),Model!$D136:'Model'!$CN136)</f>
        <v>810603.10877217713</v>
      </c>
      <c r="AA132" s="70"/>
    </row>
    <row r="133" spans="1:27" ht="12.75" customHeight="1" outlineLevel="1">
      <c r="A133" s="35"/>
      <c r="B133" s="63" t="s">
        <v>226</v>
      </c>
      <c r="C133" s="35">
        <f t="shared" si="18"/>
        <v>-308479.81277343747</v>
      </c>
      <c r="D133" s="60">
        <f>Model!D137</f>
        <v>0</v>
      </c>
      <c r="E133" s="35">
        <f>SUMPRODUCT(--(E$8&lt;=Model!$D$9:'Model'!$CN$9),--(E$9&gt;=Model!$D$9:'Model'!$CN$9),Model!$D137:'Model'!$CN137)</f>
        <v>0</v>
      </c>
      <c r="F133" s="35">
        <f>SUMPRODUCT(--(F$8&lt;=Model!$D$9:'Model'!$CN$9),--(F$9&gt;=Model!$D$9:'Model'!$CN$9),Model!$D137:'Model'!$CN137)</f>
        <v>0</v>
      </c>
      <c r="G133" s="35">
        <f>SUMPRODUCT(--(G$8&lt;=Model!$D$9:'Model'!$CN$9),--(G$9&gt;=Model!$D$9:'Model'!$CN$9),Model!$D137:'Model'!$CN137)</f>
        <v>0</v>
      </c>
      <c r="H133" s="35">
        <f>SUMPRODUCT(--(H$8&lt;=Model!$D$9:'Model'!$CN$9),--(H$9&gt;=Model!$D$9:'Model'!$CN$9),Model!$D137:'Model'!$CN137)</f>
        <v>0</v>
      </c>
      <c r="I133" s="35">
        <f>SUMPRODUCT(--(I$8&lt;=Model!$D$9:'Model'!$CN$9),--(I$9&gt;=Model!$D$9:'Model'!$CN$9),Model!$D137:'Model'!$CN137)</f>
        <v>-203953.73071481666</v>
      </c>
      <c r="J133" s="35">
        <f>SUMPRODUCT(--(J$8&lt;=Model!$D$9:'Model'!$CN$9),--(J$9&gt;=Model!$D$9:'Model'!$CN$9),Model!$D137:'Model'!$CN137)</f>
        <v>-104526.0820586208</v>
      </c>
      <c r="K133" s="35">
        <f>SUMPRODUCT(--(K$8&lt;=Model!$D$9:'Model'!$CN$9),--(K$9&gt;=Model!$D$9:'Model'!$CN$9),Model!$D137:'Model'!$CN137)</f>
        <v>0</v>
      </c>
      <c r="L133" s="35">
        <f>SUMPRODUCT(--(L$8&lt;=Model!$D$9:'Model'!$CN$9),--(L$9&gt;=Model!$D$9:'Model'!$CN$9),Model!$D137:'Model'!$CN137)</f>
        <v>0</v>
      </c>
      <c r="M133" s="35">
        <f>SUMPRODUCT(--(M$8&lt;=Model!$D$9:'Model'!$CN$9),--(M$9&gt;=Model!$D$9:'Model'!$CN$9),Model!$D137:'Model'!$CN137)</f>
        <v>0</v>
      </c>
      <c r="N133" s="35">
        <f>SUMPRODUCT(--(N$8&lt;=Model!$D$9:'Model'!$CN$9),--(N$9&gt;=Model!$D$9:'Model'!$CN$9),Model!$D137:'Model'!$CN137)</f>
        <v>0</v>
      </c>
      <c r="O133" s="35">
        <f>SUMPRODUCT(--(O$8&lt;=Model!$D$9:'Model'!$CN$9),--(O$9&gt;=Model!$D$9:'Model'!$CN$9),Model!$D137:'Model'!$CN137)</f>
        <v>0</v>
      </c>
      <c r="P133" s="35">
        <f>SUMPRODUCT(--(P$8&lt;=Model!$D$9:'Model'!$CN$9),--(P$9&gt;=Model!$D$9:'Model'!$CN$9),Model!$D137:'Model'!$CN137)</f>
        <v>0</v>
      </c>
      <c r="Q133" s="35">
        <f>SUMPRODUCT(--(Q$8&lt;=Model!$D$9:'Model'!$CN$9),--(Q$9&gt;=Model!$D$9:'Model'!$CN$9),Model!$D137:'Model'!$CN137)</f>
        <v>0</v>
      </c>
      <c r="R133" s="35">
        <f>SUMPRODUCT(--(R$8&lt;=Model!$D$9:'Model'!$CN$9),--(R$9&gt;=Model!$D$9:'Model'!$CN$9),Model!$D137:'Model'!$CN137)</f>
        <v>0</v>
      </c>
      <c r="S133" s="35">
        <f>SUMPRODUCT(--(S$8&lt;=Model!$D$9:'Model'!$CN$9),--(S$9&gt;=Model!$D$9:'Model'!$CN$9),Model!$D137:'Model'!$CN137)</f>
        <v>0</v>
      </c>
      <c r="T133" s="35">
        <f>SUMPRODUCT(--(T$8&lt;=Model!$D$9:'Model'!$CN$9),--(T$9&gt;=Model!$D$9:'Model'!$CN$9),Model!$D137:'Model'!$CN137)</f>
        <v>0</v>
      </c>
      <c r="U133" s="35">
        <f>SUMPRODUCT(--(U$8&lt;=Model!$D$9:'Model'!$CN$9),--(U$9&gt;=Model!$D$9:'Model'!$CN$9),Model!$D137:'Model'!$CN137)</f>
        <v>0</v>
      </c>
      <c r="V133" s="35">
        <f>SUMPRODUCT(--(V$8&lt;=Model!$D$9:'Model'!$CN$9),--(V$9&gt;=Model!$D$9:'Model'!$CN$9),Model!$D137:'Model'!$CN137)</f>
        <v>0</v>
      </c>
      <c r="W133" s="35">
        <f>SUMPRODUCT(--(W$8&lt;=Model!$D$9:'Model'!$CN$9),--(W$9&gt;=Model!$D$9:'Model'!$CN$9),Model!$D137:'Model'!$CN137)</f>
        <v>0</v>
      </c>
      <c r="X133" s="35">
        <f>SUMPRODUCT(--(X$8&lt;=Model!$D$9:'Model'!$CN$9),--(X$9&gt;=Model!$D$9:'Model'!$CN$9),Model!$D137:'Model'!$CN137)</f>
        <v>0</v>
      </c>
      <c r="Y133" s="35">
        <f>SUMPRODUCT(--(Y$8&lt;=Model!$D$9:'Model'!$CN$9),--(Y$9&gt;=Model!$D$9:'Model'!$CN$9),Model!$D137:'Model'!$CN137)</f>
        <v>0</v>
      </c>
      <c r="Z133" s="35">
        <f>SUMPRODUCT(--(Z$8&lt;=Model!$D$9:'Model'!$CN$9),--(Z$9&gt;=Model!$D$9:'Model'!$CN$9),Model!$D137:'Model'!$CN137)</f>
        <v>0</v>
      </c>
      <c r="AA133" s="35"/>
    </row>
    <row r="134" spans="1:27" ht="12.75" customHeight="1" outlineLevel="1">
      <c r="A134" s="35"/>
      <c r="B134" s="70" t="s">
        <v>227</v>
      </c>
      <c r="C134" s="70">
        <f t="shared" si="18"/>
        <v>10794275.627935417</v>
      </c>
      <c r="D134" s="71">
        <f>Model!D138</f>
        <v>0</v>
      </c>
      <c r="E134" s="70">
        <f>SUMPRODUCT(--(E$8&lt;=Model!$D$9:'Model'!$CN$9),--(E$9&gt;=Model!$D$9:'Model'!$CN$9),Model!$D138:'Model'!$CN138)</f>
        <v>-700</v>
      </c>
      <c r="F134" s="70">
        <f>SUMPRODUCT(--(F$8&lt;=Model!$D$9:'Model'!$CN$9),--(F$9&gt;=Model!$D$9:'Model'!$CN$9),Model!$D138:'Model'!$CN138)</f>
        <v>-2800</v>
      </c>
      <c r="G134" s="70">
        <f>SUMPRODUCT(--(G$8&lt;=Model!$D$9:'Model'!$CN$9),--(G$9&gt;=Model!$D$9:'Model'!$CN$9),Model!$D138:'Model'!$CN138)</f>
        <v>-25899.210273437493</v>
      </c>
      <c r="H134" s="70">
        <f>SUMPRODUCT(--(H$8&lt;=Model!$D$9:'Model'!$CN$9),--(H$9&gt;=Model!$D$9:'Model'!$CN$9),Model!$D138:'Model'!$CN138)</f>
        <v>-154058.47012499999</v>
      </c>
      <c r="I134" s="70">
        <f>SUMPRODUCT(--(I$8&lt;=Model!$D$9:'Model'!$CN$9),--(I$9&gt;=Model!$D$9:'Model'!$CN$9),Model!$D138:'Model'!$CN138)</f>
        <v>-125022.13237499999</v>
      </c>
      <c r="J134" s="70">
        <f>SUMPRODUCT(--(J$8&lt;=Model!$D$9:'Model'!$CN$9),--(J$9&gt;=Model!$D$9:'Model'!$CN$9),Model!$D138:'Model'!$CN138)</f>
        <v>184694.20942223968</v>
      </c>
      <c r="K134" s="70">
        <f>SUMPRODUCT(--(K$8&lt;=Model!$D$9:'Model'!$CN$9),--(K$9&gt;=Model!$D$9:'Model'!$CN$9),Model!$D138:'Model'!$CN138)</f>
        <v>368858.26923980645</v>
      </c>
      <c r="L134" s="70">
        <f>SUMPRODUCT(--(L$8&lt;=Model!$D$9:'Model'!$CN$9),--(L$9&gt;=Model!$D$9:'Model'!$CN$9),Model!$D138:'Model'!$CN138)</f>
        <v>338096.65632279386</v>
      </c>
      <c r="M134" s="70">
        <f>SUMPRODUCT(--(M$8&lt;=Model!$D$9:'Model'!$CN$9),--(M$9&gt;=Model!$D$9:'Model'!$CN$9),Model!$D138:'Model'!$CN138)</f>
        <v>460863.79909919656</v>
      </c>
      <c r="N134" s="70">
        <f>SUMPRODUCT(--(N$8&lt;=Model!$D$9:'Model'!$CN$9),--(N$9&gt;=Model!$D$9:'Model'!$CN$9),Model!$D138:'Model'!$CN138)</f>
        <v>462797.15735766571</v>
      </c>
      <c r="O134" s="70">
        <f>SUMPRODUCT(--(O$8&lt;=Model!$D$9:'Model'!$CN$9),--(O$9&gt;=Model!$D$9:'Model'!$CN$9),Model!$D138:'Model'!$CN138)</f>
        <v>595416.71444046614</v>
      </c>
      <c r="P134" s="70">
        <f>SUMPRODUCT(--(P$8&lt;=Model!$D$9:'Model'!$CN$9),--(P$9&gt;=Model!$D$9:'Model'!$CN$9),Model!$D138:'Model'!$CN138)</f>
        <v>579486.22187527816</v>
      </c>
      <c r="Q134" s="70">
        <f>SUMPRODUCT(--(Q$8&lt;=Model!$D$9:'Model'!$CN$9),--(Q$9&gt;=Model!$D$9:'Model'!$CN$9),Model!$D138:'Model'!$CN138)</f>
        <v>746948.84523596114</v>
      </c>
      <c r="R134" s="70">
        <f>SUMPRODUCT(--(R$8&lt;=Model!$D$9:'Model'!$CN$9),--(R$9&gt;=Model!$D$9:'Model'!$CN$9),Model!$D138:'Model'!$CN138)</f>
        <v>715090.3230047184</v>
      </c>
      <c r="S134" s="70">
        <f>SUMPRODUCT(--(S$8&lt;=Model!$D$9:'Model'!$CN$9),--(S$9&gt;=Model!$D$9:'Model'!$CN$9),Model!$D138:'Model'!$CN138)</f>
        <v>679711.04091263958</v>
      </c>
      <c r="T134" s="70">
        <f>SUMPRODUCT(--(T$8&lt;=Model!$D$9:'Model'!$CN$9),--(T$9&gt;=Model!$D$9:'Model'!$CN$9),Model!$D138:'Model'!$CN138)</f>
        <v>800098.61954171979</v>
      </c>
      <c r="U134" s="70">
        <f>SUMPRODUCT(--(U$8&lt;=Model!$D$9:'Model'!$CN$9),--(U$9&gt;=Model!$D$9:'Model'!$CN$9),Model!$D138:'Model'!$CN138)</f>
        <v>765943.94247897028</v>
      </c>
      <c r="V134" s="70">
        <f>SUMPRODUCT(--(V$8&lt;=Model!$D$9:'Model'!$CN$9),--(V$9&gt;=Model!$D$9:'Model'!$CN$9),Model!$D138:'Model'!$CN138)</f>
        <v>888986.81019833812</v>
      </c>
      <c r="W134" s="70">
        <f>SUMPRODUCT(--(W$8&lt;=Model!$D$9:'Model'!$CN$9),--(W$9&gt;=Model!$D$9:'Model'!$CN$9),Model!$D138:'Model'!$CN138)</f>
        <v>826475.36254022282</v>
      </c>
      <c r="X134" s="70">
        <f>SUMPRODUCT(--(X$8&lt;=Model!$D$9:'Model'!$CN$9),--(X$9&gt;=Model!$D$9:'Model'!$CN$9),Model!$D138:'Model'!$CN138)</f>
        <v>982896.63033083989</v>
      </c>
      <c r="Y134" s="70">
        <f>SUMPRODUCT(--(Y$8&lt;=Model!$D$9:'Model'!$CN$9),--(Y$9&gt;=Model!$D$9:'Model'!$CN$9),Model!$D138:'Model'!$CN138)</f>
        <v>895787.72993582196</v>
      </c>
      <c r="Z134" s="70">
        <f>SUMPRODUCT(--(Z$8&lt;=Model!$D$9:'Model'!$CN$9),--(Z$9&gt;=Model!$D$9:'Model'!$CN$9),Model!$D138:'Model'!$CN138)</f>
        <v>810603.10877217713</v>
      </c>
      <c r="AA134" s="70"/>
    </row>
    <row r="135" spans="1:27" ht="12.75" customHeight="1" outlineLevel="1">
      <c r="A135" s="35"/>
      <c r="B135" s="108" t="s">
        <v>164</v>
      </c>
      <c r="C135" s="74">
        <f t="shared" si="18"/>
        <v>-2074719.5892305851</v>
      </c>
      <c r="D135" s="109">
        <f>Model!D139</f>
        <v>0</v>
      </c>
      <c r="E135" s="74">
        <f>SUMPRODUCT(--(E$8&lt;=Model!$D$9:'Model'!$CN$9),--(E$9&gt;=Model!$D$9:'Model'!$CN$9),Model!$D139:'Model'!$CN139)</f>
        <v>0</v>
      </c>
      <c r="F135" s="74">
        <f>SUMPRODUCT(--(F$8&lt;=Model!$D$9:'Model'!$CN$9),--(F$9&gt;=Model!$D$9:'Model'!$CN$9),Model!$D139:'Model'!$CN139)</f>
        <v>0</v>
      </c>
      <c r="G135" s="74">
        <f>SUMPRODUCT(--(G$8&lt;=Model!$D$9:'Model'!$CN$9),--(G$9&gt;=Model!$D$9:'Model'!$CN$9),Model!$D139:'Model'!$CN139)</f>
        <v>0</v>
      </c>
      <c r="H135" s="74">
        <f>SUMPRODUCT(--(H$8&lt;=Model!$D$9:'Model'!$CN$9),--(H$9&gt;=Model!$D$9:'Model'!$CN$9),Model!$D139:'Model'!$CN139)</f>
        <v>0</v>
      </c>
      <c r="I135" s="74">
        <f>SUMPRODUCT(--(I$8&lt;=Model!$D$9:'Model'!$CN$9),--(I$9&gt;=Model!$D$9:'Model'!$CN$9),Model!$D139:'Model'!$CN139)</f>
        <v>0</v>
      </c>
      <c r="J135" s="74">
        <f>SUMPRODUCT(--(J$8&lt;=Model!$D$9:'Model'!$CN$9),--(J$9&gt;=Model!$D$9:'Model'!$CN$9),Model!$D139:'Model'!$CN139)</f>
        <v>-28627.602460447153</v>
      </c>
      <c r="K135" s="74">
        <f>SUMPRODUCT(--(K$8&lt;=Model!$D$9:'Model'!$CN$9),--(K$9&gt;=Model!$D$9:'Model'!$CN$9),Model!$D139:'Model'!$CN139)</f>
        <v>-57173.031732170006</v>
      </c>
      <c r="L135" s="74">
        <f>SUMPRODUCT(--(L$8&lt;=Model!$D$9:'Model'!$CN$9),--(L$9&gt;=Model!$D$9:'Model'!$CN$9),Model!$D139:'Model'!$CN139)</f>
        <v>-52404.98173003304</v>
      </c>
      <c r="M135" s="74">
        <f>SUMPRODUCT(--(M$8&lt;=Model!$D$9:'Model'!$CN$9),--(M$9&gt;=Model!$D$9:'Model'!$CN$9),Model!$D139:'Model'!$CN139)</f>
        <v>-71433.888860375475</v>
      </c>
      <c r="N135" s="74">
        <f>SUMPRODUCT(--(N$8&lt;=Model!$D$9:'Model'!$CN$9),--(N$9&gt;=Model!$D$9:'Model'!$CN$9),Model!$D139:'Model'!$CN139)</f>
        <v>-71733.559390438168</v>
      </c>
      <c r="O135" s="74">
        <f>SUMPRODUCT(--(O$8&lt;=Model!$D$9:'Model'!$CN$9),--(O$9&gt;=Model!$D$9:'Model'!$CN$9),Model!$D139:'Model'!$CN139)</f>
        <v>-92289.590738272251</v>
      </c>
      <c r="P135" s="74">
        <f>SUMPRODUCT(--(P$8&lt;=Model!$D$9:'Model'!$CN$9),--(P$9&gt;=Model!$D$9:'Model'!$CN$9),Model!$D139:'Model'!$CN139)</f>
        <v>-89820.364390668125</v>
      </c>
      <c r="Q135" s="74">
        <f>SUMPRODUCT(--(Q$8&lt;=Model!$D$9:'Model'!$CN$9),--(Q$9&gt;=Model!$D$9:'Model'!$CN$9),Model!$D139:'Model'!$CN139)</f>
        <v>-138117.85638509144</v>
      </c>
      <c r="R135" s="74">
        <f>SUMPRODUCT(--(R$8&lt;=Model!$D$9:'Model'!$CN$9),--(R$9&gt;=Model!$D$9:'Model'!$CN$9),Model!$D139:'Model'!$CN139)</f>
        <v>-143018.0646009437</v>
      </c>
      <c r="S135" s="74">
        <f>SUMPRODUCT(--(S$8&lt;=Model!$D$9:'Model'!$CN$9),--(S$9&gt;=Model!$D$9:'Model'!$CN$9),Model!$D139:'Model'!$CN139)</f>
        <v>-135942.20818252795</v>
      </c>
      <c r="T135" s="74">
        <f>SUMPRODUCT(--(T$8&lt;=Model!$D$9:'Model'!$CN$9),--(T$9&gt;=Model!$D$9:'Model'!$CN$9),Model!$D139:'Model'!$CN139)</f>
        <v>-160019.72390834393</v>
      </c>
      <c r="U135" s="74">
        <f>SUMPRODUCT(--(U$8&lt;=Model!$D$9:'Model'!$CN$9),--(U$9&gt;=Model!$D$9:'Model'!$CN$9),Model!$D139:'Model'!$CN139)</f>
        <v>-153188.78849579408</v>
      </c>
      <c r="V135" s="74">
        <f>SUMPRODUCT(--(V$8&lt;=Model!$D$9:'Model'!$CN$9),--(V$9&gt;=Model!$D$9:'Model'!$CN$9),Model!$D139:'Model'!$CN139)</f>
        <v>-177797.36203966764</v>
      </c>
      <c r="W135" s="74">
        <f>SUMPRODUCT(--(W$8&lt;=Model!$D$9:'Model'!$CN$9),--(W$9&gt;=Model!$D$9:'Model'!$CN$9),Model!$D139:'Model'!$CN139)</f>
        <v>-165295.0725080446</v>
      </c>
      <c r="X135" s="74">
        <f>SUMPRODUCT(--(X$8&lt;=Model!$D$9:'Model'!$CN$9),--(X$9&gt;=Model!$D$9:'Model'!$CN$9),Model!$D139:'Model'!$CN139)</f>
        <v>-196579.326066168</v>
      </c>
      <c r="Y135" s="74">
        <f>SUMPRODUCT(--(Y$8&lt;=Model!$D$9:'Model'!$CN$9),--(Y$9&gt;=Model!$D$9:'Model'!$CN$9),Model!$D139:'Model'!$CN139)</f>
        <v>-179157.54598716443</v>
      </c>
      <c r="Z135" s="74">
        <f>SUMPRODUCT(--(Z$8&lt;=Model!$D$9:'Model'!$CN$9),--(Z$9&gt;=Model!$D$9:'Model'!$CN$9),Model!$D139:'Model'!$CN139)</f>
        <v>-162120.62175443541</v>
      </c>
      <c r="AA135" s="74"/>
    </row>
    <row r="136" spans="1:27" ht="12.75" customHeight="1" outlineLevel="1">
      <c r="A136" s="35"/>
      <c r="B136" s="108" t="s">
        <v>630</v>
      </c>
      <c r="C136" s="74">
        <f t="shared" ref="C136" si="19">SUM(D136:AA136)</f>
        <v>293865.6298286923</v>
      </c>
      <c r="D136" s="109">
        <f>Model!D140</f>
        <v>0</v>
      </c>
      <c r="E136" s="74">
        <f>SUMPRODUCT(--(E$8&lt;=Model!$D$9:'Model'!$CN$9),--(E$9&gt;=Model!$D$9:'Model'!$CN$9),Model!$D140:'Model'!$CN140)</f>
        <v>17357.787272727273</v>
      </c>
      <c r="F136" s="74">
        <f>SUMPRODUCT(--(F$8&lt;=Model!$D$9:'Model'!$CN$9),--(F$9&gt;=Model!$D$9:'Model'!$CN$9),Model!$D140:'Model'!$CN140)</f>
        <v>17357.787272727273</v>
      </c>
      <c r="G136" s="74">
        <f>SUMPRODUCT(--(G$8&lt;=Model!$D$9:'Model'!$CN$9),--(G$9&gt;=Model!$D$9:'Model'!$CN$9),Model!$D140:'Model'!$CN140)</f>
        <v>12737.945218039775</v>
      </c>
      <c r="H136" s="74">
        <f>SUMPRODUCT(--(H$8&lt;=Model!$D$9:'Model'!$CN$9),--(H$9&gt;=Model!$D$9:'Model'!$CN$9),Model!$D140:'Model'!$CN140)</f>
        <v>-12893.906752272727</v>
      </c>
      <c r="I136" s="74">
        <f>SUMPRODUCT(--(I$8&lt;=Model!$D$9:'Model'!$CN$9),--(I$9&gt;=Model!$D$9:'Model'!$CN$9),Model!$D140:'Model'!$CN140)</f>
        <v>-35776.366818892871</v>
      </c>
      <c r="J136" s="74">
        <f>SUMPRODUCT(--(J$8&lt;=Model!$D$9:'Model'!$CN$9),--(J$9&gt;=Model!$D$9:'Model'!$CN$9),Model!$D140:'Model'!$CN140)</f>
        <v>17357.787272727273</v>
      </c>
      <c r="K136" s="74">
        <f>SUMPRODUCT(--(K$8&lt;=Model!$D$9:'Model'!$CN$9),--(K$9&gt;=Model!$D$9:'Model'!$CN$9),Model!$D140:'Model'!$CN140)</f>
        <v>17357.787272727273</v>
      </c>
      <c r="L136" s="74">
        <f>SUMPRODUCT(--(L$8&lt;=Model!$D$9:'Model'!$CN$9),--(L$9&gt;=Model!$D$9:'Model'!$CN$9),Model!$D140:'Model'!$CN140)</f>
        <v>17357.787272727273</v>
      </c>
      <c r="M136" s="74">
        <f>SUMPRODUCT(--(M$8&lt;=Model!$D$9:'Model'!$CN$9),--(M$9&gt;=Model!$D$9:'Model'!$CN$9),Model!$D140:'Model'!$CN140)</f>
        <v>17357.787272727273</v>
      </c>
      <c r="N136" s="74">
        <f>SUMPRODUCT(--(N$8&lt;=Model!$D$9:'Model'!$CN$9),--(N$9&gt;=Model!$D$9:'Model'!$CN$9),Model!$D140:'Model'!$CN140)</f>
        <v>17357.787272727273</v>
      </c>
      <c r="O136" s="74">
        <f>SUMPRODUCT(--(O$8&lt;=Model!$D$9:'Model'!$CN$9),--(O$9&gt;=Model!$D$9:'Model'!$CN$9),Model!$D140:'Model'!$CN140)</f>
        <v>17357.787272727273</v>
      </c>
      <c r="P136" s="74">
        <f>SUMPRODUCT(--(P$8&lt;=Model!$D$9:'Model'!$CN$9),--(P$9&gt;=Model!$D$9:'Model'!$CN$9),Model!$D140:'Model'!$CN140)</f>
        <v>17357.787272727273</v>
      </c>
      <c r="Q136" s="74">
        <f>SUMPRODUCT(--(Q$8&lt;=Model!$D$9:'Model'!$CN$9),--(Q$9&gt;=Model!$D$9:'Model'!$CN$9),Model!$D140:'Model'!$CN140)</f>
        <v>17357.787272727273</v>
      </c>
      <c r="R136" s="74">
        <f>SUMPRODUCT(--(R$8&lt;=Model!$D$9:'Model'!$CN$9),--(R$9&gt;=Model!$D$9:'Model'!$CN$9),Model!$D140:'Model'!$CN140)</f>
        <v>17357.787272727273</v>
      </c>
      <c r="S136" s="74">
        <f>SUMPRODUCT(--(S$8&lt;=Model!$D$9:'Model'!$CN$9),--(S$9&gt;=Model!$D$9:'Model'!$CN$9),Model!$D140:'Model'!$CN140)</f>
        <v>17357.787272727273</v>
      </c>
      <c r="T136" s="74">
        <f>SUMPRODUCT(--(T$8&lt;=Model!$D$9:'Model'!$CN$9),--(T$9&gt;=Model!$D$9:'Model'!$CN$9),Model!$D140:'Model'!$CN140)</f>
        <v>17357.787272727273</v>
      </c>
      <c r="U136" s="74">
        <f>SUMPRODUCT(--(U$8&lt;=Model!$D$9:'Model'!$CN$9),--(U$9&gt;=Model!$D$9:'Model'!$CN$9),Model!$D140:'Model'!$CN140)</f>
        <v>17357.787272727273</v>
      </c>
      <c r="V136" s="74">
        <f>SUMPRODUCT(--(V$8&lt;=Model!$D$9:'Model'!$CN$9),--(V$9&gt;=Model!$D$9:'Model'!$CN$9),Model!$D140:'Model'!$CN140)</f>
        <v>17357.787272727273</v>
      </c>
      <c r="W136" s="74">
        <f>SUMPRODUCT(--(W$8&lt;=Model!$D$9:'Model'!$CN$9),--(W$9&gt;=Model!$D$9:'Model'!$CN$9),Model!$D140:'Model'!$CN140)</f>
        <v>17357.787272727273</v>
      </c>
      <c r="X136" s="74">
        <f>SUMPRODUCT(--(X$8&lt;=Model!$D$9:'Model'!$CN$9),--(X$9&gt;=Model!$D$9:'Model'!$CN$9),Model!$D140:'Model'!$CN140)</f>
        <v>17357.787272727273</v>
      </c>
      <c r="Y136" s="74">
        <f>SUMPRODUCT(--(Y$8&lt;=Model!$D$9:'Model'!$CN$9),--(Y$9&gt;=Model!$D$9:'Model'!$CN$9),Model!$D140:'Model'!$CN140)</f>
        <v>17357.787272727273</v>
      </c>
      <c r="Z136" s="74">
        <f>SUMPRODUCT(--(Z$8&lt;=Model!$D$9:'Model'!$CN$9),--(Z$9&gt;=Model!$D$9:'Model'!$CN$9),Model!$D140:'Model'!$CN140)</f>
        <v>17357.787272727273</v>
      </c>
      <c r="AA136" s="74"/>
    </row>
    <row r="137" spans="1:27" ht="12.75" customHeight="1" outlineLevel="1">
      <c r="A137" s="35"/>
      <c r="B137" s="63"/>
      <c r="C137" s="35"/>
      <c r="D137" s="60">
        <f>Model!D141</f>
        <v>0</v>
      </c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</row>
    <row r="138" spans="1:27" ht="12.75" customHeight="1" outlineLevel="1">
      <c r="A138" s="35"/>
      <c r="B138" s="35" t="s">
        <v>226</v>
      </c>
      <c r="C138" s="35"/>
      <c r="D138" s="60">
        <f>Model!D142</f>
        <v>0</v>
      </c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</row>
    <row r="139" spans="1:27" ht="12.75" customHeight="1" outlineLevel="1">
      <c r="A139" s="35"/>
      <c r="B139" s="49" t="s">
        <v>228</v>
      </c>
      <c r="C139" s="50"/>
      <c r="D139" s="53">
        <f>Model!D143</f>
        <v>0</v>
      </c>
      <c r="E139" s="50">
        <f>SUMPRODUCT(--(E$8=Model!$D$9:$CN$9),Model!$D143:$CN143)</f>
        <v>0</v>
      </c>
      <c r="F139" s="50">
        <f>SUMPRODUCT(--(F$8=Model!$D$9:$CN$9),Model!$D143:$CN143)</f>
        <v>700</v>
      </c>
      <c r="G139" s="50">
        <f>SUMPRODUCT(--(G$8=Model!$D$9:$CN$9),Model!$D143:$CN143)</f>
        <v>3500</v>
      </c>
      <c r="H139" s="50">
        <f>SUMPRODUCT(--(H$8=Model!$D$9:$CN$9),Model!$D143:$CN143)</f>
        <v>29399.210273437493</v>
      </c>
      <c r="I139" s="50">
        <f>SUMPRODUCT(--(I$8=Model!$D$9:$CN$9),Model!$D143:$CN143)</f>
        <v>183457.68039843749</v>
      </c>
      <c r="J139" s="50">
        <f>SUMPRODUCT(--(J$8=Model!$D$9:$CN$9),Model!$D143:$CN143)</f>
        <v>104526.0820586208</v>
      </c>
      <c r="K139" s="50">
        <f>SUMPRODUCT(--(K$8=Model!$D$9:$CN$9),Model!$D143:$CN143)</f>
        <v>0</v>
      </c>
      <c r="L139" s="50">
        <f>SUMPRODUCT(--(L$8=Model!$D$9:$CN$9),Model!$D143:$CN143)</f>
        <v>0</v>
      </c>
      <c r="M139" s="50">
        <f>SUMPRODUCT(--(M$8=Model!$D$9:$CN$9),Model!$D143:$CN143)</f>
        <v>0</v>
      </c>
      <c r="N139" s="50">
        <f>SUMPRODUCT(--(N$8=Model!$D$9:$CN$9),Model!$D143:$CN143)</f>
        <v>0</v>
      </c>
      <c r="O139" s="50">
        <f>SUMPRODUCT(--(O$8=Model!$D$9:$CN$9),Model!$D143:$CN143)</f>
        <v>0</v>
      </c>
      <c r="P139" s="50">
        <f>SUMPRODUCT(--(P$8=Model!$D$9:$CN$9),Model!$D143:$CN143)</f>
        <v>0</v>
      </c>
      <c r="Q139" s="50">
        <f>SUMPRODUCT(--(Q$8=Model!$D$9:$CN$9),Model!$D143:$CN143)</f>
        <v>0</v>
      </c>
      <c r="R139" s="50">
        <f>SUMPRODUCT(--(R$8=Model!$D$9:$CN$9),Model!$D143:$CN143)</f>
        <v>0</v>
      </c>
      <c r="S139" s="50">
        <f>SUMPRODUCT(--(S$8=Model!$D$9:$CN$9),Model!$D143:$CN143)</f>
        <v>0</v>
      </c>
      <c r="T139" s="50">
        <f>SUMPRODUCT(--(T$8=Model!$D$9:$CN$9),Model!$D143:$CN143)</f>
        <v>0</v>
      </c>
      <c r="U139" s="50">
        <f>SUMPRODUCT(--(U$8=Model!$D$9:$CN$9),Model!$D143:$CN143)</f>
        <v>0</v>
      </c>
      <c r="V139" s="50">
        <f>SUMPRODUCT(--(V$8=Model!$D$9:$CN$9),Model!$D143:$CN143)</f>
        <v>0</v>
      </c>
      <c r="W139" s="50">
        <f>SUMPRODUCT(--(W$8=Model!$D$9:$CN$9),Model!$D143:$CN143)</f>
        <v>0</v>
      </c>
      <c r="X139" s="50">
        <f>SUMPRODUCT(--(X$8=Model!$D$9:$CN$9),Model!$D143:$CN143)</f>
        <v>0</v>
      </c>
      <c r="Y139" s="50">
        <f>SUMPRODUCT(--(Y$8=Model!$D$9:$CN$9),Model!$D143:$CN143)</f>
        <v>0</v>
      </c>
      <c r="Z139" s="50">
        <f>SUMPRODUCT(--(Z$8=Model!$D$9:$CN$9),Model!$D143:$CN143)</f>
        <v>0</v>
      </c>
      <c r="AA139" s="50"/>
    </row>
    <row r="140" spans="1:27" ht="12.75" customHeight="1" outlineLevel="1">
      <c r="A140" s="35"/>
      <c r="B140" s="63" t="s">
        <v>226</v>
      </c>
      <c r="C140" s="35">
        <f t="shared" ref="C140:C141" si="20">SUM(D140:AA140)</f>
        <v>308479.81277343747</v>
      </c>
      <c r="D140" s="60">
        <f>Model!D144</f>
        <v>0</v>
      </c>
      <c r="E140" s="35">
        <f>SUMPRODUCT(--(E$8&lt;=Model!$D$9:'Model'!$CN$9),--(E$9&gt;=Model!$D$9:'Model'!$CN$9),Model!$D144:'Model'!$CN144)</f>
        <v>700</v>
      </c>
      <c r="F140" s="35">
        <f>SUMPRODUCT(--(F$8&lt;=Model!$D$9:'Model'!$CN$9),--(F$9&gt;=Model!$D$9:'Model'!$CN$9),Model!$D144:'Model'!$CN144)</f>
        <v>2800</v>
      </c>
      <c r="G140" s="35">
        <f>SUMPRODUCT(--(G$8&lt;=Model!$D$9:'Model'!$CN$9),--(G$9&gt;=Model!$D$9:'Model'!$CN$9),Model!$D144:'Model'!$CN144)</f>
        <v>25899.210273437493</v>
      </c>
      <c r="H140" s="35">
        <f>SUMPRODUCT(--(H$8&lt;=Model!$D$9:'Model'!$CN$9),--(H$9&gt;=Model!$D$9:'Model'!$CN$9),Model!$D144:'Model'!$CN144)</f>
        <v>154058.47012499999</v>
      </c>
      <c r="I140" s="35">
        <f>SUMPRODUCT(--(I$8&lt;=Model!$D$9:'Model'!$CN$9),--(I$9&gt;=Model!$D$9:'Model'!$CN$9),Model!$D144:'Model'!$CN144)</f>
        <v>125022.13237499999</v>
      </c>
      <c r="J140" s="35">
        <f>SUMPRODUCT(--(J$8&lt;=Model!$D$9:'Model'!$CN$9),--(J$9&gt;=Model!$D$9:'Model'!$CN$9),Model!$D144:'Model'!$CN144)</f>
        <v>0</v>
      </c>
      <c r="K140" s="35">
        <f>SUMPRODUCT(--(K$8&lt;=Model!$D$9:'Model'!$CN$9),--(K$9&gt;=Model!$D$9:'Model'!$CN$9),Model!$D144:'Model'!$CN144)</f>
        <v>0</v>
      </c>
      <c r="L140" s="35">
        <f>SUMPRODUCT(--(L$8&lt;=Model!$D$9:'Model'!$CN$9),--(L$9&gt;=Model!$D$9:'Model'!$CN$9),Model!$D144:'Model'!$CN144)</f>
        <v>0</v>
      </c>
      <c r="M140" s="35">
        <f>SUMPRODUCT(--(M$8&lt;=Model!$D$9:'Model'!$CN$9),--(M$9&gt;=Model!$D$9:'Model'!$CN$9),Model!$D144:'Model'!$CN144)</f>
        <v>0</v>
      </c>
      <c r="N140" s="35">
        <f>SUMPRODUCT(--(N$8&lt;=Model!$D$9:'Model'!$CN$9),--(N$9&gt;=Model!$D$9:'Model'!$CN$9),Model!$D144:'Model'!$CN144)</f>
        <v>0</v>
      </c>
      <c r="O140" s="35">
        <f>SUMPRODUCT(--(O$8&lt;=Model!$D$9:'Model'!$CN$9),--(O$9&gt;=Model!$D$9:'Model'!$CN$9),Model!$D144:'Model'!$CN144)</f>
        <v>0</v>
      </c>
      <c r="P140" s="35">
        <f>SUMPRODUCT(--(P$8&lt;=Model!$D$9:'Model'!$CN$9),--(P$9&gt;=Model!$D$9:'Model'!$CN$9),Model!$D144:'Model'!$CN144)</f>
        <v>0</v>
      </c>
      <c r="Q140" s="35">
        <f>SUMPRODUCT(--(Q$8&lt;=Model!$D$9:'Model'!$CN$9),--(Q$9&gt;=Model!$D$9:'Model'!$CN$9),Model!$D144:'Model'!$CN144)</f>
        <v>0</v>
      </c>
      <c r="R140" s="35">
        <f>SUMPRODUCT(--(R$8&lt;=Model!$D$9:'Model'!$CN$9),--(R$9&gt;=Model!$D$9:'Model'!$CN$9),Model!$D144:'Model'!$CN144)</f>
        <v>0</v>
      </c>
      <c r="S140" s="35">
        <f>SUMPRODUCT(--(S$8&lt;=Model!$D$9:'Model'!$CN$9),--(S$9&gt;=Model!$D$9:'Model'!$CN$9),Model!$D144:'Model'!$CN144)</f>
        <v>0</v>
      </c>
      <c r="T140" s="35">
        <f>SUMPRODUCT(--(T$8&lt;=Model!$D$9:'Model'!$CN$9),--(T$9&gt;=Model!$D$9:'Model'!$CN$9),Model!$D144:'Model'!$CN144)</f>
        <v>0</v>
      </c>
      <c r="U140" s="35">
        <f>SUMPRODUCT(--(U$8&lt;=Model!$D$9:'Model'!$CN$9),--(U$9&gt;=Model!$D$9:'Model'!$CN$9),Model!$D144:'Model'!$CN144)</f>
        <v>0</v>
      </c>
      <c r="V140" s="35">
        <f>SUMPRODUCT(--(V$8&lt;=Model!$D$9:'Model'!$CN$9),--(V$9&gt;=Model!$D$9:'Model'!$CN$9),Model!$D144:'Model'!$CN144)</f>
        <v>0</v>
      </c>
      <c r="W140" s="35">
        <f>SUMPRODUCT(--(W$8&lt;=Model!$D$9:'Model'!$CN$9),--(W$9&gt;=Model!$D$9:'Model'!$CN$9),Model!$D144:'Model'!$CN144)</f>
        <v>0</v>
      </c>
      <c r="X140" s="35">
        <f>SUMPRODUCT(--(X$8&lt;=Model!$D$9:'Model'!$CN$9),--(X$9&gt;=Model!$D$9:'Model'!$CN$9),Model!$D144:'Model'!$CN144)</f>
        <v>0</v>
      </c>
      <c r="Y140" s="35">
        <f>SUMPRODUCT(--(Y$8&lt;=Model!$D$9:'Model'!$CN$9),--(Y$9&gt;=Model!$D$9:'Model'!$CN$9),Model!$D144:'Model'!$CN144)</f>
        <v>0</v>
      </c>
      <c r="Z140" s="35">
        <f>SUMPRODUCT(--(Z$8&lt;=Model!$D$9:'Model'!$CN$9),--(Z$9&gt;=Model!$D$9:'Model'!$CN$9),Model!$D144:'Model'!$CN144)</f>
        <v>0</v>
      </c>
      <c r="AA140" s="35"/>
    </row>
    <row r="141" spans="1:27" ht="12.75" customHeight="1" outlineLevel="1">
      <c r="A141" s="35"/>
      <c r="B141" s="63" t="s">
        <v>229</v>
      </c>
      <c r="C141" s="35">
        <f t="shared" si="20"/>
        <v>-308479.81277343747</v>
      </c>
      <c r="D141" s="60">
        <f>Model!D145</f>
        <v>0</v>
      </c>
      <c r="E141" s="35">
        <f>SUMPRODUCT(--(E$8&lt;=Model!$D$9:'Model'!$CN$9),--(E$9&gt;=Model!$D$9:'Model'!$CN$9),Model!$D145:'Model'!$CN145)</f>
        <v>0</v>
      </c>
      <c r="F141" s="35">
        <f>SUMPRODUCT(--(F$8&lt;=Model!$D$9:'Model'!$CN$9),--(F$9&gt;=Model!$D$9:'Model'!$CN$9),Model!$D145:'Model'!$CN145)</f>
        <v>0</v>
      </c>
      <c r="G141" s="35">
        <f>SUMPRODUCT(--(G$8&lt;=Model!$D$9:'Model'!$CN$9),--(G$9&gt;=Model!$D$9:'Model'!$CN$9),Model!$D145:'Model'!$CN145)</f>
        <v>0</v>
      </c>
      <c r="H141" s="35">
        <f>SUMPRODUCT(--(H$8&lt;=Model!$D$9:'Model'!$CN$9),--(H$9&gt;=Model!$D$9:'Model'!$CN$9),Model!$D145:'Model'!$CN145)</f>
        <v>0</v>
      </c>
      <c r="I141" s="35">
        <f>SUMPRODUCT(--(I$8&lt;=Model!$D$9:'Model'!$CN$9),--(I$9&gt;=Model!$D$9:'Model'!$CN$9),Model!$D145:'Model'!$CN145)</f>
        <v>-203953.73071481666</v>
      </c>
      <c r="J141" s="35">
        <f>SUMPRODUCT(--(J$8&lt;=Model!$D$9:'Model'!$CN$9),--(J$9&gt;=Model!$D$9:'Model'!$CN$9),Model!$D145:'Model'!$CN145)</f>
        <v>-104526.0820586208</v>
      </c>
      <c r="K141" s="35">
        <f>SUMPRODUCT(--(K$8&lt;=Model!$D$9:'Model'!$CN$9),--(K$9&gt;=Model!$D$9:'Model'!$CN$9),Model!$D145:'Model'!$CN145)</f>
        <v>0</v>
      </c>
      <c r="L141" s="35">
        <f>SUMPRODUCT(--(L$8&lt;=Model!$D$9:'Model'!$CN$9),--(L$9&gt;=Model!$D$9:'Model'!$CN$9),Model!$D145:'Model'!$CN145)</f>
        <v>0</v>
      </c>
      <c r="M141" s="35">
        <f>SUMPRODUCT(--(M$8&lt;=Model!$D$9:'Model'!$CN$9),--(M$9&gt;=Model!$D$9:'Model'!$CN$9),Model!$D145:'Model'!$CN145)</f>
        <v>0</v>
      </c>
      <c r="N141" s="35">
        <f>SUMPRODUCT(--(N$8&lt;=Model!$D$9:'Model'!$CN$9),--(N$9&gt;=Model!$D$9:'Model'!$CN$9),Model!$D145:'Model'!$CN145)</f>
        <v>0</v>
      </c>
      <c r="O141" s="35">
        <f>SUMPRODUCT(--(O$8&lt;=Model!$D$9:'Model'!$CN$9),--(O$9&gt;=Model!$D$9:'Model'!$CN$9),Model!$D145:'Model'!$CN145)</f>
        <v>0</v>
      </c>
      <c r="P141" s="35">
        <f>SUMPRODUCT(--(P$8&lt;=Model!$D$9:'Model'!$CN$9),--(P$9&gt;=Model!$D$9:'Model'!$CN$9),Model!$D145:'Model'!$CN145)</f>
        <v>0</v>
      </c>
      <c r="Q141" s="35">
        <f>SUMPRODUCT(--(Q$8&lt;=Model!$D$9:'Model'!$CN$9),--(Q$9&gt;=Model!$D$9:'Model'!$CN$9),Model!$D145:'Model'!$CN145)</f>
        <v>0</v>
      </c>
      <c r="R141" s="35">
        <f>SUMPRODUCT(--(R$8&lt;=Model!$D$9:'Model'!$CN$9),--(R$9&gt;=Model!$D$9:'Model'!$CN$9),Model!$D145:'Model'!$CN145)</f>
        <v>0</v>
      </c>
      <c r="S141" s="35">
        <f>SUMPRODUCT(--(S$8&lt;=Model!$D$9:'Model'!$CN$9),--(S$9&gt;=Model!$D$9:'Model'!$CN$9),Model!$D145:'Model'!$CN145)</f>
        <v>0</v>
      </c>
      <c r="T141" s="35">
        <f>SUMPRODUCT(--(T$8&lt;=Model!$D$9:'Model'!$CN$9),--(T$9&gt;=Model!$D$9:'Model'!$CN$9),Model!$D145:'Model'!$CN145)</f>
        <v>0</v>
      </c>
      <c r="U141" s="35">
        <f>SUMPRODUCT(--(U$8&lt;=Model!$D$9:'Model'!$CN$9),--(U$9&gt;=Model!$D$9:'Model'!$CN$9),Model!$D145:'Model'!$CN145)</f>
        <v>0</v>
      </c>
      <c r="V141" s="35">
        <f>SUMPRODUCT(--(V$8&lt;=Model!$D$9:'Model'!$CN$9),--(V$9&gt;=Model!$D$9:'Model'!$CN$9),Model!$D145:'Model'!$CN145)</f>
        <v>0</v>
      </c>
      <c r="W141" s="35">
        <f>SUMPRODUCT(--(W$8&lt;=Model!$D$9:'Model'!$CN$9),--(W$9&gt;=Model!$D$9:'Model'!$CN$9),Model!$D145:'Model'!$CN145)</f>
        <v>0</v>
      </c>
      <c r="X141" s="35">
        <f>SUMPRODUCT(--(X$8&lt;=Model!$D$9:'Model'!$CN$9),--(X$9&gt;=Model!$D$9:'Model'!$CN$9),Model!$D145:'Model'!$CN145)</f>
        <v>0</v>
      </c>
      <c r="Y141" s="35">
        <f>SUMPRODUCT(--(Y$8&lt;=Model!$D$9:'Model'!$CN$9),--(Y$9&gt;=Model!$D$9:'Model'!$CN$9),Model!$D145:'Model'!$CN145)</f>
        <v>0</v>
      </c>
      <c r="Z141" s="35">
        <f>SUMPRODUCT(--(Z$8&lt;=Model!$D$9:'Model'!$CN$9),--(Z$9&gt;=Model!$D$9:'Model'!$CN$9),Model!$D145:'Model'!$CN145)</f>
        <v>0</v>
      </c>
      <c r="AA141" s="35"/>
    </row>
    <row r="142" spans="1:27" ht="12.75" customHeight="1" outlineLevel="1">
      <c r="A142" s="35"/>
      <c r="B142" s="54" t="s">
        <v>230</v>
      </c>
      <c r="C142" s="55"/>
      <c r="D142" s="58">
        <f>Model!D146</f>
        <v>0</v>
      </c>
      <c r="E142" s="55">
        <f>SUMPRODUCT(--(E$9=Model!$D$9:$CN$9),Model!$D146:$CN146)</f>
        <v>700</v>
      </c>
      <c r="F142" s="55">
        <f>SUMPRODUCT(--(F$9=Model!$D$9:$CN$9),Model!$D146:$CN146)</f>
        <v>3500</v>
      </c>
      <c r="G142" s="55">
        <f>SUMPRODUCT(--(G$9=Model!$D$9:$CN$9),Model!$D146:$CN146)</f>
        <v>29399.210273437493</v>
      </c>
      <c r="H142" s="55">
        <f>SUMPRODUCT(--(H$9=Model!$D$9:$CN$9),Model!$D146:$CN146)</f>
        <v>183457.68039843749</v>
      </c>
      <c r="I142" s="55">
        <f>SUMPRODUCT(--(I$9=Model!$D$9:$CN$9),Model!$D146:$CN146)</f>
        <v>104526.0820586208</v>
      </c>
      <c r="J142" s="55">
        <f>SUMPRODUCT(--(J$9=Model!$D$9:$CN$9),Model!$D146:$CN146)</f>
        <v>0</v>
      </c>
      <c r="K142" s="55">
        <f>SUMPRODUCT(--(K$9=Model!$D$9:$CN$9),Model!$D146:$CN146)</f>
        <v>0</v>
      </c>
      <c r="L142" s="55">
        <f>SUMPRODUCT(--(L$9=Model!$D$9:$CN$9),Model!$D146:$CN146)</f>
        <v>0</v>
      </c>
      <c r="M142" s="55">
        <f>SUMPRODUCT(--(M$9=Model!$D$9:$CN$9),Model!$D146:$CN146)</f>
        <v>0</v>
      </c>
      <c r="N142" s="55">
        <f>SUMPRODUCT(--(N$9=Model!$D$9:$CN$9),Model!$D146:$CN146)</f>
        <v>0</v>
      </c>
      <c r="O142" s="55">
        <f>SUMPRODUCT(--(O$9=Model!$D$9:$CN$9),Model!$D146:$CN146)</f>
        <v>0</v>
      </c>
      <c r="P142" s="55">
        <f>SUMPRODUCT(--(P$9=Model!$D$9:$CN$9),Model!$D146:$CN146)</f>
        <v>0</v>
      </c>
      <c r="Q142" s="55">
        <f>SUMPRODUCT(--(Q$9=Model!$D$9:$CN$9),Model!$D146:$CN146)</f>
        <v>0</v>
      </c>
      <c r="R142" s="55">
        <f>SUMPRODUCT(--(R$9=Model!$D$9:$CN$9),Model!$D146:$CN146)</f>
        <v>0</v>
      </c>
      <c r="S142" s="55">
        <f>SUMPRODUCT(--(S$9=Model!$D$9:$CN$9),Model!$D146:$CN146)</f>
        <v>0</v>
      </c>
      <c r="T142" s="55">
        <f>SUMPRODUCT(--(T$9=Model!$D$9:$CN$9),Model!$D146:$CN146)</f>
        <v>0</v>
      </c>
      <c r="U142" s="55">
        <f>SUMPRODUCT(--(U$9=Model!$D$9:$CN$9),Model!$D146:$CN146)</f>
        <v>0</v>
      </c>
      <c r="V142" s="55">
        <f>SUMPRODUCT(--(V$9=Model!$D$9:$CN$9),Model!$D146:$CN146)</f>
        <v>0</v>
      </c>
      <c r="W142" s="55">
        <f>SUMPRODUCT(--(W$9=Model!$D$9:$CN$9),Model!$D146:$CN146)</f>
        <v>0</v>
      </c>
      <c r="X142" s="55">
        <f>SUMPRODUCT(--(X$9=Model!$D$9:$CN$9),Model!$D146:$CN146)</f>
        <v>0</v>
      </c>
      <c r="Y142" s="55">
        <f>SUMPRODUCT(--(Y$9=Model!$D$9:$CN$9),Model!$D146:$CN146)</f>
        <v>0</v>
      </c>
      <c r="Z142" s="55">
        <f>SUMPRODUCT(--(Z$9=Model!$D$9:$CN$9),Model!$D146:$CN146)</f>
        <v>0</v>
      </c>
      <c r="AA142" s="55"/>
    </row>
    <row r="143" spans="1:27" ht="12.75" customHeight="1" outlineLevel="1">
      <c r="A143" s="35"/>
      <c r="B143" s="35"/>
      <c r="C143" s="35"/>
      <c r="D143" s="60">
        <f>Model!D147</f>
        <v>0</v>
      </c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</row>
    <row r="144" spans="1:27" ht="12.75" customHeight="1" outlineLevel="1">
      <c r="A144" s="35"/>
      <c r="B144" s="35" t="s">
        <v>231</v>
      </c>
      <c r="C144" s="35"/>
      <c r="D144" s="60">
        <f>Model!D148</f>
        <v>0</v>
      </c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</row>
    <row r="145" spans="1:27" ht="12.75" customHeight="1" outlineLevel="1">
      <c r="A145" s="35"/>
      <c r="B145" s="49" t="s">
        <v>228</v>
      </c>
      <c r="C145" s="50"/>
      <c r="D145" s="53">
        <f>Model!D149</f>
        <v>0</v>
      </c>
      <c r="E145" s="50">
        <f>SUMPRODUCT(--(E$9=Model!$D$9:$CN$9),Model!$D149:$CN149)</f>
        <v>0</v>
      </c>
      <c r="F145" s="50">
        <f>SUMPRODUCT(--(F$9=Model!$D$9:$CN$9),Model!$D149:$CN149)</f>
        <v>0</v>
      </c>
      <c r="G145" s="50">
        <f>SUMPRODUCT(--(G$9=Model!$D$9:$CN$9),Model!$D149:$CN149)</f>
        <v>0</v>
      </c>
      <c r="H145" s="50">
        <f>SUMPRODUCT(--(H$9=Model!$D$9:$CN$9),Model!$D149:$CN149)</f>
        <v>0</v>
      </c>
      <c r="I145" s="50">
        <f>SUMPRODUCT(--(I$9=Model!$D$9:$CN$9),Model!$D149:$CN149)</f>
        <v>0</v>
      </c>
      <c r="J145" s="50">
        <f>SUMPRODUCT(--(J$9=Model!$D$9:$CN$9),Model!$D149:$CN149)</f>
        <v>0</v>
      </c>
      <c r="K145" s="50">
        <f>SUMPRODUCT(--(K$9=Model!$D$9:$CN$9),Model!$D149:$CN149)</f>
        <v>0</v>
      </c>
      <c r="L145" s="50">
        <f>SUMPRODUCT(--(L$9=Model!$D$9:$CN$9),Model!$D149:$CN149)</f>
        <v>0</v>
      </c>
      <c r="M145" s="50">
        <f>SUMPRODUCT(--(M$9=Model!$D$9:$CN$9),Model!$D149:$CN149)</f>
        <v>0</v>
      </c>
      <c r="N145" s="50">
        <f>SUMPRODUCT(--(N$9=Model!$D$9:$CN$9),Model!$D149:$CN149)</f>
        <v>0</v>
      </c>
      <c r="O145" s="50">
        <f>SUMPRODUCT(--(O$9=Model!$D$9:$CN$9),Model!$D149:$CN149)</f>
        <v>0</v>
      </c>
      <c r="P145" s="50">
        <f>SUMPRODUCT(--(P$9=Model!$D$9:$CN$9),Model!$D149:$CN149)</f>
        <v>0</v>
      </c>
      <c r="Q145" s="50">
        <f>SUMPRODUCT(--(Q$9=Model!$D$9:$CN$9),Model!$D149:$CN149)</f>
        <v>0</v>
      </c>
      <c r="R145" s="50">
        <f>SUMPRODUCT(--(R$9=Model!$D$9:$CN$9),Model!$D149:$CN149)</f>
        <v>0</v>
      </c>
      <c r="S145" s="50">
        <f>SUMPRODUCT(--(S$9=Model!$D$9:$CN$9),Model!$D149:$CN149)</f>
        <v>0</v>
      </c>
      <c r="T145" s="50">
        <f>SUMPRODUCT(--(T$9=Model!$D$9:$CN$9),Model!$D149:$CN149)</f>
        <v>0</v>
      </c>
      <c r="U145" s="50">
        <f>SUMPRODUCT(--(U$9=Model!$D$9:$CN$9),Model!$D149:$CN149)</f>
        <v>0</v>
      </c>
      <c r="V145" s="50">
        <f>SUMPRODUCT(--(V$9=Model!$D$9:$CN$9),Model!$D149:$CN149)</f>
        <v>0</v>
      </c>
      <c r="W145" s="50">
        <f>SUMPRODUCT(--(W$9=Model!$D$9:$CN$9),Model!$D149:$CN149)</f>
        <v>0</v>
      </c>
      <c r="X145" s="50">
        <f>SUMPRODUCT(--(X$9=Model!$D$9:$CN$9),Model!$D149:$CN149)</f>
        <v>0</v>
      </c>
      <c r="Y145" s="50">
        <f>SUMPRODUCT(--(Y$9=Model!$D$9:$CN$9),Model!$D149:$CN149)</f>
        <v>0</v>
      </c>
      <c r="Z145" s="50">
        <f>SUMPRODUCT(--(Z$9=Model!$D$9:$CN$9),Model!$D149:$CN149)</f>
        <v>0</v>
      </c>
      <c r="AA145" s="50"/>
    </row>
    <row r="146" spans="1:27" ht="12.75" customHeight="1" outlineLevel="1">
      <c r="A146" s="35"/>
      <c r="B146" s="63" t="s">
        <v>232</v>
      </c>
      <c r="C146" s="35">
        <f>SUM(D146:AA146)</f>
        <v>1348816.1110597644</v>
      </c>
      <c r="D146" s="60">
        <f>Model!D150</f>
        <v>0</v>
      </c>
      <c r="E146" s="35">
        <f>SUMPRODUCT(--(E$8&lt;=Model!$D$9:'Model'!$CN$9),--(E$9&gt;=Model!$D$9:'Model'!$CN$9),Model!$D150:'Model'!$CN150)</f>
        <v>0</v>
      </c>
      <c r="F146" s="35">
        <f>SUMPRODUCT(--(F$8&lt;=Model!$D$9:'Model'!$CN$9),--(F$9&gt;=Model!$D$9:'Model'!$CN$9),Model!$D150:'Model'!$CN150)</f>
        <v>0</v>
      </c>
      <c r="G146" s="35">
        <f>SUMPRODUCT(--(G$8&lt;=Model!$D$9:'Model'!$CN$9),--(G$9&gt;=Model!$D$9:'Model'!$CN$9),Model!$D150:'Model'!$CN150)</f>
        <v>0</v>
      </c>
      <c r="H146" s="35">
        <f>SUMPRODUCT(--(H$8&lt;=Model!$D$9:'Model'!$CN$9),--(H$9&gt;=Model!$D$9:'Model'!$CN$9),Model!$D150:'Model'!$CN150)</f>
        <v>0</v>
      </c>
      <c r="I146" s="35">
        <f>SUMPRODUCT(--(I$8&lt;=Model!$D$9:'Model'!$CN$9),--(I$9&gt;=Model!$D$9:'Model'!$CN$9),Model!$D150:'Model'!$CN150)</f>
        <v>30081.114527861886</v>
      </c>
      <c r="J146" s="35">
        <f>SUMPRODUCT(--(J$8&lt;=Model!$D$9:'Model'!$CN$9),--(J$9&gt;=Model!$D$9:'Model'!$CN$9),Model!$D150:'Model'!$CN150)</f>
        <v>54805.259674867841</v>
      </c>
      <c r="K146" s="35">
        <f>SUMPRODUCT(--(K$8&lt;=Model!$D$9:'Model'!$CN$9),--(K$9&gt;=Model!$D$9:'Model'!$CN$9),Model!$D150:'Model'!$CN150)</f>
        <v>58076.222986929177</v>
      </c>
      <c r="L146" s="35">
        <f>SUMPRODUCT(--(L$8&lt;=Model!$D$9:'Model'!$CN$9),--(L$9&gt;=Model!$D$9:'Model'!$CN$9),Model!$D150:'Model'!$CN150)</f>
        <v>58573.687419960421</v>
      </c>
      <c r="M146" s="35">
        <f>SUMPRODUCT(--(M$8&lt;=Model!$D$9:'Model'!$CN$9),--(M$9&gt;=Model!$D$9:'Model'!$CN$9),Model!$D150:'Model'!$CN150)</f>
        <v>63000.468587892545</v>
      </c>
      <c r="N146" s="35">
        <f>SUMPRODUCT(--(N$8&lt;=Model!$D$9:'Model'!$CN$9),--(N$9&gt;=Model!$D$9:'Model'!$CN$9),Model!$D150:'Model'!$CN150)</f>
        <v>64329.467420531219</v>
      </c>
      <c r="O146" s="35">
        <f>SUMPRODUCT(--(O$8&lt;=Model!$D$9:'Model'!$CN$9),--(O$9&gt;=Model!$D$9:'Model'!$CN$9),Model!$D150:'Model'!$CN150)</f>
        <v>69306.37421133602</v>
      </c>
      <c r="P146" s="35">
        <f>SUMPRODUCT(--(P$8&lt;=Model!$D$9:'Model'!$CN$9),--(P$9&gt;=Model!$D$9:'Model'!$CN$9),Model!$D150:'Model'!$CN150)</f>
        <v>69954.100943454774</v>
      </c>
      <c r="Q146" s="35">
        <f>SUMPRODUCT(--(Q$8&lt;=Model!$D$9:'Model'!$CN$9),--(Q$9&gt;=Model!$D$9:'Model'!$CN$9),Model!$D150:'Model'!$CN150)</f>
        <v>75570.62688888023</v>
      </c>
      <c r="R146" s="35">
        <f>SUMPRODUCT(--(R$8&lt;=Model!$D$9:'Model'!$CN$9),--(R$9&gt;=Model!$D$9:'Model'!$CN$9),Model!$D150:'Model'!$CN150)</f>
        <v>76146.399644728153</v>
      </c>
      <c r="S146" s="35">
        <f>SUMPRODUCT(--(S$8&lt;=Model!$D$9:'Model'!$CN$9),--(S$9&gt;=Model!$D$9:'Model'!$CN$9),Model!$D150:'Model'!$CN150)</f>
        <v>77028.790153616457</v>
      </c>
      <c r="T146" s="35">
        <f>SUMPRODUCT(--(T$8&lt;=Model!$D$9:'Model'!$CN$9),--(T$9&gt;=Model!$D$9:'Model'!$CN$9),Model!$D150:'Model'!$CN150)</f>
        <v>82701.175681075663</v>
      </c>
      <c r="U146" s="35">
        <f>SUMPRODUCT(--(U$8&lt;=Model!$D$9:'Model'!$CN$9),--(U$9&gt;=Model!$D$9:'Model'!$CN$9),Model!$D150:'Model'!$CN150)</f>
        <v>84622.767686368825</v>
      </c>
      <c r="V146" s="35">
        <f>SUMPRODUCT(--(V$8&lt;=Model!$D$9:'Model'!$CN$9),--(V$9&gt;=Model!$D$9:'Model'!$CN$9),Model!$D150:'Model'!$CN150)</f>
        <v>90993.723895136616</v>
      </c>
      <c r="W146" s="35">
        <f>SUMPRODUCT(--(W$8&lt;=Model!$D$9:'Model'!$CN$9),--(W$9&gt;=Model!$D$9:'Model'!$CN$9),Model!$D150:'Model'!$CN150)</f>
        <v>92118.609430139943</v>
      </c>
      <c r="X146" s="35">
        <f>SUMPRODUCT(--(X$8&lt;=Model!$D$9:'Model'!$CN$9),--(X$9&gt;=Model!$D$9:'Model'!$CN$9),Model!$D150:'Model'!$CN150)</f>
        <v>99299.979946103747</v>
      </c>
      <c r="Y146" s="35">
        <f>SUMPRODUCT(--(Y$8&lt;=Model!$D$9:'Model'!$CN$9),--(Y$9&gt;=Model!$D$9:'Model'!$CN$9),Model!$D150:'Model'!$CN150)</f>
        <v>100372.00586172924</v>
      </c>
      <c r="Z146" s="35">
        <f>SUMPRODUCT(--(Z$8&lt;=Model!$D$9:'Model'!$CN$9),--(Z$9&gt;=Model!$D$9:'Model'!$CN$9),Model!$D150:'Model'!$CN150)</f>
        <v>101835.33609915186</v>
      </c>
      <c r="AA146" s="35"/>
    </row>
    <row r="147" spans="1:27" ht="12.75" customHeight="1" outlineLevel="1">
      <c r="A147" s="35"/>
      <c r="B147" s="63" t="s">
        <v>233</v>
      </c>
      <c r="C147" s="35">
        <f>SUM(D147:AA147)</f>
        <v>-4824765.1002241392</v>
      </c>
      <c r="D147" s="60">
        <f>Model!D151</f>
        <v>0</v>
      </c>
      <c r="E147" s="35">
        <f>SUMPRODUCT(--(E$8&lt;=Model!$D$9:'Model'!$CN$9),--(E$9&gt;=Model!$D$9:'Model'!$CN$9),Model!$D151:'Model'!$CN151)</f>
        <v>0</v>
      </c>
      <c r="F147" s="35">
        <f>SUMPRODUCT(--(F$8&lt;=Model!$D$9:'Model'!$CN$9),--(F$9&gt;=Model!$D$9:'Model'!$CN$9),Model!$D151:'Model'!$CN151)</f>
        <v>0</v>
      </c>
      <c r="G147" s="35">
        <f>SUMPRODUCT(--(G$8&lt;=Model!$D$9:'Model'!$CN$9),--(G$9&gt;=Model!$D$9:'Model'!$CN$9),Model!$D151:'Model'!$CN151)</f>
        <v>0</v>
      </c>
      <c r="H147" s="35">
        <f>SUMPRODUCT(--(H$8&lt;=Model!$D$9:'Model'!$CN$9),--(H$9&gt;=Model!$D$9:'Model'!$CN$9),Model!$D151:'Model'!$CN151)</f>
        <v>0</v>
      </c>
      <c r="I147" s="35">
        <f>SUMPRODUCT(--(I$8&lt;=Model!$D$9:'Model'!$CN$9),--(I$9&gt;=Model!$D$9:'Model'!$CN$9),Model!$D151:'Model'!$CN151)</f>
        <v>-122496.73138222061</v>
      </c>
      <c r="J147" s="35">
        <f>SUMPRODUCT(--(J$8&lt;=Model!$D$9:'Model'!$CN$9),--(J$9&gt;=Model!$D$9:'Model'!$CN$9),Model!$D151:'Model'!$CN151)</f>
        <v>-210201.16749041725</v>
      </c>
      <c r="K147" s="35">
        <f>SUMPRODUCT(--(K$8&lt;=Model!$D$9:'Model'!$CN$9),--(K$9&gt;=Model!$D$9:'Model'!$CN$9),Model!$D151:'Model'!$CN151)</f>
        <v>-226655.67687176395</v>
      </c>
      <c r="L147" s="35">
        <f>SUMPRODUCT(--(L$8&lt;=Model!$D$9:'Model'!$CN$9),--(L$9&gt;=Model!$D$9:'Model'!$CN$9),Model!$D151:'Model'!$CN151)</f>
        <v>-215142.91661379649</v>
      </c>
      <c r="M147" s="35">
        <f>SUMPRODUCT(--(M$8&lt;=Model!$D$9:'Model'!$CN$9),--(M$9&gt;=Model!$D$9:'Model'!$CN$9),Model!$D151:'Model'!$CN151)</f>
        <v>-241623.11330945016</v>
      </c>
      <c r="N147" s="35">
        <f>SUMPRODUCT(--(N$8&lt;=Model!$D$9:'Model'!$CN$9),--(N$9&gt;=Model!$D$9:'Model'!$CN$9),Model!$D151:'Model'!$CN151)</f>
        <v>-237829.1373366059</v>
      </c>
      <c r="O147" s="35">
        <f>SUMPRODUCT(--(O$8&lt;=Model!$D$9:'Model'!$CN$9),--(O$9&gt;=Model!$D$9:'Model'!$CN$9),Model!$D151:'Model'!$CN151)</f>
        <v>-265333.79412660573</v>
      </c>
      <c r="P147" s="35">
        <f>SUMPRODUCT(--(P$8&lt;=Model!$D$9:'Model'!$CN$9),--(P$9&gt;=Model!$D$9:'Model'!$CN$9),Model!$D151:'Model'!$CN151)</f>
        <v>-255519.33064648861</v>
      </c>
      <c r="Q147" s="35">
        <f>SUMPRODUCT(--(Q$8&lt;=Model!$D$9:'Model'!$CN$9),--(Q$9&gt;=Model!$D$9:'Model'!$CN$9),Model!$D151:'Model'!$CN151)</f>
        <v>-290831.54610361211</v>
      </c>
      <c r="R147" s="35">
        <f>SUMPRODUCT(--(R$8&lt;=Model!$D$9:'Model'!$CN$9),--(R$9&gt;=Model!$D$9:'Model'!$CN$9),Model!$D151:'Model'!$CN151)</f>
        <v>-275501.39183560957</v>
      </c>
      <c r="S147" s="35">
        <f>SUMPRODUCT(--(S$8&lt;=Model!$D$9:'Model'!$CN$9),--(S$9&gt;=Model!$D$9:'Model'!$CN$9),Model!$D151:'Model'!$CN151)</f>
        <v>-261507.55978729852</v>
      </c>
      <c r="T147" s="35">
        <f>SUMPRODUCT(--(T$8&lt;=Model!$D$9:'Model'!$CN$9),--(T$9&gt;=Model!$D$9:'Model'!$CN$9),Model!$D151:'Model'!$CN151)</f>
        <v>-293694.4043720949</v>
      </c>
      <c r="U147" s="35">
        <f>SUMPRODUCT(--(U$8&lt;=Model!$D$9:'Model'!$CN$9),--(U$9&gt;=Model!$D$9:'Model'!$CN$9),Model!$D151:'Model'!$CN151)</f>
        <v>-289082.80286475288</v>
      </c>
      <c r="V147" s="35">
        <f>SUMPRODUCT(--(V$8&lt;=Model!$D$9:'Model'!$CN$9),--(V$9&gt;=Model!$D$9:'Model'!$CN$9),Model!$D151:'Model'!$CN151)</f>
        <v>-322514.88509710273</v>
      </c>
      <c r="W147" s="35">
        <f>SUMPRODUCT(--(W$8&lt;=Model!$D$9:'Model'!$CN$9),--(W$9&gt;=Model!$D$9:'Model'!$CN$9),Model!$D151:'Model'!$CN151)</f>
        <v>-310585.3433966235</v>
      </c>
      <c r="X147" s="35">
        <f>SUMPRODUCT(--(X$8&lt;=Model!$D$9:'Model'!$CN$9),--(X$9&gt;=Model!$D$9:'Model'!$CN$9),Model!$D151:'Model'!$CN151)</f>
        <v>-353507.56198610377</v>
      </c>
      <c r="Y147" s="35">
        <f>SUMPRODUCT(--(Y$8&lt;=Model!$D$9:'Model'!$CN$9),--(Y$9&gt;=Model!$D$9:'Model'!$CN$9),Model!$D151:'Model'!$CN151)</f>
        <v>-334873.6636598825</v>
      </c>
      <c r="Z147" s="35">
        <f>SUMPRODUCT(--(Z$8&lt;=Model!$D$9:'Model'!$CN$9),--(Z$9&gt;=Model!$D$9:'Model'!$CN$9),Model!$D151:'Model'!$CN151)</f>
        <v>-317864.0733437101</v>
      </c>
      <c r="AA147" s="35"/>
    </row>
    <row r="148" spans="1:27" ht="12.75" customHeight="1" outlineLevel="1">
      <c r="A148" s="88"/>
      <c r="B148" s="110" t="s">
        <v>230</v>
      </c>
      <c r="C148" s="111"/>
      <c r="D148" s="58">
        <f>Model!D152</f>
        <v>0</v>
      </c>
      <c r="E148" s="111">
        <f>SUMPRODUCT(--(E$9=Model!$D$9:$CN$9),Model!$D152:$CN152)</f>
        <v>0</v>
      </c>
      <c r="F148" s="111">
        <f>SUMPRODUCT(--(F$9=Model!$D$9:$CN$9),Model!$D152:$CN152)</f>
        <v>0</v>
      </c>
      <c r="G148" s="111">
        <f>SUMPRODUCT(--(G$9=Model!$D$9:$CN$9),Model!$D152:$CN152)</f>
        <v>0</v>
      </c>
      <c r="H148" s="111">
        <f>SUMPRODUCT(--(H$9=Model!$D$9:$CN$9),Model!$D152:$CN152)</f>
        <v>0</v>
      </c>
      <c r="I148" s="111">
        <f>SUMPRODUCT(--(I$9=Model!$D$9:$CN$9),Model!$D152:$CN152)</f>
        <v>0</v>
      </c>
      <c r="J148" s="111">
        <f>SUMPRODUCT(--(J$9=Model!$D$9:$CN$9),Model!$D152:$CN152)</f>
        <v>0</v>
      </c>
      <c r="K148" s="111">
        <f>SUMPRODUCT(--(K$9=Model!$D$9:$CN$9),Model!$D152:$CN152)</f>
        <v>0</v>
      </c>
      <c r="L148" s="111">
        <f>SUMPRODUCT(--(L$9=Model!$D$9:$CN$9),Model!$D152:$CN152)</f>
        <v>0</v>
      </c>
      <c r="M148" s="111">
        <f>SUMPRODUCT(--(M$9=Model!$D$9:$CN$9),Model!$D152:$CN152)</f>
        <v>0</v>
      </c>
      <c r="N148" s="111">
        <f>SUMPRODUCT(--(N$9=Model!$D$9:$CN$9),Model!$D152:$CN152)</f>
        <v>0</v>
      </c>
      <c r="O148" s="111">
        <f>SUMPRODUCT(--(O$9=Model!$D$9:$CN$9),Model!$D152:$CN152)</f>
        <v>0</v>
      </c>
      <c r="P148" s="111">
        <f>SUMPRODUCT(--(P$9=Model!$D$9:$CN$9),Model!$D152:$CN152)</f>
        <v>0</v>
      </c>
      <c r="Q148" s="111">
        <f>SUMPRODUCT(--(Q$9=Model!$D$9:$CN$9),Model!$D152:$CN152)</f>
        <v>0</v>
      </c>
      <c r="R148" s="111">
        <f>SUMPRODUCT(--(R$9=Model!$D$9:$CN$9),Model!$D152:$CN152)</f>
        <v>0</v>
      </c>
      <c r="S148" s="111">
        <f>SUMPRODUCT(--(S$9=Model!$D$9:$CN$9),Model!$D152:$CN152)</f>
        <v>0</v>
      </c>
      <c r="T148" s="111">
        <f>SUMPRODUCT(--(T$9=Model!$D$9:$CN$9),Model!$D152:$CN152)</f>
        <v>0</v>
      </c>
      <c r="U148" s="111">
        <f>SUMPRODUCT(--(U$9=Model!$D$9:$CN$9),Model!$D152:$CN152)</f>
        <v>0</v>
      </c>
      <c r="V148" s="111">
        <f>SUMPRODUCT(--(V$9=Model!$D$9:$CN$9),Model!$D152:$CN152)</f>
        <v>0</v>
      </c>
      <c r="W148" s="111">
        <f>SUMPRODUCT(--(W$9=Model!$D$9:$CN$9),Model!$D152:$CN152)</f>
        <v>0</v>
      </c>
      <c r="X148" s="111">
        <f>SUMPRODUCT(--(X$9=Model!$D$9:$CN$9),Model!$D152:$CN152)</f>
        <v>0</v>
      </c>
      <c r="Y148" s="111">
        <f>SUMPRODUCT(--(Y$9=Model!$D$9:$CN$9),Model!$D152:$CN152)</f>
        <v>0</v>
      </c>
      <c r="Z148" s="111">
        <f>SUMPRODUCT(--(Z$9=Model!$D$9:$CN$9),Model!$D152:$CN152)</f>
        <v>0</v>
      </c>
      <c r="AA148" s="111"/>
    </row>
    <row r="149" spans="1:27" ht="12.75" customHeight="1" outlineLevel="1">
      <c r="A149" s="88"/>
      <c r="B149" s="89"/>
      <c r="C149" s="88"/>
      <c r="D149" s="60">
        <f>Model!D153</f>
        <v>0</v>
      </c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</row>
    <row r="150" spans="1:27" ht="12.75" customHeight="1" outlineLevel="1">
      <c r="A150" s="35"/>
      <c r="B150" s="35" t="s">
        <v>234</v>
      </c>
      <c r="C150" s="35"/>
      <c r="D150" s="60">
        <f>Model!D154</f>
        <v>0</v>
      </c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</row>
    <row r="151" spans="1:27" ht="12.75" customHeight="1" outlineLevel="1">
      <c r="A151" s="35"/>
      <c r="B151" s="49" t="s">
        <v>228</v>
      </c>
      <c r="C151" s="50"/>
      <c r="D151" s="53">
        <f>Model!D155</f>
        <v>0</v>
      </c>
      <c r="E151" s="50">
        <f>SUMPRODUCT(--(E$9=Model!$D$9:$CN$9),Model!$D155:$CN155)</f>
        <v>-3958.3333333333339</v>
      </c>
      <c r="F151" s="50">
        <f>SUMPRODUCT(--(F$9=Model!$D$9:$CN$9),Model!$D155:$CN155)</f>
        <v>-49726.932638888895</v>
      </c>
      <c r="G151" s="50">
        <f>SUMPRODUCT(--(G$9=Model!$D$9:$CN$9),Model!$D155:$CN155)</f>
        <v>-136899.60451388892</v>
      </c>
      <c r="H151" s="50">
        <f>SUMPRODUCT(--(H$9=Model!$D$9:$CN$9),Model!$D155:$CN155)</f>
        <v>-143842.04555555555</v>
      </c>
      <c r="I151" s="50">
        <f>SUMPRODUCT(--(I$9=Model!$D$9:$CN$9),Model!$D155:$CN155)</f>
        <v>-54721.583333333358</v>
      </c>
      <c r="J151" s="50">
        <f>SUMPRODUCT(--(J$9=Model!$D$9:$CN$9),Model!$D155:$CN155)</f>
        <v>0</v>
      </c>
      <c r="K151" s="50">
        <f>SUMPRODUCT(--(K$9=Model!$D$9:$CN$9),Model!$D155:$CN155)</f>
        <v>0</v>
      </c>
      <c r="L151" s="50">
        <f>SUMPRODUCT(--(L$9=Model!$D$9:$CN$9),Model!$D155:$CN155)</f>
        <v>0</v>
      </c>
      <c r="M151" s="50">
        <f>SUMPRODUCT(--(M$9=Model!$D$9:$CN$9),Model!$D155:$CN155)</f>
        <v>0</v>
      </c>
      <c r="N151" s="50">
        <f>SUMPRODUCT(--(N$9=Model!$D$9:$CN$9),Model!$D155:$CN155)</f>
        <v>0</v>
      </c>
      <c r="O151" s="50">
        <f>SUMPRODUCT(--(O$9=Model!$D$9:$CN$9),Model!$D155:$CN155)</f>
        <v>0</v>
      </c>
      <c r="P151" s="50">
        <f>SUMPRODUCT(--(P$9=Model!$D$9:$CN$9),Model!$D155:$CN155)</f>
        <v>0</v>
      </c>
      <c r="Q151" s="50">
        <f>SUMPRODUCT(--(Q$9=Model!$D$9:$CN$9),Model!$D155:$CN155)</f>
        <v>0</v>
      </c>
      <c r="R151" s="50">
        <f>SUMPRODUCT(--(R$9=Model!$D$9:$CN$9),Model!$D155:$CN155)</f>
        <v>0</v>
      </c>
      <c r="S151" s="50">
        <f>SUMPRODUCT(--(S$9=Model!$D$9:$CN$9),Model!$D155:$CN155)</f>
        <v>0</v>
      </c>
      <c r="T151" s="50">
        <f>SUMPRODUCT(--(T$9=Model!$D$9:$CN$9),Model!$D155:$CN155)</f>
        <v>0</v>
      </c>
      <c r="U151" s="50">
        <f>SUMPRODUCT(--(U$9=Model!$D$9:$CN$9),Model!$D155:$CN155)</f>
        <v>0</v>
      </c>
      <c r="V151" s="50">
        <f>SUMPRODUCT(--(V$9=Model!$D$9:$CN$9),Model!$D155:$CN155)</f>
        <v>0</v>
      </c>
      <c r="W151" s="50">
        <f>SUMPRODUCT(--(W$9=Model!$D$9:$CN$9),Model!$D155:$CN155)</f>
        <v>0</v>
      </c>
      <c r="X151" s="50">
        <f>SUMPRODUCT(--(X$9=Model!$D$9:$CN$9),Model!$D155:$CN155)</f>
        <v>0</v>
      </c>
      <c r="Y151" s="50">
        <f>SUMPRODUCT(--(Y$9=Model!$D$9:$CN$9),Model!$D155:$CN155)</f>
        <v>0</v>
      </c>
      <c r="Z151" s="50">
        <f>SUMPRODUCT(--(Z$9=Model!$D$9:$CN$9),Model!$D155:$CN155)</f>
        <v>0</v>
      </c>
      <c r="AA151" s="50"/>
    </row>
    <row r="152" spans="1:27" ht="12.75" customHeight="1" outlineLevel="1">
      <c r="A152" s="35"/>
      <c r="B152" s="63" t="s">
        <v>235</v>
      </c>
      <c r="C152" s="35">
        <f t="shared" ref="C152:C153" si="21">SUM(D152:AA152)</f>
        <v>-795565.25000000012</v>
      </c>
      <c r="D152" s="60">
        <f>Model!D156</f>
        <v>0</v>
      </c>
      <c r="E152" s="35">
        <f>SUMPRODUCT(--(E$8&lt;=Model!$D$9:'Model'!$CN$9),--(E$9&gt;=Model!$D$9:'Model'!$CN$9),Model!$D156:'Model'!$CN156)</f>
        <v>-8498.3333333333358</v>
      </c>
      <c r="F152" s="35">
        <f>SUMPRODUCT(--(F$8&lt;=Model!$D$9:'Model'!$CN$9),--(F$9&gt;=Model!$D$9:'Model'!$CN$9),Model!$D156:'Model'!$CN156)</f>
        <v>-101190.15416666667</v>
      </c>
      <c r="G152" s="35">
        <f>SUMPRODUCT(--(G$8&lt;=Model!$D$9:'Model'!$CN$9),--(G$9&gt;=Model!$D$9:'Model'!$CN$9),Model!$D156:'Model'!$CN156)</f>
        <v>-270852.74027777783</v>
      </c>
      <c r="H152" s="35">
        <f>SUMPRODUCT(--(H$8&lt;=Model!$D$9:'Model'!$CN$9),--(H$9&gt;=Model!$D$9:'Model'!$CN$9),Model!$D156:'Model'!$CN156)</f>
        <v>-295704.60444444447</v>
      </c>
      <c r="I152" s="35">
        <f>SUMPRODUCT(--(I$8&lt;=Model!$D$9:'Model'!$CN$9),--(I$9&gt;=Model!$D$9:'Model'!$CN$9),Model!$D156:'Model'!$CN156)</f>
        <v>-119319.41777777779</v>
      </c>
      <c r="J152" s="35">
        <f>SUMPRODUCT(--(J$8&lt;=Model!$D$9:'Model'!$CN$9),--(J$9&gt;=Model!$D$9:'Model'!$CN$9),Model!$D156:'Model'!$CN156)</f>
        <v>0</v>
      </c>
      <c r="K152" s="35">
        <f>SUMPRODUCT(--(K$8&lt;=Model!$D$9:'Model'!$CN$9),--(K$9&gt;=Model!$D$9:'Model'!$CN$9),Model!$D156:'Model'!$CN156)</f>
        <v>0</v>
      </c>
      <c r="L152" s="35">
        <f>SUMPRODUCT(--(L$8&lt;=Model!$D$9:'Model'!$CN$9),--(L$9&gt;=Model!$D$9:'Model'!$CN$9),Model!$D156:'Model'!$CN156)</f>
        <v>0</v>
      </c>
      <c r="M152" s="35">
        <f>SUMPRODUCT(--(M$8&lt;=Model!$D$9:'Model'!$CN$9),--(M$9&gt;=Model!$D$9:'Model'!$CN$9),Model!$D156:'Model'!$CN156)</f>
        <v>0</v>
      </c>
      <c r="N152" s="35">
        <f>SUMPRODUCT(--(N$8&lt;=Model!$D$9:'Model'!$CN$9),--(N$9&gt;=Model!$D$9:'Model'!$CN$9),Model!$D156:'Model'!$CN156)</f>
        <v>0</v>
      </c>
      <c r="O152" s="35">
        <f>SUMPRODUCT(--(O$8&lt;=Model!$D$9:'Model'!$CN$9),--(O$9&gt;=Model!$D$9:'Model'!$CN$9),Model!$D156:'Model'!$CN156)</f>
        <v>0</v>
      </c>
      <c r="P152" s="35">
        <f>SUMPRODUCT(--(P$8&lt;=Model!$D$9:'Model'!$CN$9),--(P$9&gt;=Model!$D$9:'Model'!$CN$9),Model!$D156:'Model'!$CN156)</f>
        <v>0</v>
      </c>
      <c r="Q152" s="35">
        <f>SUMPRODUCT(--(Q$8&lt;=Model!$D$9:'Model'!$CN$9),--(Q$9&gt;=Model!$D$9:'Model'!$CN$9),Model!$D156:'Model'!$CN156)</f>
        <v>0</v>
      </c>
      <c r="R152" s="35">
        <f>SUMPRODUCT(--(R$8&lt;=Model!$D$9:'Model'!$CN$9),--(R$9&gt;=Model!$D$9:'Model'!$CN$9),Model!$D156:'Model'!$CN156)</f>
        <v>0</v>
      </c>
      <c r="S152" s="35">
        <f>SUMPRODUCT(--(S$8&lt;=Model!$D$9:'Model'!$CN$9),--(S$9&gt;=Model!$D$9:'Model'!$CN$9),Model!$D156:'Model'!$CN156)</f>
        <v>0</v>
      </c>
      <c r="T152" s="35">
        <f>SUMPRODUCT(--(T$8&lt;=Model!$D$9:'Model'!$CN$9),--(T$9&gt;=Model!$D$9:'Model'!$CN$9),Model!$D156:'Model'!$CN156)</f>
        <v>0</v>
      </c>
      <c r="U152" s="35">
        <f>SUMPRODUCT(--(U$8&lt;=Model!$D$9:'Model'!$CN$9),--(U$9&gt;=Model!$D$9:'Model'!$CN$9),Model!$D156:'Model'!$CN156)</f>
        <v>0</v>
      </c>
      <c r="V152" s="35">
        <f>SUMPRODUCT(--(V$8&lt;=Model!$D$9:'Model'!$CN$9),--(V$9&gt;=Model!$D$9:'Model'!$CN$9),Model!$D156:'Model'!$CN156)</f>
        <v>0</v>
      </c>
      <c r="W152" s="35">
        <f>SUMPRODUCT(--(W$8&lt;=Model!$D$9:'Model'!$CN$9),--(W$9&gt;=Model!$D$9:'Model'!$CN$9),Model!$D156:'Model'!$CN156)</f>
        <v>0</v>
      </c>
      <c r="X152" s="35">
        <f>SUMPRODUCT(--(X$8&lt;=Model!$D$9:'Model'!$CN$9),--(X$9&gt;=Model!$D$9:'Model'!$CN$9),Model!$D156:'Model'!$CN156)</f>
        <v>0</v>
      </c>
      <c r="Y152" s="35">
        <f>SUMPRODUCT(--(Y$8&lt;=Model!$D$9:'Model'!$CN$9),--(Y$9&gt;=Model!$D$9:'Model'!$CN$9),Model!$D156:'Model'!$CN156)</f>
        <v>0</v>
      </c>
      <c r="Z152" s="35">
        <f>SUMPRODUCT(--(Z$8&lt;=Model!$D$9:'Model'!$CN$9),--(Z$9&gt;=Model!$D$9:'Model'!$CN$9),Model!$D156:'Model'!$CN156)</f>
        <v>0</v>
      </c>
      <c r="AA152" s="35"/>
    </row>
    <row r="153" spans="1:27" ht="12.75" customHeight="1" outlineLevel="1">
      <c r="A153" s="35"/>
      <c r="B153" s="63" t="s">
        <v>236</v>
      </c>
      <c r="C153" s="35">
        <f t="shared" si="21"/>
        <v>795565.25000000012</v>
      </c>
      <c r="D153" s="60">
        <f>Model!D157</f>
        <v>0</v>
      </c>
      <c r="E153" s="35">
        <f>SUMPRODUCT(--(E$8&lt;=Model!$D$9:'Model'!$CN$9),--(E$9&gt;=Model!$D$9:'Model'!$CN$9),Model!$D157:'Model'!$CN157)</f>
        <v>581.66666666666674</v>
      </c>
      <c r="F153" s="35">
        <f>SUMPRODUCT(--(F$8&lt;=Model!$D$9:'Model'!$CN$9),--(F$9&gt;=Model!$D$9:'Model'!$CN$9),Model!$D157:'Model'!$CN157)</f>
        <v>16682.777777777781</v>
      </c>
      <c r="G153" s="35">
        <f>SUMPRODUCT(--(G$8&lt;=Model!$D$9:'Model'!$CN$9),--(G$9&gt;=Model!$D$9:'Model'!$CN$9),Model!$D157:'Model'!$CN157)</f>
        <v>204634.28819444447</v>
      </c>
      <c r="H153" s="35">
        <f>SUMPRODUCT(--(H$8&lt;=Model!$D$9:'Model'!$CN$9),--(H$9&gt;=Model!$D$9:'Model'!$CN$9),Model!$D157:'Model'!$CN157)</f>
        <v>306799.75069444452</v>
      </c>
      <c r="I153" s="35">
        <f>SUMPRODUCT(--(I$8&lt;=Model!$D$9:'Model'!$CN$9),--(I$9&gt;=Model!$D$9:'Model'!$CN$9),Model!$D157:'Model'!$CN157)</f>
        <v>266866.76666666672</v>
      </c>
      <c r="J153" s="35">
        <f>SUMPRODUCT(--(J$8&lt;=Model!$D$9:'Model'!$CN$9),--(J$9&gt;=Model!$D$9:'Model'!$CN$9),Model!$D157:'Model'!$CN157)</f>
        <v>0</v>
      </c>
      <c r="K153" s="35">
        <f>SUMPRODUCT(--(K$8&lt;=Model!$D$9:'Model'!$CN$9),--(K$9&gt;=Model!$D$9:'Model'!$CN$9),Model!$D157:'Model'!$CN157)</f>
        <v>0</v>
      </c>
      <c r="L153" s="35">
        <f>SUMPRODUCT(--(L$8&lt;=Model!$D$9:'Model'!$CN$9),--(L$9&gt;=Model!$D$9:'Model'!$CN$9),Model!$D157:'Model'!$CN157)</f>
        <v>0</v>
      </c>
      <c r="M153" s="35">
        <f>SUMPRODUCT(--(M$8&lt;=Model!$D$9:'Model'!$CN$9),--(M$9&gt;=Model!$D$9:'Model'!$CN$9),Model!$D157:'Model'!$CN157)</f>
        <v>0</v>
      </c>
      <c r="N153" s="35">
        <f>SUMPRODUCT(--(N$8&lt;=Model!$D$9:'Model'!$CN$9),--(N$9&gt;=Model!$D$9:'Model'!$CN$9),Model!$D157:'Model'!$CN157)</f>
        <v>0</v>
      </c>
      <c r="O153" s="35">
        <f>SUMPRODUCT(--(O$8&lt;=Model!$D$9:'Model'!$CN$9),--(O$9&gt;=Model!$D$9:'Model'!$CN$9),Model!$D157:'Model'!$CN157)</f>
        <v>0</v>
      </c>
      <c r="P153" s="35">
        <f>SUMPRODUCT(--(P$8&lt;=Model!$D$9:'Model'!$CN$9),--(P$9&gt;=Model!$D$9:'Model'!$CN$9),Model!$D157:'Model'!$CN157)</f>
        <v>0</v>
      </c>
      <c r="Q153" s="35">
        <f>SUMPRODUCT(--(Q$8&lt;=Model!$D$9:'Model'!$CN$9),--(Q$9&gt;=Model!$D$9:'Model'!$CN$9),Model!$D157:'Model'!$CN157)</f>
        <v>0</v>
      </c>
      <c r="R153" s="35">
        <f>SUMPRODUCT(--(R$8&lt;=Model!$D$9:'Model'!$CN$9),--(R$9&gt;=Model!$D$9:'Model'!$CN$9),Model!$D157:'Model'!$CN157)</f>
        <v>0</v>
      </c>
      <c r="S153" s="35">
        <f>SUMPRODUCT(--(S$8&lt;=Model!$D$9:'Model'!$CN$9),--(S$9&gt;=Model!$D$9:'Model'!$CN$9),Model!$D157:'Model'!$CN157)</f>
        <v>0</v>
      </c>
      <c r="T153" s="35">
        <f>SUMPRODUCT(--(T$8&lt;=Model!$D$9:'Model'!$CN$9),--(T$9&gt;=Model!$D$9:'Model'!$CN$9),Model!$D157:'Model'!$CN157)</f>
        <v>0</v>
      </c>
      <c r="U153" s="35">
        <f>SUMPRODUCT(--(U$8&lt;=Model!$D$9:'Model'!$CN$9),--(U$9&gt;=Model!$D$9:'Model'!$CN$9),Model!$D157:'Model'!$CN157)</f>
        <v>0</v>
      </c>
      <c r="V153" s="35">
        <f>SUMPRODUCT(--(V$8&lt;=Model!$D$9:'Model'!$CN$9),--(V$9&gt;=Model!$D$9:'Model'!$CN$9),Model!$D157:'Model'!$CN157)</f>
        <v>0</v>
      </c>
      <c r="W153" s="35">
        <f>SUMPRODUCT(--(W$8&lt;=Model!$D$9:'Model'!$CN$9),--(W$9&gt;=Model!$D$9:'Model'!$CN$9),Model!$D157:'Model'!$CN157)</f>
        <v>0</v>
      </c>
      <c r="X153" s="35">
        <f>SUMPRODUCT(--(X$8&lt;=Model!$D$9:'Model'!$CN$9),--(X$9&gt;=Model!$D$9:'Model'!$CN$9),Model!$D157:'Model'!$CN157)</f>
        <v>0</v>
      </c>
      <c r="Y153" s="35">
        <f>SUMPRODUCT(--(Y$8&lt;=Model!$D$9:'Model'!$CN$9),--(Y$9&gt;=Model!$D$9:'Model'!$CN$9),Model!$D157:'Model'!$CN157)</f>
        <v>0</v>
      </c>
      <c r="Z153" s="35">
        <f>SUMPRODUCT(--(Z$8&lt;=Model!$D$9:'Model'!$CN$9),--(Z$9&gt;=Model!$D$9:'Model'!$CN$9),Model!$D157:'Model'!$CN157)</f>
        <v>0</v>
      </c>
      <c r="AA153" s="35"/>
    </row>
    <row r="154" spans="1:27" ht="12.75" customHeight="1" outlineLevel="1">
      <c r="A154" s="88"/>
      <c r="B154" s="110" t="s">
        <v>230</v>
      </c>
      <c r="C154" s="111"/>
      <c r="D154" s="58">
        <f>Model!D158</f>
        <v>0</v>
      </c>
      <c r="E154" s="111">
        <f>SUMPRODUCT(--(E$9=Model!$D$9:$CN$9),Model!$D158:$CN158)</f>
        <v>-7916.6666666666679</v>
      </c>
      <c r="F154" s="111">
        <f>SUMPRODUCT(--(F$9=Model!$D$9:$CN$9),Model!$D158:$CN158)</f>
        <v>-92424.04305555555</v>
      </c>
      <c r="G154" s="111">
        <f>SUMPRODUCT(--(G$9=Model!$D$9:$CN$9),Model!$D158:$CN158)</f>
        <v>-158642.49513888892</v>
      </c>
      <c r="H154" s="111">
        <f>SUMPRODUCT(--(H$9=Model!$D$9:$CN$9),Model!$D158:$CN158)</f>
        <v>-147547.3488888889</v>
      </c>
      <c r="I154" s="111">
        <f>SUMPRODUCT(--(I$9=Model!$D$9:$CN$9),Model!$D158:$CN158)</f>
        <v>0</v>
      </c>
      <c r="J154" s="111">
        <f>SUMPRODUCT(--(J$9=Model!$D$9:$CN$9),Model!$D158:$CN158)</f>
        <v>0</v>
      </c>
      <c r="K154" s="111">
        <f>SUMPRODUCT(--(K$9=Model!$D$9:$CN$9),Model!$D158:$CN158)</f>
        <v>0</v>
      </c>
      <c r="L154" s="111">
        <f>SUMPRODUCT(--(L$9=Model!$D$9:$CN$9),Model!$D158:$CN158)</f>
        <v>0</v>
      </c>
      <c r="M154" s="111">
        <f>SUMPRODUCT(--(M$9=Model!$D$9:$CN$9),Model!$D158:$CN158)</f>
        <v>0</v>
      </c>
      <c r="N154" s="111">
        <f>SUMPRODUCT(--(N$9=Model!$D$9:$CN$9),Model!$D158:$CN158)</f>
        <v>0</v>
      </c>
      <c r="O154" s="111">
        <f>SUMPRODUCT(--(O$9=Model!$D$9:$CN$9),Model!$D158:$CN158)</f>
        <v>0</v>
      </c>
      <c r="P154" s="111">
        <f>SUMPRODUCT(--(P$9=Model!$D$9:$CN$9),Model!$D158:$CN158)</f>
        <v>0</v>
      </c>
      <c r="Q154" s="111">
        <f>SUMPRODUCT(--(Q$9=Model!$D$9:$CN$9),Model!$D158:$CN158)</f>
        <v>0</v>
      </c>
      <c r="R154" s="111">
        <f>SUMPRODUCT(--(R$9=Model!$D$9:$CN$9),Model!$D158:$CN158)</f>
        <v>0</v>
      </c>
      <c r="S154" s="111">
        <f>SUMPRODUCT(--(S$9=Model!$D$9:$CN$9),Model!$D158:$CN158)</f>
        <v>0</v>
      </c>
      <c r="T154" s="111">
        <f>SUMPRODUCT(--(T$9=Model!$D$9:$CN$9),Model!$D158:$CN158)</f>
        <v>0</v>
      </c>
      <c r="U154" s="111">
        <f>SUMPRODUCT(--(U$9=Model!$D$9:$CN$9),Model!$D158:$CN158)</f>
        <v>0</v>
      </c>
      <c r="V154" s="111">
        <f>SUMPRODUCT(--(V$9=Model!$D$9:$CN$9),Model!$D158:$CN158)</f>
        <v>0</v>
      </c>
      <c r="W154" s="111">
        <f>SUMPRODUCT(--(W$9=Model!$D$9:$CN$9),Model!$D158:$CN158)</f>
        <v>0</v>
      </c>
      <c r="X154" s="111">
        <f>SUMPRODUCT(--(X$9=Model!$D$9:$CN$9),Model!$D158:$CN158)</f>
        <v>0</v>
      </c>
      <c r="Y154" s="111">
        <f>SUMPRODUCT(--(Y$9=Model!$D$9:$CN$9),Model!$D158:$CN158)</f>
        <v>0</v>
      </c>
      <c r="Z154" s="111">
        <f>SUMPRODUCT(--(Z$9=Model!$D$9:$CN$9),Model!$D158:$CN158)</f>
        <v>0</v>
      </c>
      <c r="AA154" s="111"/>
    </row>
    <row r="155" spans="1:27" ht="12.75" customHeight="1" outlineLevel="1">
      <c r="A155" s="88"/>
      <c r="B155" s="89"/>
      <c r="C155" s="88"/>
      <c r="D155" s="60">
        <f>Model!D159</f>
        <v>0</v>
      </c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</row>
    <row r="156" spans="1:27" ht="12.75" customHeight="1" outlineLevel="1">
      <c r="A156" s="35"/>
      <c r="B156" s="35" t="s">
        <v>237</v>
      </c>
      <c r="C156" s="35"/>
      <c r="D156" s="60">
        <f>Model!D160</f>
        <v>0</v>
      </c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</row>
    <row r="157" spans="1:27" ht="12.75" customHeight="1" outlineLevel="1">
      <c r="A157" s="35"/>
      <c r="B157" s="49" t="s">
        <v>228</v>
      </c>
      <c r="C157" s="50"/>
      <c r="D157" s="53">
        <f>Model!D161</f>
        <v>0</v>
      </c>
      <c r="E157" s="50">
        <f>SUMPRODUCT(--(E$9=Model!$D$9:$CN$9),Model!$D161:$CN161)</f>
        <v>0</v>
      </c>
      <c r="F157" s="50">
        <f>SUMPRODUCT(--(F$9=Model!$D$9:$CN$9),Model!$D161:$CN161)</f>
        <v>0</v>
      </c>
      <c r="G157" s="50">
        <f>SUMPRODUCT(--(G$9=Model!$D$9:$CN$9),Model!$D161:$CN161)</f>
        <v>838320.70624999981</v>
      </c>
      <c r="H157" s="50">
        <f>SUMPRODUCT(--(H$9=Model!$D$9:$CN$9),Model!$D161:$CN161)</f>
        <v>2692044.5066666668</v>
      </c>
      <c r="I157" s="50">
        <f>SUMPRODUCT(--(I$9=Model!$D$9:$CN$9),Model!$D161:$CN161)</f>
        <v>3757214.1644320386</v>
      </c>
      <c r="J157" s="50">
        <f>SUMPRODUCT(--(J$9=Model!$D$9:$CN$9),Model!$D161:$CN161)</f>
        <v>3507527.9023023285</v>
      </c>
      <c r="K157" s="50">
        <f>SUMPRODUCT(--(K$9=Model!$D$9:$CN$9),Model!$D161:$CN161)</f>
        <v>3238394.163003678</v>
      </c>
      <c r="L157" s="50">
        <f>SUMPRODUCT(--(L$9=Model!$D$9:$CN$9),Model!$D161:$CN161)</f>
        <v>2873082.5151296528</v>
      </c>
      <c r="M157" s="50">
        <f>SUMPRODUCT(--(M$9=Model!$D$9:$CN$9),Model!$D161:$CN161)</f>
        <v>2526020.2236929773</v>
      </c>
      <c r="N157" s="50">
        <f>SUMPRODUCT(--(N$9=Model!$D$9:$CN$9),Model!$D161:$CN161)</f>
        <v>2184299.322989027</v>
      </c>
      <c r="O157" s="50">
        <f>SUMPRODUCT(--(O$9=Model!$D$9:$CN$9),Model!$D161:$CN161)</f>
        <v>1754495.1703369711</v>
      </c>
      <c r="P157" s="50">
        <f>SUMPRODUCT(--(P$9=Model!$D$9:$CN$9),Model!$D161:$CN161)</f>
        <v>1317360.7194721117</v>
      </c>
      <c r="Q157" s="50">
        <f>SUMPRODUCT(--(Q$9=Model!$D$9:$CN$9),Model!$D161:$CN161)</f>
        <v>783347.3949627761</v>
      </c>
      <c r="R157" s="50">
        <f>SUMPRODUCT(--(R$9=Model!$D$9:$CN$9),Model!$D161:$CN161)</f>
        <v>267259.40555764356</v>
      </c>
      <c r="S157" s="50">
        <f>SUMPRODUCT(--(S$9=Model!$D$9:$CN$9),Model!$D161:$CN161)</f>
        <v>0</v>
      </c>
      <c r="T157" s="50">
        <f>SUMPRODUCT(--(T$9=Model!$D$9:$CN$9),Model!$D161:$CN161)</f>
        <v>0</v>
      </c>
      <c r="U157" s="50">
        <f>SUMPRODUCT(--(U$9=Model!$D$9:$CN$9),Model!$D161:$CN161)</f>
        <v>0</v>
      </c>
      <c r="V157" s="50">
        <f>SUMPRODUCT(--(V$9=Model!$D$9:$CN$9),Model!$D161:$CN161)</f>
        <v>0</v>
      </c>
      <c r="W157" s="50">
        <f>SUMPRODUCT(--(W$9=Model!$D$9:$CN$9),Model!$D161:$CN161)</f>
        <v>0</v>
      </c>
      <c r="X157" s="50">
        <f>SUMPRODUCT(--(X$9=Model!$D$9:$CN$9),Model!$D161:$CN161)</f>
        <v>0</v>
      </c>
      <c r="Y157" s="50">
        <f>SUMPRODUCT(--(Y$9=Model!$D$9:$CN$9),Model!$D161:$CN161)</f>
        <v>0</v>
      </c>
      <c r="Z157" s="50">
        <f>SUMPRODUCT(--(Z$9=Model!$D$9:$CN$9),Model!$D161:$CN161)</f>
        <v>0</v>
      </c>
      <c r="AA157" s="50"/>
    </row>
    <row r="158" spans="1:27" ht="12.75" customHeight="1" outlineLevel="1">
      <c r="A158" s="35"/>
      <c r="B158" s="63" t="s">
        <v>184</v>
      </c>
      <c r="C158" s="35">
        <f t="shared" ref="C158:C159" si="22">SUM(D158:AA158)</f>
        <v>3818713.2</v>
      </c>
      <c r="D158" s="60">
        <f>Model!D162</f>
        <v>0</v>
      </c>
      <c r="E158" s="35">
        <f>SUMPRODUCT(--(E$8&lt;=Model!$D$9:'Model'!$CN$9),--(E$9&gt;=Model!$D$9:'Model'!$CN$9),Model!$D162:'Model'!$CN162)</f>
        <v>0</v>
      </c>
      <c r="F158" s="35">
        <f>SUMPRODUCT(--(F$8&lt;=Model!$D$9:'Model'!$CN$9),--(F$9&gt;=Model!$D$9:'Model'!$CN$9),Model!$D162:'Model'!$CN162)</f>
        <v>0</v>
      </c>
      <c r="G158" s="35">
        <f>SUMPRODUCT(--(G$8&lt;=Model!$D$9:'Model'!$CN$9),--(G$9&gt;=Model!$D$9:'Model'!$CN$9),Model!$D162:'Model'!$CN162)</f>
        <v>1328569.0666666667</v>
      </c>
      <c r="H158" s="35">
        <f>SUMPRODUCT(--(H$8&lt;=Model!$D$9:'Model'!$CN$9),--(H$9&gt;=Model!$D$9:'Model'!$CN$9),Model!$D162:'Model'!$CN162)</f>
        <v>1774227.6266666667</v>
      </c>
      <c r="I158" s="35">
        <f>SUMPRODUCT(--(I$8&lt;=Model!$D$9:'Model'!$CN$9),--(I$9&gt;=Model!$D$9:'Model'!$CN$9),Model!$D162:'Model'!$CN162)</f>
        <v>715916.50666666683</v>
      </c>
      <c r="J158" s="35">
        <f>SUMPRODUCT(--(J$8&lt;=Model!$D$9:'Model'!$CN$9),--(J$9&gt;=Model!$D$9:'Model'!$CN$9),Model!$D162:'Model'!$CN162)</f>
        <v>0</v>
      </c>
      <c r="K158" s="35">
        <f>SUMPRODUCT(--(K$8&lt;=Model!$D$9:'Model'!$CN$9),--(K$9&gt;=Model!$D$9:'Model'!$CN$9),Model!$D162:'Model'!$CN162)</f>
        <v>0</v>
      </c>
      <c r="L158" s="35">
        <f>SUMPRODUCT(--(L$8&lt;=Model!$D$9:'Model'!$CN$9),--(L$9&gt;=Model!$D$9:'Model'!$CN$9),Model!$D162:'Model'!$CN162)</f>
        <v>0</v>
      </c>
      <c r="M158" s="35">
        <f>SUMPRODUCT(--(M$8&lt;=Model!$D$9:'Model'!$CN$9),--(M$9&gt;=Model!$D$9:'Model'!$CN$9),Model!$D162:'Model'!$CN162)</f>
        <v>0</v>
      </c>
      <c r="N158" s="35">
        <f>SUMPRODUCT(--(N$8&lt;=Model!$D$9:'Model'!$CN$9),--(N$9&gt;=Model!$D$9:'Model'!$CN$9),Model!$D162:'Model'!$CN162)</f>
        <v>0</v>
      </c>
      <c r="O158" s="35">
        <f>SUMPRODUCT(--(O$8&lt;=Model!$D$9:'Model'!$CN$9),--(O$9&gt;=Model!$D$9:'Model'!$CN$9),Model!$D162:'Model'!$CN162)</f>
        <v>0</v>
      </c>
      <c r="P158" s="35">
        <f>SUMPRODUCT(--(P$8&lt;=Model!$D$9:'Model'!$CN$9),--(P$9&gt;=Model!$D$9:'Model'!$CN$9),Model!$D162:'Model'!$CN162)</f>
        <v>0</v>
      </c>
      <c r="Q158" s="35">
        <f>SUMPRODUCT(--(Q$8&lt;=Model!$D$9:'Model'!$CN$9),--(Q$9&gt;=Model!$D$9:'Model'!$CN$9),Model!$D162:'Model'!$CN162)</f>
        <v>0</v>
      </c>
      <c r="R158" s="35">
        <f>SUMPRODUCT(--(R$8&lt;=Model!$D$9:'Model'!$CN$9),--(R$9&gt;=Model!$D$9:'Model'!$CN$9),Model!$D162:'Model'!$CN162)</f>
        <v>0</v>
      </c>
      <c r="S158" s="35">
        <f>SUMPRODUCT(--(S$8&lt;=Model!$D$9:'Model'!$CN$9),--(S$9&gt;=Model!$D$9:'Model'!$CN$9),Model!$D162:'Model'!$CN162)</f>
        <v>0</v>
      </c>
      <c r="T158" s="35">
        <f>SUMPRODUCT(--(T$8&lt;=Model!$D$9:'Model'!$CN$9),--(T$9&gt;=Model!$D$9:'Model'!$CN$9),Model!$D162:'Model'!$CN162)</f>
        <v>0</v>
      </c>
      <c r="U158" s="35">
        <f>SUMPRODUCT(--(U$8&lt;=Model!$D$9:'Model'!$CN$9),--(U$9&gt;=Model!$D$9:'Model'!$CN$9),Model!$D162:'Model'!$CN162)</f>
        <v>0</v>
      </c>
      <c r="V158" s="35">
        <f>SUMPRODUCT(--(V$8&lt;=Model!$D$9:'Model'!$CN$9),--(V$9&gt;=Model!$D$9:'Model'!$CN$9),Model!$D162:'Model'!$CN162)</f>
        <v>0</v>
      </c>
      <c r="W158" s="35">
        <f>SUMPRODUCT(--(W$8&lt;=Model!$D$9:'Model'!$CN$9),--(W$9&gt;=Model!$D$9:'Model'!$CN$9),Model!$D162:'Model'!$CN162)</f>
        <v>0</v>
      </c>
      <c r="X158" s="35">
        <f>SUMPRODUCT(--(X$8&lt;=Model!$D$9:'Model'!$CN$9),--(X$9&gt;=Model!$D$9:'Model'!$CN$9),Model!$D162:'Model'!$CN162)</f>
        <v>0</v>
      </c>
      <c r="Y158" s="35">
        <f>SUMPRODUCT(--(Y$8&lt;=Model!$D$9:'Model'!$CN$9),--(Y$9&gt;=Model!$D$9:'Model'!$CN$9),Model!$D162:'Model'!$CN162)</f>
        <v>0</v>
      </c>
      <c r="Z158" s="35">
        <f>SUMPRODUCT(--(Z$8&lt;=Model!$D$9:'Model'!$CN$9),--(Z$9&gt;=Model!$D$9:'Model'!$CN$9),Model!$D162:'Model'!$CN162)</f>
        <v>0</v>
      </c>
      <c r="AA158" s="35"/>
    </row>
    <row r="159" spans="1:27" ht="12.75" customHeight="1" outlineLevel="1">
      <c r="A159" s="35"/>
      <c r="B159" s="63" t="s">
        <v>185</v>
      </c>
      <c r="C159" s="35">
        <f t="shared" si="22"/>
        <v>-3818713.1999999997</v>
      </c>
      <c r="D159" s="60">
        <f>Model!D163</f>
        <v>0</v>
      </c>
      <c r="E159" s="35">
        <f>SUMPRODUCT(--(E$8&lt;=Model!$D$9:'Model'!$CN$9),--(E$9&gt;=Model!$D$9:'Model'!$CN$9),Model!$D163:'Model'!$CN163)</f>
        <v>0</v>
      </c>
      <c r="F159" s="35">
        <f>SUMPRODUCT(--(F$8&lt;=Model!$D$9:'Model'!$CN$9),--(F$9&gt;=Model!$D$9:'Model'!$CN$9),Model!$D163:'Model'!$CN163)</f>
        <v>0</v>
      </c>
      <c r="G159" s="35">
        <f>SUMPRODUCT(--(G$8&lt;=Model!$D$9:'Model'!$CN$9),--(G$9&gt;=Model!$D$9:'Model'!$CN$9),Model!$D163:'Model'!$CN163)</f>
        <v>0</v>
      </c>
      <c r="H159" s="35">
        <f>SUMPRODUCT(--(H$8&lt;=Model!$D$9:'Model'!$CN$9),--(H$9&gt;=Model!$D$9:'Model'!$CN$9),Model!$D163:'Model'!$CN163)</f>
        <v>0</v>
      </c>
      <c r="I159" s="35">
        <f>SUMPRODUCT(--(I$8&lt;=Model!$D$9:'Model'!$CN$9),--(I$9&gt;=Model!$D$9:'Model'!$CN$9),Model!$D163:'Model'!$CN163)</f>
        <v>-167757.34713510756</v>
      </c>
      <c r="J159" s="35">
        <f>SUMPRODUCT(--(J$8&lt;=Model!$D$9:'Model'!$CN$9),--(J$9&gt;=Model!$D$9:'Model'!$CN$9),Model!$D163:'Model'!$CN163)</f>
        <v>-243921.01076699368</v>
      </c>
      <c r="K159" s="35">
        <f>SUMPRODUCT(--(K$8&lt;=Model!$D$9:'Model'!$CN$9),--(K$9&gt;=Model!$D$9:'Model'!$CN$9),Model!$D163:'Model'!$CN163)</f>
        <v>-289127.29179928231</v>
      </c>
      <c r="L159" s="35">
        <f>SUMPRODUCT(--(L$8&lt;=Model!$D$9:'Model'!$CN$9),--(L$9&gt;=Model!$D$9:'Model'!$CN$9),Model!$D163:'Model'!$CN163)</f>
        <v>-281379.69489097246</v>
      </c>
      <c r="M159" s="35">
        <f>SUMPRODUCT(--(M$8&lt;=Model!$D$9:'Model'!$CN$9),--(M$9&gt;=Model!$D$9:'Model'!$CN$9),Model!$D163:'Model'!$CN163)</f>
        <v>-362650.66653488716</v>
      </c>
      <c r="N159" s="35">
        <f>SUMPRODUCT(--(N$8&lt;=Model!$D$9:'Model'!$CN$9),--(N$9&gt;=Model!$D$9:'Model'!$CN$9),Model!$D163:'Model'!$CN163)</f>
        <v>-366762.87836209335</v>
      </c>
      <c r="O159" s="35">
        <f>SUMPRODUCT(--(O$8&lt;=Model!$D$9:'Model'!$CN$9),--(O$9&gt;=Model!$D$9:'Model'!$CN$9),Model!$D163:'Model'!$CN163)</f>
        <v>-465448.7572088592</v>
      </c>
      <c r="P159" s="35">
        <f>SUMPRODUCT(--(P$8&lt;=Model!$D$9:'Model'!$CN$9),--(P$9&gt;=Model!$D$9:'Model'!$CN$9),Model!$D163:'Model'!$CN163)</f>
        <v>-461028.36042236246</v>
      </c>
      <c r="Q159" s="35">
        <f>SUMPRODUCT(--(Q$8&lt;=Model!$D$9:'Model'!$CN$9),--(Q$9&gt;=Model!$D$9:'Model'!$CN$9),Model!$D163:'Model'!$CN163)</f>
        <v>-562817.09835628746</v>
      </c>
      <c r="R159" s="35">
        <f>SUMPRODUCT(--(R$8&lt;=Model!$D$9:'Model'!$CN$9),--(R$9&gt;=Model!$D$9:'Model'!$CN$9),Model!$D163:'Model'!$CN163)</f>
        <v>-541818.46146075951</v>
      </c>
      <c r="S159" s="35">
        <f>SUMPRODUCT(--(S$8&lt;=Model!$D$9:'Model'!$CN$9),--(S$9&gt;=Model!$D$9:'Model'!$CN$9),Model!$D163:'Model'!$CN163)</f>
        <v>-76001.63306239454</v>
      </c>
      <c r="T159" s="35">
        <f>SUMPRODUCT(--(T$8&lt;=Model!$D$9:'Model'!$CN$9),--(T$9&gt;=Model!$D$9:'Model'!$CN$9),Model!$D163:'Model'!$CN163)</f>
        <v>0</v>
      </c>
      <c r="U159" s="35">
        <f>SUMPRODUCT(--(U$8&lt;=Model!$D$9:'Model'!$CN$9),--(U$9&gt;=Model!$D$9:'Model'!$CN$9),Model!$D163:'Model'!$CN163)</f>
        <v>0</v>
      </c>
      <c r="V159" s="35">
        <f>SUMPRODUCT(--(V$8&lt;=Model!$D$9:'Model'!$CN$9),--(V$9&gt;=Model!$D$9:'Model'!$CN$9),Model!$D163:'Model'!$CN163)</f>
        <v>0</v>
      </c>
      <c r="W159" s="35">
        <f>SUMPRODUCT(--(W$8&lt;=Model!$D$9:'Model'!$CN$9),--(W$9&gt;=Model!$D$9:'Model'!$CN$9),Model!$D163:'Model'!$CN163)</f>
        <v>0</v>
      </c>
      <c r="X159" s="35">
        <f>SUMPRODUCT(--(X$8&lt;=Model!$D$9:'Model'!$CN$9),--(X$9&gt;=Model!$D$9:'Model'!$CN$9),Model!$D163:'Model'!$CN163)</f>
        <v>0</v>
      </c>
      <c r="Y159" s="35">
        <f>SUMPRODUCT(--(Y$8&lt;=Model!$D$9:'Model'!$CN$9),--(Y$9&gt;=Model!$D$9:'Model'!$CN$9),Model!$D163:'Model'!$CN163)</f>
        <v>0</v>
      </c>
      <c r="Z159" s="35">
        <f>SUMPRODUCT(--(Z$8&lt;=Model!$D$9:'Model'!$CN$9),--(Z$9&gt;=Model!$D$9:'Model'!$CN$9),Model!$D163:'Model'!$CN163)</f>
        <v>0</v>
      </c>
      <c r="AA159" s="35"/>
    </row>
    <row r="160" spans="1:27" ht="12.75" customHeight="1" outlineLevel="1">
      <c r="A160" s="35"/>
      <c r="B160" s="54" t="s">
        <v>230</v>
      </c>
      <c r="C160" s="55"/>
      <c r="D160" s="58">
        <f>Model!D164</f>
        <v>0</v>
      </c>
      <c r="E160" s="55">
        <f>SUMPRODUCT(--(E$9=Model!$D$9:$CN$9),Model!$D164:$CN164)</f>
        <v>0</v>
      </c>
      <c r="F160" s="55">
        <f>SUMPRODUCT(--(F$9=Model!$D$9:$CN$9),Model!$D164:$CN164)</f>
        <v>0</v>
      </c>
      <c r="G160" s="55">
        <f>SUMPRODUCT(--(G$9=Model!$D$9:$CN$9),Model!$D164:$CN164)</f>
        <v>1328569.0666666667</v>
      </c>
      <c r="H160" s="55">
        <f>SUMPRODUCT(--(H$9=Model!$D$9:$CN$9),Model!$D164:$CN164)</f>
        <v>3102796.6933333334</v>
      </c>
      <c r="I160" s="55">
        <f>SUMPRODUCT(--(I$9=Model!$D$9:$CN$9),Model!$D164:$CN164)</f>
        <v>3650955.8528648927</v>
      </c>
      <c r="J160" s="55">
        <f>SUMPRODUCT(--(J$9=Model!$D$9:$CN$9),Model!$D164:$CN164)</f>
        <v>3407034.8420978989</v>
      </c>
      <c r="K160" s="55">
        <f>SUMPRODUCT(--(K$9=Model!$D$9:$CN$9),Model!$D164:$CN164)</f>
        <v>3117907.5502986168</v>
      </c>
      <c r="L160" s="55">
        <f>SUMPRODUCT(--(L$9=Model!$D$9:$CN$9),Model!$D164:$CN164)</f>
        <v>2836527.8554076441</v>
      </c>
      <c r="M160" s="55">
        <f>SUMPRODUCT(--(M$9=Model!$D$9:$CN$9),Model!$D164:$CN164)</f>
        <v>2473877.1888727569</v>
      </c>
      <c r="N160" s="55">
        <f>SUMPRODUCT(--(N$9=Model!$D$9:$CN$9),Model!$D164:$CN164)</f>
        <v>2107114.3105106633</v>
      </c>
      <c r="O160" s="55">
        <f>SUMPRODUCT(--(O$9=Model!$D$9:$CN$9),Model!$D164:$CN164)</f>
        <v>1641665.5533018042</v>
      </c>
      <c r="P160" s="55">
        <f>SUMPRODUCT(--(P$9=Model!$D$9:$CN$9),Model!$D164:$CN164)</f>
        <v>1180637.1928794417</v>
      </c>
      <c r="Q160" s="55">
        <f>SUMPRODUCT(--(Q$9=Model!$D$9:$CN$9),Model!$D164:$CN164)</f>
        <v>617820.09452315408</v>
      </c>
      <c r="R160" s="55">
        <f>SUMPRODUCT(--(R$9=Model!$D$9:$CN$9),Model!$D164:$CN164)</f>
        <v>76001.63306239454</v>
      </c>
      <c r="S160" s="55">
        <f>SUMPRODUCT(--(S$9=Model!$D$9:$CN$9),Model!$D164:$CN164)</f>
        <v>0</v>
      </c>
      <c r="T160" s="55">
        <f>SUMPRODUCT(--(T$9=Model!$D$9:$CN$9),Model!$D164:$CN164)</f>
        <v>0</v>
      </c>
      <c r="U160" s="55">
        <f>SUMPRODUCT(--(U$9=Model!$D$9:$CN$9),Model!$D164:$CN164)</f>
        <v>0</v>
      </c>
      <c r="V160" s="55">
        <f>SUMPRODUCT(--(V$9=Model!$D$9:$CN$9),Model!$D164:$CN164)</f>
        <v>0</v>
      </c>
      <c r="W160" s="55">
        <f>SUMPRODUCT(--(W$9=Model!$D$9:$CN$9),Model!$D164:$CN164)</f>
        <v>0</v>
      </c>
      <c r="X160" s="55">
        <f>SUMPRODUCT(--(X$9=Model!$D$9:$CN$9),Model!$D164:$CN164)</f>
        <v>0</v>
      </c>
      <c r="Y160" s="55">
        <f>SUMPRODUCT(--(Y$9=Model!$D$9:$CN$9),Model!$D164:$CN164)</f>
        <v>0</v>
      </c>
      <c r="Z160" s="55">
        <f>SUMPRODUCT(--(Z$9=Model!$D$9:$CN$9),Model!$D164:$CN164)</f>
        <v>0</v>
      </c>
      <c r="AA160" s="55"/>
    </row>
    <row r="161" spans="1:27" ht="12.75" customHeight="1" outlineLevel="1">
      <c r="A161" s="35"/>
      <c r="B161" s="63" t="s">
        <v>238</v>
      </c>
      <c r="C161" s="35">
        <f>SUM(D161:AA161)</f>
        <v>-1923705.6546557879</v>
      </c>
      <c r="D161" s="82">
        <f>Model!D165</f>
        <v>0</v>
      </c>
      <c r="E161" s="83">
        <f>SUMPRODUCT(--(E$8&lt;=Model!$D$9:'Model'!$CN$9),--(E$9&gt;=Model!$D$9:'Model'!$CN$9),Model!$D165:'Model'!$CN165)</f>
        <v>0</v>
      </c>
      <c r="F161" s="83">
        <f>SUMPRODUCT(--(F$8&lt;=Model!$D$9:'Model'!$CN$9),--(F$9&gt;=Model!$D$9:'Model'!$CN$9),Model!$D165:'Model'!$CN165)</f>
        <v>0</v>
      </c>
      <c r="G161" s="83">
        <f>SUMPRODUCT(--(G$8&lt;=Model!$D$9:'Model'!$CN$9),--(G$9&gt;=Model!$D$9:'Model'!$CN$9),Model!$D165:'Model'!$CN165)</f>
        <v>-23099.210273437493</v>
      </c>
      <c r="H161" s="83">
        <f>SUMPRODUCT(--(H$8&lt;=Model!$D$9:'Model'!$CN$9),--(H$9&gt;=Model!$D$9:'Model'!$CN$9),Model!$D165:'Model'!$CN165)</f>
        <v>-151258.47012499999</v>
      </c>
      <c r="I161" s="83">
        <f>SUMPRODUCT(--(I$8&lt;=Model!$D$9:'Model'!$CN$9),--(I$9&gt;=Model!$D$9:'Model'!$CN$9),Model!$D165:'Model'!$CN165)</f>
        <v>-265670.77045810071</v>
      </c>
      <c r="J161" s="83">
        <f>SUMPRODUCT(--(J$8&lt;=Model!$D$9:'Model'!$CN$9),--(J$9&gt;=Model!$D$9:'Model'!$CN$9),Model!$D165:'Model'!$CN165)</f>
        <v>-269377.11747710494</v>
      </c>
      <c r="K161" s="83">
        <f>SUMPRODUCT(--(K$8&lt;=Model!$D$9:'Model'!$CN$9),--(K$9&gt;=Model!$D$9:'Model'!$CN$9),Model!$D165:'Model'!$CN165)</f>
        <v>-250252.8147559549</v>
      </c>
      <c r="L161" s="83">
        <f>SUMPRODUCT(--(L$8&lt;=Model!$D$9:'Model'!$CN$9),--(L$9&gt;=Model!$D$9:'Model'!$CN$9),Model!$D165:'Model'!$CN165)</f>
        <v>-226011.83201343322</v>
      </c>
      <c r="M161" s="83">
        <f>SUMPRODUCT(--(M$8&lt;=Model!$D$9:'Model'!$CN$9),--(M$9&gt;=Model!$D$9:'Model'!$CN$9),Model!$D165:'Model'!$CN165)</f>
        <v>-202406.88927550407</v>
      </c>
      <c r="N161" s="83">
        <f>SUMPRODUCT(--(N$8&lt;=Model!$D$9:'Model'!$CN$9),--(N$9&gt;=Model!$D$9:'Model'!$CN$9),Model!$D165:'Model'!$CN165)</f>
        <v>-173730.38192477237</v>
      </c>
      <c r="O161" s="83">
        <f>SUMPRODUCT(--(O$8&lt;=Model!$D$9:'Model'!$CN$9),--(O$9&gt;=Model!$D$9:'Model'!$CN$9),Model!$D165:'Model'!$CN165)</f>
        <v>-143762.2842858138</v>
      </c>
      <c r="P161" s="83">
        <f>SUMPRODUCT(--(P$8&lt;=Model!$D$9:'Model'!$CN$9),--(P$9&gt;=Model!$D$9:'Model'!$CN$9),Model!$D165:'Model'!$CN165)</f>
        <v>-109759.4312087565</v>
      </c>
      <c r="Q161" s="83">
        <f>SUMPRODUCT(--(Q$8&lt;=Model!$D$9:'Model'!$CN$9),--(Q$9&gt;=Model!$D$9:'Model'!$CN$9),Model!$D165:'Model'!$CN165)</f>
        <v>-72554.697870852571</v>
      </c>
      <c r="R161" s="83">
        <f>SUMPRODUCT(--(R$8&lt;=Model!$D$9:'Model'!$CN$9),--(R$9&gt;=Model!$D$9:'Model'!$CN$9),Model!$D165:'Model'!$CN165)</f>
        <v>-34396.724367137365</v>
      </c>
      <c r="S161" s="83">
        <f>SUMPRODUCT(--(S$8&lt;=Model!$D$9:'Model'!$CN$9),--(S$9&gt;=Model!$D$9:'Model'!$CN$9),Model!$D165:'Model'!$CN165)</f>
        <v>-1425.0306199198976</v>
      </c>
      <c r="T161" s="83">
        <f>SUMPRODUCT(--(T$8&lt;=Model!$D$9:'Model'!$CN$9),--(T$9&gt;=Model!$D$9:'Model'!$CN$9),Model!$D165:'Model'!$CN165)</f>
        <v>0</v>
      </c>
      <c r="U161" s="83">
        <f>SUMPRODUCT(--(U$8&lt;=Model!$D$9:'Model'!$CN$9),--(U$9&gt;=Model!$D$9:'Model'!$CN$9),Model!$D165:'Model'!$CN165)</f>
        <v>0</v>
      </c>
      <c r="V161" s="83">
        <f>SUMPRODUCT(--(V$8&lt;=Model!$D$9:'Model'!$CN$9),--(V$9&gt;=Model!$D$9:'Model'!$CN$9),Model!$D165:'Model'!$CN165)</f>
        <v>0</v>
      </c>
      <c r="W161" s="83">
        <f>SUMPRODUCT(--(W$8&lt;=Model!$D$9:'Model'!$CN$9),--(W$9&gt;=Model!$D$9:'Model'!$CN$9),Model!$D165:'Model'!$CN165)</f>
        <v>0</v>
      </c>
      <c r="X161" s="83">
        <f>SUMPRODUCT(--(X$8&lt;=Model!$D$9:'Model'!$CN$9),--(X$9&gt;=Model!$D$9:'Model'!$CN$9),Model!$D165:'Model'!$CN165)</f>
        <v>0</v>
      </c>
      <c r="Y161" s="83">
        <f>SUMPRODUCT(--(Y$8&lt;=Model!$D$9:'Model'!$CN$9),--(Y$9&gt;=Model!$D$9:'Model'!$CN$9),Model!$D165:'Model'!$CN165)</f>
        <v>0</v>
      </c>
      <c r="Z161" s="83">
        <f>SUMPRODUCT(--(Z$8&lt;=Model!$D$9:'Model'!$CN$9),--(Z$9&gt;=Model!$D$9:'Model'!$CN$9),Model!$D165:'Model'!$CN165)</f>
        <v>0</v>
      </c>
      <c r="AA161" s="83"/>
    </row>
    <row r="162" spans="1:27" ht="12.75" customHeight="1" outlineLevel="1">
      <c r="A162" s="35"/>
      <c r="B162" s="35"/>
      <c r="C162" s="35"/>
      <c r="D162" s="82">
        <f>Model!D166</f>
        <v>0</v>
      </c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</row>
    <row r="163" spans="1:27" ht="12.75" customHeight="1">
      <c r="A163" s="35"/>
      <c r="B163" s="35"/>
      <c r="C163" s="35"/>
      <c r="D163" s="82">
        <f>Model!D167</f>
        <v>0</v>
      </c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</row>
    <row r="164" spans="1:27" ht="12.75" customHeight="1">
      <c r="A164" s="112"/>
      <c r="B164" s="67" t="s">
        <v>239</v>
      </c>
      <c r="C164" s="113"/>
      <c r="D164" s="114" t="str">
        <f>Model!D168</f>
        <v>0 период</v>
      </c>
      <c r="E164" s="62">
        <f t="shared" ref="E164:Z164" si="23">E6</f>
        <v>2023</v>
      </c>
      <c r="F164" s="62">
        <f t="shared" si="23"/>
        <v>2024</v>
      </c>
      <c r="G164" s="62">
        <f t="shared" si="23"/>
        <v>2025</v>
      </c>
      <c r="H164" s="62">
        <f t="shared" si="23"/>
        <v>2026</v>
      </c>
      <c r="I164" s="62">
        <f t="shared" si="23"/>
        <v>2027</v>
      </c>
      <c r="J164" s="62">
        <f t="shared" si="23"/>
        <v>2028</v>
      </c>
      <c r="K164" s="62">
        <f t="shared" si="23"/>
        <v>2029</v>
      </c>
      <c r="L164" s="62">
        <f t="shared" si="23"/>
        <v>2030</v>
      </c>
      <c r="M164" s="62">
        <f t="shared" si="23"/>
        <v>2031</v>
      </c>
      <c r="N164" s="62">
        <f t="shared" si="23"/>
        <v>2032</v>
      </c>
      <c r="O164" s="62">
        <f t="shared" si="23"/>
        <v>2033</v>
      </c>
      <c r="P164" s="62">
        <f t="shared" si="23"/>
        <v>2034</v>
      </c>
      <c r="Q164" s="62">
        <f t="shared" si="23"/>
        <v>2035</v>
      </c>
      <c r="R164" s="62">
        <f t="shared" si="23"/>
        <v>2036</v>
      </c>
      <c r="S164" s="62">
        <f t="shared" si="23"/>
        <v>2037</v>
      </c>
      <c r="T164" s="62">
        <f t="shared" si="23"/>
        <v>2038</v>
      </c>
      <c r="U164" s="62">
        <f t="shared" si="23"/>
        <v>2039</v>
      </c>
      <c r="V164" s="62">
        <f t="shared" si="23"/>
        <v>2040</v>
      </c>
      <c r="W164" s="62">
        <f t="shared" si="23"/>
        <v>2041</v>
      </c>
      <c r="X164" s="62">
        <f t="shared" si="23"/>
        <v>2042</v>
      </c>
      <c r="Y164" s="62">
        <f t="shared" si="23"/>
        <v>2043</v>
      </c>
      <c r="Z164" s="62">
        <f t="shared" si="23"/>
        <v>2044</v>
      </c>
      <c r="AA164" s="62"/>
    </row>
    <row r="165" spans="1:27" ht="12.75" customHeight="1">
      <c r="A165" s="112"/>
      <c r="B165" s="112" t="s">
        <v>240</v>
      </c>
      <c r="C165" s="112"/>
      <c r="D165" s="116">
        <f>Model!D169</f>
        <v>0</v>
      </c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</row>
    <row r="166" spans="1:27" ht="12.75" customHeight="1">
      <c r="A166" s="112"/>
      <c r="B166" s="112" t="s">
        <v>241</v>
      </c>
      <c r="C166" s="112"/>
      <c r="D166" s="116">
        <f>Model!D170</f>
        <v>954678.3</v>
      </c>
      <c r="E166" s="112">
        <f>SUMPRODUCT(--(E$9=Model!$D$9:$CN$9),Model!$D170:$CN170)</f>
        <v>911486.6333333333</v>
      </c>
      <c r="F166" s="112">
        <f>SUMPRODUCT(--(F$9=Model!$D$9:$CN$9),Model!$D170:$CN170)</f>
        <v>402735.86249999999</v>
      </c>
      <c r="G166" s="112">
        <f>SUMPRODUCT(--(G$9=Model!$D$9:$CN$9),Model!$D170:$CN170)</f>
        <v>351142.01750434027</v>
      </c>
      <c r="H166" s="112">
        <f>SUMPRODUCT(--(H$9=Model!$D$9:$CN$9),Model!$D170:$CN170)</f>
        <v>492788.15182378475</v>
      </c>
      <c r="I166" s="112">
        <f>SUMPRODUCT(--(I$9=Model!$D$9:$CN$9),Model!$D170:$CN170)</f>
        <v>574230.17284239037</v>
      </c>
      <c r="J166" s="112">
        <f>SUMPRODUCT(--(J$9=Model!$D$9:$CN$9),Model!$D170:$CN170)</f>
        <v>677972.59486283152</v>
      </c>
      <c r="K166" s="112">
        <f>SUMPRODUCT(--(K$9=Model!$D$9:$CN$9),Model!$D170:$CN170)</f>
        <v>616248.15500466048</v>
      </c>
      <c r="L166" s="112">
        <f>SUMPRODUCT(--(L$9=Model!$D$9:$CN$9),Model!$D170:$CN170)</f>
        <v>707786.25766746758</v>
      </c>
      <c r="M166" s="112">
        <f>SUMPRODUCT(--(M$9=Model!$D$9:$CN$9),Model!$D170:$CN170)</f>
        <v>822914.71597266535</v>
      </c>
      <c r="N166" s="112">
        <f>SUMPRODUCT(--(N$9=Model!$D$9:$CN$9),Model!$D170:$CN170)</f>
        <v>935072.86556806951</v>
      </c>
      <c r="O166" s="112">
        <f>SUMPRODUCT(--(O$9=Model!$D$9:$CN$9),Model!$D170:$CN170)</f>
        <v>1061398.681458283</v>
      </c>
      <c r="P166" s="112">
        <f>SUMPRODUCT(--(P$9=Model!$D$9:$CN$9),Model!$D170:$CN170)</f>
        <v>1177871.1959255789</v>
      </c>
      <c r="Q166" s="112">
        <f>SUMPRODUCT(--(Q$9=Model!$D$9:$CN$9),Model!$D170:$CN170)</f>
        <v>1305578.9806921135</v>
      </c>
      <c r="R166" s="112">
        <f>SUMPRODUCT(--(R$9=Model!$D$9:$CN$9),Model!$D170:$CN170)</f>
        <v>1423397.240147348</v>
      </c>
      <c r="S166" s="112">
        <f>SUMPRODUCT(--(S$9=Model!$D$9:$CN$9),Model!$D170:$CN170)</f>
        <v>1529011.8317560907</v>
      </c>
      <c r="T166" s="112">
        <f>SUMPRODUCT(--(T$9=Model!$D$9:$CN$9),Model!$D170:$CN170)</f>
        <v>1617702.6374301838</v>
      </c>
      <c r="U166" s="112">
        <f>SUMPRODUCT(--(U$9=Model!$D$9:$CN$9),Model!$D170:$CN170)</f>
        <v>1705784.9858066421</v>
      </c>
      <c r="V166" s="112">
        <f>SUMPRODUCT(--(V$9=Model!$D$9:$CN$9),Model!$D170:$CN170)</f>
        <v>1794832.9563778911</v>
      </c>
      <c r="W166" s="112">
        <f>SUMPRODUCT(--(W$9=Model!$D$9:$CN$9),Model!$D170:$CN170)</f>
        <v>1882893.4107853703</v>
      </c>
      <c r="X166" s="112">
        <f>SUMPRODUCT(--(X$9=Model!$D$9:$CN$9),Model!$D170:$CN170)</f>
        <v>1963473.2434226666</v>
      </c>
      <c r="Y166" s="112">
        <f>SUMPRODUCT(--(Y$9=Model!$D$9:$CN$9),Model!$D170:$CN170)</f>
        <v>2051198.8252132537</v>
      </c>
      <c r="Z166" s="112">
        <f>SUMPRODUCT(--(Z$9=Model!$D$9:$CN$9),Model!$D170:$CN170)</f>
        <v>2138633.6852951446</v>
      </c>
      <c r="AA166" s="112"/>
    </row>
    <row r="167" spans="1:27" ht="12.75" customHeight="1">
      <c r="A167" s="117"/>
      <c r="B167" s="26" t="s">
        <v>242</v>
      </c>
      <c r="C167" s="117"/>
      <c r="D167" s="118">
        <f>Model!D171</f>
        <v>954678.3</v>
      </c>
      <c r="E167" s="5">
        <f>SUMPRODUCT(--(E$9=Model!$D$9:$CN$9),Model!$D171:$CN171)</f>
        <v>903569.96666666667</v>
      </c>
      <c r="F167" s="5">
        <f>SUMPRODUCT(--(F$9=Model!$D$9:$CN$9),Model!$D171:$CN171)</f>
        <v>310311.81944444444</v>
      </c>
      <c r="G167" s="5">
        <f>SUMPRODUCT(--(G$9=Model!$D$9:$CN$9),Model!$D171:$CN171)</f>
        <v>192499.52236545138</v>
      </c>
      <c r="H167" s="5">
        <f>SUMPRODUCT(--(H$9=Model!$D$9:$CN$9),Model!$D171:$CN171)</f>
        <v>345240.80293489585</v>
      </c>
      <c r="I167" s="5">
        <f>SUMPRODUCT(--(I$9=Model!$D$9:$CN$9),Model!$D171:$CN171)</f>
        <v>549606.03313275671</v>
      </c>
      <c r="J167" s="5">
        <f>SUMPRODUCT(--(J$9=Model!$D$9:$CN$9),Model!$D171:$CN171)</f>
        <v>652265.65878157644</v>
      </c>
      <c r="K167" s="5">
        <f>SUMPRODUCT(--(K$9=Model!$D$9:$CN$9),Model!$D171:$CN171)</f>
        <v>588432.33088075719</v>
      </c>
      <c r="L167" s="5">
        <f>SUMPRODUCT(--(L$9=Model!$D$9:$CN$9),Model!$D171:$CN171)</f>
        <v>689910.63626163837</v>
      </c>
      <c r="M167" s="5">
        <f>SUMPRODUCT(--(M$9=Model!$D$9:$CN$9),Model!$D171:$CN171)</f>
        <v>802922.14742371661</v>
      </c>
      <c r="N167" s="5">
        <f>SUMPRODUCT(--(N$9=Model!$D$9:$CN$9),Model!$D171:$CN171)</f>
        <v>911020.79948108969</v>
      </c>
      <c r="O167" s="5">
        <f>SUMPRODUCT(--(O$9=Model!$D$9:$CN$9),Model!$D171:$CN171)</f>
        <v>1032863.0077800241</v>
      </c>
      <c r="P167" s="5">
        <f>SUMPRODUCT(--(P$9=Model!$D$9:$CN$9),Model!$D171:$CN171)</f>
        <v>1147020.5661062477</v>
      </c>
      <c r="Q167" s="5">
        <f>SUMPRODUCT(--(Q$9=Model!$D$9:$CN$9),Model!$D171:$CN171)</f>
        <v>1274094.9253516756</v>
      </c>
      <c r="R167" s="5">
        <f>SUMPRODUCT(--(R$9=Model!$D$9:$CN$9),Model!$D171:$CN171)</f>
        <v>1389337.9625172548</v>
      </c>
      <c r="S167" s="5">
        <f>SUMPRODUCT(--(S$9=Model!$D$9:$CN$9),Model!$D171:$CN171)</f>
        <v>1507022.484178154</v>
      </c>
      <c r="T167" s="5">
        <f>SUMPRODUCT(--(T$9=Model!$D$9:$CN$9),Model!$D171:$CN171)</f>
        <v>1593127.0564670397</v>
      </c>
      <c r="U167" s="5">
        <f>SUMPRODUCT(--(U$9=Model!$D$9:$CN$9),Model!$D171:$CN171)</f>
        <v>1676261.3357672447</v>
      </c>
      <c r="V167" s="5">
        <f>SUMPRODUCT(--(V$9=Model!$D$9:$CN$9),Model!$D171:$CN171)</f>
        <v>1759845.0426194835</v>
      </c>
      <c r="W167" s="5">
        <f>SUMPRODUCT(--(W$9=Model!$D$9:$CN$9),Model!$D171:$CN171)</f>
        <v>1845076.5221662871</v>
      </c>
      <c r="X167" s="5">
        <f>SUMPRODUCT(--(X$9=Model!$D$9:$CN$9),Model!$D171:$CN171)</f>
        <v>1924870.5343609061</v>
      </c>
      <c r="Y167" s="5">
        <f>SUMPRODUCT(--(Y$9=Model!$D$9:$CN$9),Model!$D171:$CN171)</f>
        <v>2009449.2352122725</v>
      </c>
      <c r="Z167" s="5">
        <f>SUMPRODUCT(--(Z$9=Model!$D$9:$CN$9),Model!$D171:$CN171)</f>
        <v>2111537.6544510662</v>
      </c>
      <c r="AA167" s="5"/>
    </row>
    <row r="168" spans="1:27" ht="12.75" customHeight="1">
      <c r="A168" s="117"/>
      <c r="B168" s="26" t="s">
        <v>243</v>
      </c>
      <c r="C168" s="117"/>
      <c r="D168" s="118">
        <f>Model!D172</f>
        <v>0</v>
      </c>
      <c r="E168" s="5">
        <f>SUMPRODUCT(--(E$9=Model!$D$9:$CN$9),Model!$D172:$CN172)</f>
        <v>0</v>
      </c>
      <c r="F168" s="5">
        <f>SUMPRODUCT(--(F$9=Model!$D$9:$CN$9),Model!$D172:$CN172)</f>
        <v>0</v>
      </c>
      <c r="G168" s="5">
        <f>SUMPRODUCT(--(G$9=Model!$D$9:$CN$9),Model!$D172:$CN172)</f>
        <v>0</v>
      </c>
      <c r="H168" s="5">
        <f>SUMPRODUCT(--(H$9=Model!$D$9:$CN$9),Model!$D172:$CN172)</f>
        <v>0</v>
      </c>
      <c r="I168" s="5">
        <f>SUMPRODUCT(--(I$9=Model!$D$9:$CN$9),Model!$D172:$CN172)</f>
        <v>2374.9208899034302</v>
      </c>
      <c r="J168" s="5">
        <f>SUMPRODUCT(--(J$9=Model!$D$9:$CN$9),Model!$D172:$CN172)</f>
        <v>2489.2214773052588</v>
      </c>
      <c r="K168" s="5">
        <f>SUMPRODUCT(--(K$9=Model!$D$9:$CN$9),Model!$D172:$CN172)</f>
        <v>2679.7484119420806</v>
      </c>
      <c r="L168" s="5">
        <f>SUMPRODUCT(--(L$9=Model!$D$9:$CN$9),Model!$D172:$CN172)</f>
        <v>3262.0813916754159</v>
      </c>
      <c r="M168" s="5">
        <f>SUMPRODUCT(--(M$9=Model!$D$9:$CN$9),Model!$D172:$CN172)</f>
        <v>3943.0931286203422</v>
      </c>
      <c r="N168" s="5">
        <f>SUMPRODUCT(--(N$9=Model!$D$9:$CN$9),Model!$D172:$CN172)</f>
        <v>4233.2809785011605</v>
      </c>
      <c r="O168" s="5">
        <f>SUMPRODUCT(--(O$9=Model!$D$9:$CN$9),Model!$D172:$CN172)</f>
        <v>4886.0066734141037</v>
      </c>
      <c r="P168" s="5">
        <f>SUMPRODUCT(--(P$9=Model!$D$9:$CN$9),Model!$D172:$CN172)</f>
        <v>5237.9398646093423</v>
      </c>
      <c r="Q168" s="5">
        <f>SUMPRODUCT(--(Q$9=Model!$D$9:$CN$9),Model!$D172:$CN172)</f>
        <v>3025.6642632987769</v>
      </c>
      <c r="R168" s="5">
        <f>SUMPRODUCT(--(R$9=Model!$D$9:$CN$9),Model!$D172:$CN172)</f>
        <v>3257.250943143174</v>
      </c>
      <c r="S168" s="5">
        <f>SUMPRODUCT(--(S$9=Model!$D$9:$CN$9),Model!$D172:$CN172)</f>
        <v>3965.0803195901653</v>
      </c>
      <c r="T168" s="5">
        <f>SUMPRODUCT(--(T$9=Model!$D$9:$CN$9),Model!$D172:$CN172)</f>
        <v>4792.8543421700806</v>
      </c>
      <c r="U168" s="5">
        <f>SUMPRODUCT(--(U$9=Model!$D$9:$CN$9),Model!$D172:$CN172)</f>
        <v>5145.5794873742771</v>
      </c>
      <c r="V168" s="5">
        <f>SUMPRODUCT(--(V$9=Model!$D$9:$CN$9),Model!$D172:$CN172)</f>
        <v>5938.9716490765531</v>
      </c>
      <c r="W168" s="5">
        <f>SUMPRODUCT(--(W$9=Model!$D$9:$CN$9),Model!$D172:$CN172)</f>
        <v>6366.7486425568104</v>
      </c>
      <c r="X168" s="5">
        <f>SUMPRODUCT(--(X$9=Model!$D$9:$CN$9),Model!$D172:$CN172)</f>
        <v>3677.7138224413088</v>
      </c>
      <c r="Y168" s="5">
        <f>SUMPRODUCT(--(Y$9=Model!$D$9:$CN$9),Model!$D172:$CN172)</f>
        <v>3959.208879208923</v>
      </c>
      <c r="Z168" s="5">
        <f>SUMPRODUCT(--(Z$9=Model!$D$9:$CN$9),Model!$D172:$CN172)</f>
        <v>4819.5799102138453</v>
      </c>
      <c r="AA168" s="5"/>
    </row>
    <row r="169" spans="1:27" ht="12.75" customHeight="1">
      <c r="A169" s="117"/>
      <c r="B169" s="26" t="s">
        <v>244</v>
      </c>
      <c r="C169" s="117"/>
      <c r="D169" s="118">
        <f>Model!D173</f>
        <v>0</v>
      </c>
      <c r="E169" s="5">
        <f>SUMPRODUCT(--(E$9=Model!$D$9:$CN$9),Model!$D173:$CN173)</f>
        <v>0</v>
      </c>
      <c r="F169" s="5">
        <f>SUMPRODUCT(--(F$9=Model!$D$9:$CN$9),Model!$D173:$CN173)</f>
        <v>0</v>
      </c>
      <c r="G169" s="5">
        <f>SUMPRODUCT(--(G$9=Model!$D$9:$CN$9),Model!$D173:$CN173)</f>
        <v>0</v>
      </c>
      <c r="H169" s="5">
        <f>SUMPRODUCT(--(H$9=Model!$D$9:$CN$9),Model!$D173:$CN173)</f>
        <v>0</v>
      </c>
      <c r="I169" s="5" cm="1">
        <f t="array" ref="I169">SUMPRODUCT(--(I$9=Model!$D$9:$CN$9),Model!$D173:$CN173)</f>
        <v>22249.218819730264</v>
      </c>
      <c r="J169" s="5">
        <f>SUMPRODUCT(--(J$9=Model!$D$9:$CN$9),Model!$D173:$CN173)</f>
        <v>23217.714603949811</v>
      </c>
      <c r="K169" s="5">
        <f>SUMPRODUCT(--(K$9=Model!$D$9:$CN$9),Model!$D173:$CN173)</f>
        <v>25136.075711961246</v>
      </c>
      <c r="L169" s="5">
        <f>SUMPRODUCT(--(L$9=Model!$D$9:$CN$9),Model!$D173:$CN173)</f>
        <v>14613.540014153785</v>
      </c>
      <c r="M169" s="5">
        <f>SUMPRODUCT(--(M$9=Model!$D$9:$CN$9),Model!$D173:$CN173)</f>
        <v>16049.475420328459</v>
      </c>
      <c r="N169" s="5">
        <f>SUMPRODUCT(--(N$9=Model!$D$9:$CN$9),Model!$D173:$CN173)</f>
        <v>19818.785108478613</v>
      </c>
      <c r="O169" s="5">
        <f>SUMPRODUCT(--(O$9=Model!$D$9:$CN$9),Model!$D173:$CN173)</f>
        <v>23649.667004844778</v>
      </c>
      <c r="P169" s="5">
        <f>SUMPRODUCT(--(P$9=Model!$D$9:$CN$9),Model!$D173:$CN173)</f>
        <v>25612.689954721915</v>
      </c>
      <c r="Q169" s="5">
        <f>SUMPRODUCT(--(Q$9=Model!$D$9:$CN$9),Model!$D173:$CN173)</f>
        <v>28458.391077139204</v>
      </c>
      <c r="R169" s="5">
        <f>SUMPRODUCT(--(R$9=Model!$D$9:$CN$9),Model!$D173:$CN173)</f>
        <v>30802.026686950128</v>
      </c>
      <c r="S169" s="5">
        <f>SUMPRODUCT(--(S$9=Model!$D$9:$CN$9),Model!$D173:$CN173)</f>
        <v>18024.267258346448</v>
      </c>
      <c r="T169" s="5">
        <f>SUMPRODUCT(--(T$9=Model!$D$9:$CN$9),Model!$D173:$CN173)</f>
        <v>19782.726620973932</v>
      </c>
      <c r="U169" s="5">
        <f>SUMPRODUCT(--(U$9=Model!$D$9:$CN$9),Model!$D173:$CN173)</f>
        <v>24378.07055202316</v>
      </c>
      <c r="V169" s="5">
        <f>SUMPRODUCT(--(V$9=Model!$D$9:$CN$9),Model!$D173:$CN173)</f>
        <v>29048.94210933111</v>
      </c>
      <c r="W169" s="5">
        <f>SUMPRODUCT(--(W$9=Model!$D$9:$CN$9),Model!$D173:$CN173)</f>
        <v>31450.139976526381</v>
      </c>
      <c r="X169" s="5">
        <f>SUMPRODUCT(--(X$9=Model!$D$9:$CN$9),Model!$D173:$CN173)</f>
        <v>34924.995239319083</v>
      </c>
      <c r="Y169" s="5">
        <f>SUMPRODUCT(--(Y$9=Model!$D$9:$CN$9),Model!$D173:$CN173)</f>
        <v>37790.381121772429</v>
      </c>
      <c r="Z169" s="5">
        <f>SUMPRODUCT(--(Z$9=Model!$D$9:$CN$9),Model!$D173:$CN173)</f>
        <v>22276.450933864122</v>
      </c>
      <c r="AA169" s="5"/>
    </row>
    <row r="170" spans="1:27" ht="12.75" customHeight="1">
      <c r="A170" s="117"/>
      <c r="B170" s="26" t="s">
        <v>245</v>
      </c>
      <c r="C170" s="117"/>
      <c r="D170" s="118">
        <f>Model!D174</f>
        <v>0</v>
      </c>
      <c r="E170" s="5">
        <f>SUMPRODUCT(--(E$9=Model!$D$9:$CN$9),Model!$D174:$CN174)</f>
        <v>7916.6666666666679</v>
      </c>
      <c r="F170" s="5">
        <f>SUMPRODUCT(--(F$9=Model!$D$9:$CN$9),Model!$D174:$CN174)</f>
        <v>92424.04305555555</v>
      </c>
      <c r="G170" s="5">
        <f>SUMPRODUCT(--(G$9=Model!$D$9:$CN$9),Model!$D174:$CN174)</f>
        <v>158642.49513888892</v>
      </c>
      <c r="H170" s="5">
        <f>SUMPRODUCT(--(H$9=Model!$D$9:$CN$9),Model!$D174:$CN174)</f>
        <v>147547.3488888889</v>
      </c>
      <c r="I170" s="5">
        <f>SUMPRODUCT(--(I$9=Model!$D$9:$CN$9),Model!$D174:$CN174)</f>
        <v>0</v>
      </c>
      <c r="J170" s="5">
        <f>SUMPRODUCT(--(J$9=Model!$D$9:$CN$9),Model!$D174:$CN174)</f>
        <v>0</v>
      </c>
      <c r="K170" s="5">
        <f>SUMPRODUCT(--(K$9=Model!$D$9:$CN$9),Model!$D174:$CN174)</f>
        <v>0</v>
      </c>
      <c r="L170" s="5">
        <f>SUMPRODUCT(--(L$9=Model!$D$9:$CN$9),Model!$D174:$CN174)</f>
        <v>0</v>
      </c>
      <c r="M170" s="5">
        <f>SUMPRODUCT(--(M$9=Model!$D$9:$CN$9),Model!$D174:$CN174)</f>
        <v>0</v>
      </c>
      <c r="N170" s="5">
        <f>SUMPRODUCT(--(N$9=Model!$D$9:$CN$9),Model!$D174:$CN174)</f>
        <v>0</v>
      </c>
      <c r="O170" s="5">
        <f>SUMPRODUCT(--(O$9=Model!$D$9:$CN$9),Model!$D174:$CN174)</f>
        <v>0</v>
      </c>
      <c r="P170" s="5">
        <f>SUMPRODUCT(--(P$9=Model!$D$9:$CN$9),Model!$D174:$CN174)</f>
        <v>0</v>
      </c>
      <c r="Q170" s="5">
        <f>SUMPRODUCT(--(Q$9=Model!$D$9:$CN$9),Model!$D174:$CN174)</f>
        <v>0</v>
      </c>
      <c r="R170" s="5">
        <f>SUMPRODUCT(--(R$9=Model!$D$9:$CN$9),Model!$D174:$CN174)</f>
        <v>0</v>
      </c>
      <c r="S170" s="5">
        <f>SUMPRODUCT(--(S$9=Model!$D$9:$CN$9),Model!$D174:$CN174)</f>
        <v>0</v>
      </c>
      <c r="T170" s="5">
        <f>SUMPRODUCT(--(T$9=Model!$D$9:$CN$9),Model!$D174:$CN174)</f>
        <v>0</v>
      </c>
      <c r="U170" s="5">
        <f>SUMPRODUCT(--(U$9=Model!$D$9:$CN$9),Model!$D174:$CN174)</f>
        <v>0</v>
      </c>
      <c r="V170" s="5">
        <f>SUMPRODUCT(--(V$9=Model!$D$9:$CN$9),Model!$D174:$CN174)</f>
        <v>0</v>
      </c>
      <c r="W170" s="5">
        <f>SUMPRODUCT(--(W$9=Model!$D$9:$CN$9),Model!$D174:$CN174)</f>
        <v>0</v>
      </c>
      <c r="X170" s="5">
        <f>SUMPRODUCT(--(X$9=Model!$D$9:$CN$9),Model!$D174:$CN174)</f>
        <v>0</v>
      </c>
      <c r="Y170" s="5">
        <f>SUMPRODUCT(--(Y$9=Model!$D$9:$CN$9),Model!$D174:$CN174)</f>
        <v>0</v>
      </c>
      <c r="Z170" s="5">
        <f>SUMPRODUCT(--(Z$9=Model!$D$9:$CN$9),Model!$D174:$CN174)</f>
        <v>0</v>
      </c>
      <c r="AA170" s="5"/>
    </row>
    <row r="171" spans="1:27" ht="12.75" customHeight="1">
      <c r="A171" s="112"/>
      <c r="B171" s="112" t="s">
        <v>246</v>
      </c>
      <c r="C171" s="112"/>
      <c r="D171" s="116">
        <f>Model!D175</f>
        <v>0</v>
      </c>
      <c r="E171" s="112">
        <f>SUMPRODUCT(--(E$9=Model!$D$9:$CN$9),Model!$D175:$CN175)</f>
        <v>-44297.269696969692</v>
      </c>
      <c r="F171" s="112">
        <f>SUMPRODUCT(--(F$9=Model!$D$9:$CN$9),Model!$D175:$CN175)</f>
        <v>374864.56477272732</v>
      </c>
      <c r="G171" s="112">
        <f>SUMPRODUCT(--(G$9=Model!$D$9:$CN$9),Model!$D175:$CN175)</f>
        <v>1665438.5400714171</v>
      </c>
      <c r="H171" s="112">
        <f>SUMPRODUCT(--(H$9=Model!$D$9:$CN$9),Model!$D175:$CN175)</f>
        <v>3208431.0960550033</v>
      </c>
      <c r="I171" s="112">
        <f>SUMPRODUCT(--(I$9=Model!$D$9:$CN$9),Model!$D175:$CN175)</f>
        <v>3940515.5508565395</v>
      </c>
      <c r="J171" s="112">
        <f>SUMPRODUCT(--(J$9=Model!$D$9:$CN$9),Model!$D175:$CN175)</f>
        <v>3766937.6781292683</v>
      </c>
      <c r="K171" s="112">
        <f>SUMPRODUCT(--(K$9=Model!$D$9:$CN$9),Model!$D175:$CN175)</f>
        <v>3593359.8054019972</v>
      </c>
      <c r="L171" s="112">
        <f>SUMPRODUCT(--(L$9=Model!$D$9:$CN$9),Model!$D175:$CN175)</f>
        <v>3419781.932674726</v>
      </c>
      <c r="M171" s="112">
        <f>SUMPRODUCT(--(M$9=Model!$D$9:$CN$9),Model!$D175:$CN175)</f>
        <v>3246204.0599474548</v>
      </c>
      <c r="N171" s="112">
        <f>SUMPRODUCT(--(N$9=Model!$D$9:$CN$9),Model!$D175:$CN175)</f>
        <v>3072626.1872201837</v>
      </c>
      <c r="O171" s="112">
        <f>SUMPRODUCT(--(O$9=Model!$D$9:$CN$9),Model!$D175:$CN175)</f>
        <v>2899048.3144929125</v>
      </c>
      <c r="P171" s="112">
        <f>SUMPRODUCT(--(P$9=Model!$D$9:$CN$9),Model!$D175:$CN175)</f>
        <v>2725470.4417656413</v>
      </c>
      <c r="Q171" s="112">
        <f>SUMPRODUCT(--(Q$9=Model!$D$9:$CN$9),Model!$D175:$CN175)</f>
        <v>2551892.5690383702</v>
      </c>
      <c r="R171" s="112">
        <f>SUMPRODUCT(--(R$9=Model!$D$9:$CN$9),Model!$D175:$CN175)</f>
        <v>2378314.696311099</v>
      </c>
      <c r="S171" s="112">
        <f>SUMPRODUCT(--(S$9=Model!$D$9:$CN$9),Model!$D175:$CN175)</f>
        <v>2204736.8235838278</v>
      </c>
      <c r="T171" s="112">
        <f>SUMPRODUCT(--(T$9=Model!$D$9:$CN$9),Model!$D175:$CN175)</f>
        <v>2031158.9508565557</v>
      </c>
      <c r="U171" s="112">
        <f>SUMPRODUCT(--(U$9=Model!$D$9:$CN$9),Model!$D175:$CN175)</f>
        <v>1857581.0781292827</v>
      </c>
      <c r="V171" s="112">
        <f>SUMPRODUCT(--(V$9=Model!$D$9:$CN$9),Model!$D175:$CN175)</f>
        <v>1684003.2054020097</v>
      </c>
      <c r="W171" s="112">
        <f>SUMPRODUCT(--(W$9=Model!$D$9:$CN$9),Model!$D175:$CN175)</f>
        <v>1510425.3326747366</v>
      </c>
      <c r="X171" s="112">
        <f>SUMPRODUCT(--(X$9=Model!$D$9:$CN$9),Model!$D175:$CN175)</f>
        <v>1336847.4599474636</v>
      </c>
      <c r="Y171" s="112">
        <f>SUMPRODUCT(--(Y$9=Model!$D$9:$CN$9),Model!$D175:$CN175)</f>
        <v>1163269.5872201906</v>
      </c>
      <c r="Z171" s="112">
        <f>SUMPRODUCT(--(Z$9=Model!$D$9:$CN$9),Model!$D175:$CN175)</f>
        <v>989691.71449291753</v>
      </c>
      <c r="AA171" s="112"/>
    </row>
    <row r="172" spans="1:27" ht="12.75" customHeight="1">
      <c r="A172" s="117"/>
      <c r="B172" s="26" t="s">
        <v>247</v>
      </c>
      <c r="C172" s="117"/>
      <c r="D172" s="118">
        <f>Model!D176</f>
        <v>0</v>
      </c>
      <c r="E172" s="5">
        <f>SUMPRODUCT(--(E$9=Model!$D$9:$CN$9),Model!$D176:$CN176)</f>
        <v>-44297.269696969692</v>
      </c>
      <c r="F172" s="5">
        <f>SUMPRODUCT(--(F$9=Model!$D$9:$CN$9),Model!$D176:$CN176)</f>
        <v>374864.56477272732</v>
      </c>
      <c r="G172" s="5">
        <f>SUMPRODUCT(--(G$9=Model!$D$9:$CN$9),Model!$D176:$CN176)</f>
        <v>1665438.5400714171</v>
      </c>
      <c r="H172" s="5">
        <f>SUMPRODUCT(--(H$9=Model!$D$9:$CN$9),Model!$D176:$CN176)</f>
        <v>3208431.0960550033</v>
      </c>
      <c r="I172" s="5">
        <f>SUMPRODUCT(--(I$9=Model!$D$9:$CN$9),Model!$D176:$CN176)</f>
        <v>3940515.5508565395</v>
      </c>
      <c r="J172" s="5">
        <f>SUMPRODUCT(--(J$9=Model!$D$9:$CN$9),Model!$D176:$CN176)</f>
        <v>3766937.6781292683</v>
      </c>
      <c r="K172" s="5">
        <f>SUMPRODUCT(--(K$9=Model!$D$9:$CN$9),Model!$D176:$CN176)</f>
        <v>3593359.8054019972</v>
      </c>
      <c r="L172" s="5">
        <f>SUMPRODUCT(--(L$9=Model!$D$9:$CN$9),Model!$D176:$CN176)</f>
        <v>3419781.932674726</v>
      </c>
      <c r="M172" s="5">
        <f>SUMPRODUCT(--(M$9=Model!$D$9:$CN$9),Model!$D176:$CN176)</f>
        <v>3246204.0599474548</v>
      </c>
      <c r="N172" s="5">
        <f>SUMPRODUCT(--(N$9=Model!$D$9:$CN$9),Model!$D176:$CN176)</f>
        <v>3072626.1872201837</v>
      </c>
      <c r="O172" s="5">
        <f>SUMPRODUCT(--(O$9=Model!$D$9:$CN$9),Model!$D176:$CN176)</f>
        <v>2899048.3144929125</v>
      </c>
      <c r="P172" s="5">
        <f>SUMPRODUCT(--(P$9=Model!$D$9:$CN$9),Model!$D176:$CN176)</f>
        <v>2725470.4417656413</v>
      </c>
      <c r="Q172" s="5">
        <f>SUMPRODUCT(--(Q$9=Model!$D$9:$CN$9),Model!$D176:$CN176)</f>
        <v>2551892.5690383702</v>
      </c>
      <c r="R172" s="5">
        <f>SUMPRODUCT(--(R$9=Model!$D$9:$CN$9),Model!$D176:$CN176)</f>
        <v>2378314.696311099</v>
      </c>
      <c r="S172" s="5">
        <f>SUMPRODUCT(--(S$9=Model!$D$9:$CN$9),Model!$D176:$CN176)</f>
        <v>2204736.8235838278</v>
      </c>
      <c r="T172" s="5">
        <f>SUMPRODUCT(--(T$9=Model!$D$9:$CN$9),Model!$D176:$CN176)</f>
        <v>2031158.9508565557</v>
      </c>
      <c r="U172" s="5">
        <f>SUMPRODUCT(--(U$9=Model!$D$9:$CN$9),Model!$D176:$CN176)</f>
        <v>1857581.0781292827</v>
      </c>
      <c r="V172" s="5">
        <f>SUMPRODUCT(--(V$9=Model!$D$9:$CN$9),Model!$D176:$CN176)</f>
        <v>1684003.2054020097</v>
      </c>
      <c r="W172" s="5">
        <f>SUMPRODUCT(--(W$9=Model!$D$9:$CN$9),Model!$D176:$CN176)</f>
        <v>1510425.3326747366</v>
      </c>
      <c r="X172" s="5">
        <f>SUMPRODUCT(--(X$9=Model!$D$9:$CN$9),Model!$D176:$CN176)</f>
        <v>1336847.4599474636</v>
      </c>
      <c r="Y172" s="5">
        <f>SUMPRODUCT(--(Y$9=Model!$D$9:$CN$9),Model!$D176:$CN176)</f>
        <v>1163269.5872201906</v>
      </c>
      <c r="Z172" s="5">
        <f>SUMPRODUCT(--(Z$9=Model!$D$9:$CN$9),Model!$D176:$CN176)</f>
        <v>989691.71449291753</v>
      </c>
      <c r="AA172" s="5"/>
    </row>
    <row r="173" spans="1:27" ht="12.75" customHeight="1">
      <c r="A173" s="112"/>
      <c r="B173" s="119" t="s">
        <v>248</v>
      </c>
      <c r="C173" s="120"/>
      <c r="D173" s="121">
        <f>Model!D177</f>
        <v>954678.3</v>
      </c>
      <c r="E173" s="120">
        <f>SUMPRODUCT(--(E$9=Model!$D$9:$CN$9),Model!$D177:$CN177)</f>
        <v>867189.36363636365</v>
      </c>
      <c r="F173" s="120">
        <f>SUMPRODUCT(--(F$9=Model!$D$9:$CN$9),Model!$D177:$CN177)</f>
        <v>777600.42727272725</v>
      </c>
      <c r="G173" s="120">
        <f>SUMPRODUCT(--(G$9=Model!$D$9:$CN$9),Model!$D177:$CN177)</f>
        <v>2016580.5575757574</v>
      </c>
      <c r="H173" s="120">
        <f>SUMPRODUCT(--(H$9=Model!$D$9:$CN$9),Model!$D177:$CN177)</f>
        <v>3701219.247878788</v>
      </c>
      <c r="I173" s="120">
        <f>SUMPRODUCT(--(I$9=Model!$D$9:$CN$9),Model!$D177:$CN177)</f>
        <v>4514745.7236989299</v>
      </c>
      <c r="J173" s="120">
        <f>SUMPRODUCT(--(J$9=Model!$D$9:$CN$9),Model!$D177:$CN177)</f>
        <v>4444910.2729920996</v>
      </c>
      <c r="K173" s="120">
        <f>SUMPRODUCT(--(K$9=Model!$D$9:$CN$9),Model!$D177:$CN177)</f>
        <v>4209607.9604066573</v>
      </c>
      <c r="L173" s="120">
        <f>SUMPRODUCT(--(L$9=Model!$D$9:$CN$9),Model!$D177:$CN177)</f>
        <v>4127568.1903421935</v>
      </c>
      <c r="M173" s="120">
        <f>SUMPRODUCT(--(M$9=Model!$D$9:$CN$9),Model!$D177:$CN177)</f>
        <v>4069118.7759201201</v>
      </c>
      <c r="N173" s="120">
        <f>SUMPRODUCT(--(N$9=Model!$D$9:$CN$9),Model!$D177:$CN177)</f>
        <v>4007699.0527882529</v>
      </c>
      <c r="O173" s="120">
        <f>SUMPRODUCT(--(O$9=Model!$D$9:$CN$9),Model!$D177:$CN177)</f>
        <v>3960446.9959511952</v>
      </c>
      <c r="P173" s="120">
        <f>SUMPRODUCT(--(P$9=Model!$D$9:$CN$9),Model!$D177:$CN177)</f>
        <v>3903341.6376912203</v>
      </c>
      <c r="Q173" s="120">
        <f>SUMPRODUCT(--(Q$9=Model!$D$9:$CN$9),Model!$D177:$CN177)</f>
        <v>3857471.5497304834</v>
      </c>
      <c r="R173" s="120">
        <f>SUMPRODUCT(--(R$9=Model!$D$9:$CN$9),Model!$D177:$CN177)</f>
        <v>3801711.936458447</v>
      </c>
      <c r="S173" s="120">
        <f>SUMPRODUCT(--(S$9=Model!$D$9:$CN$9),Model!$D177:$CN177)</f>
        <v>3733748.6553399186</v>
      </c>
      <c r="T173" s="120">
        <f>SUMPRODUCT(--(T$9=Model!$D$9:$CN$9),Model!$D177:$CN177)</f>
        <v>3648861.5882867398</v>
      </c>
      <c r="U173" s="120">
        <f>SUMPRODUCT(--(U$9=Model!$D$9:$CN$9),Model!$D177:$CN177)</f>
        <v>3563366.0639359248</v>
      </c>
      <c r="V173" s="120">
        <f>SUMPRODUCT(--(V$9=Model!$D$9:$CN$9),Model!$D177:$CN177)</f>
        <v>3478836.161779901</v>
      </c>
      <c r="W173" s="120">
        <f>SUMPRODUCT(--(W$9=Model!$D$9:$CN$9),Model!$D177:$CN177)</f>
        <v>3393318.7434601067</v>
      </c>
      <c r="X173" s="120">
        <f>SUMPRODUCT(--(X$9=Model!$D$9:$CN$9),Model!$D177:$CN177)</f>
        <v>3300320.7033701302</v>
      </c>
      <c r="Y173" s="120">
        <f>SUMPRODUCT(--(Y$9=Model!$D$9:$CN$9),Model!$D177:$CN177)</f>
        <v>3214468.4124334445</v>
      </c>
      <c r="Z173" s="120">
        <f>SUMPRODUCT(--(Z$9=Model!$D$9:$CN$9),Model!$D177:$CN177)</f>
        <v>3128325.3997880621</v>
      </c>
      <c r="AA173" s="120"/>
    </row>
    <row r="174" spans="1:27" ht="12.75" customHeight="1">
      <c r="A174" s="112"/>
      <c r="B174" s="122" t="s">
        <v>249</v>
      </c>
      <c r="C174" s="112"/>
      <c r="D174" s="118">
        <f>Model!D178</f>
        <v>0</v>
      </c>
      <c r="E174" s="123">
        <f>SUMPRODUCT(--(E$9=Model!$D$9:$CN$9),Model!$D178:$CN178)</f>
        <v>0</v>
      </c>
      <c r="F174" s="123">
        <f>SUMPRODUCT(--(F$9=Model!$D$9:$CN$9),Model!$D178:$CN178)</f>
        <v>0</v>
      </c>
      <c r="G174" s="123">
        <f>SUMPRODUCT(--(G$9=Model!$D$9:$CN$9),Model!$D178:$CN178)</f>
        <v>0</v>
      </c>
      <c r="H174" s="123">
        <f>SUMPRODUCT(--(H$9=Model!$D$9:$CN$9),Model!$D178:$CN178)</f>
        <v>0</v>
      </c>
      <c r="I174" s="123">
        <f>SUMPRODUCT(--(I$9=Model!$D$9:$CN$9),Model!$D178:$CN178)</f>
        <v>0</v>
      </c>
      <c r="J174" s="123">
        <f>SUMPRODUCT(--(J$9=Model!$D$9:$CN$9),Model!$D178:$CN178)</f>
        <v>0</v>
      </c>
      <c r="K174" s="123">
        <f>SUMPRODUCT(--(K$9=Model!$D$9:$CN$9),Model!$D178:$CN178)</f>
        <v>0</v>
      </c>
      <c r="L174" s="123">
        <f>SUMPRODUCT(--(L$9=Model!$D$9:$CN$9),Model!$D178:$CN178)</f>
        <v>0</v>
      </c>
      <c r="M174" s="123">
        <f>SUMPRODUCT(--(M$9=Model!$D$9:$CN$9),Model!$D178:$CN178)</f>
        <v>0</v>
      </c>
      <c r="N174" s="123">
        <f>SUMPRODUCT(--(N$9=Model!$D$9:$CN$9),Model!$D178:$CN178)</f>
        <v>0</v>
      </c>
      <c r="O174" s="123">
        <f>SUMPRODUCT(--(O$9=Model!$D$9:$CN$9),Model!$D178:$CN178)</f>
        <v>0</v>
      </c>
      <c r="P174" s="123">
        <f>SUMPRODUCT(--(P$9=Model!$D$9:$CN$9),Model!$D178:$CN178)</f>
        <v>0</v>
      </c>
      <c r="Q174" s="123">
        <f>SUMPRODUCT(--(Q$9=Model!$D$9:$CN$9),Model!$D178:$CN178)</f>
        <v>0</v>
      </c>
      <c r="R174" s="123">
        <f>SUMPRODUCT(--(R$9=Model!$D$9:$CN$9),Model!$D178:$CN178)</f>
        <v>0</v>
      </c>
      <c r="S174" s="123">
        <f>SUMPRODUCT(--(S$9=Model!$D$9:$CN$9),Model!$D178:$CN178)</f>
        <v>0</v>
      </c>
      <c r="T174" s="123">
        <f>SUMPRODUCT(--(T$9=Model!$D$9:$CN$9),Model!$D178:$CN178)</f>
        <v>0</v>
      </c>
      <c r="U174" s="123">
        <f>SUMPRODUCT(--(U$9=Model!$D$9:$CN$9),Model!$D178:$CN178)</f>
        <v>0</v>
      </c>
      <c r="V174" s="123">
        <f>SUMPRODUCT(--(V$9=Model!$D$9:$CN$9),Model!$D178:$CN178)</f>
        <v>0</v>
      </c>
      <c r="W174" s="123">
        <f>SUMPRODUCT(--(W$9=Model!$D$9:$CN$9),Model!$D178:$CN178)</f>
        <v>0</v>
      </c>
      <c r="X174" s="123">
        <f>SUMPRODUCT(--(X$9=Model!$D$9:$CN$9),Model!$D178:$CN178)</f>
        <v>0</v>
      </c>
      <c r="Y174" s="123">
        <f>SUMPRODUCT(--(Y$9=Model!$D$9:$CN$9),Model!$D178:$CN178)</f>
        <v>0</v>
      </c>
      <c r="Z174" s="123">
        <f>SUMPRODUCT(--(Z$9=Model!$D$9:$CN$9),Model!$D178:$CN178)</f>
        <v>0</v>
      </c>
      <c r="AA174" s="123"/>
    </row>
    <row r="175" spans="1:27" ht="12.75" customHeight="1">
      <c r="A175" s="112"/>
      <c r="B175" s="112" t="s">
        <v>250</v>
      </c>
      <c r="C175" s="112"/>
      <c r="D175" s="116">
        <f>Model!D179</f>
        <v>0</v>
      </c>
      <c r="E175" s="112">
        <f>SUMPRODUCT(--(E$9=Model!$D$9:$CN$9),Model!$D179:$CN179)</f>
        <v>-17357.787272727273</v>
      </c>
      <c r="F175" s="112">
        <f>SUMPRODUCT(--(F$9=Model!$D$9:$CN$9),Model!$D179:$CN179)</f>
        <v>-34715.574545454547</v>
      </c>
      <c r="G175" s="112">
        <f>SUMPRODUCT(--(G$9=Model!$D$9:$CN$9),Model!$D179:$CN179)</f>
        <v>-47453.519763494318</v>
      </c>
      <c r="H175" s="112">
        <f>SUMPRODUCT(--(H$9=Model!$D$9:$CN$9),Model!$D179:$CN179)</f>
        <v>-34559.613011221591</v>
      </c>
      <c r="I175" s="112">
        <f>SUMPRODUCT(--(I$9=Model!$D$9:$CN$9),Model!$D179:$CN179)</f>
        <v>8770.6376619716939</v>
      </c>
      <c r="J175" s="112">
        <f>SUMPRODUCT(--(J$9=Model!$D$9:$CN$9),Model!$D179:$CN179)</f>
        <v>-8305.3422073706133</v>
      </c>
      <c r="K175" s="112">
        <f>SUMPRODUCT(--(K$9=Model!$D$9:$CN$9),Model!$D179:$CN179)</f>
        <v>-25025.1021983928</v>
      </c>
      <c r="L175" s="112">
        <f>SUMPRODUCT(--(L$9=Model!$D$9:$CN$9),Model!$D179:$CN179)</f>
        <v>-41945.702873737733</v>
      </c>
      <c r="M175" s="112">
        <f>SUMPRODUCT(--(M$9=Model!$D$9:$CN$9),Model!$D179:$CN179)</f>
        <v>-57743.211908837489</v>
      </c>
      <c r="N175" s="112">
        <f>SUMPRODUCT(--(N$9=Model!$D$9:$CN$9),Model!$D179:$CN179)</f>
        <v>-74032.505554931282</v>
      </c>
      <c r="O175" s="112">
        <f>SUMPRODUCT(--(O$9=Model!$D$9:$CN$9),Model!$D179:$CN179)</f>
        <v>-89531.779794416041</v>
      </c>
      <c r="P175" s="112">
        <f>SUMPRODUCT(--(P$9=Model!$D$9:$CN$9),Model!$D179:$CN179)</f>
        <v>-105843.48602573124</v>
      </c>
      <c r="Q175" s="112">
        <f>SUMPRODUCT(--(Q$9=Model!$D$9:$CN$9),Model!$D179:$CN179)</f>
        <v>-128296.31539014232</v>
      </c>
      <c r="R175" s="112">
        <f>SUMPRODUCT(--(R$9=Model!$D$9:$CN$9),Model!$D179:$CN179)</f>
        <v>-144878.57651428651</v>
      </c>
      <c r="S175" s="112">
        <f>SUMPRODUCT(--(S$9=Model!$D$9:$CN$9),Model!$D179:$CN179)</f>
        <v>-161704.9607454793</v>
      </c>
      <c r="T175" s="112">
        <f>SUMPRODUCT(--(T$9=Model!$D$9:$CN$9),Model!$D179:$CN179)</f>
        <v>-177160.87870774965</v>
      </c>
      <c r="U175" s="112">
        <f>SUMPRODUCT(--(U$9=Model!$D$9:$CN$9),Model!$D179:$CN179)</f>
        <v>-193225.25396765489</v>
      </c>
      <c r="V175" s="112">
        <f>SUMPRODUCT(--(V$9=Model!$D$9:$CN$9),Model!$D179:$CN179)</f>
        <v>-208324.00703276938</v>
      </c>
      <c r="W175" s="112">
        <f>SUMPRODUCT(--(W$9=Model!$D$9:$CN$9),Model!$D179:$CN179)</f>
        <v>-224410.27626165369</v>
      </c>
      <c r="X175" s="112">
        <f>SUMPRODUCT(--(X$9=Model!$D$9:$CN$9),Model!$D179:$CN179)</f>
        <v>-247977.16726072077</v>
      </c>
      <c r="Y175" s="112">
        <f>SUMPRODUCT(--(Y$9=Model!$D$9:$CN$9),Model!$D179:$CN179)</f>
        <v>-264398.30910649733</v>
      </c>
      <c r="Z175" s="112">
        <f>SUMPRODUCT(--(Z$9=Model!$D$9:$CN$9),Model!$D179:$CN179)</f>
        <v>-281110.17266097054</v>
      </c>
      <c r="AA175" s="112"/>
    </row>
    <row r="176" spans="1:27" ht="12.75" customHeight="1">
      <c r="A176" s="117"/>
      <c r="B176" s="26" t="s">
        <v>251</v>
      </c>
      <c r="C176" s="117"/>
      <c r="D176" s="118">
        <f>Model!D180</f>
        <v>0</v>
      </c>
      <c r="E176" s="5">
        <f>SUMPRODUCT(--(E$9=Model!$D$9:$CN$9),Model!$D180:$CN180)</f>
        <v>0</v>
      </c>
      <c r="F176" s="5">
        <f>SUMPRODUCT(--(F$9=Model!$D$9:$CN$9),Model!$D180:$CN180)</f>
        <v>0</v>
      </c>
      <c r="G176" s="5">
        <f>SUMPRODUCT(--(G$9=Model!$D$9:$CN$9),Model!$D180:$CN180)</f>
        <v>0</v>
      </c>
      <c r="H176" s="5">
        <f>SUMPRODUCT(--(H$9=Model!$D$9:$CN$9),Model!$D180:$CN180)</f>
        <v>0</v>
      </c>
      <c r="I176" s="5">
        <f>SUMPRODUCT(--(I$9=Model!$D$9:$CN$9),Model!$D180:$CN180)</f>
        <v>7553.8838543004167</v>
      </c>
      <c r="J176" s="5">
        <f>SUMPRODUCT(--(J$9=Model!$D$9:$CN$9),Model!$D180:$CN180)</f>
        <v>7835.6912576853829</v>
      </c>
      <c r="K176" s="5">
        <f>SUMPRODUCT(--(K$9=Model!$D$9:$CN$9),Model!$D180:$CN180)</f>
        <v>8473.7185393904729</v>
      </c>
      <c r="L176" s="5">
        <f>SUMPRODUCT(--(L$9=Model!$D$9:$CN$9),Model!$D180:$CN180)</f>
        <v>8910.9051367728007</v>
      </c>
      <c r="M176" s="5">
        <f>SUMPRODUCT(--(M$9=Model!$D$9:$CN$9),Model!$D180:$CN180)</f>
        <v>10471.183374400309</v>
      </c>
      <c r="N176" s="5">
        <f>SUMPRODUCT(--(N$9=Model!$D$9:$CN$9),Model!$D180:$CN180)</f>
        <v>11539.67700103381</v>
      </c>
      <c r="O176" s="5">
        <f>SUMPRODUCT(--(O$9=Model!$D$9:$CN$9),Model!$D180:$CN180)</f>
        <v>13398.190034276342</v>
      </c>
      <c r="P176" s="5">
        <f>SUMPRODUCT(--(P$9=Model!$D$9:$CN$9),Model!$D180:$CN180)</f>
        <v>14444.271075688435</v>
      </c>
      <c r="Q176" s="5">
        <f>SUMPRODUCT(--(Q$9=Model!$D$9:$CN$9),Model!$D180:$CN180)</f>
        <v>9349.2289840046087</v>
      </c>
      <c r="R176" s="5">
        <f>SUMPRODUCT(--(R$9=Model!$D$9:$CN$9),Model!$D180:$CN180)</f>
        <v>10124.755132587657</v>
      </c>
      <c r="S176" s="5">
        <f>SUMPRODUCT(--(S$9=Model!$D$9:$CN$9),Model!$D180:$CN180)</f>
        <v>10656.158174122109</v>
      </c>
      <c r="T176" s="5">
        <f>SUMPRODUCT(--(T$9=Model!$D$9:$CN$9),Model!$D180:$CN180)</f>
        <v>12558.027484578975</v>
      </c>
      <c r="U176" s="5">
        <f>SUMPRODUCT(--(U$9=Model!$D$9:$CN$9),Model!$D180:$CN180)</f>
        <v>13851.43949740097</v>
      </c>
      <c r="V176" s="5">
        <f>SUMPRODUCT(--(V$9=Model!$D$9:$CN$9),Model!$D180:$CN180)</f>
        <v>16110.473705013726</v>
      </c>
      <c r="W176" s="5">
        <f>SUMPRODUCT(--(W$9=Model!$D$9:$CN$9),Model!$D180:$CN180)</f>
        <v>17381.991748856643</v>
      </c>
      <c r="X176" s="5">
        <f>SUMPRODUCT(--(X$9=Model!$D$9:$CN$9),Model!$D180:$CN180)</f>
        <v>11172.888022516796</v>
      </c>
      <c r="Y176" s="5">
        <f>SUMPRODUCT(--(Y$9=Model!$D$9:$CN$9),Model!$D180:$CN180)</f>
        <v>12109.533449467559</v>
      </c>
      <c r="Z176" s="5">
        <f>SUMPRODUCT(--(Z$9=Model!$D$9:$CN$9),Model!$D180:$CN180)</f>
        <v>12755.457167721695</v>
      </c>
      <c r="AA176" s="5"/>
    </row>
    <row r="177" spans="1:27" ht="12.75" customHeight="1">
      <c r="A177" s="117"/>
      <c r="B177" s="26" t="s">
        <v>631</v>
      </c>
      <c r="C177" s="117"/>
      <c r="D177" s="118">
        <f>Model!D181</f>
        <v>0</v>
      </c>
      <c r="E177" s="5">
        <f>SUMPRODUCT(--(E$9=Model!$D$9:$CN$9),Model!$D181:$CN181)</f>
        <v>-17357.787272727273</v>
      </c>
      <c r="F177" s="5">
        <f>SUMPRODUCT(--(F$9=Model!$D$9:$CN$9),Model!$D181:$CN181)</f>
        <v>-34715.574545454547</v>
      </c>
      <c r="G177" s="5">
        <f>SUMPRODUCT(--(G$9=Model!$D$9:$CN$9),Model!$D181:$CN181)</f>
        <v>-47453.519763494318</v>
      </c>
      <c r="H177" s="5">
        <f>SUMPRODUCT(--(H$9=Model!$D$9:$CN$9),Model!$D181:$CN181)</f>
        <v>-34559.613011221591</v>
      </c>
      <c r="I177" s="5">
        <f>SUMPRODUCT(--(I$9=Model!$D$9:$CN$9),Model!$D181:$CN181)</f>
        <v>1216.7538076712772</v>
      </c>
      <c r="J177" s="5">
        <f>SUMPRODUCT(--(J$9=Model!$D$9:$CN$9),Model!$D181:$CN181)</f>
        <v>-16141.033465055996</v>
      </c>
      <c r="K177" s="5">
        <f>SUMPRODUCT(--(K$9=Model!$D$9:$CN$9),Model!$D181:$CN181)</f>
        <v>-33498.820737783273</v>
      </c>
      <c r="L177" s="5">
        <f>SUMPRODUCT(--(L$9=Model!$D$9:$CN$9),Model!$D181:$CN181)</f>
        <v>-50856.608010510536</v>
      </c>
      <c r="M177" s="5">
        <f>SUMPRODUCT(--(M$9=Model!$D$9:$CN$9),Model!$D181:$CN181)</f>
        <v>-68214.395283237798</v>
      </c>
      <c r="N177" s="5">
        <f>SUMPRODUCT(--(N$9=Model!$D$9:$CN$9),Model!$D181:$CN181)</f>
        <v>-85572.18255596509</v>
      </c>
      <c r="O177" s="5">
        <f>SUMPRODUCT(--(O$9=Model!$D$9:$CN$9),Model!$D181:$CN181)</f>
        <v>-102929.96982869238</v>
      </c>
      <c r="P177" s="5">
        <f>SUMPRODUCT(--(P$9=Model!$D$9:$CN$9),Model!$D181:$CN181)</f>
        <v>-120287.75710141967</v>
      </c>
      <c r="Q177" s="5">
        <f>SUMPRODUCT(--(Q$9=Model!$D$9:$CN$9),Model!$D181:$CN181)</f>
        <v>-137645.54437414694</v>
      </c>
      <c r="R177" s="5">
        <f>SUMPRODUCT(--(R$9=Model!$D$9:$CN$9),Model!$D181:$CN181)</f>
        <v>-155003.33164687417</v>
      </c>
      <c r="S177" s="5">
        <f>SUMPRODUCT(--(S$9=Model!$D$9:$CN$9),Model!$D181:$CN181)</f>
        <v>-172361.1189196014</v>
      </c>
      <c r="T177" s="5">
        <f>SUMPRODUCT(--(T$9=Model!$D$9:$CN$9),Model!$D181:$CN181)</f>
        <v>-189718.90619232864</v>
      </c>
      <c r="U177" s="5">
        <f>SUMPRODUCT(--(U$9=Model!$D$9:$CN$9),Model!$D181:$CN181)</f>
        <v>-207076.69346505587</v>
      </c>
      <c r="V177" s="5">
        <f>SUMPRODUCT(--(V$9=Model!$D$9:$CN$9),Model!$D181:$CN181)</f>
        <v>-224434.4807377831</v>
      </c>
      <c r="W177" s="5">
        <f>SUMPRODUCT(--(W$9=Model!$D$9:$CN$9),Model!$D181:$CN181)</f>
        <v>-241792.26801051034</v>
      </c>
      <c r="X177" s="5">
        <f>SUMPRODUCT(--(X$9=Model!$D$9:$CN$9),Model!$D181:$CN181)</f>
        <v>-259150.05528323757</v>
      </c>
      <c r="Y177" s="5">
        <f>SUMPRODUCT(--(Y$9=Model!$D$9:$CN$9),Model!$D181:$CN181)</f>
        <v>-276507.84255596489</v>
      </c>
      <c r="Z177" s="5">
        <f>SUMPRODUCT(--(Z$9=Model!$D$9:$CN$9),Model!$D181:$CN181)</f>
        <v>-293865.62982869224</v>
      </c>
      <c r="AA177" s="5"/>
    </row>
    <row r="178" spans="1:27" ht="12.75" customHeight="1">
      <c r="A178" s="112"/>
      <c r="B178" s="112" t="s">
        <v>252</v>
      </c>
      <c r="C178" s="112"/>
      <c r="D178" s="116">
        <f>Model!D182</f>
        <v>0</v>
      </c>
      <c r="E178" s="112">
        <f>SUMPRODUCT(--(E$9=Model!$D$9:$CN$9),Model!$D182:$CN182)</f>
        <v>0</v>
      </c>
      <c r="F178" s="112">
        <f>SUMPRODUCT(--(F$9=Model!$D$9:$CN$9),Model!$D182:$CN182)</f>
        <v>0</v>
      </c>
      <c r="G178" s="112">
        <f>SUMPRODUCT(--(G$9=Model!$D$9:$CN$9),Model!$D182:$CN182)</f>
        <v>1328569.0666666667</v>
      </c>
      <c r="H178" s="112">
        <f>SUMPRODUCT(--(H$9=Model!$D$9:$CN$9),Model!$D182:$CN182)</f>
        <v>3102796.6933333334</v>
      </c>
      <c r="I178" s="112">
        <f>SUMPRODUCT(--(I$9=Model!$D$9:$CN$9),Model!$D182:$CN182)</f>
        <v>3650955.8528648927</v>
      </c>
      <c r="J178" s="112">
        <f>SUMPRODUCT(--(J$9=Model!$D$9:$CN$9),Model!$D182:$CN182)</f>
        <v>3407034.8420978989</v>
      </c>
      <c r="K178" s="112">
        <f>SUMPRODUCT(--(K$9=Model!$D$9:$CN$9),Model!$D182:$CN182)</f>
        <v>3117907.5502986168</v>
      </c>
      <c r="L178" s="112">
        <f>SUMPRODUCT(--(L$9=Model!$D$9:$CN$9),Model!$D182:$CN182)</f>
        <v>2836527.8554076441</v>
      </c>
      <c r="M178" s="112">
        <f>SUMPRODUCT(--(M$9=Model!$D$9:$CN$9),Model!$D182:$CN182)</f>
        <v>2473877.1888727569</v>
      </c>
      <c r="N178" s="112">
        <f>SUMPRODUCT(--(N$9=Model!$D$9:$CN$9),Model!$D182:$CN182)</f>
        <v>2107114.3105106633</v>
      </c>
      <c r="O178" s="112">
        <f>SUMPRODUCT(--(O$9=Model!$D$9:$CN$9),Model!$D182:$CN182)</f>
        <v>1641665.5533018042</v>
      </c>
      <c r="P178" s="112">
        <f>SUMPRODUCT(--(P$9=Model!$D$9:$CN$9),Model!$D182:$CN182)</f>
        <v>1180637.1928794417</v>
      </c>
      <c r="Q178" s="112">
        <f>SUMPRODUCT(--(Q$9=Model!$D$9:$CN$9),Model!$D182:$CN182)</f>
        <v>617820.09452315408</v>
      </c>
      <c r="R178" s="112">
        <f>SUMPRODUCT(--(R$9=Model!$D$9:$CN$9),Model!$D182:$CN182)</f>
        <v>76001.63306239454</v>
      </c>
      <c r="S178" s="112">
        <f>SUMPRODUCT(--(S$9=Model!$D$9:$CN$9),Model!$D182:$CN182)</f>
        <v>0</v>
      </c>
      <c r="T178" s="112">
        <f>SUMPRODUCT(--(T$9=Model!$D$9:$CN$9),Model!$D182:$CN182)</f>
        <v>0</v>
      </c>
      <c r="U178" s="112">
        <f>SUMPRODUCT(--(U$9=Model!$D$9:$CN$9),Model!$D182:$CN182)</f>
        <v>0</v>
      </c>
      <c r="V178" s="112">
        <f>SUMPRODUCT(--(V$9=Model!$D$9:$CN$9),Model!$D182:$CN182)</f>
        <v>0</v>
      </c>
      <c r="W178" s="112">
        <f>SUMPRODUCT(--(W$9=Model!$D$9:$CN$9),Model!$D182:$CN182)</f>
        <v>0</v>
      </c>
      <c r="X178" s="112">
        <f>SUMPRODUCT(--(X$9=Model!$D$9:$CN$9),Model!$D182:$CN182)</f>
        <v>0</v>
      </c>
      <c r="Y178" s="112">
        <f>SUMPRODUCT(--(Y$9=Model!$D$9:$CN$9),Model!$D182:$CN182)</f>
        <v>0</v>
      </c>
      <c r="Z178" s="112">
        <f>SUMPRODUCT(--(Z$9=Model!$D$9:$CN$9),Model!$D182:$CN182)</f>
        <v>0</v>
      </c>
      <c r="AA178" s="112"/>
    </row>
    <row r="179" spans="1:27" ht="12.75" customHeight="1">
      <c r="A179" s="117"/>
      <c r="B179" s="26" t="s">
        <v>253</v>
      </c>
      <c r="C179" s="117"/>
      <c r="D179" s="118">
        <f>Model!D183</f>
        <v>0</v>
      </c>
      <c r="E179" s="5">
        <f>SUMPRODUCT(--(E$9=Model!$D$9:$CN$9),Model!$D183:$CN183)</f>
        <v>0</v>
      </c>
      <c r="F179" s="5">
        <f>SUMPRODUCT(--(F$9=Model!$D$9:$CN$9),Model!$D183:$CN183)</f>
        <v>0</v>
      </c>
      <c r="G179" s="5">
        <f>SUMPRODUCT(--(G$9=Model!$D$9:$CN$9),Model!$D183:$CN183)</f>
        <v>1328569.0666666667</v>
      </c>
      <c r="H179" s="5">
        <f>SUMPRODUCT(--(H$9=Model!$D$9:$CN$9),Model!$D183:$CN183)</f>
        <v>3102796.6933333334</v>
      </c>
      <c r="I179" s="5">
        <f>SUMPRODUCT(--(I$9=Model!$D$9:$CN$9),Model!$D183:$CN183)</f>
        <v>3650955.8528648927</v>
      </c>
      <c r="J179" s="5">
        <f>SUMPRODUCT(--(J$9=Model!$D$9:$CN$9),Model!$D183:$CN183)</f>
        <v>3407034.8420978989</v>
      </c>
      <c r="K179" s="5">
        <f>SUMPRODUCT(--(K$9=Model!$D$9:$CN$9),Model!$D183:$CN183)</f>
        <v>3117907.5502986168</v>
      </c>
      <c r="L179" s="5">
        <f>SUMPRODUCT(--(L$9=Model!$D$9:$CN$9),Model!$D183:$CN183)</f>
        <v>2836527.8554076441</v>
      </c>
      <c r="M179" s="5">
        <f>SUMPRODUCT(--(M$9=Model!$D$9:$CN$9),Model!$D183:$CN183)</f>
        <v>2473877.1888727569</v>
      </c>
      <c r="N179" s="5">
        <f>SUMPRODUCT(--(N$9=Model!$D$9:$CN$9),Model!$D183:$CN183)</f>
        <v>2107114.3105106633</v>
      </c>
      <c r="O179" s="5">
        <f>SUMPRODUCT(--(O$9=Model!$D$9:$CN$9),Model!$D183:$CN183)</f>
        <v>1641665.5533018042</v>
      </c>
      <c r="P179" s="5">
        <f>SUMPRODUCT(--(P$9=Model!$D$9:$CN$9),Model!$D183:$CN183)</f>
        <v>1180637.1928794417</v>
      </c>
      <c r="Q179" s="5">
        <f>SUMPRODUCT(--(Q$9=Model!$D$9:$CN$9),Model!$D183:$CN183)</f>
        <v>617820.09452315408</v>
      </c>
      <c r="R179" s="5">
        <f>SUMPRODUCT(--(R$9=Model!$D$9:$CN$9),Model!$D183:$CN183)</f>
        <v>76001.63306239454</v>
      </c>
      <c r="S179" s="5">
        <f>SUMPRODUCT(--(S$9=Model!$D$9:$CN$9),Model!$D183:$CN183)</f>
        <v>0</v>
      </c>
      <c r="T179" s="5">
        <f>SUMPRODUCT(--(T$9=Model!$D$9:$CN$9),Model!$D183:$CN183)</f>
        <v>0</v>
      </c>
      <c r="U179" s="5">
        <f>SUMPRODUCT(--(U$9=Model!$D$9:$CN$9),Model!$D183:$CN183)</f>
        <v>0</v>
      </c>
      <c r="V179" s="5">
        <f>SUMPRODUCT(--(V$9=Model!$D$9:$CN$9),Model!$D183:$CN183)</f>
        <v>0</v>
      </c>
      <c r="W179" s="5">
        <f>SUMPRODUCT(--(W$9=Model!$D$9:$CN$9),Model!$D183:$CN183)</f>
        <v>0</v>
      </c>
      <c r="X179" s="5">
        <f>SUMPRODUCT(--(X$9=Model!$D$9:$CN$9),Model!$D183:$CN183)</f>
        <v>0</v>
      </c>
      <c r="Y179" s="5">
        <f>SUMPRODUCT(--(Y$9=Model!$D$9:$CN$9),Model!$D183:$CN183)</f>
        <v>0</v>
      </c>
      <c r="Z179" s="5">
        <f>SUMPRODUCT(--(Z$9=Model!$D$9:$CN$9),Model!$D183:$CN183)</f>
        <v>0</v>
      </c>
      <c r="AA179" s="5"/>
    </row>
    <row r="180" spans="1:27" ht="12.75" customHeight="1">
      <c r="A180" s="112"/>
      <c r="B180" s="112" t="s">
        <v>254</v>
      </c>
      <c r="C180" s="112"/>
      <c r="D180" s="116">
        <f>Model!D184</f>
        <v>954678.3</v>
      </c>
      <c r="E180" s="112">
        <f>SUMPRODUCT(--(E$9=Model!$D$9:$CN$9),Model!$D184:$CN184)</f>
        <v>884547.150909091</v>
      </c>
      <c r="F180" s="112">
        <f>SUMPRODUCT(--(F$9=Model!$D$9:$CN$9),Model!$D184:$CN184)</f>
        <v>812316.00181818183</v>
      </c>
      <c r="G180" s="112">
        <f>SUMPRODUCT(--(G$9=Model!$D$9:$CN$9),Model!$D184:$CN184)</f>
        <v>735465.01067258534</v>
      </c>
      <c r="H180" s="112">
        <f>SUMPRODUCT(--(H$9=Model!$D$9:$CN$9),Model!$D184:$CN184)</f>
        <v>632982.16755667608</v>
      </c>
      <c r="I180" s="112">
        <f>SUMPRODUCT(--(I$9=Model!$D$9:$CN$9),Model!$D184:$CN184)</f>
        <v>855019.23317206418</v>
      </c>
      <c r="J180" s="112">
        <f>SUMPRODUCT(--(J$9=Model!$D$9:$CN$9),Model!$D184:$CN184)</f>
        <v>1046180.7731015685</v>
      </c>
      <c r="K180" s="112">
        <f>SUMPRODUCT(--(K$9=Model!$D$9:$CN$9),Model!$D184:$CN184)</f>
        <v>1116725.512306429</v>
      </c>
      <c r="L180" s="112">
        <f>SUMPRODUCT(--(L$9=Model!$D$9:$CN$9),Model!$D184:$CN184)</f>
        <v>1332986.0378082807</v>
      </c>
      <c r="M180" s="112">
        <f>SUMPRODUCT(--(M$9=Model!$D$9:$CN$9),Model!$D184:$CN184)</f>
        <v>1652984.7989561928</v>
      </c>
      <c r="N180" s="112">
        <f>SUMPRODUCT(--(N$9=Model!$D$9:$CN$9),Model!$D184:$CN184)</f>
        <v>1974617.2478325116</v>
      </c>
      <c r="O180" s="112">
        <f>SUMPRODUCT(--(O$9=Model!$D$9:$CN$9),Model!$D184:$CN184)</f>
        <v>2408313.2224437958</v>
      </c>
      <c r="P180" s="112">
        <f>SUMPRODUCT(--(P$9=Model!$D$9:$CN$9),Model!$D184:$CN184)</f>
        <v>2828547.9308374966</v>
      </c>
      <c r="Q180" s="112">
        <f>SUMPRODUCT(--(Q$9=Model!$D$9:$CN$9),Model!$D184:$CN184)</f>
        <v>3367947.7705974579</v>
      </c>
      <c r="R180" s="112">
        <f>SUMPRODUCT(--(R$9=Model!$D$9:$CN$9),Model!$D184:$CN184)</f>
        <v>3870588.8799103238</v>
      </c>
      <c r="S180" s="112">
        <f>SUMPRODUCT(--(S$9=Model!$D$9:$CN$9),Model!$D184:$CN184)</f>
        <v>3895453.6160853812</v>
      </c>
      <c r="T180" s="112">
        <f>SUMPRODUCT(--(T$9=Model!$D$9:$CN$9),Model!$D184:$CN184)</f>
        <v>3826022.4669944728</v>
      </c>
      <c r="U180" s="112">
        <f>SUMPRODUCT(--(U$9=Model!$D$9:$CN$9),Model!$D184:$CN184)</f>
        <v>3756591.3179035643</v>
      </c>
      <c r="V180" s="112">
        <f>SUMPRODUCT(--(V$9=Model!$D$9:$CN$9),Model!$D184:$CN184)</f>
        <v>3687160.1688126558</v>
      </c>
      <c r="W180" s="112">
        <f>SUMPRODUCT(--(W$9=Model!$D$9:$CN$9),Model!$D184:$CN184)</f>
        <v>3617729.0197217474</v>
      </c>
      <c r="X180" s="112">
        <f>SUMPRODUCT(--(X$9=Model!$D$9:$CN$9),Model!$D184:$CN184)</f>
        <v>3548297.8706308389</v>
      </c>
      <c r="Y180" s="112">
        <f>SUMPRODUCT(--(Y$9=Model!$D$9:$CN$9),Model!$D184:$CN184)</f>
        <v>3478866.7215399304</v>
      </c>
      <c r="Z180" s="112">
        <f>SUMPRODUCT(--(Z$9=Model!$D$9:$CN$9),Model!$D184:$CN184)</f>
        <v>3409435.572449022</v>
      </c>
      <c r="AA180" s="112"/>
    </row>
    <row r="181" spans="1:27" ht="12.75" customHeight="1">
      <c r="A181" s="117"/>
      <c r="B181" s="26" t="s">
        <v>255</v>
      </c>
      <c r="C181" s="117"/>
      <c r="D181" s="118">
        <f>Model!D185</f>
        <v>0</v>
      </c>
      <c r="E181" s="5">
        <f>SUMPRODUCT(--(E$9=Model!$D$9:$CN$9),Model!$D185:$CN185)</f>
        <v>-70131.149090909094</v>
      </c>
      <c r="F181" s="5">
        <f>SUMPRODUCT(--(F$9=Model!$D$9:$CN$9),Model!$D185:$CN185)</f>
        <v>-142362.29818181819</v>
      </c>
      <c r="G181" s="5">
        <f>SUMPRODUCT(--(G$9=Model!$D$9:$CN$9),Model!$D185:$CN185)</f>
        <v>-219213.28932741474</v>
      </c>
      <c r="H181" s="5">
        <f>SUMPRODUCT(--(H$9=Model!$D$9:$CN$9),Model!$D185:$CN185)</f>
        <v>-321696.13244332391</v>
      </c>
      <c r="I181" s="5">
        <f>SUMPRODUCT(--(I$9=Model!$D$9:$CN$9),Model!$D185:$CN185)</f>
        <v>-99659.066827935894</v>
      </c>
      <c r="J181" s="5">
        <f>SUMPRODUCT(--(J$9=Model!$D$9:$CN$9),Model!$D185:$CN185)</f>
        <v>91502.47310156835</v>
      </c>
      <c r="K181" s="5">
        <f>SUMPRODUCT(--(K$9=Model!$D$9:$CN$9),Model!$D185:$CN185)</f>
        <v>162047.21230642899</v>
      </c>
      <c r="L181" s="5">
        <f>SUMPRODUCT(--(L$9=Model!$D$9:$CN$9),Model!$D185:$CN185)</f>
        <v>378307.73780828062</v>
      </c>
      <c r="M181" s="5">
        <f>SUMPRODUCT(--(M$9=Model!$D$9:$CN$9),Model!$D185:$CN185)</f>
        <v>698306.49895619275</v>
      </c>
      <c r="N181" s="5">
        <f>SUMPRODUCT(--(N$9=Model!$D$9:$CN$9),Model!$D185:$CN185)</f>
        <v>1019938.9478325115</v>
      </c>
      <c r="O181" s="5">
        <f>SUMPRODUCT(--(O$9=Model!$D$9:$CN$9),Model!$D185:$CN185)</f>
        <v>1453634.9224437959</v>
      </c>
      <c r="P181" s="5">
        <f>SUMPRODUCT(--(P$9=Model!$D$9:$CN$9),Model!$D185:$CN185)</f>
        <v>1873869.6308374966</v>
      </c>
      <c r="Q181" s="5">
        <f>SUMPRODUCT(--(Q$9=Model!$D$9:$CN$9),Model!$D185:$CN185)</f>
        <v>2413269.4705974581</v>
      </c>
      <c r="R181" s="5">
        <f>SUMPRODUCT(--(R$9=Model!$D$9:$CN$9),Model!$D185:$CN185)</f>
        <v>2915910.579910324</v>
      </c>
      <c r="S181" s="5">
        <f>SUMPRODUCT(--(S$9=Model!$D$9:$CN$9),Model!$D185:$CN185)</f>
        <v>2940775.3160853814</v>
      </c>
      <c r="T181" s="5">
        <f>SUMPRODUCT(--(T$9=Model!$D$9:$CN$9),Model!$D185:$CN185)</f>
        <v>2871344.166994473</v>
      </c>
      <c r="U181" s="5">
        <f>SUMPRODUCT(--(U$9=Model!$D$9:$CN$9),Model!$D185:$CN185)</f>
        <v>2801913.0179035645</v>
      </c>
      <c r="V181" s="5">
        <f>SUMPRODUCT(--(V$9=Model!$D$9:$CN$9),Model!$D185:$CN185)</f>
        <v>2732481.868812656</v>
      </c>
      <c r="W181" s="5">
        <f>SUMPRODUCT(--(W$9=Model!$D$9:$CN$9),Model!$D185:$CN185)</f>
        <v>2663050.7197217476</v>
      </c>
      <c r="X181" s="5">
        <f>SUMPRODUCT(--(X$9=Model!$D$9:$CN$9),Model!$D185:$CN185)</f>
        <v>2593619.5706308391</v>
      </c>
      <c r="Y181" s="5">
        <f>SUMPRODUCT(--(Y$9=Model!$D$9:$CN$9),Model!$D185:$CN185)</f>
        <v>2524188.4215399306</v>
      </c>
      <c r="Z181" s="5">
        <f>SUMPRODUCT(--(Z$9=Model!$D$9:$CN$9),Model!$D185:$CN185)</f>
        <v>2454757.2724490222</v>
      </c>
      <c r="AA181" s="5"/>
    </row>
    <row r="182" spans="1:27" ht="12.75" customHeight="1">
      <c r="A182" s="117"/>
      <c r="B182" s="26" t="s">
        <v>256</v>
      </c>
      <c r="C182" s="117"/>
      <c r="D182" s="118">
        <f>Model!D186</f>
        <v>954678.3</v>
      </c>
      <c r="E182" s="5">
        <f>SUMPRODUCT(--(E$9=Model!$D$9:$CN$9),Model!$D186:$CN186)</f>
        <v>954678.3</v>
      </c>
      <c r="F182" s="5">
        <f>SUMPRODUCT(--(F$9=Model!$D$9:$CN$9),Model!$D186:$CN186)</f>
        <v>954678.3</v>
      </c>
      <c r="G182" s="5">
        <f>SUMPRODUCT(--(G$9=Model!$D$9:$CN$9),Model!$D186:$CN186)</f>
        <v>954678.3</v>
      </c>
      <c r="H182" s="5">
        <f>SUMPRODUCT(--(H$9=Model!$D$9:$CN$9),Model!$D186:$CN186)</f>
        <v>954678.3</v>
      </c>
      <c r="I182" s="5">
        <f>SUMPRODUCT(--(I$9=Model!$D$9:$CN$9),Model!$D186:$CN186)</f>
        <v>954678.3</v>
      </c>
      <c r="J182" s="5">
        <f>SUMPRODUCT(--(J$9=Model!$D$9:$CN$9),Model!$D186:$CN186)</f>
        <v>954678.3</v>
      </c>
      <c r="K182" s="5">
        <f>SUMPRODUCT(--(K$9=Model!$D$9:$CN$9),Model!$D186:$CN186)</f>
        <v>954678.3</v>
      </c>
      <c r="L182" s="5">
        <f>SUMPRODUCT(--(L$9=Model!$D$9:$CN$9),Model!$D186:$CN186)</f>
        <v>954678.3</v>
      </c>
      <c r="M182" s="5">
        <f>SUMPRODUCT(--(M$9=Model!$D$9:$CN$9),Model!$D186:$CN186)</f>
        <v>954678.3</v>
      </c>
      <c r="N182" s="5">
        <f>SUMPRODUCT(--(N$9=Model!$D$9:$CN$9),Model!$D186:$CN186)</f>
        <v>954678.3</v>
      </c>
      <c r="O182" s="5">
        <f>SUMPRODUCT(--(O$9=Model!$D$9:$CN$9),Model!$D186:$CN186)</f>
        <v>954678.3</v>
      </c>
      <c r="P182" s="5">
        <f>SUMPRODUCT(--(P$9=Model!$D$9:$CN$9),Model!$D186:$CN186)</f>
        <v>954678.3</v>
      </c>
      <c r="Q182" s="5">
        <f>SUMPRODUCT(--(Q$9=Model!$D$9:$CN$9),Model!$D186:$CN186)</f>
        <v>954678.3</v>
      </c>
      <c r="R182" s="5">
        <f>SUMPRODUCT(--(R$9=Model!$D$9:$CN$9),Model!$D186:$CN186)</f>
        <v>954678.3</v>
      </c>
      <c r="S182" s="5">
        <f>SUMPRODUCT(--(S$9=Model!$D$9:$CN$9),Model!$D186:$CN186)</f>
        <v>954678.3</v>
      </c>
      <c r="T182" s="5">
        <f>SUMPRODUCT(--(T$9=Model!$D$9:$CN$9),Model!$D186:$CN186)</f>
        <v>954678.3</v>
      </c>
      <c r="U182" s="5">
        <f>SUMPRODUCT(--(U$9=Model!$D$9:$CN$9),Model!$D186:$CN186)</f>
        <v>954678.3</v>
      </c>
      <c r="V182" s="5">
        <f>SUMPRODUCT(--(V$9=Model!$D$9:$CN$9),Model!$D186:$CN186)</f>
        <v>954678.3</v>
      </c>
      <c r="W182" s="5">
        <f>SUMPRODUCT(--(W$9=Model!$D$9:$CN$9),Model!$D186:$CN186)</f>
        <v>954678.3</v>
      </c>
      <c r="X182" s="5">
        <f>SUMPRODUCT(--(X$9=Model!$D$9:$CN$9),Model!$D186:$CN186)</f>
        <v>954678.3</v>
      </c>
      <c r="Y182" s="5">
        <f>SUMPRODUCT(--(Y$9=Model!$D$9:$CN$9),Model!$D186:$CN186)</f>
        <v>954678.3</v>
      </c>
      <c r="Z182" s="5">
        <f>SUMPRODUCT(--(Z$9=Model!$D$9:$CN$9),Model!$D186:$CN186)</f>
        <v>954678.3</v>
      </c>
      <c r="AA182" s="5"/>
    </row>
    <row r="183" spans="1:27" ht="12.75" customHeight="1">
      <c r="A183" s="112"/>
      <c r="B183" s="119" t="s">
        <v>248</v>
      </c>
      <c r="C183" s="120"/>
      <c r="D183" s="121">
        <f>Model!D187</f>
        <v>954678.3</v>
      </c>
      <c r="E183" s="120">
        <f>SUMPRODUCT(--(E$9=Model!$D$9:$CN$9),Model!$D187:$CN187)</f>
        <v>867189.36363636376</v>
      </c>
      <c r="F183" s="120">
        <f>SUMPRODUCT(--(F$9=Model!$D$9:$CN$9),Model!$D187:$CN187)</f>
        <v>777600.42727272725</v>
      </c>
      <c r="G183" s="120">
        <f>SUMPRODUCT(--(G$9=Model!$D$9:$CN$9),Model!$D187:$CN187)</f>
        <v>2016580.5575757576</v>
      </c>
      <c r="H183" s="120">
        <f>SUMPRODUCT(--(H$9=Model!$D$9:$CN$9),Model!$D187:$CN187)</f>
        <v>3701219.247878788</v>
      </c>
      <c r="I183" s="120">
        <f>SUMPRODUCT(--(I$9=Model!$D$9:$CN$9),Model!$D187:$CN187)</f>
        <v>4514745.723698929</v>
      </c>
      <c r="J183" s="120">
        <f>SUMPRODUCT(--(J$9=Model!$D$9:$CN$9),Model!$D187:$CN187)</f>
        <v>4444910.2729920968</v>
      </c>
      <c r="K183" s="120">
        <f>SUMPRODUCT(--(K$9=Model!$D$9:$CN$9),Model!$D187:$CN187)</f>
        <v>4209607.9604066536</v>
      </c>
      <c r="L183" s="120">
        <f>SUMPRODUCT(--(L$9=Model!$D$9:$CN$9),Model!$D187:$CN187)</f>
        <v>4127568.190342187</v>
      </c>
      <c r="M183" s="120">
        <f>SUMPRODUCT(--(M$9=Model!$D$9:$CN$9),Model!$D187:$CN187)</f>
        <v>4069118.7759201126</v>
      </c>
      <c r="N183" s="120">
        <f>SUMPRODUCT(--(N$9=Model!$D$9:$CN$9),Model!$D187:$CN187)</f>
        <v>4007699.0527882436</v>
      </c>
      <c r="O183" s="120">
        <f>SUMPRODUCT(--(O$9=Model!$D$9:$CN$9),Model!$D187:$CN187)</f>
        <v>3960446.9959511841</v>
      </c>
      <c r="P183" s="120">
        <f>SUMPRODUCT(--(P$9=Model!$D$9:$CN$9),Model!$D187:$CN187)</f>
        <v>3903341.6376912072</v>
      </c>
      <c r="Q183" s="120">
        <f>SUMPRODUCT(--(Q$9=Model!$D$9:$CN$9),Model!$D187:$CN187)</f>
        <v>3857471.5497304695</v>
      </c>
      <c r="R183" s="120">
        <f>SUMPRODUCT(--(R$9=Model!$D$9:$CN$9),Model!$D187:$CN187)</f>
        <v>3801711.9364584316</v>
      </c>
      <c r="S183" s="120">
        <f>SUMPRODUCT(--(S$9=Model!$D$9:$CN$9),Model!$D187:$CN187)</f>
        <v>3733748.6553399018</v>
      </c>
      <c r="T183" s="120">
        <f>SUMPRODUCT(--(T$9=Model!$D$9:$CN$9),Model!$D187:$CN187)</f>
        <v>3648861.588286723</v>
      </c>
      <c r="U183" s="120">
        <f>SUMPRODUCT(--(U$9=Model!$D$9:$CN$9),Model!$D187:$CN187)</f>
        <v>3563366.0639359094</v>
      </c>
      <c r="V183" s="120">
        <f>SUMPRODUCT(--(V$9=Model!$D$9:$CN$9),Model!$D187:$CN187)</f>
        <v>3478836.1617798866</v>
      </c>
      <c r="W183" s="120">
        <f>SUMPRODUCT(--(W$9=Model!$D$9:$CN$9),Model!$D187:$CN187)</f>
        <v>3393318.7434600936</v>
      </c>
      <c r="X183" s="120">
        <f>SUMPRODUCT(--(X$9=Model!$D$9:$CN$9),Model!$D187:$CN187)</f>
        <v>3300320.703370118</v>
      </c>
      <c r="Y183" s="120">
        <f>SUMPRODUCT(--(Y$9=Model!$D$9:$CN$9),Model!$D187:$CN187)</f>
        <v>3214468.4124334333</v>
      </c>
      <c r="Z183" s="120">
        <f>SUMPRODUCT(--(Z$9=Model!$D$9:$CN$9),Model!$D187:$CN187)</f>
        <v>3128325.3997880514</v>
      </c>
      <c r="AA183" s="120"/>
    </row>
    <row r="184" spans="1:27" ht="12.75" customHeight="1">
      <c r="A184" s="117"/>
      <c r="B184" s="117"/>
      <c r="C184" s="117"/>
      <c r="D184" s="116">
        <f>Model!D188</f>
        <v>0</v>
      </c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</row>
    <row r="185" spans="1:27" ht="12.75" customHeight="1">
      <c r="A185" s="117"/>
      <c r="B185" s="117"/>
      <c r="C185" s="124" t="s">
        <v>257</v>
      </c>
      <c r="D185" s="125" t="str">
        <f>Model!D189</f>
        <v>Да</v>
      </c>
      <c r="E185" s="126" t="str">
        <f t="shared" ref="E185:Z185" si="24">IF(ROUND(E173,0)=ROUND(E183,0),"Да","Нет")</f>
        <v>Да</v>
      </c>
      <c r="F185" s="126" t="str">
        <f t="shared" si="24"/>
        <v>Да</v>
      </c>
      <c r="G185" s="126" t="str">
        <f t="shared" si="24"/>
        <v>Да</v>
      </c>
      <c r="H185" s="126" t="str">
        <f t="shared" si="24"/>
        <v>Да</v>
      </c>
      <c r="I185" s="126" t="str">
        <f t="shared" si="24"/>
        <v>Да</v>
      </c>
      <c r="J185" s="126" t="str">
        <f t="shared" si="24"/>
        <v>Да</v>
      </c>
      <c r="K185" s="126" t="str">
        <f t="shared" si="24"/>
        <v>Да</v>
      </c>
      <c r="L185" s="126" t="str">
        <f t="shared" si="24"/>
        <v>Да</v>
      </c>
      <c r="M185" s="126" t="str">
        <f t="shared" si="24"/>
        <v>Да</v>
      </c>
      <c r="N185" s="126" t="str">
        <f t="shared" si="24"/>
        <v>Да</v>
      </c>
      <c r="O185" s="126" t="str">
        <f t="shared" si="24"/>
        <v>Да</v>
      </c>
      <c r="P185" s="126" t="str">
        <f t="shared" si="24"/>
        <v>Да</v>
      </c>
      <c r="Q185" s="126" t="str">
        <f t="shared" si="24"/>
        <v>Да</v>
      </c>
      <c r="R185" s="126" t="str">
        <f t="shared" si="24"/>
        <v>Да</v>
      </c>
      <c r="S185" s="126" t="str">
        <f t="shared" si="24"/>
        <v>Да</v>
      </c>
      <c r="T185" s="126" t="str">
        <f t="shared" si="24"/>
        <v>Да</v>
      </c>
      <c r="U185" s="126" t="str">
        <f t="shared" si="24"/>
        <v>Да</v>
      </c>
      <c r="V185" s="126" t="str">
        <f t="shared" si="24"/>
        <v>Да</v>
      </c>
      <c r="W185" s="126" t="str">
        <f t="shared" si="24"/>
        <v>Да</v>
      </c>
      <c r="X185" s="126" t="str">
        <f t="shared" si="24"/>
        <v>Да</v>
      </c>
      <c r="Y185" s="126" t="str">
        <f t="shared" si="24"/>
        <v>Да</v>
      </c>
      <c r="Z185" s="126" t="str">
        <f t="shared" si="24"/>
        <v>Да</v>
      </c>
      <c r="AA185" s="126"/>
    </row>
    <row r="186" spans="1:27" ht="12.75" customHeight="1">
      <c r="A186" s="117"/>
      <c r="B186" s="117"/>
      <c r="C186" s="124" t="s">
        <v>258</v>
      </c>
      <c r="D186" s="125">
        <f>Model!D190</f>
        <v>0</v>
      </c>
      <c r="E186" s="126">
        <f t="shared" ref="E186:Z186" si="25">ROUND(E173,0)-ROUND(E183,0)</f>
        <v>0</v>
      </c>
      <c r="F186" s="126">
        <f t="shared" si="25"/>
        <v>0</v>
      </c>
      <c r="G186" s="126">
        <f t="shared" si="25"/>
        <v>0</v>
      </c>
      <c r="H186" s="126">
        <f t="shared" si="25"/>
        <v>0</v>
      </c>
      <c r="I186" s="126">
        <f t="shared" si="25"/>
        <v>0</v>
      </c>
      <c r="J186" s="126">
        <f t="shared" si="25"/>
        <v>0</v>
      </c>
      <c r="K186" s="126">
        <f t="shared" si="25"/>
        <v>0</v>
      </c>
      <c r="L186" s="126">
        <f t="shared" si="25"/>
        <v>0</v>
      </c>
      <c r="M186" s="126">
        <f t="shared" si="25"/>
        <v>0</v>
      </c>
      <c r="N186" s="126">
        <f t="shared" si="25"/>
        <v>0</v>
      </c>
      <c r="O186" s="126">
        <f t="shared" si="25"/>
        <v>0</v>
      </c>
      <c r="P186" s="126">
        <f t="shared" si="25"/>
        <v>0</v>
      </c>
      <c r="Q186" s="126">
        <f t="shared" si="25"/>
        <v>0</v>
      </c>
      <c r="R186" s="126">
        <f t="shared" si="25"/>
        <v>0</v>
      </c>
      <c r="S186" s="126">
        <f t="shared" si="25"/>
        <v>0</v>
      </c>
      <c r="T186" s="126">
        <f t="shared" si="25"/>
        <v>0</v>
      </c>
      <c r="U186" s="126">
        <f t="shared" si="25"/>
        <v>0</v>
      </c>
      <c r="V186" s="126">
        <f t="shared" si="25"/>
        <v>0</v>
      </c>
      <c r="W186" s="126">
        <f t="shared" si="25"/>
        <v>0</v>
      </c>
      <c r="X186" s="126">
        <f t="shared" si="25"/>
        <v>0</v>
      </c>
      <c r="Y186" s="126">
        <f t="shared" si="25"/>
        <v>0</v>
      </c>
      <c r="Z186" s="126">
        <f t="shared" si="25"/>
        <v>0</v>
      </c>
      <c r="AA186" s="126"/>
    </row>
  </sheetData>
  <pageMargins left="0.70866141732283472" right="0.70866141732283472" top="0.74803149606299213" bottom="0.74803149606299213" header="0" footer="0"/>
  <pageSetup paperSize="9" orientation="landscape"/>
  <headerFooter>
    <oddFooter>&amp;C&amp;P</oddFooter>
  </headerFooter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3BEED-4BD5-42DB-988D-548C894C2578}">
  <sheetPr>
    <tabColor theme="8" tint="-0.249977111117893"/>
  </sheetPr>
  <dimension ref="A1:CO190"/>
  <sheetViews>
    <sheetView showGridLines="0" tabSelected="1" topLeftCell="A10" zoomScaleNormal="100" workbookViewId="0">
      <pane xSplit="3" ySplit="3" topLeftCell="D13" activePane="bottomRight" state="frozen"/>
      <selection activeCell="A10" sqref="A10"/>
      <selection pane="topRight" activeCell="D10" sqref="D10"/>
      <selection pane="bottomLeft" activeCell="A13" sqref="A13"/>
      <selection pane="bottomRight" activeCell="B97" sqref="B97:C106"/>
    </sheetView>
  </sheetViews>
  <sheetFormatPr defaultColWidth="14.453125" defaultRowHeight="15" customHeight="1" outlineLevelRow="4" outlineLevelCol="1"/>
  <cols>
    <col min="1" max="1" width="1.1796875" customWidth="1"/>
    <col min="2" max="2" width="39.453125" customWidth="1"/>
    <col min="3" max="3" width="16.453125" customWidth="1"/>
    <col min="4" max="92" width="11.26953125" customWidth="1" outlineLevel="1"/>
    <col min="93" max="93" width="12.26953125" customWidth="1" outlineLevel="1"/>
  </cols>
  <sheetData>
    <row r="1" spans="1:93" ht="2.25" customHeight="1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</row>
    <row r="2" spans="1:93" ht="2.25" customHeight="1">
      <c r="A2" s="35"/>
      <c r="B2" s="36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</row>
    <row r="3" spans="1:93" ht="12.75" customHeight="1">
      <c r="A3" s="35"/>
      <c r="B3" s="37"/>
      <c r="C3" s="38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40"/>
      <c r="AM3" s="39"/>
      <c r="AN3" s="39"/>
      <c r="AO3" s="39"/>
      <c r="AP3" s="39"/>
      <c r="AQ3" s="39"/>
      <c r="AR3" s="39"/>
      <c r="AS3" s="39"/>
      <c r="AT3" s="39"/>
      <c r="AU3" s="39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</row>
    <row r="4" spans="1:93" ht="6.75" customHeight="1">
      <c r="A4" s="35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41"/>
      <c r="Y4" s="41"/>
      <c r="Z4" s="41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</row>
    <row r="5" spans="1:93" ht="6" customHeight="1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</row>
    <row r="6" spans="1:93" ht="12.75" customHeight="1">
      <c r="A6" s="35"/>
      <c r="B6" s="414" t="s">
        <v>603</v>
      </c>
      <c r="C6" s="43" t="s">
        <v>109</v>
      </c>
      <c r="D6" s="44" t="s">
        <v>110</v>
      </c>
      <c r="E6" s="45">
        <v>45200</v>
      </c>
      <c r="F6" s="45">
        <f>EOMONTH(E6,2)+1</f>
        <v>45292</v>
      </c>
      <c r="G6" s="45">
        <f t="shared" ref="G6:BR6" si="0">EOMONTH(F6,2)+1</f>
        <v>45383</v>
      </c>
      <c r="H6" s="45">
        <f t="shared" si="0"/>
        <v>45474</v>
      </c>
      <c r="I6" s="45">
        <f t="shared" si="0"/>
        <v>45566</v>
      </c>
      <c r="J6" s="45">
        <f t="shared" si="0"/>
        <v>45658</v>
      </c>
      <c r="K6" s="45">
        <f t="shared" si="0"/>
        <v>45748</v>
      </c>
      <c r="L6" s="45">
        <f t="shared" si="0"/>
        <v>45839</v>
      </c>
      <c r="M6" s="45">
        <f t="shared" si="0"/>
        <v>45931</v>
      </c>
      <c r="N6" s="45">
        <f t="shared" si="0"/>
        <v>46023</v>
      </c>
      <c r="O6" s="45">
        <f t="shared" si="0"/>
        <v>46113</v>
      </c>
      <c r="P6" s="45">
        <f t="shared" si="0"/>
        <v>46204</v>
      </c>
      <c r="Q6" s="45">
        <f t="shared" si="0"/>
        <v>46296</v>
      </c>
      <c r="R6" s="45">
        <f t="shared" si="0"/>
        <v>46388</v>
      </c>
      <c r="S6" s="45">
        <f t="shared" si="0"/>
        <v>46478</v>
      </c>
      <c r="T6" s="45">
        <f t="shared" si="0"/>
        <v>46569</v>
      </c>
      <c r="U6" s="45">
        <f t="shared" si="0"/>
        <v>46661</v>
      </c>
      <c r="V6" s="45">
        <f t="shared" si="0"/>
        <v>46753</v>
      </c>
      <c r="W6" s="45">
        <f t="shared" si="0"/>
        <v>46844</v>
      </c>
      <c r="X6" s="45">
        <f t="shared" si="0"/>
        <v>46935</v>
      </c>
      <c r="Y6" s="45">
        <f t="shared" si="0"/>
        <v>47027</v>
      </c>
      <c r="Z6" s="45">
        <f t="shared" si="0"/>
        <v>47119</v>
      </c>
      <c r="AA6" s="45">
        <f t="shared" si="0"/>
        <v>47209</v>
      </c>
      <c r="AB6" s="45">
        <f t="shared" si="0"/>
        <v>47300</v>
      </c>
      <c r="AC6" s="45">
        <f t="shared" si="0"/>
        <v>47392</v>
      </c>
      <c r="AD6" s="45">
        <f t="shared" si="0"/>
        <v>47484</v>
      </c>
      <c r="AE6" s="45">
        <f t="shared" si="0"/>
        <v>47574</v>
      </c>
      <c r="AF6" s="45">
        <f t="shared" si="0"/>
        <v>47665</v>
      </c>
      <c r="AG6" s="45">
        <f t="shared" si="0"/>
        <v>47757</v>
      </c>
      <c r="AH6" s="45">
        <f t="shared" si="0"/>
        <v>47849</v>
      </c>
      <c r="AI6" s="45">
        <f t="shared" si="0"/>
        <v>47939</v>
      </c>
      <c r="AJ6" s="45">
        <f t="shared" si="0"/>
        <v>48030</v>
      </c>
      <c r="AK6" s="45">
        <f t="shared" si="0"/>
        <v>48122</v>
      </c>
      <c r="AL6" s="45">
        <f t="shared" si="0"/>
        <v>48214</v>
      </c>
      <c r="AM6" s="45">
        <f t="shared" si="0"/>
        <v>48305</v>
      </c>
      <c r="AN6" s="45">
        <f t="shared" si="0"/>
        <v>48396</v>
      </c>
      <c r="AO6" s="45">
        <f t="shared" si="0"/>
        <v>48488</v>
      </c>
      <c r="AP6" s="45">
        <f t="shared" si="0"/>
        <v>48580</v>
      </c>
      <c r="AQ6" s="45">
        <f t="shared" si="0"/>
        <v>48670</v>
      </c>
      <c r="AR6" s="45">
        <f t="shared" si="0"/>
        <v>48761</v>
      </c>
      <c r="AS6" s="45">
        <f t="shared" si="0"/>
        <v>48853</v>
      </c>
      <c r="AT6" s="45">
        <f t="shared" si="0"/>
        <v>48945</v>
      </c>
      <c r="AU6" s="45">
        <f t="shared" si="0"/>
        <v>49035</v>
      </c>
      <c r="AV6" s="45">
        <f t="shared" si="0"/>
        <v>49126</v>
      </c>
      <c r="AW6" s="45">
        <f t="shared" si="0"/>
        <v>49218</v>
      </c>
      <c r="AX6" s="45">
        <f t="shared" si="0"/>
        <v>49310</v>
      </c>
      <c r="AY6" s="45">
        <f t="shared" si="0"/>
        <v>49400</v>
      </c>
      <c r="AZ6" s="45">
        <f t="shared" si="0"/>
        <v>49491</v>
      </c>
      <c r="BA6" s="45">
        <f t="shared" si="0"/>
        <v>49583</v>
      </c>
      <c r="BB6" s="45">
        <f t="shared" si="0"/>
        <v>49675</v>
      </c>
      <c r="BC6" s="45">
        <f t="shared" si="0"/>
        <v>49766</v>
      </c>
      <c r="BD6" s="45">
        <f t="shared" si="0"/>
        <v>49857</v>
      </c>
      <c r="BE6" s="45">
        <f t="shared" si="0"/>
        <v>49949</v>
      </c>
      <c r="BF6" s="45">
        <f t="shared" si="0"/>
        <v>50041</v>
      </c>
      <c r="BG6" s="45">
        <f t="shared" si="0"/>
        <v>50131</v>
      </c>
      <c r="BH6" s="45">
        <f t="shared" si="0"/>
        <v>50222</v>
      </c>
      <c r="BI6" s="45">
        <f t="shared" si="0"/>
        <v>50314</v>
      </c>
      <c r="BJ6" s="45">
        <f t="shared" si="0"/>
        <v>50406</v>
      </c>
      <c r="BK6" s="45">
        <f t="shared" si="0"/>
        <v>50496</v>
      </c>
      <c r="BL6" s="45">
        <f t="shared" si="0"/>
        <v>50587</v>
      </c>
      <c r="BM6" s="45">
        <f t="shared" si="0"/>
        <v>50679</v>
      </c>
      <c r="BN6" s="45">
        <f t="shared" si="0"/>
        <v>50771</v>
      </c>
      <c r="BO6" s="45">
        <f t="shared" si="0"/>
        <v>50861</v>
      </c>
      <c r="BP6" s="45">
        <f t="shared" si="0"/>
        <v>50952</v>
      </c>
      <c r="BQ6" s="45">
        <f t="shared" si="0"/>
        <v>51044</v>
      </c>
      <c r="BR6" s="45">
        <f t="shared" si="0"/>
        <v>51136</v>
      </c>
      <c r="BS6" s="45">
        <f t="shared" ref="BS6:CO6" si="1">EOMONTH(BR6,2)+1</f>
        <v>51227</v>
      </c>
      <c r="BT6" s="45">
        <f t="shared" si="1"/>
        <v>51318</v>
      </c>
      <c r="BU6" s="45">
        <f t="shared" si="1"/>
        <v>51410</v>
      </c>
      <c r="BV6" s="45">
        <f t="shared" si="1"/>
        <v>51502</v>
      </c>
      <c r="BW6" s="45">
        <f t="shared" si="1"/>
        <v>51592</v>
      </c>
      <c r="BX6" s="45">
        <f t="shared" si="1"/>
        <v>51683</v>
      </c>
      <c r="BY6" s="45">
        <f t="shared" si="1"/>
        <v>51775</v>
      </c>
      <c r="BZ6" s="45">
        <f t="shared" si="1"/>
        <v>51867</v>
      </c>
      <c r="CA6" s="45">
        <f t="shared" si="1"/>
        <v>51957</v>
      </c>
      <c r="CB6" s="45">
        <f t="shared" si="1"/>
        <v>52048</v>
      </c>
      <c r="CC6" s="45">
        <f t="shared" si="1"/>
        <v>52140</v>
      </c>
      <c r="CD6" s="45">
        <f t="shared" si="1"/>
        <v>52232</v>
      </c>
      <c r="CE6" s="45">
        <f t="shared" si="1"/>
        <v>52322</v>
      </c>
      <c r="CF6" s="45">
        <f t="shared" si="1"/>
        <v>52413</v>
      </c>
      <c r="CG6" s="45">
        <f t="shared" si="1"/>
        <v>52505</v>
      </c>
      <c r="CH6" s="45">
        <f t="shared" si="1"/>
        <v>52597</v>
      </c>
      <c r="CI6" s="45">
        <f t="shared" si="1"/>
        <v>52688</v>
      </c>
      <c r="CJ6" s="45">
        <f t="shared" si="1"/>
        <v>52779</v>
      </c>
      <c r="CK6" s="45">
        <f t="shared" si="1"/>
        <v>52871</v>
      </c>
      <c r="CL6" s="45">
        <f t="shared" si="1"/>
        <v>52963</v>
      </c>
      <c r="CM6" s="45">
        <f t="shared" si="1"/>
        <v>53053</v>
      </c>
      <c r="CN6" s="45">
        <f t="shared" si="1"/>
        <v>53144</v>
      </c>
      <c r="CO6" s="45">
        <f t="shared" si="1"/>
        <v>53236</v>
      </c>
    </row>
    <row r="7" spans="1:93" ht="12.75" customHeight="1">
      <c r="A7" s="35"/>
      <c r="B7" s="415" t="s">
        <v>604</v>
      </c>
      <c r="C7" s="410"/>
      <c r="D7" s="411"/>
      <c r="E7" s="449">
        <v>45291</v>
      </c>
      <c r="F7" s="412">
        <f>EOMONTH(E7,3)</f>
        <v>45382</v>
      </c>
      <c r="G7" s="412">
        <f t="shared" ref="G7:BR7" si="2">EOMONTH(F7,3)</f>
        <v>45473</v>
      </c>
      <c r="H7" s="412">
        <f t="shared" si="2"/>
        <v>45565</v>
      </c>
      <c r="I7" s="412">
        <f t="shared" si="2"/>
        <v>45657</v>
      </c>
      <c r="J7" s="412">
        <f t="shared" si="2"/>
        <v>45747</v>
      </c>
      <c r="K7" s="412">
        <f t="shared" si="2"/>
        <v>45838</v>
      </c>
      <c r="L7" s="412">
        <f t="shared" si="2"/>
        <v>45930</v>
      </c>
      <c r="M7" s="412">
        <f t="shared" si="2"/>
        <v>46022</v>
      </c>
      <c r="N7" s="412">
        <f t="shared" si="2"/>
        <v>46112</v>
      </c>
      <c r="O7" s="412">
        <f t="shared" si="2"/>
        <v>46203</v>
      </c>
      <c r="P7" s="412">
        <f t="shared" si="2"/>
        <v>46295</v>
      </c>
      <c r="Q7" s="412">
        <f t="shared" si="2"/>
        <v>46387</v>
      </c>
      <c r="R7" s="412">
        <f t="shared" si="2"/>
        <v>46477</v>
      </c>
      <c r="S7" s="412">
        <f t="shared" si="2"/>
        <v>46568</v>
      </c>
      <c r="T7" s="412">
        <f t="shared" si="2"/>
        <v>46660</v>
      </c>
      <c r="U7" s="412">
        <f t="shared" si="2"/>
        <v>46752</v>
      </c>
      <c r="V7" s="412">
        <f t="shared" si="2"/>
        <v>46843</v>
      </c>
      <c r="W7" s="412">
        <f t="shared" si="2"/>
        <v>46934</v>
      </c>
      <c r="X7" s="412">
        <f t="shared" si="2"/>
        <v>47026</v>
      </c>
      <c r="Y7" s="412">
        <f t="shared" si="2"/>
        <v>47118</v>
      </c>
      <c r="Z7" s="412">
        <f t="shared" si="2"/>
        <v>47208</v>
      </c>
      <c r="AA7" s="412">
        <f t="shared" si="2"/>
        <v>47299</v>
      </c>
      <c r="AB7" s="412">
        <f t="shared" si="2"/>
        <v>47391</v>
      </c>
      <c r="AC7" s="412">
        <f t="shared" si="2"/>
        <v>47483</v>
      </c>
      <c r="AD7" s="412">
        <f t="shared" si="2"/>
        <v>47573</v>
      </c>
      <c r="AE7" s="412">
        <f t="shared" si="2"/>
        <v>47664</v>
      </c>
      <c r="AF7" s="412">
        <f t="shared" si="2"/>
        <v>47756</v>
      </c>
      <c r="AG7" s="412">
        <f t="shared" si="2"/>
        <v>47848</v>
      </c>
      <c r="AH7" s="412">
        <f t="shared" si="2"/>
        <v>47938</v>
      </c>
      <c r="AI7" s="412">
        <f t="shared" si="2"/>
        <v>48029</v>
      </c>
      <c r="AJ7" s="412">
        <f t="shared" si="2"/>
        <v>48121</v>
      </c>
      <c r="AK7" s="412">
        <f t="shared" si="2"/>
        <v>48213</v>
      </c>
      <c r="AL7" s="412">
        <f t="shared" si="2"/>
        <v>48304</v>
      </c>
      <c r="AM7" s="412">
        <f t="shared" si="2"/>
        <v>48395</v>
      </c>
      <c r="AN7" s="412">
        <f t="shared" si="2"/>
        <v>48487</v>
      </c>
      <c r="AO7" s="412">
        <f t="shared" si="2"/>
        <v>48579</v>
      </c>
      <c r="AP7" s="412">
        <f t="shared" si="2"/>
        <v>48669</v>
      </c>
      <c r="AQ7" s="412">
        <f t="shared" si="2"/>
        <v>48760</v>
      </c>
      <c r="AR7" s="412">
        <f t="shared" si="2"/>
        <v>48852</v>
      </c>
      <c r="AS7" s="412">
        <f t="shared" si="2"/>
        <v>48944</v>
      </c>
      <c r="AT7" s="412">
        <f t="shared" si="2"/>
        <v>49034</v>
      </c>
      <c r="AU7" s="412">
        <f t="shared" si="2"/>
        <v>49125</v>
      </c>
      <c r="AV7" s="412">
        <f t="shared" si="2"/>
        <v>49217</v>
      </c>
      <c r="AW7" s="412">
        <f t="shared" si="2"/>
        <v>49309</v>
      </c>
      <c r="AX7" s="412">
        <f t="shared" si="2"/>
        <v>49399</v>
      </c>
      <c r="AY7" s="412">
        <f t="shared" si="2"/>
        <v>49490</v>
      </c>
      <c r="AZ7" s="412">
        <f t="shared" si="2"/>
        <v>49582</v>
      </c>
      <c r="BA7" s="412">
        <f t="shared" si="2"/>
        <v>49674</v>
      </c>
      <c r="BB7" s="412">
        <f t="shared" si="2"/>
        <v>49765</v>
      </c>
      <c r="BC7" s="412">
        <f t="shared" si="2"/>
        <v>49856</v>
      </c>
      <c r="BD7" s="412">
        <f t="shared" si="2"/>
        <v>49948</v>
      </c>
      <c r="BE7" s="412">
        <f t="shared" si="2"/>
        <v>50040</v>
      </c>
      <c r="BF7" s="412">
        <f t="shared" si="2"/>
        <v>50130</v>
      </c>
      <c r="BG7" s="412">
        <f t="shared" si="2"/>
        <v>50221</v>
      </c>
      <c r="BH7" s="412">
        <f t="shared" si="2"/>
        <v>50313</v>
      </c>
      <c r="BI7" s="412">
        <f t="shared" si="2"/>
        <v>50405</v>
      </c>
      <c r="BJ7" s="412">
        <f t="shared" si="2"/>
        <v>50495</v>
      </c>
      <c r="BK7" s="412">
        <f t="shared" si="2"/>
        <v>50586</v>
      </c>
      <c r="BL7" s="412">
        <f t="shared" si="2"/>
        <v>50678</v>
      </c>
      <c r="BM7" s="412">
        <f t="shared" si="2"/>
        <v>50770</v>
      </c>
      <c r="BN7" s="412">
        <f t="shared" si="2"/>
        <v>50860</v>
      </c>
      <c r="BO7" s="412">
        <f t="shared" si="2"/>
        <v>50951</v>
      </c>
      <c r="BP7" s="412">
        <f t="shared" si="2"/>
        <v>51043</v>
      </c>
      <c r="BQ7" s="412">
        <f t="shared" si="2"/>
        <v>51135</v>
      </c>
      <c r="BR7" s="412">
        <f t="shared" si="2"/>
        <v>51226</v>
      </c>
      <c r="BS7" s="412">
        <f t="shared" ref="BS7:CO7" si="3">EOMONTH(BR7,3)</f>
        <v>51317</v>
      </c>
      <c r="BT7" s="412">
        <f t="shared" si="3"/>
        <v>51409</v>
      </c>
      <c r="BU7" s="412">
        <f t="shared" si="3"/>
        <v>51501</v>
      </c>
      <c r="BV7" s="412">
        <f t="shared" si="3"/>
        <v>51591</v>
      </c>
      <c r="BW7" s="412">
        <f t="shared" si="3"/>
        <v>51682</v>
      </c>
      <c r="BX7" s="412">
        <f t="shared" si="3"/>
        <v>51774</v>
      </c>
      <c r="BY7" s="412">
        <f t="shared" si="3"/>
        <v>51866</v>
      </c>
      <c r="BZ7" s="412">
        <f t="shared" si="3"/>
        <v>51956</v>
      </c>
      <c r="CA7" s="412">
        <f t="shared" si="3"/>
        <v>52047</v>
      </c>
      <c r="CB7" s="412">
        <f t="shared" si="3"/>
        <v>52139</v>
      </c>
      <c r="CC7" s="412">
        <f t="shared" si="3"/>
        <v>52231</v>
      </c>
      <c r="CD7" s="412">
        <f t="shared" si="3"/>
        <v>52321</v>
      </c>
      <c r="CE7" s="412">
        <f t="shared" si="3"/>
        <v>52412</v>
      </c>
      <c r="CF7" s="412">
        <f t="shared" si="3"/>
        <v>52504</v>
      </c>
      <c r="CG7" s="412">
        <f t="shared" si="3"/>
        <v>52596</v>
      </c>
      <c r="CH7" s="412">
        <f t="shared" si="3"/>
        <v>52687</v>
      </c>
      <c r="CI7" s="412">
        <f t="shared" si="3"/>
        <v>52778</v>
      </c>
      <c r="CJ7" s="412">
        <f t="shared" si="3"/>
        <v>52870</v>
      </c>
      <c r="CK7" s="412">
        <f t="shared" si="3"/>
        <v>52962</v>
      </c>
      <c r="CL7" s="412">
        <f t="shared" si="3"/>
        <v>53052</v>
      </c>
      <c r="CM7" s="412">
        <f t="shared" si="3"/>
        <v>53143</v>
      </c>
      <c r="CN7" s="412">
        <f t="shared" si="3"/>
        <v>53235</v>
      </c>
      <c r="CO7" s="412">
        <f t="shared" si="3"/>
        <v>53327</v>
      </c>
    </row>
    <row r="8" spans="1:93" ht="12.75" customHeight="1" outlineLevel="1">
      <c r="A8" s="35"/>
      <c r="B8" s="49" t="s">
        <v>112</v>
      </c>
      <c r="C8" s="50"/>
      <c r="D8" s="51">
        <v>0</v>
      </c>
      <c r="E8" s="52">
        <f t="shared" ref="E8:BP8" si="4">IF(MOD(E$9,4)=1,D8+1,D8)</f>
        <v>1</v>
      </c>
      <c r="F8" s="52">
        <f t="shared" si="4"/>
        <v>1</v>
      </c>
      <c r="G8" s="52">
        <f t="shared" si="4"/>
        <v>1</v>
      </c>
      <c r="H8" s="52">
        <f t="shared" si="4"/>
        <v>1</v>
      </c>
      <c r="I8" s="52">
        <f t="shared" si="4"/>
        <v>2</v>
      </c>
      <c r="J8" s="52">
        <f t="shared" si="4"/>
        <v>2</v>
      </c>
      <c r="K8" s="52">
        <f t="shared" si="4"/>
        <v>2</v>
      </c>
      <c r="L8" s="52">
        <f t="shared" si="4"/>
        <v>2</v>
      </c>
      <c r="M8" s="52">
        <f t="shared" si="4"/>
        <v>3</v>
      </c>
      <c r="N8" s="52">
        <f t="shared" si="4"/>
        <v>3</v>
      </c>
      <c r="O8" s="52">
        <f t="shared" si="4"/>
        <v>3</v>
      </c>
      <c r="P8" s="52">
        <f t="shared" si="4"/>
        <v>3</v>
      </c>
      <c r="Q8" s="52">
        <f t="shared" si="4"/>
        <v>4</v>
      </c>
      <c r="R8" s="52">
        <f t="shared" si="4"/>
        <v>4</v>
      </c>
      <c r="S8" s="52">
        <f t="shared" si="4"/>
        <v>4</v>
      </c>
      <c r="T8" s="52">
        <f t="shared" si="4"/>
        <v>4</v>
      </c>
      <c r="U8" s="52">
        <f t="shared" si="4"/>
        <v>5</v>
      </c>
      <c r="V8" s="52">
        <f t="shared" si="4"/>
        <v>5</v>
      </c>
      <c r="W8" s="52">
        <f t="shared" si="4"/>
        <v>5</v>
      </c>
      <c r="X8" s="52">
        <f t="shared" si="4"/>
        <v>5</v>
      </c>
      <c r="Y8" s="52">
        <f t="shared" si="4"/>
        <v>6</v>
      </c>
      <c r="Z8" s="52">
        <f t="shared" si="4"/>
        <v>6</v>
      </c>
      <c r="AA8" s="52">
        <f t="shared" si="4"/>
        <v>6</v>
      </c>
      <c r="AB8" s="52">
        <f t="shared" si="4"/>
        <v>6</v>
      </c>
      <c r="AC8" s="52">
        <f t="shared" si="4"/>
        <v>7</v>
      </c>
      <c r="AD8" s="52">
        <f t="shared" si="4"/>
        <v>7</v>
      </c>
      <c r="AE8" s="52">
        <f t="shared" si="4"/>
        <v>7</v>
      </c>
      <c r="AF8" s="52">
        <f t="shared" si="4"/>
        <v>7</v>
      </c>
      <c r="AG8" s="52">
        <f t="shared" si="4"/>
        <v>8</v>
      </c>
      <c r="AH8" s="52">
        <f t="shared" si="4"/>
        <v>8</v>
      </c>
      <c r="AI8" s="52">
        <f t="shared" si="4"/>
        <v>8</v>
      </c>
      <c r="AJ8" s="52">
        <f t="shared" si="4"/>
        <v>8</v>
      </c>
      <c r="AK8" s="52">
        <f t="shared" si="4"/>
        <v>9</v>
      </c>
      <c r="AL8" s="52">
        <f t="shared" si="4"/>
        <v>9</v>
      </c>
      <c r="AM8" s="52">
        <f t="shared" si="4"/>
        <v>9</v>
      </c>
      <c r="AN8" s="52">
        <f t="shared" si="4"/>
        <v>9</v>
      </c>
      <c r="AO8" s="52">
        <f t="shared" si="4"/>
        <v>10</v>
      </c>
      <c r="AP8" s="52">
        <f t="shared" si="4"/>
        <v>10</v>
      </c>
      <c r="AQ8" s="52">
        <f t="shared" si="4"/>
        <v>10</v>
      </c>
      <c r="AR8" s="52">
        <f t="shared" si="4"/>
        <v>10</v>
      </c>
      <c r="AS8" s="52">
        <f t="shared" si="4"/>
        <v>11</v>
      </c>
      <c r="AT8" s="52">
        <f t="shared" si="4"/>
        <v>11</v>
      </c>
      <c r="AU8" s="52">
        <f t="shared" si="4"/>
        <v>11</v>
      </c>
      <c r="AV8" s="52">
        <f t="shared" si="4"/>
        <v>11</v>
      </c>
      <c r="AW8" s="52">
        <f t="shared" si="4"/>
        <v>12</v>
      </c>
      <c r="AX8" s="52">
        <f t="shared" si="4"/>
        <v>12</v>
      </c>
      <c r="AY8" s="52">
        <f t="shared" si="4"/>
        <v>12</v>
      </c>
      <c r="AZ8" s="52">
        <f t="shared" si="4"/>
        <v>12</v>
      </c>
      <c r="BA8" s="52">
        <f t="shared" si="4"/>
        <v>13</v>
      </c>
      <c r="BB8" s="52">
        <f t="shared" si="4"/>
        <v>13</v>
      </c>
      <c r="BC8" s="52">
        <f t="shared" si="4"/>
        <v>13</v>
      </c>
      <c r="BD8" s="52">
        <f t="shared" si="4"/>
        <v>13</v>
      </c>
      <c r="BE8" s="52">
        <f t="shared" si="4"/>
        <v>14</v>
      </c>
      <c r="BF8" s="52">
        <f t="shared" si="4"/>
        <v>14</v>
      </c>
      <c r="BG8" s="52">
        <f t="shared" si="4"/>
        <v>14</v>
      </c>
      <c r="BH8" s="52">
        <f t="shared" si="4"/>
        <v>14</v>
      </c>
      <c r="BI8" s="52">
        <f t="shared" si="4"/>
        <v>15</v>
      </c>
      <c r="BJ8" s="52">
        <f t="shared" si="4"/>
        <v>15</v>
      </c>
      <c r="BK8" s="52">
        <f t="shared" si="4"/>
        <v>15</v>
      </c>
      <c r="BL8" s="52">
        <f t="shared" si="4"/>
        <v>15</v>
      </c>
      <c r="BM8" s="52">
        <f t="shared" si="4"/>
        <v>16</v>
      </c>
      <c r="BN8" s="52">
        <f t="shared" si="4"/>
        <v>16</v>
      </c>
      <c r="BO8" s="52">
        <f t="shared" si="4"/>
        <v>16</v>
      </c>
      <c r="BP8" s="52">
        <f t="shared" si="4"/>
        <v>16</v>
      </c>
      <c r="BQ8" s="52">
        <f t="shared" ref="BQ8:CN8" si="5">IF(MOD(BQ$9,4)=1,BP8+1,BP8)</f>
        <v>17</v>
      </c>
      <c r="BR8" s="52">
        <f t="shared" si="5"/>
        <v>17</v>
      </c>
      <c r="BS8" s="52">
        <f t="shared" si="5"/>
        <v>17</v>
      </c>
      <c r="BT8" s="52">
        <f t="shared" si="5"/>
        <v>17</v>
      </c>
      <c r="BU8" s="52">
        <f t="shared" si="5"/>
        <v>18</v>
      </c>
      <c r="BV8" s="52">
        <f t="shared" si="5"/>
        <v>18</v>
      </c>
      <c r="BW8" s="52">
        <f t="shared" si="5"/>
        <v>18</v>
      </c>
      <c r="BX8" s="52">
        <f t="shared" si="5"/>
        <v>18</v>
      </c>
      <c r="BY8" s="52">
        <f t="shared" si="5"/>
        <v>19</v>
      </c>
      <c r="BZ8" s="52">
        <f t="shared" si="5"/>
        <v>19</v>
      </c>
      <c r="CA8" s="52">
        <f t="shared" si="5"/>
        <v>19</v>
      </c>
      <c r="CB8" s="52">
        <f t="shared" si="5"/>
        <v>19</v>
      </c>
      <c r="CC8" s="52">
        <f t="shared" si="5"/>
        <v>20</v>
      </c>
      <c r="CD8" s="52">
        <f t="shared" si="5"/>
        <v>20</v>
      </c>
      <c r="CE8" s="52">
        <f t="shared" si="5"/>
        <v>20</v>
      </c>
      <c r="CF8" s="52">
        <f t="shared" si="5"/>
        <v>20</v>
      </c>
      <c r="CG8" s="52">
        <f t="shared" si="5"/>
        <v>21</v>
      </c>
      <c r="CH8" s="52">
        <f t="shared" si="5"/>
        <v>21</v>
      </c>
      <c r="CI8" s="52">
        <f t="shared" si="5"/>
        <v>21</v>
      </c>
      <c r="CJ8" s="52">
        <f t="shared" si="5"/>
        <v>21</v>
      </c>
      <c r="CK8" s="52">
        <f t="shared" si="5"/>
        <v>22</v>
      </c>
      <c r="CL8" s="52">
        <f t="shared" si="5"/>
        <v>22</v>
      </c>
      <c r="CM8" s="52">
        <f t="shared" si="5"/>
        <v>22</v>
      </c>
      <c r="CN8" s="52">
        <f t="shared" si="5"/>
        <v>22</v>
      </c>
      <c r="CO8" s="52">
        <f>CN8+1</f>
        <v>23</v>
      </c>
    </row>
    <row r="9" spans="1:93" ht="12.75" customHeight="1" outlineLevel="1">
      <c r="A9" s="35"/>
      <c r="B9" s="54" t="s">
        <v>113</v>
      </c>
      <c r="C9" s="55"/>
      <c r="D9" s="56">
        <v>0</v>
      </c>
      <c r="E9" s="57">
        <f t="shared" ref="E9:BP9" si="6">D9+1</f>
        <v>1</v>
      </c>
      <c r="F9" s="57">
        <f t="shared" si="6"/>
        <v>2</v>
      </c>
      <c r="G9" s="57">
        <f t="shared" si="6"/>
        <v>3</v>
      </c>
      <c r="H9" s="57">
        <f t="shared" si="6"/>
        <v>4</v>
      </c>
      <c r="I9" s="57">
        <f t="shared" si="6"/>
        <v>5</v>
      </c>
      <c r="J9" s="57">
        <f t="shared" si="6"/>
        <v>6</v>
      </c>
      <c r="K9" s="57">
        <f t="shared" si="6"/>
        <v>7</v>
      </c>
      <c r="L9" s="57">
        <f t="shared" si="6"/>
        <v>8</v>
      </c>
      <c r="M9" s="57">
        <f t="shared" si="6"/>
        <v>9</v>
      </c>
      <c r="N9" s="57">
        <f t="shared" si="6"/>
        <v>10</v>
      </c>
      <c r="O9" s="57">
        <f t="shared" si="6"/>
        <v>11</v>
      </c>
      <c r="P9" s="57">
        <f t="shared" si="6"/>
        <v>12</v>
      </c>
      <c r="Q9" s="57">
        <f t="shared" si="6"/>
        <v>13</v>
      </c>
      <c r="R9" s="57">
        <f t="shared" si="6"/>
        <v>14</v>
      </c>
      <c r="S9" s="57">
        <f t="shared" si="6"/>
        <v>15</v>
      </c>
      <c r="T9" s="57">
        <f t="shared" si="6"/>
        <v>16</v>
      </c>
      <c r="U9" s="57">
        <f t="shared" si="6"/>
        <v>17</v>
      </c>
      <c r="V9" s="57">
        <f t="shared" si="6"/>
        <v>18</v>
      </c>
      <c r="W9" s="57">
        <f t="shared" si="6"/>
        <v>19</v>
      </c>
      <c r="X9" s="57">
        <f t="shared" si="6"/>
        <v>20</v>
      </c>
      <c r="Y9" s="57">
        <f t="shared" si="6"/>
        <v>21</v>
      </c>
      <c r="Z9" s="57">
        <f t="shared" si="6"/>
        <v>22</v>
      </c>
      <c r="AA9" s="57">
        <f t="shared" si="6"/>
        <v>23</v>
      </c>
      <c r="AB9" s="57">
        <f t="shared" si="6"/>
        <v>24</v>
      </c>
      <c r="AC9" s="57">
        <f t="shared" si="6"/>
        <v>25</v>
      </c>
      <c r="AD9" s="57">
        <f t="shared" si="6"/>
        <v>26</v>
      </c>
      <c r="AE9" s="57">
        <f t="shared" si="6"/>
        <v>27</v>
      </c>
      <c r="AF9" s="57">
        <f t="shared" si="6"/>
        <v>28</v>
      </c>
      <c r="AG9" s="57">
        <f t="shared" si="6"/>
        <v>29</v>
      </c>
      <c r="AH9" s="57">
        <f t="shared" si="6"/>
        <v>30</v>
      </c>
      <c r="AI9" s="57">
        <f t="shared" si="6"/>
        <v>31</v>
      </c>
      <c r="AJ9" s="57">
        <f t="shared" si="6"/>
        <v>32</v>
      </c>
      <c r="AK9" s="57">
        <f t="shared" si="6"/>
        <v>33</v>
      </c>
      <c r="AL9" s="57">
        <f t="shared" si="6"/>
        <v>34</v>
      </c>
      <c r="AM9" s="57">
        <f t="shared" si="6"/>
        <v>35</v>
      </c>
      <c r="AN9" s="57">
        <f t="shared" si="6"/>
        <v>36</v>
      </c>
      <c r="AO9" s="57">
        <f t="shared" si="6"/>
        <v>37</v>
      </c>
      <c r="AP9" s="57">
        <f t="shared" si="6"/>
        <v>38</v>
      </c>
      <c r="AQ9" s="57">
        <f t="shared" si="6"/>
        <v>39</v>
      </c>
      <c r="AR9" s="57">
        <f t="shared" si="6"/>
        <v>40</v>
      </c>
      <c r="AS9" s="57">
        <f t="shared" si="6"/>
        <v>41</v>
      </c>
      <c r="AT9" s="57">
        <f t="shared" si="6"/>
        <v>42</v>
      </c>
      <c r="AU9" s="57">
        <f t="shared" si="6"/>
        <v>43</v>
      </c>
      <c r="AV9" s="57">
        <f t="shared" si="6"/>
        <v>44</v>
      </c>
      <c r="AW9" s="57">
        <f t="shared" si="6"/>
        <v>45</v>
      </c>
      <c r="AX9" s="57">
        <f t="shared" si="6"/>
        <v>46</v>
      </c>
      <c r="AY9" s="57">
        <f t="shared" si="6"/>
        <v>47</v>
      </c>
      <c r="AZ9" s="57">
        <f t="shared" si="6"/>
        <v>48</v>
      </c>
      <c r="BA9" s="57">
        <f t="shared" si="6"/>
        <v>49</v>
      </c>
      <c r="BB9" s="57">
        <f t="shared" si="6"/>
        <v>50</v>
      </c>
      <c r="BC9" s="57">
        <f t="shared" si="6"/>
        <v>51</v>
      </c>
      <c r="BD9" s="57">
        <f t="shared" si="6"/>
        <v>52</v>
      </c>
      <c r="BE9" s="57">
        <f t="shared" si="6"/>
        <v>53</v>
      </c>
      <c r="BF9" s="57">
        <f t="shared" si="6"/>
        <v>54</v>
      </c>
      <c r="BG9" s="57">
        <f t="shared" si="6"/>
        <v>55</v>
      </c>
      <c r="BH9" s="57">
        <f t="shared" si="6"/>
        <v>56</v>
      </c>
      <c r="BI9" s="57">
        <f t="shared" si="6"/>
        <v>57</v>
      </c>
      <c r="BJ9" s="57">
        <f t="shared" si="6"/>
        <v>58</v>
      </c>
      <c r="BK9" s="57">
        <f t="shared" si="6"/>
        <v>59</v>
      </c>
      <c r="BL9" s="57">
        <f t="shared" si="6"/>
        <v>60</v>
      </c>
      <c r="BM9" s="57">
        <f t="shared" si="6"/>
        <v>61</v>
      </c>
      <c r="BN9" s="57">
        <f t="shared" si="6"/>
        <v>62</v>
      </c>
      <c r="BO9" s="57">
        <f t="shared" si="6"/>
        <v>63</v>
      </c>
      <c r="BP9" s="57">
        <f t="shared" si="6"/>
        <v>64</v>
      </c>
      <c r="BQ9" s="57">
        <f t="shared" ref="BQ9:CN9" si="7">BP9+1</f>
        <v>65</v>
      </c>
      <c r="BR9" s="57">
        <f t="shared" si="7"/>
        <v>66</v>
      </c>
      <c r="BS9" s="57">
        <f t="shared" si="7"/>
        <v>67</v>
      </c>
      <c r="BT9" s="57">
        <f t="shared" si="7"/>
        <v>68</v>
      </c>
      <c r="BU9" s="57">
        <f t="shared" si="7"/>
        <v>69</v>
      </c>
      <c r="BV9" s="57">
        <f t="shared" si="7"/>
        <v>70</v>
      </c>
      <c r="BW9" s="57">
        <f t="shared" si="7"/>
        <v>71</v>
      </c>
      <c r="BX9" s="57">
        <f t="shared" si="7"/>
        <v>72</v>
      </c>
      <c r="BY9" s="57">
        <f t="shared" si="7"/>
        <v>73</v>
      </c>
      <c r="BZ9" s="57">
        <f t="shared" si="7"/>
        <v>74</v>
      </c>
      <c r="CA9" s="57">
        <f t="shared" si="7"/>
        <v>75</v>
      </c>
      <c r="CB9" s="57">
        <f t="shared" si="7"/>
        <v>76</v>
      </c>
      <c r="CC9" s="57">
        <f t="shared" si="7"/>
        <v>77</v>
      </c>
      <c r="CD9" s="57">
        <f t="shared" si="7"/>
        <v>78</v>
      </c>
      <c r="CE9" s="57">
        <f t="shared" si="7"/>
        <v>79</v>
      </c>
      <c r="CF9" s="57">
        <f t="shared" si="7"/>
        <v>80</v>
      </c>
      <c r="CG9" s="57">
        <f t="shared" si="7"/>
        <v>81</v>
      </c>
      <c r="CH9" s="57">
        <f t="shared" si="7"/>
        <v>82</v>
      </c>
      <c r="CI9" s="57">
        <f t="shared" si="7"/>
        <v>83</v>
      </c>
      <c r="CJ9" s="57">
        <f t="shared" si="7"/>
        <v>84</v>
      </c>
      <c r="CK9" s="57">
        <f t="shared" si="7"/>
        <v>85</v>
      </c>
      <c r="CL9" s="57">
        <f t="shared" si="7"/>
        <v>86</v>
      </c>
      <c r="CM9" s="57">
        <f t="shared" si="7"/>
        <v>87</v>
      </c>
      <c r="CN9" s="57">
        <f t="shared" si="7"/>
        <v>88</v>
      </c>
      <c r="CO9" s="35"/>
    </row>
    <row r="10" spans="1:93" ht="12.75" customHeight="1">
      <c r="A10" s="35"/>
      <c r="B10" s="35"/>
      <c r="C10" s="35"/>
      <c r="D10" s="59"/>
      <c r="E10" s="35">
        <v>1</v>
      </c>
      <c r="F10" s="35">
        <v>2</v>
      </c>
      <c r="G10" s="35">
        <v>3</v>
      </c>
      <c r="H10" s="35">
        <v>4</v>
      </c>
      <c r="I10" s="35">
        <f t="shared" ref="I10:X10" si="8">E10</f>
        <v>1</v>
      </c>
      <c r="J10" s="35">
        <f t="shared" si="8"/>
        <v>2</v>
      </c>
      <c r="K10" s="35">
        <f t="shared" si="8"/>
        <v>3</v>
      </c>
      <c r="L10" s="35">
        <f t="shared" si="8"/>
        <v>4</v>
      </c>
      <c r="M10" s="35">
        <f t="shared" si="8"/>
        <v>1</v>
      </c>
      <c r="N10" s="35">
        <f t="shared" si="8"/>
        <v>2</v>
      </c>
      <c r="O10" s="35">
        <f t="shared" si="8"/>
        <v>3</v>
      </c>
      <c r="P10" s="35">
        <f t="shared" si="8"/>
        <v>4</v>
      </c>
      <c r="Q10" s="35">
        <f t="shared" si="8"/>
        <v>1</v>
      </c>
      <c r="R10" s="35">
        <f t="shared" si="8"/>
        <v>2</v>
      </c>
      <c r="S10" s="35">
        <f t="shared" si="8"/>
        <v>3</v>
      </c>
      <c r="T10" s="35">
        <f t="shared" si="8"/>
        <v>4</v>
      </c>
      <c r="U10" s="35">
        <f t="shared" si="8"/>
        <v>1</v>
      </c>
      <c r="V10" s="35">
        <f t="shared" si="8"/>
        <v>2</v>
      </c>
      <c r="W10" s="35">
        <f t="shared" si="8"/>
        <v>3</v>
      </c>
      <c r="X10" s="35">
        <f t="shared" si="8"/>
        <v>4</v>
      </c>
      <c r="Y10" s="35">
        <f>E10</f>
        <v>1</v>
      </c>
      <c r="Z10" s="35">
        <f t="shared" ref="Z10:CK10" si="9">V10</f>
        <v>2</v>
      </c>
      <c r="AA10" s="35">
        <f t="shared" si="9"/>
        <v>3</v>
      </c>
      <c r="AB10" s="35">
        <f t="shared" si="9"/>
        <v>4</v>
      </c>
      <c r="AC10" s="35">
        <f t="shared" si="9"/>
        <v>1</v>
      </c>
      <c r="AD10" s="35">
        <f t="shared" si="9"/>
        <v>2</v>
      </c>
      <c r="AE10" s="35">
        <f t="shared" si="9"/>
        <v>3</v>
      </c>
      <c r="AF10" s="35">
        <f t="shared" si="9"/>
        <v>4</v>
      </c>
      <c r="AG10" s="35">
        <f t="shared" si="9"/>
        <v>1</v>
      </c>
      <c r="AH10" s="35">
        <f t="shared" si="9"/>
        <v>2</v>
      </c>
      <c r="AI10" s="35">
        <f t="shared" si="9"/>
        <v>3</v>
      </c>
      <c r="AJ10" s="35">
        <f t="shared" si="9"/>
        <v>4</v>
      </c>
      <c r="AK10" s="35">
        <f t="shared" si="9"/>
        <v>1</v>
      </c>
      <c r="AL10" s="35">
        <f t="shared" si="9"/>
        <v>2</v>
      </c>
      <c r="AM10" s="35">
        <f t="shared" si="9"/>
        <v>3</v>
      </c>
      <c r="AN10" s="35">
        <f t="shared" si="9"/>
        <v>4</v>
      </c>
      <c r="AO10" s="35">
        <f t="shared" si="9"/>
        <v>1</v>
      </c>
      <c r="AP10" s="35">
        <f t="shared" si="9"/>
        <v>2</v>
      </c>
      <c r="AQ10" s="35">
        <f t="shared" si="9"/>
        <v>3</v>
      </c>
      <c r="AR10" s="35">
        <f t="shared" si="9"/>
        <v>4</v>
      </c>
      <c r="AS10" s="35">
        <f t="shared" si="9"/>
        <v>1</v>
      </c>
      <c r="AT10" s="35">
        <f t="shared" si="9"/>
        <v>2</v>
      </c>
      <c r="AU10" s="35">
        <f t="shared" si="9"/>
        <v>3</v>
      </c>
      <c r="AV10" s="35">
        <f t="shared" si="9"/>
        <v>4</v>
      </c>
      <c r="AW10" s="35">
        <f t="shared" si="9"/>
        <v>1</v>
      </c>
      <c r="AX10" s="35">
        <f t="shared" si="9"/>
        <v>2</v>
      </c>
      <c r="AY10" s="35">
        <f t="shared" si="9"/>
        <v>3</v>
      </c>
      <c r="AZ10" s="35">
        <f t="shared" si="9"/>
        <v>4</v>
      </c>
      <c r="BA10" s="35">
        <f t="shared" si="9"/>
        <v>1</v>
      </c>
      <c r="BB10" s="35">
        <f t="shared" si="9"/>
        <v>2</v>
      </c>
      <c r="BC10" s="35">
        <f t="shared" si="9"/>
        <v>3</v>
      </c>
      <c r="BD10" s="35">
        <f t="shared" si="9"/>
        <v>4</v>
      </c>
      <c r="BE10" s="35">
        <f t="shared" si="9"/>
        <v>1</v>
      </c>
      <c r="BF10" s="35">
        <f t="shared" si="9"/>
        <v>2</v>
      </c>
      <c r="BG10" s="35">
        <f t="shared" si="9"/>
        <v>3</v>
      </c>
      <c r="BH10" s="35">
        <f t="shared" si="9"/>
        <v>4</v>
      </c>
      <c r="BI10" s="35">
        <f t="shared" si="9"/>
        <v>1</v>
      </c>
      <c r="BJ10" s="35">
        <f t="shared" si="9"/>
        <v>2</v>
      </c>
      <c r="BK10" s="35">
        <f t="shared" si="9"/>
        <v>3</v>
      </c>
      <c r="BL10" s="35">
        <f t="shared" si="9"/>
        <v>4</v>
      </c>
      <c r="BM10" s="35">
        <f t="shared" si="9"/>
        <v>1</v>
      </c>
      <c r="BN10" s="35">
        <f t="shared" si="9"/>
        <v>2</v>
      </c>
      <c r="BO10" s="35">
        <f t="shared" si="9"/>
        <v>3</v>
      </c>
      <c r="BP10" s="35">
        <f t="shared" si="9"/>
        <v>4</v>
      </c>
      <c r="BQ10" s="35">
        <f t="shared" si="9"/>
        <v>1</v>
      </c>
      <c r="BR10" s="35">
        <f t="shared" si="9"/>
        <v>2</v>
      </c>
      <c r="BS10" s="35">
        <f t="shared" si="9"/>
        <v>3</v>
      </c>
      <c r="BT10" s="35">
        <f t="shared" si="9"/>
        <v>4</v>
      </c>
      <c r="BU10" s="35">
        <f t="shared" si="9"/>
        <v>1</v>
      </c>
      <c r="BV10" s="35">
        <f t="shared" si="9"/>
        <v>2</v>
      </c>
      <c r="BW10" s="35">
        <f t="shared" si="9"/>
        <v>3</v>
      </c>
      <c r="BX10" s="35">
        <f t="shared" si="9"/>
        <v>4</v>
      </c>
      <c r="BY10" s="35">
        <f t="shared" si="9"/>
        <v>1</v>
      </c>
      <c r="BZ10" s="35">
        <f t="shared" si="9"/>
        <v>2</v>
      </c>
      <c r="CA10" s="35">
        <f t="shared" si="9"/>
        <v>3</v>
      </c>
      <c r="CB10" s="35">
        <f t="shared" si="9"/>
        <v>4</v>
      </c>
      <c r="CC10" s="35">
        <f t="shared" si="9"/>
        <v>1</v>
      </c>
      <c r="CD10" s="35">
        <f t="shared" si="9"/>
        <v>2</v>
      </c>
      <c r="CE10" s="35">
        <f t="shared" si="9"/>
        <v>3</v>
      </c>
      <c r="CF10" s="35">
        <f t="shared" si="9"/>
        <v>4</v>
      </c>
      <c r="CG10" s="35">
        <f t="shared" si="9"/>
        <v>1</v>
      </c>
      <c r="CH10" s="35">
        <f t="shared" si="9"/>
        <v>2</v>
      </c>
      <c r="CI10" s="35">
        <f t="shared" si="9"/>
        <v>3</v>
      </c>
      <c r="CJ10" s="35">
        <f t="shared" si="9"/>
        <v>4</v>
      </c>
      <c r="CK10" s="35">
        <f t="shared" si="9"/>
        <v>1</v>
      </c>
      <c r="CL10" s="35">
        <f t="shared" ref="CL10:CN10" si="10">CH10</f>
        <v>2</v>
      </c>
      <c r="CM10" s="35">
        <f t="shared" si="10"/>
        <v>3</v>
      </c>
      <c r="CN10" s="35">
        <f t="shared" si="10"/>
        <v>4</v>
      </c>
      <c r="CO10" s="35"/>
    </row>
    <row r="11" spans="1:93" ht="12.75" customHeight="1">
      <c r="A11" s="35"/>
      <c r="B11" s="35"/>
      <c r="C11" s="35"/>
      <c r="D11" s="60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</row>
    <row r="12" spans="1:93" ht="12.75" customHeight="1">
      <c r="A12" s="35"/>
      <c r="B12" s="42" t="s">
        <v>114</v>
      </c>
      <c r="C12" s="42"/>
      <c r="D12" s="44"/>
      <c r="E12" s="45">
        <v>47027</v>
      </c>
      <c r="F12" s="45">
        <f>EOMONTH(E12,2)+1</f>
        <v>47119</v>
      </c>
      <c r="G12" s="45">
        <f t="shared" ref="G12:BR12" si="11">EOMONTH(F12,2)+1</f>
        <v>47209</v>
      </c>
      <c r="H12" s="45">
        <f t="shared" si="11"/>
        <v>47300</v>
      </c>
      <c r="I12" s="45">
        <f t="shared" si="11"/>
        <v>47392</v>
      </c>
      <c r="J12" s="45">
        <f t="shared" si="11"/>
        <v>47484</v>
      </c>
      <c r="K12" s="45">
        <f t="shared" si="11"/>
        <v>47574</v>
      </c>
      <c r="L12" s="45">
        <f t="shared" si="11"/>
        <v>47665</v>
      </c>
      <c r="M12" s="45">
        <f t="shared" si="11"/>
        <v>47757</v>
      </c>
      <c r="N12" s="45">
        <f t="shared" si="11"/>
        <v>47849</v>
      </c>
      <c r="O12" s="45">
        <f t="shared" si="11"/>
        <v>47939</v>
      </c>
      <c r="P12" s="45">
        <f t="shared" si="11"/>
        <v>48030</v>
      </c>
      <c r="Q12" s="45">
        <f t="shared" si="11"/>
        <v>48122</v>
      </c>
      <c r="R12" s="45">
        <f t="shared" si="11"/>
        <v>48214</v>
      </c>
      <c r="S12" s="45">
        <f t="shared" si="11"/>
        <v>48305</v>
      </c>
      <c r="T12" s="45">
        <f t="shared" si="11"/>
        <v>48396</v>
      </c>
      <c r="U12" s="45">
        <f t="shared" si="11"/>
        <v>48488</v>
      </c>
      <c r="V12" s="45">
        <f t="shared" si="11"/>
        <v>48580</v>
      </c>
      <c r="W12" s="45">
        <f t="shared" si="11"/>
        <v>48670</v>
      </c>
      <c r="X12" s="45">
        <f t="shared" si="11"/>
        <v>48761</v>
      </c>
      <c r="Y12" s="45">
        <f t="shared" si="11"/>
        <v>48853</v>
      </c>
      <c r="Z12" s="45">
        <f t="shared" si="11"/>
        <v>48945</v>
      </c>
      <c r="AA12" s="45">
        <f t="shared" si="11"/>
        <v>49035</v>
      </c>
      <c r="AB12" s="45">
        <f t="shared" si="11"/>
        <v>49126</v>
      </c>
      <c r="AC12" s="45">
        <f t="shared" si="11"/>
        <v>49218</v>
      </c>
      <c r="AD12" s="45">
        <f t="shared" si="11"/>
        <v>49310</v>
      </c>
      <c r="AE12" s="45">
        <f t="shared" si="11"/>
        <v>49400</v>
      </c>
      <c r="AF12" s="45">
        <f t="shared" si="11"/>
        <v>49491</v>
      </c>
      <c r="AG12" s="45">
        <f t="shared" si="11"/>
        <v>49583</v>
      </c>
      <c r="AH12" s="45">
        <f t="shared" si="11"/>
        <v>49675</v>
      </c>
      <c r="AI12" s="45">
        <f t="shared" si="11"/>
        <v>49766</v>
      </c>
      <c r="AJ12" s="45">
        <f t="shared" si="11"/>
        <v>49857</v>
      </c>
      <c r="AK12" s="45">
        <f t="shared" si="11"/>
        <v>49949</v>
      </c>
      <c r="AL12" s="45">
        <f t="shared" si="11"/>
        <v>50041</v>
      </c>
      <c r="AM12" s="45">
        <f t="shared" si="11"/>
        <v>50131</v>
      </c>
      <c r="AN12" s="45">
        <f t="shared" si="11"/>
        <v>50222</v>
      </c>
      <c r="AO12" s="45">
        <f t="shared" si="11"/>
        <v>50314</v>
      </c>
      <c r="AP12" s="45">
        <f t="shared" si="11"/>
        <v>50406</v>
      </c>
      <c r="AQ12" s="45">
        <f t="shared" si="11"/>
        <v>50496</v>
      </c>
      <c r="AR12" s="45">
        <f t="shared" si="11"/>
        <v>50587</v>
      </c>
      <c r="AS12" s="45">
        <f t="shared" si="11"/>
        <v>50679</v>
      </c>
      <c r="AT12" s="45">
        <f t="shared" si="11"/>
        <v>50771</v>
      </c>
      <c r="AU12" s="45">
        <f t="shared" si="11"/>
        <v>50861</v>
      </c>
      <c r="AV12" s="45">
        <f t="shared" si="11"/>
        <v>50952</v>
      </c>
      <c r="AW12" s="45">
        <f t="shared" si="11"/>
        <v>51044</v>
      </c>
      <c r="AX12" s="45">
        <f t="shared" si="11"/>
        <v>51136</v>
      </c>
      <c r="AY12" s="45">
        <f t="shared" si="11"/>
        <v>51227</v>
      </c>
      <c r="AZ12" s="45">
        <f t="shared" si="11"/>
        <v>51318</v>
      </c>
      <c r="BA12" s="45">
        <f t="shared" si="11"/>
        <v>51410</v>
      </c>
      <c r="BB12" s="45">
        <f t="shared" si="11"/>
        <v>51502</v>
      </c>
      <c r="BC12" s="45">
        <f t="shared" si="11"/>
        <v>51592</v>
      </c>
      <c r="BD12" s="45">
        <f t="shared" si="11"/>
        <v>51683</v>
      </c>
      <c r="BE12" s="45">
        <f t="shared" si="11"/>
        <v>51775</v>
      </c>
      <c r="BF12" s="45">
        <f t="shared" si="11"/>
        <v>51867</v>
      </c>
      <c r="BG12" s="45">
        <f t="shared" si="11"/>
        <v>51957</v>
      </c>
      <c r="BH12" s="45">
        <f t="shared" si="11"/>
        <v>52048</v>
      </c>
      <c r="BI12" s="45">
        <f t="shared" si="11"/>
        <v>52140</v>
      </c>
      <c r="BJ12" s="45">
        <f t="shared" si="11"/>
        <v>52232</v>
      </c>
      <c r="BK12" s="45">
        <f t="shared" si="11"/>
        <v>52322</v>
      </c>
      <c r="BL12" s="45">
        <f t="shared" si="11"/>
        <v>52413</v>
      </c>
      <c r="BM12" s="45">
        <f t="shared" si="11"/>
        <v>52505</v>
      </c>
      <c r="BN12" s="45">
        <f t="shared" si="11"/>
        <v>52597</v>
      </c>
      <c r="BO12" s="45">
        <f t="shared" si="11"/>
        <v>52688</v>
      </c>
      <c r="BP12" s="45">
        <f t="shared" si="11"/>
        <v>52779</v>
      </c>
      <c r="BQ12" s="45">
        <f t="shared" si="11"/>
        <v>52871</v>
      </c>
      <c r="BR12" s="45">
        <f t="shared" si="11"/>
        <v>52963</v>
      </c>
      <c r="BS12" s="45">
        <f t="shared" ref="BS12:CN12" si="12">EOMONTH(BR12,2)+1</f>
        <v>53053</v>
      </c>
      <c r="BT12" s="45">
        <f t="shared" si="12"/>
        <v>53144</v>
      </c>
      <c r="BU12" s="45">
        <f t="shared" si="12"/>
        <v>53236</v>
      </c>
      <c r="BV12" s="45">
        <f t="shared" si="12"/>
        <v>53328</v>
      </c>
      <c r="BW12" s="45">
        <f t="shared" si="12"/>
        <v>53418</v>
      </c>
      <c r="BX12" s="45">
        <f t="shared" si="12"/>
        <v>53509</v>
      </c>
      <c r="BY12" s="45">
        <f t="shared" si="12"/>
        <v>53601</v>
      </c>
      <c r="BZ12" s="45">
        <f t="shared" si="12"/>
        <v>53693</v>
      </c>
      <c r="CA12" s="45">
        <f t="shared" si="12"/>
        <v>53783</v>
      </c>
      <c r="CB12" s="45">
        <f t="shared" si="12"/>
        <v>53874</v>
      </c>
      <c r="CC12" s="45">
        <f t="shared" si="12"/>
        <v>53966</v>
      </c>
      <c r="CD12" s="45">
        <f t="shared" si="12"/>
        <v>54058</v>
      </c>
      <c r="CE12" s="45">
        <f t="shared" si="12"/>
        <v>54149</v>
      </c>
      <c r="CF12" s="45">
        <f t="shared" si="12"/>
        <v>54240</v>
      </c>
      <c r="CG12" s="45">
        <f t="shared" si="12"/>
        <v>54332</v>
      </c>
      <c r="CH12" s="45">
        <f t="shared" si="12"/>
        <v>54424</v>
      </c>
      <c r="CI12" s="45">
        <f t="shared" si="12"/>
        <v>54514</v>
      </c>
      <c r="CJ12" s="45">
        <f t="shared" si="12"/>
        <v>54605</v>
      </c>
      <c r="CK12" s="45">
        <f t="shared" si="12"/>
        <v>54697</v>
      </c>
      <c r="CL12" s="45">
        <f t="shared" si="12"/>
        <v>54789</v>
      </c>
      <c r="CM12" s="45">
        <f t="shared" si="12"/>
        <v>54879</v>
      </c>
      <c r="CN12" s="45">
        <f t="shared" si="12"/>
        <v>54970</v>
      </c>
      <c r="CO12" s="37" t="s">
        <v>111</v>
      </c>
    </row>
    <row r="13" spans="1:93" ht="12.75" customHeight="1">
      <c r="A13" s="35"/>
      <c r="B13" s="63" t="s">
        <v>100</v>
      </c>
      <c r="C13" s="35">
        <f t="shared" ref="C13" si="13">SUM(D13:CN13)</f>
        <v>8036</v>
      </c>
      <c r="D13" s="60"/>
      <c r="E13" s="35">
        <f>E7-E6+1</f>
        <v>92</v>
      </c>
      <c r="F13" s="35">
        <f t="shared" ref="F13:BQ13" si="14">F7-F6+1</f>
        <v>91</v>
      </c>
      <c r="G13" s="35">
        <f t="shared" si="14"/>
        <v>91</v>
      </c>
      <c r="H13" s="35">
        <f t="shared" si="14"/>
        <v>92</v>
      </c>
      <c r="I13" s="35">
        <f t="shared" si="14"/>
        <v>92</v>
      </c>
      <c r="J13" s="35">
        <f t="shared" si="14"/>
        <v>90</v>
      </c>
      <c r="K13" s="35">
        <f t="shared" si="14"/>
        <v>91</v>
      </c>
      <c r="L13" s="35">
        <f t="shared" si="14"/>
        <v>92</v>
      </c>
      <c r="M13" s="35">
        <f t="shared" si="14"/>
        <v>92</v>
      </c>
      <c r="N13" s="35">
        <f t="shared" si="14"/>
        <v>90</v>
      </c>
      <c r="O13" s="35">
        <f t="shared" si="14"/>
        <v>91</v>
      </c>
      <c r="P13" s="35">
        <f t="shared" si="14"/>
        <v>92</v>
      </c>
      <c r="Q13" s="35">
        <f t="shared" si="14"/>
        <v>92</v>
      </c>
      <c r="R13" s="35">
        <f t="shared" si="14"/>
        <v>90</v>
      </c>
      <c r="S13" s="35">
        <f t="shared" si="14"/>
        <v>91</v>
      </c>
      <c r="T13" s="35">
        <f t="shared" si="14"/>
        <v>92</v>
      </c>
      <c r="U13" s="35">
        <f t="shared" si="14"/>
        <v>92</v>
      </c>
      <c r="V13" s="35">
        <f t="shared" si="14"/>
        <v>91</v>
      </c>
      <c r="W13" s="35">
        <f t="shared" si="14"/>
        <v>91</v>
      </c>
      <c r="X13" s="35">
        <f t="shared" si="14"/>
        <v>92</v>
      </c>
      <c r="Y13" s="35">
        <f t="shared" si="14"/>
        <v>92</v>
      </c>
      <c r="Z13" s="35">
        <f t="shared" si="14"/>
        <v>90</v>
      </c>
      <c r="AA13" s="35">
        <f t="shared" si="14"/>
        <v>91</v>
      </c>
      <c r="AB13" s="35">
        <f t="shared" si="14"/>
        <v>92</v>
      </c>
      <c r="AC13" s="35">
        <f t="shared" si="14"/>
        <v>92</v>
      </c>
      <c r="AD13" s="35">
        <f t="shared" si="14"/>
        <v>90</v>
      </c>
      <c r="AE13" s="35">
        <f t="shared" si="14"/>
        <v>91</v>
      </c>
      <c r="AF13" s="35">
        <f t="shared" si="14"/>
        <v>92</v>
      </c>
      <c r="AG13" s="35">
        <f t="shared" si="14"/>
        <v>92</v>
      </c>
      <c r="AH13" s="35">
        <f t="shared" si="14"/>
        <v>90</v>
      </c>
      <c r="AI13" s="35">
        <f t="shared" si="14"/>
        <v>91</v>
      </c>
      <c r="AJ13" s="35">
        <f t="shared" si="14"/>
        <v>92</v>
      </c>
      <c r="AK13" s="35">
        <f t="shared" si="14"/>
        <v>92</v>
      </c>
      <c r="AL13" s="35">
        <f t="shared" si="14"/>
        <v>91</v>
      </c>
      <c r="AM13" s="35">
        <f t="shared" si="14"/>
        <v>91</v>
      </c>
      <c r="AN13" s="35">
        <f t="shared" si="14"/>
        <v>92</v>
      </c>
      <c r="AO13" s="35">
        <f t="shared" si="14"/>
        <v>92</v>
      </c>
      <c r="AP13" s="35">
        <f t="shared" si="14"/>
        <v>90</v>
      </c>
      <c r="AQ13" s="35">
        <f t="shared" si="14"/>
        <v>91</v>
      </c>
      <c r="AR13" s="35">
        <f t="shared" si="14"/>
        <v>92</v>
      </c>
      <c r="AS13" s="35">
        <f t="shared" si="14"/>
        <v>92</v>
      </c>
      <c r="AT13" s="35">
        <f t="shared" si="14"/>
        <v>90</v>
      </c>
      <c r="AU13" s="35">
        <f t="shared" si="14"/>
        <v>91</v>
      </c>
      <c r="AV13" s="35">
        <f t="shared" si="14"/>
        <v>92</v>
      </c>
      <c r="AW13" s="35">
        <f t="shared" si="14"/>
        <v>92</v>
      </c>
      <c r="AX13" s="35">
        <f t="shared" si="14"/>
        <v>90</v>
      </c>
      <c r="AY13" s="35">
        <f t="shared" si="14"/>
        <v>91</v>
      </c>
      <c r="AZ13" s="35">
        <f t="shared" si="14"/>
        <v>92</v>
      </c>
      <c r="BA13" s="35">
        <f t="shared" si="14"/>
        <v>92</v>
      </c>
      <c r="BB13" s="35">
        <f t="shared" si="14"/>
        <v>91</v>
      </c>
      <c r="BC13" s="35">
        <f t="shared" si="14"/>
        <v>91</v>
      </c>
      <c r="BD13" s="35">
        <f t="shared" si="14"/>
        <v>92</v>
      </c>
      <c r="BE13" s="35">
        <f t="shared" si="14"/>
        <v>92</v>
      </c>
      <c r="BF13" s="35">
        <f t="shared" si="14"/>
        <v>90</v>
      </c>
      <c r="BG13" s="35">
        <f t="shared" si="14"/>
        <v>91</v>
      </c>
      <c r="BH13" s="35">
        <f t="shared" si="14"/>
        <v>92</v>
      </c>
      <c r="BI13" s="35">
        <f t="shared" si="14"/>
        <v>92</v>
      </c>
      <c r="BJ13" s="35">
        <f t="shared" si="14"/>
        <v>90</v>
      </c>
      <c r="BK13" s="35">
        <f t="shared" si="14"/>
        <v>91</v>
      </c>
      <c r="BL13" s="35">
        <f t="shared" si="14"/>
        <v>92</v>
      </c>
      <c r="BM13" s="35">
        <f t="shared" si="14"/>
        <v>92</v>
      </c>
      <c r="BN13" s="35">
        <f t="shared" si="14"/>
        <v>90</v>
      </c>
      <c r="BO13" s="35">
        <f t="shared" si="14"/>
        <v>91</v>
      </c>
      <c r="BP13" s="35">
        <f t="shared" si="14"/>
        <v>92</v>
      </c>
      <c r="BQ13" s="35">
        <f t="shared" si="14"/>
        <v>92</v>
      </c>
      <c r="BR13" s="35">
        <f t="shared" ref="BR13:CO13" si="15">BR7-BR6+1</f>
        <v>91</v>
      </c>
      <c r="BS13" s="35">
        <f t="shared" si="15"/>
        <v>91</v>
      </c>
      <c r="BT13" s="35">
        <f t="shared" si="15"/>
        <v>92</v>
      </c>
      <c r="BU13" s="35">
        <f t="shared" si="15"/>
        <v>92</v>
      </c>
      <c r="BV13" s="35">
        <f t="shared" si="15"/>
        <v>90</v>
      </c>
      <c r="BW13" s="35">
        <f t="shared" si="15"/>
        <v>91</v>
      </c>
      <c r="BX13" s="35">
        <f t="shared" si="15"/>
        <v>92</v>
      </c>
      <c r="BY13" s="35">
        <f t="shared" si="15"/>
        <v>92</v>
      </c>
      <c r="BZ13" s="35">
        <f t="shared" si="15"/>
        <v>90</v>
      </c>
      <c r="CA13" s="35">
        <f t="shared" si="15"/>
        <v>91</v>
      </c>
      <c r="CB13" s="35">
        <f t="shared" si="15"/>
        <v>92</v>
      </c>
      <c r="CC13" s="35">
        <f t="shared" si="15"/>
        <v>92</v>
      </c>
      <c r="CD13" s="35">
        <f t="shared" si="15"/>
        <v>90</v>
      </c>
      <c r="CE13" s="35">
        <f t="shared" si="15"/>
        <v>91</v>
      </c>
      <c r="CF13" s="35">
        <f t="shared" si="15"/>
        <v>92</v>
      </c>
      <c r="CG13" s="35">
        <f t="shared" si="15"/>
        <v>92</v>
      </c>
      <c r="CH13" s="35">
        <f t="shared" si="15"/>
        <v>91</v>
      </c>
      <c r="CI13" s="35">
        <f t="shared" si="15"/>
        <v>91</v>
      </c>
      <c r="CJ13" s="35">
        <f t="shared" si="15"/>
        <v>92</v>
      </c>
      <c r="CK13" s="35">
        <f t="shared" si="15"/>
        <v>92</v>
      </c>
      <c r="CL13" s="35">
        <f t="shared" si="15"/>
        <v>90</v>
      </c>
      <c r="CM13" s="35">
        <f t="shared" si="15"/>
        <v>91</v>
      </c>
      <c r="CN13" s="35">
        <f t="shared" si="15"/>
        <v>92</v>
      </c>
      <c r="CO13" s="35">
        <f t="shared" si="15"/>
        <v>92</v>
      </c>
    </row>
    <row r="14" spans="1:93" ht="12.75" customHeight="1">
      <c r="A14" s="35"/>
      <c r="B14" s="63" t="s">
        <v>115</v>
      </c>
      <c r="C14" s="35"/>
      <c r="D14" s="64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>
        <v>1</v>
      </c>
      <c r="X14" s="39">
        <v>1</v>
      </c>
      <c r="Y14" s="39">
        <v>1</v>
      </c>
      <c r="Z14" s="65">
        <f>100%+'выручка номеров'!$C$3</f>
        <v>1.05</v>
      </c>
      <c r="AA14" s="65">
        <f>100%+'выручка номеров'!$C$3</f>
        <v>1.05</v>
      </c>
      <c r="AB14" s="65">
        <f>100%+'выручка номеров'!$C$3</f>
        <v>1.05</v>
      </c>
      <c r="AC14" s="65">
        <f>100%+'выручка номеров'!$C$3</f>
        <v>1.05</v>
      </c>
      <c r="AD14" s="65">
        <f>100%+'выручка номеров'!$D$3</f>
        <v>1.05</v>
      </c>
      <c r="AE14" s="65">
        <f>100%+'выручка номеров'!$D$3</f>
        <v>1.05</v>
      </c>
      <c r="AF14" s="65">
        <f>100%+'выручка номеров'!$D$3</f>
        <v>1.05</v>
      </c>
      <c r="AG14" s="65">
        <f>100%+'выручка номеров'!$D$3</f>
        <v>1.05</v>
      </c>
      <c r="AH14" s="65">
        <f>100%+'выручка номеров'!$E$3</f>
        <v>1.05</v>
      </c>
      <c r="AI14" s="65">
        <f>100%+'выручка номеров'!$E$3</f>
        <v>1.05</v>
      </c>
      <c r="AJ14" s="65">
        <f>100%+'выручка номеров'!$E$3</f>
        <v>1.05</v>
      </c>
      <c r="AK14" s="65">
        <f>100%+'выручка номеров'!$E$3</f>
        <v>1.05</v>
      </c>
      <c r="AL14" s="65">
        <f>100%+'выручка номеров'!$F$3</f>
        <v>1.05</v>
      </c>
      <c r="AM14" s="65">
        <f>100%+'выручка номеров'!$F$3</f>
        <v>1.05</v>
      </c>
      <c r="AN14" s="65">
        <f>100%+'выручка номеров'!$F$3</f>
        <v>1.05</v>
      </c>
      <c r="AO14" s="65">
        <f>100%+'выручка номеров'!$F$3</f>
        <v>1.05</v>
      </c>
      <c r="AP14" s="65">
        <f>100%+'выручка номеров'!$G$3</f>
        <v>1.05</v>
      </c>
      <c r="AQ14" s="65">
        <f>100%+'выручка номеров'!$G$3</f>
        <v>1.05</v>
      </c>
      <c r="AR14" s="65">
        <f>100%+'выручка номеров'!$G$3</f>
        <v>1.05</v>
      </c>
      <c r="AS14" s="65">
        <f>100%+'выручка номеров'!$G$3</f>
        <v>1.05</v>
      </c>
      <c r="AT14" s="65">
        <f>100%+'выручка номеров'!$H$3</f>
        <v>1.05</v>
      </c>
      <c r="AU14" s="65">
        <f>100%+'выручка номеров'!$H$3</f>
        <v>1.05</v>
      </c>
      <c r="AV14" s="65">
        <f>100%+'выручка номеров'!$H$3</f>
        <v>1.05</v>
      </c>
      <c r="AW14" s="65">
        <f>100%+'выручка номеров'!$H$3</f>
        <v>1.05</v>
      </c>
      <c r="AX14" s="65">
        <f>100%+'выручка номеров'!$I$3</f>
        <v>1.05</v>
      </c>
      <c r="AY14" s="65">
        <f>100%+'выручка номеров'!$I$3</f>
        <v>1.05</v>
      </c>
      <c r="AZ14" s="65">
        <f>100%+'выручка номеров'!$I$3</f>
        <v>1.05</v>
      </c>
      <c r="BA14" s="65">
        <f>100%+'выручка номеров'!$I$3</f>
        <v>1.05</v>
      </c>
      <c r="BB14" s="65">
        <f>100%+'выручка номеров'!$J$3</f>
        <v>1.05</v>
      </c>
      <c r="BC14" s="65">
        <f>100%+'выручка номеров'!$J$3</f>
        <v>1.05</v>
      </c>
      <c r="BD14" s="65">
        <f>100%+'выручка номеров'!$J$3</f>
        <v>1.05</v>
      </c>
      <c r="BE14" s="65">
        <f>100%+'выручка номеров'!$J$3</f>
        <v>1.05</v>
      </c>
      <c r="BF14" s="65">
        <f>100%+'выручка номеров'!$K$3</f>
        <v>1.05</v>
      </c>
      <c r="BG14" s="65">
        <f>100%+'выручка номеров'!$K$3</f>
        <v>1.05</v>
      </c>
      <c r="BH14" s="65">
        <f>100%+'выручка номеров'!$K$3</f>
        <v>1.05</v>
      </c>
      <c r="BI14" s="65">
        <f>100%+'выручка номеров'!$K$3</f>
        <v>1.05</v>
      </c>
      <c r="BJ14" s="65">
        <f>100%+'выручка номеров'!$L$3</f>
        <v>1.05</v>
      </c>
      <c r="BK14" s="65">
        <f>100%+'выручка номеров'!$L$3</f>
        <v>1.05</v>
      </c>
      <c r="BL14" s="65">
        <f>100%+'выручка номеров'!$L$3</f>
        <v>1.05</v>
      </c>
      <c r="BM14" s="65">
        <f>100%+'выручка номеров'!$L$3</f>
        <v>1.05</v>
      </c>
      <c r="BN14" s="65">
        <f>100%+'выручка номеров'!$M$3</f>
        <v>1.05</v>
      </c>
      <c r="BO14" s="65">
        <f>100%+'выручка номеров'!$M$3</f>
        <v>1.05</v>
      </c>
      <c r="BP14" s="65">
        <f>100%+'выручка номеров'!$M$3</f>
        <v>1.05</v>
      </c>
      <c r="BQ14" s="65">
        <f>100%+'выручка номеров'!$M$3</f>
        <v>1.05</v>
      </c>
      <c r="BR14" s="65">
        <f>100%+'выручка номеров'!$N$3</f>
        <v>1.05</v>
      </c>
      <c r="BS14" s="65">
        <f>100%+'выручка номеров'!$N$3</f>
        <v>1.05</v>
      </c>
      <c r="BT14" s="65">
        <f>100%+'выручка номеров'!$N$3</f>
        <v>1.05</v>
      </c>
      <c r="BU14" s="65">
        <f>100%+'выручка номеров'!$N$3</f>
        <v>1.05</v>
      </c>
      <c r="BV14" s="65">
        <f>100%+'выручка номеров'!$O$3</f>
        <v>1.05</v>
      </c>
      <c r="BW14" s="65">
        <f>100%+'выручка номеров'!$O$3</f>
        <v>1.05</v>
      </c>
      <c r="BX14" s="65">
        <f>100%+'выручка номеров'!$O$3</f>
        <v>1.05</v>
      </c>
      <c r="BY14" s="65">
        <f>100%+'выручка номеров'!$O$3</f>
        <v>1.05</v>
      </c>
      <c r="BZ14" s="65">
        <f>100%+'выручка номеров'!$O$3</f>
        <v>1.05</v>
      </c>
      <c r="CA14" s="65">
        <f>100%+'выручка номеров'!$O$3</f>
        <v>1.05</v>
      </c>
      <c r="CB14" s="65">
        <f>100%+'выручка номеров'!$O$3</f>
        <v>1.05</v>
      </c>
      <c r="CC14" s="65">
        <f>100%+'выручка номеров'!$O$3</f>
        <v>1.05</v>
      </c>
      <c r="CD14" s="65">
        <f>100%+'выручка номеров'!$O$3</f>
        <v>1.05</v>
      </c>
      <c r="CE14" s="65">
        <f>100%+'выручка номеров'!$O$3</f>
        <v>1.05</v>
      </c>
      <c r="CF14" s="65">
        <f>100%+'выручка номеров'!$O$3</f>
        <v>1.05</v>
      </c>
      <c r="CG14" s="65">
        <f>100%+'выручка номеров'!$O$3</f>
        <v>1.05</v>
      </c>
      <c r="CH14" s="65">
        <f>100%+'выручка номеров'!$O$3</f>
        <v>1.05</v>
      </c>
      <c r="CI14" s="65">
        <f>100%+'выручка номеров'!$O$3</f>
        <v>1.05</v>
      </c>
      <c r="CJ14" s="65">
        <f>100%+'выручка номеров'!$O$3</f>
        <v>1.05</v>
      </c>
      <c r="CK14" s="65">
        <f>100%+'выручка номеров'!$O$3</f>
        <v>1.05</v>
      </c>
      <c r="CL14" s="65">
        <f>100%+'выручка номеров'!$O$3</f>
        <v>1.05</v>
      </c>
      <c r="CM14" s="65">
        <f>100%+'выручка номеров'!$O$3</f>
        <v>1.05</v>
      </c>
      <c r="CN14" s="65">
        <f>100%+'выручка номеров'!$O$3</f>
        <v>1.05</v>
      </c>
      <c r="CO14" s="66">
        <f>100%+'выручка номеров'!$O$3</f>
        <v>1.05</v>
      </c>
    </row>
    <row r="15" spans="1:93" ht="12.75" customHeight="1">
      <c r="A15" s="35"/>
      <c r="B15" s="63" t="s">
        <v>116</v>
      </c>
      <c r="C15" s="35"/>
      <c r="D15" s="64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>
        <f>SUM('выручка номеров'!F11:H11)/SUM('выручка номеров'!F10:H10)</f>
        <v>0.71703296703296704</v>
      </c>
      <c r="X15" s="39">
        <f>SUM('выручка номеров'!C11:E11)/SUM('выручка номеров'!C10:E10)</f>
        <v>0.61888888888888893</v>
      </c>
      <c r="Y15" s="39">
        <f>SUM('выручка номеров'!I11:K11)/SUM('выручка номеров'!I10:K10)</f>
        <v>0.76793478260869563</v>
      </c>
      <c r="Z15" s="39">
        <f>SUM('выручка номеров'!C11:E11)/SUM('выручка номеров'!C10:E10)</f>
        <v>0.61888888888888893</v>
      </c>
      <c r="AA15" s="39">
        <f>W15</f>
        <v>0.71703296703296704</v>
      </c>
      <c r="AB15" s="39">
        <f t="shared" ref="AB15:CM15" si="16">X15</f>
        <v>0.61888888888888893</v>
      </c>
      <c r="AC15" s="39">
        <f t="shared" si="16"/>
        <v>0.76793478260869563</v>
      </c>
      <c r="AD15" s="39">
        <f t="shared" si="16"/>
        <v>0.61888888888888893</v>
      </c>
      <c r="AE15" s="39">
        <f t="shared" si="16"/>
        <v>0.71703296703296704</v>
      </c>
      <c r="AF15" s="39">
        <f t="shared" si="16"/>
        <v>0.61888888888888893</v>
      </c>
      <c r="AG15" s="39">
        <f t="shared" si="16"/>
        <v>0.76793478260869563</v>
      </c>
      <c r="AH15" s="39">
        <f t="shared" si="16"/>
        <v>0.61888888888888893</v>
      </c>
      <c r="AI15" s="39">
        <f t="shared" si="16"/>
        <v>0.71703296703296704</v>
      </c>
      <c r="AJ15" s="39">
        <f t="shared" si="16"/>
        <v>0.61888888888888893</v>
      </c>
      <c r="AK15" s="39">
        <f t="shared" si="16"/>
        <v>0.76793478260869563</v>
      </c>
      <c r="AL15" s="39">
        <f t="shared" si="16"/>
        <v>0.61888888888888893</v>
      </c>
      <c r="AM15" s="39">
        <f t="shared" si="16"/>
        <v>0.71703296703296704</v>
      </c>
      <c r="AN15" s="39">
        <f t="shared" si="16"/>
        <v>0.61888888888888893</v>
      </c>
      <c r="AO15" s="39">
        <f t="shared" si="16"/>
        <v>0.76793478260869563</v>
      </c>
      <c r="AP15" s="39">
        <f t="shared" si="16"/>
        <v>0.61888888888888893</v>
      </c>
      <c r="AQ15" s="39">
        <f t="shared" si="16"/>
        <v>0.71703296703296704</v>
      </c>
      <c r="AR15" s="39">
        <f t="shared" si="16"/>
        <v>0.61888888888888893</v>
      </c>
      <c r="AS15" s="39">
        <f t="shared" si="16"/>
        <v>0.76793478260869563</v>
      </c>
      <c r="AT15" s="39">
        <f t="shared" si="16"/>
        <v>0.61888888888888893</v>
      </c>
      <c r="AU15" s="39">
        <f t="shared" si="16"/>
        <v>0.71703296703296704</v>
      </c>
      <c r="AV15" s="39">
        <f t="shared" si="16"/>
        <v>0.61888888888888893</v>
      </c>
      <c r="AW15" s="39">
        <f t="shared" si="16"/>
        <v>0.76793478260869563</v>
      </c>
      <c r="AX15" s="39">
        <f t="shared" si="16"/>
        <v>0.61888888888888893</v>
      </c>
      <c r="AY15" s="39">
        <f t="shared" si="16"/>
        <v>0.71703296703296704</v>
      </c>
      <c r="AZ15" s="39">
        <f t="shared" si="16"/>
        <v>0.61888888888888893</v>
      </c>
      <c r="BA15" s="39">
        <f t="shared" si="16"/>
        <v>0.76793478260869563</v>
      </c>
      <c r="BB15" s="39">
        <f t="shared" si="16"/>
        <v>0.61888888888888893</v>
      </c>
      <c r="BC15" s="39">
        <f t="shared" si="16"/>
        <v>0.71703296703296704</v>
      </c>
      <c r="BD15" s="39">
        <f t="shared" si="16"/>
        <v>0.61888888888888893</v>
      </c>
      <c r="BE15" s="39">
        <f t="shared" si="16"/>
        <v>0.76793478260869563</v>
      </c>
      <c r="BF15" s="39">
        <f t="shared" si="16"/>
        <v>0.61888888888888893</v>
      </c>
      <c r="BG15" s="39">
        <f t="shared" si="16"/>
        <v>0.71703296703296704</v>
      </c>
      <c r="BH15" s="39">
        <f t="shared" si="16"/>
        <v>0.61888888888888893</v>
      </c>
      <c r="BI15" s="39">
        <f t="shared" si="16"/>
        <v>0.76793478260869563</v>
      </c>
      <c r="BJ15" s="39">
        <f t="shared" si="16"/>
        <v>0.61888888888888893</v>
      </c>
      <c r="BK15" s="39">
        <f t="shared" si="16"/>
        <v>0.71703296703296704</v>
      </c>
      <c r="BL15" s="39">
        <f t="shared" si="16"/>
        <v>0.61888888888888893</v>
      </c>
      <c r="BM15" s="39">
        <f t="shared" si="16"/>
        <v>0.76793478260869563</v>
      </c>
      <c r="BN15" s="39">
        <f t="shared" si="16"/>
        <v>0.61888888888888893</v>
      </c>
      <c r="BO15" s="39">
        <f t="shared" si="16"/>
        <v>0.71703296703296704</v>
      </c>
      <c r="BP15" s="39">
        <f t="shared" si="16"/>
        <v>0.61888888888888893</v>
      </c>
      <c r="BQ15" s="39">
        <f t="shared" si="16"/>
        <v>0.76793478260869563</v>
      </c>
      <c r="BR15" s="39">
        <f t="shared" si="16"/>
        <v>0.61888888888888893</v>
      </c>
      <c r="BS15" s="39">
        <f t="shared" si="16"/>
        <v>0.71703296703296704</v>
      </c>
      <c r="BT15" s="39">
        <f t="shared" si="16"/>
        <v>0.61888888888888893</v>
      </c>
      <c r="BU15" s="39">
        <f t="shared" si="16"/>
        <v>0.76793478260869563</v>
      </c>
      <c r="BV15" s="39">
        <f t="shared" si="16"/>
        <v>0.61888888888888893</v>
      </c>
      <c r="BW15" s="39">
        <f t="shared" si="16"/>
        <v>0.71703296703296704</v>
      </c>
      <c r="BX15" s="39">
        <f t="shared" si="16"/>
        <v>0.61888888888888893</v>
      </c>
      <c r="BY15" s="39">
        <f t="shared" si="16"/>
        <v>0.76793478260869563</v>
      </c>
      <c r="BZ15" s="39">
        <f t="shared" si="16"/>
        <v>0.61888888888888893</v>
      </c>
      <c r="CA15" s="39">
        <f t="shared" si="16"/>
        <v>0.71703296703296704</v>
      </c>
      <c r="CB15" s="39">
        <f t="shared" si="16"/>
        <v>0.61888888888888893</v>
      </c>
      <c r="CC15" s="39">
        <f t="shared" si="16"/>
        <v>0.76793478260869563</v>
      </c>
      <c r="CD15" s="39">
        <f t="shared" si="16"/>
        <v>0.61888888888888893</v>
      </c>
      <c r="CE15" s="39">
        <f t="shared" si="16"/>
        <v>0.71703296703296704</v>
      </c>
      <c r="CF15" s="39">
        <f t="shared" si="16"/>
        <v>0.61888888888888893</v>
      </c>
      <c r="CG15" s="39">
        <f t="shared" si="16"/>
        <v>0.76793478260869563</v>
      </c>
      <c r="CH15" s="39">
        <f t="shared" si="16"/>
        <v>0.61888888888888893</v>
      </c>
      <c r="CI15" s="39">
        <f t="shared" si="16"/>
        <v>0.71703296703296704</v>
      </c>
      <c r="CJ15" s="39">
        <f t="shared" si="16"/>
        <v>0.61888888888888893</v>
      </c>
      <c r="CK15" s="39">
        <f t="shared" si="16"/>
        <v>0.76793478260869563</v>
      </c>
      <c r="CL15" s="39">
        <f t="shared" si="16"/>
        <v>0.61888888888888893</v>
      </c>
      <c r="CM15" s="39">
        <f t="shared" si="16"/>
        <v>0.71703296703296704</v>
      </c>
      <c r="CN15" s="39">
        <f t="shared" ref="CN15:CO15" si="17">CJ15</f>
        <v>0.61888888888888893</v>
      </c>
      <c r="CO15" s="39">
        <f t="shared" si="17"/>
        <v>0.76793478260869563</v>
      </c>
    </row>
    <row r="16" spans="1:93" ht="12.75" customHeight="1">
      <c r="A16" s="35"/>
      <c r="B16" s="63" t="s">
        <v>117</v>
      </c>
      <c r="C16" s="35"/>
      <c r="D16" s="6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40">
        <f>W19/(W13*W15*(Assump!$D$16))</f>
        <v>0.74616037483444497</v>
      </c>
      <c r="X16" s="40">
        <f>X19/(X13*X15*(Assump!$D$16))</f>
        <v>1.220584854463314</v>
      </c>
      <c r="Y16" s="40">
        <f>Y19/(Y13*Y15*(Assump!$D$16))</f>
        <v>2.5051188075261321</v>
      </c>
      <c r="Z16" s="40">
        <f>Z19/(Z13*Z15*(Assump!$D$16))</f>
        <v>0.51970730811695143</v>
      </c>
      <c r="AA16" s="40">
        <f>AA19/(AA13*AA15*(Assump!$D$16))</f>
        <v>0.77600678982782278</v>
      </c>
      <c r="AB16" s="40">
        <f>AB19/(AB13*AB15*(Assump!$D$16))</f>
        <v>1.2694082486418463</v>
      </c>
      <c r="AC16" s="40">
        <f>AC19/(AC13*AC15*(Assump!$D$16))</f>
        <v>2.605323558892449</v>
      </c>
      <c r="AD16" s="40">
        <f>AD19/(AD13*AD15*(Assump!$D$16))</f>
        <v>0.54049560044162959</v>
      </c>
      <c r="AE16" s="40">
        <f>AE19/(AE13*AE15*(Assump!$D$16))</f>
        <v>0.80704706142093574</v>
      </c>
      <c r="AF16" s="40">
        <f>AF19/(AF13*AF15*(Assump!$D$16))</f>
        <v>1.3201845785875204</v>
      </c>
      <c r="AG16" s="40">
        <f>AG19/(AG13*AG15*(Assump!$D$16))</f>
        <v>2.7095364872065395</v>
      </c>
      <c r="AH16" s="40">
        <f>AH19/(AH13*AH15*(Assump!$D$16))</f>
        <v>0.56752038046371112</v>
      </c>
      <c r="AI16" s="40">
        <f>AI19/(AI13*AI15*(Assump!$D$16))</f>
        <v>0.84739941449198264</v>
      </c>
      <c r="AJ16" s="40">
        <f>AJ19/(AJ13*AJ15*(Assump!$D$16))</f>
        <v>1.3861938075168962</v>
      </c>
      <c r="AK16" s="40">
        <f>AK19/(AK13*AK15*(Assump!$D$16))</f>
        <v>2.8450133115668663</v>
      </c>
      <c r="AL16" s="40">
        <f>AL19/(AL13*AL15*(Assump!$D$16))</f>
        <v>0.58934808740462319</v>
      </c>
      <c r="AM16" s="40">
        <f>AM19/(AM13*AM15*(Assump!$D$16))</f>
        <v>0.88976938521658189</v>
      </c>
      <c r="AN16" s="40">
        <f>AN19/(AN13*AN15*(Assump!$D$16))</f>
        <v>1.4555034978927412</v>
      </c>
      <c r="AO16" s="40">
        <f>AO19/(AO13*AO15*(Assump!$D$16))</f>
        <v>2.9872639771452096</v>
      </c>
      <c r="AP16" s="40">
        <f>AP19/(AP13*AP15*(Assump!$D$16))</f>
        <v>0.62569121946124162</v>
      </c>
      <c r="AQ16" s="40">
        <f>AQ19/(AQ13*AQ15*(Assump!$D$16))</f>
        <v>0.93425785447741094</v>
      </c>
      <c r="AR16" s="40">
        <f>AR19/(AR13*AR15*(Assump!$D$16))</f>
        <v>1.5282786727873783</v>
      </c>
      <c r="AS16" s="40">
        <f>AS19/(AS13*AS15*(Assump!$D$16))</f>
        <v>3.1366271760024698</v>
      </c>
      <c r="AT16" s="40">
        <f>AT19/(AT13*AT15*(Assump!$D$16))</f>
        <v>0.6569757804343036</v>
      </c>
      <c r="AU16" s="40">
        <f>AU19/(AU13*AU15*(Assump!$D$16))</f>
        <v>0.98097074720128163</v>
      </c>
      <c r="AV16" s="40">
        <f>AV19/(AV13*AV15*(Assump!$D$16))</f>
        <v>1.6046926064267473</v>
      </c>
      <c r="AW16" s="40">
        <f>AW19/(AW13*AW15*(Assump!$D$16))</f>
        <v>3.2934585348025935</v>
      </c>
      <c r="AX16" s="40">
        <f>AX19/(AX13*AX15*(Assump!$D$16))</f>
        <v>0.68982456945601878</v>
      </c>
      <c r="AY16" s="40">
        <f>AY19/(AY13*AY15*(Assump!$D$16))</f>
        <v>1.0300192845613456</v>
      </c>
      <c r="AZ16" s="40">
        <f>AZ19/(AZ13*AZ15*(Assump!$D$16))</f>
        <v>1.6849272367480848</v>
      </c>
      <c r="BA16" s="40">
        <f>BA19/(BA13*BA15*(Assump!$D$16))</f>
        <v>3.458131461542723</v>
      </c>
      <c r="BB16" s="40">
        <f>BB19/(BB13*BB15*(Assump!$D$16))</f>
        <v>0.71635628366586579</v>
      </c>
      <c r="BC16" s="40">
        <f>BC19/(BC13*BC15*(Assump!$D$16))</f>
        <v>1.0815202487894131</v>
      </c>
      <c r="BD16" s="40">
        <f>BD19/(BD13*BD15*(Assump!$D$16))</f>
        <v>1.7691735985854891</v>
      </c>
      <c r="BE16" s="40">
        <f>BE19/(BE13*BE15*(Assump!$D$16))</f>
        <v>3.6310380346198596</v>
      </c>
      <c r="BF16" s="40">
        <f>BF19/(BF13*BF15*(Assump!$D$16))</f>
        <v>0.76053158782526087</v>
      </c>
      <c r="BG16" s="40">
        <f>BG19/(BG13*BG15*(Assump!$D$16))</f>
        <v>1.1355962612288837</v>
      </c>
      <c r="BH16" s="40">
        <f>BH19/(BH13*BH15*(Assump!$D$16))</f>
        <v>1.8576322785147634</v>
      </c>
      <c r="BI16" s="40">
        <f>BI19/(BI13*BI15*(Assump!$D$16))</f>
        <v>3.8125899363508524</v>
      </c>
      <c r="BJ16" s="40">
        <f>BJ19/(BJ13*BJ15*(Assump!$D$16))</f>
        <v>0.79855816721652395</v>
      </c>
      <c r="BK16" s="40">
        <f>BK19/(BK13*BK15*(Assump!$D$16))</f>
        <v>1.1923760742903278</v>
      </c>
      <c r="BL16" s="40">
        <f>BL19/(BL13*BL15*(Assump!$D$16))</f>
        <v>1.9505138924405017</v>
      </c>
      <c r="BM16" s="40">
        <f>BM19/(BM13*BM15*(Assump!$D$16))</f>
        <v>4.0032194331683959</v>
      </c>
      <c r="BN16" s="40">
        <f>BN19/(BN13*BN15*(Assump!$D$16))</f>
        <v>0.83848607557735022</v>
      </c>
      <c r="BO16" s="40">
        <f>BO19/(BO13*BO15*(Assump!$D$16))</f>
        <v>1.2519948780048442</v>
      </c>
      <c r="BP16" s="40">
        <f>BP19/(BP13*BP15*(Assump!$D$16))</f>
        <v>2.0480395870625268</v>
      </c>
      <c r="BQ16" s="40">
        <f>BQ19/(BQ13*BQ15*(Assump!$D$16))</f>
        <v>4.2033804048268157</v>
      </c>
      <c r="BR16" s="40">
        <f>BR19/(BR13*BR15*(Assump!$D$16))</f>
        <v>0.87073554002263287</v>
      </c>
      <c r="BS16" s="40">
        <f>BS19/(BS13*BS15*(Assump!$D$16))</f>
        <v>1.3145946219050864</v>
      </c>
      <c r="BT16" s="40">
        <f>BT19/(BT13*BT15*(Assump!$D$16))</f>
        <v>2.1504415664156533</v>
      </c>
      <c r="BU16" s="40">
        <f>BU19/(BU13*BU15*(Assump!$D$16))</f>
        <v>4.4135494250681564</v>
      </c>
      <c r="BV16" s="40">
        <f>BV19/(BV13*BV15*(Assump!$D$16))</f>
        <v>0.92443089832402858</v>
      </c>
      <c r="BW16" s="40">
        <f>BW19/(BW13*BW15*(Assump!$D$16))</f>
        <v>1.3803243530003408</v>
      </c>
      <c r="BX16" s="40">
        <f>BX19/(BX13*BX15*(Assump!$D$16))</f>
        <v>2.257963644736436</v>
      </c>
      <c r="BY16" s="40">
        <f>BY19/(BY13*BY15*(Assump!$D$16))</f>
        <v>4.6342268963215645</v>
      </c>
      <c r="BZ16" s="40">
        <f>BZ19/(BZ13*BZ15*(Assump!$D$16))</f>
        <v>0.97065244324023014</v>
      </c>
      <c r="CA16" s="40">
        <f>CA19/(CA13*CA15*(Assump!$D$16))</f>
        <v>1.4493405706503579</v>
      </c>
      <c r="CB16" s="40">
        <f>CB19/(CB13*CB15*(Assump!$D$16))</f>
        <v>2.3708618269732575</v>
      </c>
      <c r="CC16" s="40">
        <f>CC19/(CC13*CC15*(Assump!$D$16))</f>
        <v>4.8659382411376431</v>
      </c>
      <c r="CD16" s="40">
        <f>CD19/(CD13*CD15*(Assump!$D$16))</f>
        <v>1.0191850654022416</v>
      </c>
      <c r="CE16" s="40">
        <f>CE19/(CE13*CE15*(Assump!$D$16))</f>
        <v>1.5218075991828759</v>
      </c>
      <c r="CF16" s="40">
        <f>CF19/(CF13*CF15*(Assump!$D$16))</f>
        <v>2.4894049183219207</v>
      </c>
      <c r="CG16" s="40">
        <f>CG19/(CG13*CG15*(Assump!$D$16))</f>
        <v>5.1092351531945246</v>
      </c>
      <c r="CH16" s="40">
        <f>CH19/(CH13*CH15*(Assump!$D$16))</f>
        <v>1.0583844909946356</v>
      </c>
      <c r="CI16" s="40">
        <f>CI19/(CI13*CI15*(Assump!$D$16))</f>
        <v>1.5978979791420196</v>
      </c>
      <c r="CJ16" s="40">
        <f>CJ19/(CJ13*CJ15*(Assump!$D$16))</f>
        <v>2.6138751642380167</v>
      </c>
      <c r="CK16" s="40">
        <f>CK19/(CK13*CK15*(Assump!$D$16))</f>
        <v>5.364696910854251</v>
      </c>
      <c r="CL16" s="40">
        <f>CL19/(CL13*CL15*(Assump!$D$16))</f>
        <v>1.1236515346059714</v>
      </c>
      <c r="CM16" s="40">
        <f>CM19/(CM13*CM15*(Assump!$D$16))</f>
        <v>1.6777928780991209</v>
      </c>
      <c r="CN16" s="40">
        <f>CN19/(CN13*CN15*(Assump!$D$16))</f>
        <v>2.7445689224499179</v>
      </c>
      <c r="CO16" s="40">
        <f>CO19/(CO13*CO15*(Assump!$D$16))</f>
        <v>5.6329317563969648</v>
      </c>
    </row>
    <row r="17" spans="1:93" ht="12.75" customHeight="1">
      <c r="A17" s="35"/>
      <c r="B17" s="35"/>
      <c r="C17" s="35"/>
      <c r="D17" s="60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5"/>
    </row>
    <row r="18" spans="1:93" ht="12.75" customHeight="1">
      <c r="A18" s="35"/>
      <c r="B18" s="67" t="s">
        <v>118</v>
      </c>
      <c r="C18" s="68"/>
      <c r="D18" s="44" t="str">
        <f>D6</f>
        <v>0 период</v>
      </c>
      <c r="E18" s="45">
        <f>E12</f>
        <v>47027</v>
      </c>
      <c r="F18" s="45">
        <f>EOMONTH(E18,2)+1</f>
        <v>47119</v>
      </c>
      <c r="G18" s="45">
        <f t="shared" ref="G18:BR18" si="18">EOMONTH(F18,2)+1</f>
        <v>47209</v>
      </c>
      <c r="H18" s="45">
        <f t="shared" si="18"/>
        <v>47300</v>
      </c>
      <c r="I18" s="45">
        <f t="shared" si="18"/>
        <v>47392</v>
      </c>
      <c r="J18" s="45">
        <f t="shared" si="18"/>
        <v>47484</v>
      </c>
      <c r="K18" s="45">
        <f t="shared" si="18"/>
        <v>47574</v>
      </c>
      <c r="L18" s="45">
        <f t="shared" si="18"/>
        <v>47665</v>
      </c>
      <c r="M18" s="45">
        <f t="shared" si="18"/>
        <v>47757</v>
      </c>
      <c r="N18" s="45">
        <f t="shared" si="18"/>
        <v>47849</v>
      </c>
      <c r="O18" s="45">
        <f t="shared" si="18"/>
        <v>47939</v>
      </c>
      <c r="P18" s="45">
        <f t="shared" si="18"/>
        <v>48030</v>
      </c>
      <c r="Q18" s="45">
        <f t="shared" si="18"/>
        <v>48122</v>
      </c>
      <c r="R18" s="45">
        <f t="shared" si="18"/>
        <v>48214</v>
      </c>
      <c r="S18" s="45">
        <f t="shared" si="18"/>
        <v>48305</v>
      </c>
      <c r="T18" s="45">
        <f t="shared" si="18"/>
        <v>48396</v>
      </c>
      <c r="U18" s="45">
        <f t="shared" si="18"/>
        <v>48488</v>
      </c>
      <c r="V18" s="45">
        <f t="shared" si="18"/>
        <v>48580</v>
      </c>
      <c r="W18" s="45">
        <f t="shared" si="18"/>
        <v>48670</v>
      </c>
      <c r="X18" s="45">
        <f t="shared" si="18"/>
        <v>48761</v>
      </c>
      <c r="Y18" s="45">
        <f t="shared" si="18"/>
        <v>48853</v>
      </c>
      <c r="Z18" s="45">
        <f t="shared" si="18"/>
        <v>48945</v>
      </c>
      <c r="AA18" s="45">
        <f t="shared" si="18"/>
        <v>49035</v>
      </c>
      <c r="AB18" s="45">
        <f t="shared" si="18"/>
        <v>49126</v>
      </c>
      <c r="AC18" s="45">
        <f t="shared" si="18"/>
        <v>49218</v>
      </c>
      <c r="AD18" s="45">
        <f t="shared" si="18"/>
        <v>49310</v>
      </c>
      <c r="AE18" s="45">
        <f t="shared" si="18"/>
        <v>49400</v>
      </c>
      <c r="AF18" s="45">
        <f t="shared" si="18"/>
        <v>49491</v>
      </c>
      <c r="AG18" s="45">
        <f t="shared" si="18"/>
        <v>49583</v>
      </c>
      <c r="AH18" s="45">
        <f t="shared" si="18"/>
        <v>49675</v>
      </c>
      <c r="AI18" s="45">
        <f t="shared" si="18"/>
        <v>49766</v>
      </c>
      <c r="AJ18" s="45">
        <f t="shared" si="18"/>
        <v>49857</v>
      </c>
      <c r="AK18" s="45">
        <f t="shared" si="18"/>
        <v>49949</v>
      </c>
      <c r="AL18" s="45">
        <f t="shared" si="18"/>
        <v>50041</v>
      </c>
      <c r="AM18" s="45">
        <f t="shared" si="18"/>
        <v>50131</v>
      </c>
      <c r="AN18" s="45">
        <f t="shared" si="18"/>
        <v>50222</v>
      </c>
      <c r="AO18" s="45">
        <f t="shared" si="18"/>
        <v>50314</v>
      </c>
      <c r="AP18" s="45">
        <f t="shared" si="18"/>
        <v>50406</v>
      </c>
      <c r="AQ18" s="45">
        <f t="shared" si="18"/>
        <v>50496</v>
      </c>
      <c r="AR18" s="45">
        <f t="shared" si="18"/>
        <v>50587</v>
      </c>
      <c r="AS18" s="45">
        <f t="shared" si="18"/>
        <v>50679</v>
      </c>
      <c r="AT18" s="45">
        <f t="shared" si="18"/>
        <v>50771</v>
      </c>
      <c r="AU18" s="45">
        <f t="shared" si="18"/>
        <v>50861</v>
      </c>
      <c r="AV18" s="45">
        <f t="shared" si="18"/>
        <v>50952</v>
      </c>
      <c r="AW18" s="45">
        <f t="shared" si="18"/>
        <v>51044</v>
      </c>
      <c r="AX18" s="45">
        <f t="shared" si="18"/>
        <v>51136</v>
      </c>
      <c r="AY18" s="45">
        <f t="shared" si="18"/>
        <v>51227</v>
      </c>
      <c r="AZ18" s="45">
        <f t="shared" si="18"/>
        <v>51318</v>
      </c>
      <c r="BA18" s="45">
        <f t="shared" si="18"/>
        <v>51410</v>
      </c>
      <c r="BB18" s="45">
        <f t="shared" si="18"/>
        <v>51502</v>
      </c>
      <c r="BC18" s="45">
        <f t="shared" si="18"/>
        <v>51592</v>
      </c>
      <c r="BD18" s="45">
        <f t="shared" si="18"/>
        <v>51683</v>
      </c>
      <c r="BE18" s="45">
        <f t="shared" si="18"/>
        <v>51775</v>
      </c>
      <c r="BF18" s="45">
        <f t="shared" si="18"/>
        <v>51867</v>
      </c>
      <c r="BG18" s="45">
        <f t="shared" si="18"/>
        <v>51957</v>
      </c>
      <c r="BH18" s="45">
        <f t="shared" si="18"/>
        <v>52048</v>
      </c>
      <c r="BI18" s="45">
        <f t="shared" si="18"/>
        <v>52140</v>
      </c>
      <c r="BJ18" s="45">
        <f t="shared" si="18"/>
        <v>52232</v>
      </c>
      <c r="BK18" s="45">
        <f t="shared" si="18"/>
        <v>52322</v>
      </c>
      <c r="BL18" s="45">
        <f t="shared" si="18"/>
        <v>52413</v>
      </c>
      <c r="BM18" s="45">
        <f t="shared" si="18"/>
        <v>52505</v>
      </c>
      <c r="BN18" s="45">
        <f t="shared" si="18"/>
        <v>52597</v>
      </c>
      <c r="BO18" s="45">
        <f t="shared" si="18"/>
        <v>52688</v>
      </c>
      <c r="BP18" s="45">
        <f t="shared" si="18"/>
        <v>52779</v>
      </c>
      <c r="BQ18" s="45">
        <f t="shared" si="18"/>
        <v>52871</v>
      </c>
      <c r="BR18" s="45">
        <f t="shared" si="18"/>
        <v>52963</v>
      </c>
      <c r="BS18" s="45">
        <f t="shared" ref="BS18:CO18" si="19">EOMONTH(BR18,2)+1</f>
        <v>53053</v>
      </c>
      <c r="BT18" s="45">
        <f t="shared" si="19"/>
        <v>53144</v>
      </c>
      <c r="BU18" s="45">
        <f t="shared" si="19"/>
        <v>53236</v>
      </c>
      <c r="BV18" s="45">
        <f t="shared" si="19"/>
        <v>53328</v>
      </c>
      <c r="BW18" s="45">
        <f t="shared" si="19"/>
        <v>53418</v>
      </c>
      <c r="BX18" s="45">
        <f t="shared" si="19"/>
        <v>53509</v>
      </c>
      <c r="BY18" s="45">
        <f t="shared" si="19"/>
        <v>53601</v>
      </c>
      <c r="BZ18" s="45">
        <f t="shared" si="19"/>
        <v>53693</v>
      </c>
      <c r="CA18" s="45">
        <f t="shared" si="19"/>
        <v>53783</v>
      </c>
      <c r="CB18" s="45">
        <f t="shared" si="19"/>
        <v>53874</v>
      </c>
      <c r="CC18" s="45">
        <f t="shared" si="19"/>
        <v>53966</v>
      </c>
      <c r="CD18" s="45">
        <f t="shared" si="19"/>
        <v>54058</v>
      </c>
      <c r="CE18" s="45">
        <f t="shared" si="19"/>
        <v>54149</v>
      </c>
      <c r="CF18" s="45">
        <f t="shared" si="19"/>
        <v>54240</v>
      </c>
      <c r="CG18" s="45">
        <f t="shared" si="19"/>
        <v>54332</v>
      </c>
      <c r="CH18" s="45">
        <f t="shared" si="19"/>
        <v>54424</v>
      </c>
      <c r="CI18" s="45">
        <f t="shared" si="19"/>
        <v>54514</v>
      </c>
      <c r="CJ18" s="45">
        <f t="shared" si="19"/>
        <v>54605</v>
      </c>
      <c r="CK18" s="45">
        <f t="shared" si="19"/>
        <v>54697</v>
      </c>
      <c r="CL18" s="45">
        <f t="shared" si="19"/>
        <v>54789</v>
      </c>
      <c r="CM18" s="45">
        <f t="shared" si="19"/>
        <v>54879</v>
      </c>
      <c r="CN18" s="45">
        <f t="shared" si="19"/>
        <v>54970</v>
      </c>
      <c r="CO18" s="45">
        <f t="shared" si="19"/>
        <v>55062</v>
      </c>
    </row>
    <row r="19" spans="1:93" ht="12.75" customHeight="1" outlineLevel="4">
      <c r="A19" s="35"/>
      <c r="B19" s="26" t="str">
        <f>'Итого выручка 1 этапа'!A4</f>
        <v>Проживание</v>
      </c>
      <c r="C19" s="35">
        <f t="shared" ref="C19:C27" si="20">SUM(D19:CN19)</f>
        <v>2753407.6192987137</v>
      </c>
      <c r="D19" s="60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>
        <f>SUM('Итого выручка 2 этапа '!$E$3:$G$3)/1000</f>
        <v>15774.576484375</v>
      </c>
      <c r="X19" s="35">
        <f>SUM('Итого выручка 2 этапа '!$H$3:$J$3)/1000</f>
        <v>22517.154101562501</v>
      </c>
      <c r="Y19" s="35">
        <f>SUM('Итого выручка 2 этапа '!$M$3:$HK$3)/1000</f>
        <v>57343.672575557677</v>
      </c>
      <c r="Z19" s="35">
        <f>SUM('Итого выручка 2 этапа '!$B$12:$D$12)/1000</f>
        <v>9379.0538481249987</v>
      </c>
      <c r="AA19" s="35">
        <f>SUM('Итого выручка 2 этапа '!$E$12:$G$12)/1000</f>
        <v>16405.559543750001</v>
      </c>
      <c r="AB19" s="35">
        <f>SUM('Итого выручка 2 этапа '!$H$12:$J$12)/1000</f>
        <v>23417.840265625</v>
      </c>
      <c r="AC19" s="35">
        <f>SUM('Итого выручка 2 этапа '!$M$12:$HK$12)/1000</f>
        <v>59637.419457183489</v>
      </c>
      <c r="AD19" s="35">
        <f>SUM('Итого выручка 2 этапа '!$B$21:$D$21)/1000</f>
        <v>9754.2160020500014</v>
      </c>
      <c r="AE19" s="35">
        <f>SUM('Итого выручка 2 этапа '!$E$21:$G$21)/1000</f>
        <v>17061.781925500003</v>
      </c>
      <c r="AF19" s="35">
        <f>SUM('Итого выручка 2 этапа '!$H$21:$J$21)/1000</f>
        <v>24354.55387625</v>
      </c>
      <c r="AG19" s="35">
        <f>SUM('Итого выручка 2 этапа '!$M$21:$HK$21)/1000</f>
        <v>62022.915914050005</v>
      </c>
      <c r="AH19" s="35">
        <f t="shared" ref="AH19:CM20" si="21">AD19*AH$14</f>
        <v>10241.926802152502</v>
      </c>
      <c r="AI19" s="35">
        <f t="shared" si="21"/>
        <v>17914.871021775005</v>
      </c>
      <c r="AJ19" s="35">
        <f t="shared" si="21"/>
        <v>25572.2815700625</v>
      </c>
      <c r="AK19" s="35">
        <f t="shared" si="21"/>
        <v>65124.06170975251</v>
      </c>
      <c r="AL19" s="35">
        <f t="shared" si="21"/>
        <v>10754.023142260128</v>
      </c>
      <c r="AM19" s="35">
        <f t="shared" si="21"/>
        <v>18810.614572863757</v>
      </c>
      <c r="AN19" s="35">
        <f t="shared" si="21"/>
        <v>26850.895648565627</v>
      </c>
      <c r="AO19" s="35">
        <f t="shared" si="21"/>
        <v>68380.264795240131</v>
      </c>
      <c r="AP19" s="35">
        <f t="shared" si="21"/>
        <v>11291.724299373134</v>
      </c>
      <c r="AQ19" s="35">
        <f t="shared" si="21"/>
        <v>19751.145301506946</v>
      </c>
      <c r="AR19" s="35">
        <f t="shared" si="21"/>
        <v>28193.440430993909</v>
      </c>
      <c r="AS19" s="35">
        <f t="shared" si="21"/>
        <v>71799.278035002135</v>
      </c>
      <c r="AT19" s="35">
        <f t="shared" si="21"/>
        <v>11856.310514341791</v>
      </c>
      <c r="AU19" s="35">
        <f t="shared" si="21"/>
        <v>20738.702566582295</v>
      </c>
      <c r="AV19" s="35">
        <f t="shared" si="21"/>
        <v>29603.112452543606</v>
      </c>
      <c r="AW19" s="35">
        <f t="shared" si="21"/>
        <v>75389.241936752238</v>
      </c>
      <c r="AX19" s="35">
        <f t="shared" si="21"/>
        <v>12449.12604005888</v>
      </c>
      <c r="AY19" s="35">
        <f t="shared" si="21"/>
        <v>21775.637694911409</v>
      </c>
      <c r="AZ19" s="35">
        <f t="shared" si="21"/>
        <v>31083.268075170789</v>
      </c>
      <c r="BA19" s="35">
        <f t="shared" si="21"/>
        <v>79158.704033589849</v>
      </c>
      <c r="BB19" s="35">
        <f t="shared" si="21"/>
        <v>13071.582342061825</v>
      </c>
      <c r="BC19" s="35">
        <f t="shared" si="21"/>
        <v>22864.41957965698</v>
      </c>
      <c r="BD19" s="35">
        <f t="shared" si="21"/>
        <v>32637.431478929328</v>
      </c>
      <c r="BE19" s="35">
        <f t="shared" si="21"/>
        <v>83116.639235269351</v>
      </c>
      <c r="BF19" s="35">
        <f t="shared" si="21"/>
        <v>13725.161459164918</v>
      </c>
      <c r="BG19" s="35">
        <f t="shared" si="21"/>
        <v>24007.640558639829</v>
      </c>
      <c r="BH19" s="35">
        <f t="shared" si="21"/>
        <v>34269.303052875795</v>
      </c>
      <c r="BI19" s="35">
        <f t="shared" si="21"/>
        <v>87272.471197032821</v>
      </c>
      <c r="BJ19" s="35">
        <f t="shared" si="21"/>
        <v>14411.419532123164</v>
      </c>
      <c r="BK19" s="35">
        <f t="shared" si="21"/>
        <v>25208.02258657182</v>
      </c>
      <c r="BL19" s="35">
        <f t="shared" si="21"/>
        <v>35982.768205519584</v>
      </c>
      <c r="BM19" s="35">
        <f t="shared" si="21"/>
        <v>91636.094756884471</v>
      </c>
      <c r="BN19" s="35">
        <f t="shared" si="21"/>
        <v>15131.990508729323</v>
      </c>
      <c r="BO19" s="35">
        <f t="shared" si="21"/>
        <v>26468.423715900411</v>
      </c>
      <c r="BP19" s="35">
        <f t="shared" si="21"/>
        <v>37781.906615795568</v>
      </c>
      <c r="BQ19" s="35">
        <f t="shared" si="21"/>
        <v>96217.899494728699</v>
      </c>
      <c r="BR19" s="35">
        <f t="shared" si="21"/>
        <v>15888.590034165789</v>
      </c>
      <c r="BS19" s="35">
        <f t="shared" si="21"/>
        <v>27791.844901695433</v>
      </c>
      <c r="BT19" s="35">
        <f t="shared" si="21"/>
        <v>39671.001946585347</v>
      </c>
      <c r="BU19" s="35">
        <f t="shared" si="21"/>
        <v>101028.79446946514</v>
      </c>
      <c r="BV19" s="35">
        <f t="shared" si="21"/>
        <v>16683.019535874078</v>
      </c>
      <c r="BW19" s="35">
        <f t="shared" si="21"/>
        <v>29181.437146780205</v>
      </c>
      <c r="BX19" s="35">
        <f t="shared" si="21"/>
        <v>41654.552043914613</v>
      </c>
      <c r="BY19" s="35">
        <f t="shared" si="21"/>
        <v>106080.2341929384</v>
      </c>
      <c r="BZ19" s="35">
        <f t="shared" si="21"/>
        <v>17517.170512667784</v>
      </c>
      <c r="CA19" s="35">
        <f t="shared" si="21"/>
        <v>30640.509004119216</v>
      </c>
      <c r="CB19" s="35">
        <f t="shared" si="21"/>
        <v>43737.279646110343</v>
      </c>
      <c r="CC19" s="35">
        <f t="shared" si="21"/>
        <v>111384.24590258532</v>
      </c>
      <c r="CD19" s="35">
        <f t="shared" si="21"/>
        <v>18393.029038301174</v>
      </c>
      <c r="CE19" s="35">
        <f t="shared" si="21"/>
        <v>32172.534454325178</v>
      </c>
      <c r="CF19" s="35">
        <f t="shared" si="21"/>
        <v>45924.143628415863</v>
      </c>
      <c r="CG19" s="35">
        <f t="shared" si="21"/>
        <v>116953.45819771459</v>
      </c>
      <c r="CH19" s="35">
        <f t="shared" si="21"/>
        <v>19312.680490216233</v>
      </c>
      <c r="CI19" s="35">
        <f t="shared" si="21"/>
        <v>33781.161177041438</v>
      </c>
      <c r="CJ19" s="35">
        <f t="shared" si="21"/>
        <v>48220.350809836658</v>
      </c>
      <c r="CK19" s="35">
        <f t="shared" si="21"/>
        <v>122801.13110760032</v>
      </c>
      <c r="CL19" s="35">
        <f t="shared" si="21"/>
        <v>20278.314514727044</v>
      </c>
      <c r="CM19" s="35">
        <f t="shared" si="21"/>
        <v>35470.219235893514</v>
      </c>
      <c r="CN19" s="35">
        <f t="shared" ref="CN19:CO20" si="22">CJ19*CN$14</f>
        <v>50631.368350328492</v>
      </c>
      <c r="CO19" s="35">
        <f t="shared" si="22"/>
        <v>128941.18766298034</v>
      </c>
    </row>
    <row r="20" spans="1:93" ht="12.75" customHeight="1" outlineLevel="4">
      <c r="A20" s="35"/>
      <c r="B20" s="26" t="str">
        <f>'Итого выручка 1 этапа'!A5</f>
        <v>Питание, входящее в стоимость номера</v>
      </c>
      <c r="C20" s="35">
        <f t="shared" si="20"/>
        <v>639135.09569068963</v>
      </c>
      <c r="D20" s="60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>
        <f>SUM('Итого выручка 2 этапа '!$E$4:$G$4)/1000</f>
        <v>2546.46</v>
      </c>
      <c r="X20" s="35">
        <f>SUM('Итого выручка 2 этапа '!$H$4:$J$4)/1000</f>
        <v>3248.0909999999999</v>
      </c>
      <c r="Y20" s="35">
        <f>SUM('Итого выручка 2 этапа '!$M$4:$HK$4)/1000</f>
        <v>9771.3630536253386</v>
      </c>
      <c r="Z20" s="35">
        <f>SUM('Итого выручка 2 этапа '!$B$13:$D$13)/1000</f>
        <v>2635.0668749999995</v>
      </c>
      <c r="AA20" s="35">
        <f>SUM('Итого выручка 2 этапа '!$E$13:$G$13)/1000</f>
        <v>3713.5874999999992</v>
      </c>
      <c r="AB20" s="35">
        <f>SUM('Итого выручка 2 этапа '!$H$13:$J$13)/1000</f>
        <v>4736.7993749999987</v>
      </c>
      <c r="AC20" s="35">
        <f>SUM('Итого выручка 2 этапа '!$M$13:$HK$13)/1000</f>
        <v>14249.904448140041</v>
      </c>
      <c r="AD20" s="35">
        <f>SUM('Итого выручка 2 этапа '!$B$22:$D$22)/1000</f>
        <v>2766.8202187499996</v>
      </c>
      <c r="AE20" s="35">
        <f>SUM('Итого выручка 2 этапа '!$E$22:$G$22)/1000</f>
        <v>3899.2668749999989</v>
      </c>
      <c r="AF20" s="35">
        <f>SUM('Итого выручка 2 этапа '!$H$22:$J$22)/1000</f>
        <v>4973.6393437499992</v>
      </c>
      <c r="AG20" s="35">
        <f>SUM('Итого выручка 2 этапа '!$M$22:$HK$22)/1000</f>
        <v>14962.399593749999</v>
      </c>
      <c r="AH20" s="35">
        <f t="shared" si="21"/>
        <v>2905.1612296874996</v>
      </c>
      <c r="AI20" s="35">
        <f t="shared" si="21"/>
        <v>4094.230218749999</v>
      </c>
      <c r="AJ20" s="35">
        <f t="shared" si="21"/>
        <v>5222.3213109374992</v>
      </c>
      <c r="AK20" s="35">
        <f t="shared" si="21"/>
        <v>15710.519573437499</v>
      </c>
      <c r="AL20" s="35">
        <f t="shared" si="21"/>
        <v>3050.4192911718746</v>
      </c>
      <c r="AM20" s="35">
        <f t="shared" si="21"/>
        <v>4298.941729687499</v>
      </c>
      <c r="AN20" s="35">
        <f t="shared" si="21"/>
        <v>5483.437376484374</v>
      </c>
      <c r="AO20" s="35">
        <f t="shared" si="21"/>
        <v>16496.045552109375</v>
      </c>
      <c r="AP20" s="35">
        <f t="shared" si="21"/>
        <v>3202.9402557304684</v>
      </c>
      <c r="AQ20" s="35">
        <f t="shared" si="21"/>
        <v>4513.8888161718742</v>
      </c>
      <c r="AR20" s="35">
        <f t="shared" si="21"/>
        <v>5757.609245308593</v>
      </c>
      <c r="AS20" s="35">
        <f t="shared" si="21"/>
        <v>17320.847829714847</v>
      </c>
      <c r="AT20" s="35">
        <f t="shared" si="21"/>
        <v>3363.087268516992</v>
      </c>
      <c r="AU20" s="35">
        <f t="shared" si="21"/>
        <v>4739.5832569804679</v>
      </c>
      <c r="AV20" s="35">
        <f t="shared" si="21"/>
        <v>6045.4897075740228</v>
      </c>
      <c r="AW20" s="35">
        <f t="shared" si="21"/>
        <v>18186.890221200589</v>
      </c>
      <c r="AX20" s="35">
        <f t="shared" si="21"/>
        <v>3531.2416319428417</v>
      </c>
      <c r="AY20" s="35">
        <f t="shared" si="21"/>
        <v>4976.5624198294918</v>
      </c>
      <c r="AZ20" s="35">
        <f t="shared" si="21"/>
        <v>6347.7641929527244</v>
      </c>
      <c r="BA20" s="35">
        <f t="shared" si="21"/>
        <v>19096.234732260618</v>
      </c>
      <c r="BB20" s="35">
        <f t="shared" si="21"/>
        <v>3707.8037135399841</v>
      </c>
      <c r="BC20" s="35">
        <f t="shared" si="21"/>
        <v>5225.3905408209666</v>
      </c>
      <c r="BD20" s="35">
        <f t="shared" si="21"/>
        <v>6665.1524026003608</v>
      </c>
      <c r="BE20" s="35">
        <f t="shared" si="21"/>
        <v>20051.04646887365</v>
      </c>
      <c r="BF20" s="35">
        <f t="shared" si="21"/>
        <v>3893.1938992169835</v>
      </c>
      <c r="BG20" s="35">
        <f t="shared" si="21"/>
        <v>5486.6600678620152</v>
      </c>
      <c r="BH20" s="35">
        <f t="shared" si="21"/>
        <v>6998.4100227303788</v>
      </c>
      <c r="BI20" s="35">
        <f t="shared" si="21"/>
        <v>21053.598792317334</v>
      </c>
      <c r="BJ20" s="35">
        <f t="shared" si="21"/>
        <v>4087.8535941778327</v>
      </c>
      <c r="BK20" s="35">
        <f t="shared" si="21"/>
        <v>5760.9930712551159</v>
      </c>
      <c r="BL20" s="35">
        <f t="shared" si="21"/>
        <v>7348.3305238668981</v>
      </c>
      <c r="BM20" s="35">
        <f t="shared" si="21"/>
        <v>22106.278731933202</v>
      </c>
      <c r="BN20" s="35">
        <f t="shared" si="21"/>
        <v>4292.2462738867243</v>
      </c>
      <c r="BO20" s="35">
        <f t="shared" si="21"/>
        <v>6049.0427248178721</v>
      </c>
      <c r="BP20" s="35">
        <f t="shared" si="21"/>
        <v>7715.7470500602431</v>
      </c>
      <c r="BQ20" s="35">
        <f t="shared" si="21"/>
        <v>23211.592668529862</v>
      </c>
      <c r="BR20" s="35">
        <f t="shared" si="21"/>
        <v>4506.8585875810604</v>
      </c>
      <c r="BS20" s="35">
        <f t="shared" si="21"/>
        <v>6351.4948610587662</v>
      </c>
      <c r="BT20" s="35">
        <f t="shared" si="21"/>
        <v>8101.5344025632558</v>
      </c>
      <c r="BU20" s="35">
        <f t="shared" si="21"/>
        <v>24372.172301956354</v>
      </c>
      <c r="BV20" s="35">
        <f t="shared" si="21"/>
        <v>4732.2015169601136</v>
      </c>
      <c r="BW20" s="35">
        <f t="shared" si="21"/>
        <v>6669.0696041117044</v>
      </c>
      <c r="BX20" s="35">
        <f t="shared" si="21"/>
        <v>8506.6111226914181</v>
      </c>
      <c r="BY20" s="35">
        <f t="shared" si="21"/>
        <v>25590.780917054173</v>
      </c>
      <c r="BZ20" s="35">
        <f t="shared" si="21"/>
        <v>4968.8115928081197</v>
      </c>
      <c r="CA20" s="35">
        <f t="shared" si="21"/>
        <v>7002.5230843172903</v>
      </c>
      <c r="CB20" s="35">
        <f t="shared" si="21"/>
        <v>8931.9416788259896</v>
      </c>
      <c r="CC20" s="35">
        <f t="shared" si="21"/>
        <v>26870.319962906884</v>
      </c>
      <c r="CD20" s="35">
        <f t="shared" si="21"/>
        <v>5217.2521724485259</v>
      </c>
      <c r="CE20" s="35">
        <f t="shared" si="21"/>
        <v>7352.6492385331549</v>
      </c>
      <c r="CF20" s="35">
        <f t="shared" si="21"/>
        <v>9378.5387627672899</v>
      </c>
      <c r="CG20" s="35">
        <f t="shared" si="21"/>
        <v>28213.835961052231</v>
      </c>
      <c r="CH20" s="35">
        <f t="shared" si="21"/>
        <v>5478.1147810709526</v>
      </c>
      <c r="CI20" s="35">
        <f t="shared" si="21"/>
        <v>7720.2817004598128</v>
      </c>
      <c r="CJ20" s="35">
        <f t="shared" si="21"/>
        <v>9847.4657009056555</v>
      </c>
      <c r="CK20" s="35">
        <f t="shared" si="21"/>
        <v>29624.527759104843</v>
      </c>
      <c r="CL20" s="35">
        <f t="shared" si="21"/>
        <v>5752.0205201245008</v>
      </c>
      <c r="CM20" s="35">
        <f t="shared" si="21"/>
        <v>8106.2957854828037</v>
      </c>
      <c r="CN20" s="35">
        <f t="shared" si="22"/>
        <v>10339.838985950939</v>
      </c>
      <c r="CO20" s="35">
        <f t="shared" si="22"/>
        <v>31105.754147060088</v>
      </c>
    </row>
    <row r="21" spans="1:93" ht="12.75" customHeight="1" outlineLevel="4">
      <c r="A21" s="35"/>
      <c r="B21" s="26" t="s">
        <v>822</v>
      </c>
      <c r="C21" s="35">
        <f t="shared" si="20"/>
        <v>1288625.5717844365</v>
      </c>
      <c r="D21" s="60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>
        <f>SUM('Итого выручка 2 этапа '!$E$5:$G$5)/1000</f>
        <v>6861.9217500000004</v>
      </c>
      <c r="X21" s="35">
        <f>SUM('Итого выручка 2 этапа '!$H$5:$J$5)/1000</f>
        <v>8985.5978624999989</v>
      </c>
      <c r="Y21" s="35">
        <f>SUM('Итого выручка 2 этапа '!$M$5:$HK$5)/1000</f>
        <v>27199.590110223628</v>
      </c>
      <c r="Z21" s="35">
        <f>SUM('Итого выручка 2 этапа '!$B$14:$D$14)/1000</f>
        <v>5336.4461276249995</v>
      </c>
      <c r="AA21" s="35">
        <f>SUM('Итого выручка 2 этапа '!$E$14:$G$14)/1000</f>
        <v>7205.0178374999996</v>
      </c>
      <c r="AB21" s="35">
        <f>SUM('Итого выручка 2 этапа '!$H$14:$J$14)/1000</f>
        <v>9434.8777556249988</v>
      </c>
      <c r="AC21" s="35">
        <f>SUM('Итого выручка 2 этапа '!$M$14:$HK$14)/1000</f>
        <v>28646.390360670193</v>
      </c>
      <c r="AD21" s="35">
        <f>SUM('Итого выручка 2 этапа '!$B$23:$D$23)/1000</f>
        <v>5603.2684340062497</v>
      </c>
      <c r="AE21" s="35">
        <f>SUM('Итого выручка 2 этапа '!$E$23:$G$23)/1000</f>
        <v>7565.2687293749996</v>
      </c>
      <c r="AF21" s="35">
        <f>SUM('Итого выручка 2 этапа '!$H$23:$J$23)/1000</f>
        <v>9906.6216434062499</v>
      </c>
      <c r="AG21" s="35">
        <f>SUM('Итого выручка 2 этапа '!$M$23:$HK$23)/1000</f>
        <v>30078.70972588125</v>
      </c>
      <c r="AH21" s="35">
        <f t="shared" ref="AH21:AP21" si="23">AD21*AH$14</f>
        <v>5883.4318557065626</v>
      </c>
      <c r="AI21" s="35">
        <f t="shared" si="23"/>
        <v>7943.5321658437497</v>
      </c>
      <c r="AJ21" s="35">
        <f t="shared" si="23"/>
        <v>10401.952725576562</v>
      </c>
      <c r="AK21" s="35">
        <f t="shared" si="23"/>
        <v>31582.645212175314</v>
      </c>
      <c r="AL21" s="35">
        <f t="shared" si="23"/>
        <v>6177.603448491891</v>
      </c>
      <c r="AM21" s="35">
        <f t="shared" si="23"/>
        <v>8340.7087741359373</v>
      </c>
      <c r="AN21" s="35">
        <f t="shared" si="23"/>
        <v>10922.05036185539</v>
      </c>
      <c r="AO21" s="35">
        <f t="shared" si="23"/>
        <v>33161.777472784081</v>
      </c>
      <c r="AP21" s="35">
        <f t="shared" si="23"/>
        <v>6486.483620916486</v>
      </c>
      <c r="AQ21" s="35">
        <f t="shared" ref="AQ21:BF21" si="24">AM21*AQ$14</f>
        <v>8757.7442128427338</v>
      </c>
      <c r="AR21" s="35">
        <f t="shared" si="24"/>
        <v>11468.15287994816</v>
      </c>
      <c r="AS21" s="35">
        <f t="shared" si="24"/>
        <v>34819.866346423289</v>
      </c>
      <c r="AT21" s="35">
        <f t="shared" si="24"/>
        <v>6810.8078019623108</v>
      </c>
      <c r="AU21" s="35">
        <f t="shared" si="24"/>
        <v>9195.6314234848705</v>
      </c>
      <c r="AV21" s="35">
        <f t="shared" si="24"/>
        <v>12041.560523945569</v>
      </c>
      <c r="AW21" s="35">
        <f t="shared" si="24"/>
        <v>36560.859663744457</v>
      </c>
      <c r="AX21" s="35">
        <f t="shared" si="24"/>
        <v>7151.3481920604263</v>
      </c>
      <c r="AY21" s="35">
        <f t="shared" si="24"/>
        <v>9655.4129946591147</v>
      </c>
      <c r="AZ21" s="35">
        <f t="shared" si="24"/>
        <v>12643.638550142849</v>
      </c>
      <c r="BA21" s="35">
        <f t="shared" si="24"/>
        <v>38388.902646931681</v>
      </c>
      <c r="BB21" s="35">
        <f t="shared" si="24"/>
        <v>7508.9156016634479</v>
      </c>
      <c r="BC21" s="35">
        <f t="shared" si="24"/>
        <v>10138.183644392071</v>
      </c>
      <c r="BD21" s="35">
        <f t="shared" si="24"/>
        <v>13275.820477649992</v>
      </c>
      <c r="BE21" s="35">
        <f t="shared" si="24"/>
        <v>40308.347779278265</v>
      </c>
      <c r="BF21" s="35">
        <f t="shared" si="24"/>
        <v>7884.3613817466203</v>
      </c>
      <c r="BG21" s="35">
        <f t="shared" ref="BG21:BV21" si="25">BC21*BG$14</f>
        <v>10645.092826611675</v>
      </c>
      <c r="BH21" s="35">
        <f t="shared" si="25"/>
        <v>13939.611501532492</v>
      </c>
      <c r="BI21" s="35">
        <f t="shared" si="25"/>
        <v>42323.765168242178</v>
      </c>
      <c r="BJ21" s="35">
        <f t="shared" si="25"/>
        <v>8278.5794508339513</v>
      </c>
      <c r="BK21" s="35">
        <f t="shared" si="25"/>
        <v>11177.34746794226</v>
      </c>
      <c r="BL21" s="35">
        <f t="shared" si="25"/>
        <v>14636.592076609117</v>
      </c>
      <c r="BM21" s="35">
        <f t="shared" si="25"/>
        <v>44439.953426654291</v>
      </c>
      <c r="BN21" s="35">
        <f t="shared" si="25"/>
        <v>8692.5084233756497</v>
      </c>
      <c r="BO21" s="35">
        <f t="shared" si="25"/>
        <v>11736.214841339373</v>
      </c>
      <c r="BP21" s="35">
        <f t="shared" si="25"/>
        <v>15368.421680439573</v>
      </c>
      <c r="BQ21" s="35">
        <f t="shared" si="25"/>
        <v>46661.95109798701</v>
      </c>
      <c r="BR21" s="35">
        <f t="shared" si="25"/>
        <v>9127.1338445444326</v>
      </c>
      <c r="BS21" s="35">
        <f t="shared" si="25"/>
        <v>12323.025583406343</v>
      </c>
      <c r="BT21" s="35">
        <f t="shared" si="25"/>
        <v>16136.842764461551</v>
      </c>
      <c r="BU21" s="35">
        <f t="shared" si="25"/>
        <v>48995.048652886362</v>
      </c>
      <c r="BV21" s="35">
        <f t="shared" si="25"/>
        <v>9583.4905367716547</v>
      </c>
      <c r="BW21" s="35">
        <f t="shared" ref="BW21:CL21" si="26">BS21*BW$14</f>
        <v>12939.17686257666</v>
      </c>
      <c r="BX21" s="35">
        <f t="shared" si="26"/>
        <v>16943.684902684628</v>
      </c>
      <c r="BY21" s="35">
        <f t="shared" si="26"/>
        <v>51444.801085530686</v>
      </c>
      <c r="BZ21" s="35">
        <f t="shared" si="26"/>
        <v>10062.665063610239</v>
      </c>
      <c r="CA21" s="35">
        <f t="shared" si="26"/>
        <v>13586.135705705494</v>
      </c>
      <c r="CB21" s="35">
        <f t="shared" si="26"/>
        <v>17790.869147818859</v>
      </c>
      <c r="CC21" s="35">
        <f t="shared" si="26"/>
        <v>54017.041139807225</v>
      </c>
      <c r="CD21" s="35">
        <f t="shared" si="26"/>
        <v>10565.798316790751</v>
      </c>
      <c r="CE21" s="35">
        <f t="shared" si="26"/>
        <v>14265.442490990768</v>
      </c>
      <c r="CF21" s="35">
        <f t="shared" si="26"/>
        <v>18680.412605209804</v>
      </c>
      <c r="CG21" s="35">
        <f t="shared" si="26"/>
        <v>56717.893196797588</v>
      </c>
      <c r="CH21" s="35">
        <f t="shared" si="26"/>
        <v>11094.088232630289</v>
      </c>
      <c r="CI21" s="35">
        <f t="shared" si="26"/>
        <v>14978.714615540308</v>
      </c>
      <c r="CJ21" s="35">
        <f t="shared" si="26"/>
        <v>19614.433235470293</v>
      </c>
      <c r="CK21" s="35">
        <f t="shared" si="26"/>
        <v>59553.787856637471</v>
      </c>
      <c r="CL21" s="35">
        <f t="shared" si="26"/>
        <v>11648.792644261805</v>
      </c>
      <c r="CM21" s="35">
        <f t="shared" ref="AH21:CM22" si="27">CI21*CM$14</f>
        <v>15727.650346317325</v>
      </c>
      <c r="CN21" s="35">
        <f t="shared" ref="CN21:CN22" si="28">CJ21*CN$14</f>
        <v>20595.154897243807</v>
      </c>
      <c r="CO21" s="35">
        <f t="shared" ref="CO21:CO22" si="29">CK21*CO$14</f>
        <v>62531.477249469346</v>
      </c>
    </row>
    <row r="22" spans="1:93" ht="12.75" customHeight="1" outlineLevel="4">
      <c r="A22" s="35"/>
      <c r="B22" s="26" t="s">
        <v>823</v>
      </c>
      <c r="C22" s="35">
        <f t="shared" si="20"/>
        <v>4184837.3443839764</v>
      </c>
      <c r="D22" s="60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>
        <f>SUM('Итого выручка 2 этапа '!$E$6:$G$6)/1000</f>
        <v>22214.420799999996</v>
      </c>
      <c r="X22" s="35">
        <f>SUM('Итого выручка 2 этапа '!$H$6:$J$6)/1000</f>
        <v>29282.933680000002</v>
      </c>
      <c r="Y22" s="35">
        <f>SUM('Итого выручка 2 этапа '!$M$6:$HK$6)/1000</f>
        <v>88775.784720905838</v>
      </c>
      <c r="Z22" s="35">
        <f>SUM('Итого выручка 2 этапа '!$B$15:$D$15)/1000</f>
        <v>17108.703612000001</v>
      </c>
      <c r="AA22" s="35">
        <f>SUM('Итого выручка 2 этапа '!$E$15:$G$15)/1000</f>
        <v>23325.141839999997</v>
      </c>
      <c r="AB22" s="35">
        <f>SUM('Итого выручка 2 этапа '!$H$15:$J$15)/1000</f>
        <v>30747.080364000005</v>
      </c>
      <c r="AC22" s="35">
        <f>SUM('Итого выручка 2 этапа '!$M$15:$HK$15)/1000</f>
        <v>93214.57392425627</v>
      </c>
      <c r="AD22" s="35">
        <f>SUM('Итого выручка 2 этапа '!$B$24:$D$24)/1000</f>
        <v>17964.138792599999</v>
      </c>
      <c r="AE22" s="35">
        <f>SUM('Итого выручка 2 этапа '!$E$24:$G$24)/1000</f>
        <v>24491.398931999996</v>
      </c>
      <c r="AF22" s="35">
        <f>SUM('Итого выручка 2 этапа '!$H$24:$J$24)/1000</f>
        <v>32284.434382200005</v>
      </c>
      <c r="AG22" s="35">
        <f>SUM('Итого выручка 2 этапа '!$M$24:$HK$24)/1000</f>
        <v>97875.302124600013</v>
      </c>
      <c r="AH22" s="35">
        <f t="shared" si="27"/>
        <v>18862.345732229998</v>
      </c>
      <c r="AI22" s="35">
        <f t="shared" si="27"/>
        <v>25715.968878599997</v>
      </c>
      <c r="AJ22" s="35">
        <f t="shared" si="27"/>
        <v>33898.656101310007</v>
      </c>
      <c r="AK22" s="35">
        <f t="shared" si="27"/>
        <v>102769.06723083001</v>
      </c>
      <c r="AL22" s="35">
        <f t="shared" si="27"/>
        <v>19805.463018841499</v>
      </c>
      <c r="AM22" s="35">
        <f t="shared" si="27"/>
        <v>27001.767322529999</v>
      </c>
      <c r="AN22" s="35">
        <f t="shared" si="27"/>
        <v>35593.588906375509</v>
      </c>
      <c r="AO22" s="35">
        <f t="shared" si="27"/>
        <v>107907.52059237151</v>
      </c>
      <c r="AP22" s="35">
        <f t="shared" si="27"/>
        <v>20795.736169783577</v>
      </c>
      <c r="AQ22" s="35">
        <f t="shared" si="27"/>
        <v>28351.855688656498</v>
      </c>
      <c r="AR22" s="35">
        <f t="shared" si="27"/>
        <v>37373.268351694285</v>
      </c>
      <c r="AS22" s="35">
        <f t="shared" si="27"/>
        <v>113302.89662199009</v>
      </c>
      <c r="AT22" s="35">
        <f t="shared" si="27"/>
        <v>21835.522978272758</v>
      </c>
      <c r="AU22" s="35">
        <f t="shared" si="27"/>
        <v>29769.448473089324</v>
      </c>
      <c r="AV22" s="35">
        <f t="shared" si="27"/>
        <v>39241.931769278999</v>
      </c>
      <c r="AW22" s="35">
        <f t="shared" si="27"/>
        <v>118968.04145308959</v>
      </c>
      <c r="AX22" s="35">
        <f t="shared" si="27"/>
        <v>22927.299127186398</v>
      </c>
      <c r="AY22" s="35">
        <f t="shared" si="27"/>
        <v>31257.920896743792</v>
      </c>
      <c r="AZ22" s="35">
        <f t="shared" si="27"/>
        <v>41204.028357742951</v>
      </c>
      <c r="BA22" s="35">
        <f t="shared" si="27"/>
        <v>124916.44352574408</v>
      </c>
      <c r="BB22" s="35">
        <f t="shared" si="27"/>
        <v>24073.664083545718</v>
      </c>
      <c r="BC22" s="35">
        <f t="shared" si="27"/>
        <v>32820.816941580983</v>
      </c>
      <c r="BD22" s="35">
        <f t="shared" si="27"/>
        <v>43264.229775630098</v>
      </c>
      <c r="BE22" s="35">
        <f t="shared" si="27"/>
        <v>131162.26570203129</v>
      </c>
      <c r="BF22" s="35">
        <f t="shared" si="27"/>
        <v>25277.347287723005</v>
      </c>
      <c r="BG22" s="35">
        <f t="shared" si="27"/>
        <v>34461.857788660032</v>
      </c>
      <c r="BH22" s="35">
        <f t="shared" si="27"/>
        <v>45427.441264411602</v>
      </c>
      <c r="BI22" s="35">
        <f t="shared" si="27"/>
        <v>137720.37898713286</v>
      </c>
      <c r="BJ22" s="35">
        <f t="shared" si="27"/>
        <v>26541.214652109156</v>
      </c>
      <c r="BK22" s="35">
        <f t="shared" si="27"/>
        <v>36184.950678093039</v>
      </c>
      <c r="BL22" s="35">
        <f t="shared" si="27"/>
        <v>47698.813327632182</v>
      </c>
      <c r="BM22" s="35">
        <f t="shared" si="27"/>
        <v>144606.39793648952</v>
      </c>
      <c r="BN22" s="35">
        <f t="shared" si="27"/>
        <v>27868.275384714616</v>
      </c>
      <c r="BO22" s="35">
        <f t="shared" si="27"/>
        <v>37994.198211997689</v>
      </c>
      <c r="BP22" s="35">
        <f t="shared" si="27"/>
        <v>50083.753994013794</v>
      </c>
      <c r="BQ22" s="35">
        <f t="shared" si="27"/>
        <v>151836.717833314</v>
      </c>
      <c r="BR22" s="35">
        <f t="shared" si="27"/>
        <v>29261.689153950349</v>
      </c>
      <c r="BS22" s="35">
        <f t="shared" si="27"/>
        <v>39893.908122597575</v>
      </c>
      <c r="BT22" s="35">
        <f t="shared" si="27"/>
        <v>52587.941693714485</v>
      </c>
      <c r="BU22" s="35">
        <f t="shared" si="27"/>
        <v>159428.55372497972</v>
      </c>
      <c r="BV22" s="35">
        <f t="shared" si="27"/>
        <v>30724.773611647866</v>
      </c>
      <c r="BW22" s="35">
        <f t="shared" si="27"/>
        <v>41888.603528727457</v>
      </c>
      <c r="BX22" s="35">
        <f t="shared" si="27"/>
        <v>55217.338778400212</v>
      </c>
      <c r="BY22" s="35">
        <f t="shared" si="27"/>
        <v>167399.98141122871</v>
      </c>
      <c r="BZ22" s="35">
        <f t="shared" si="27"/>
        <v>32261.012292230262</v>
      </c>
      <c r="CA22" s="35">
        <f t="shared" si="27"/>
        <v>43983.033705163834</v>
      </c>
      <c r="CB22" s="35">
        <f t="shared" si="27"/>
        <v>57978.205717320227</v>
      </c>
      <c r="CC22" s="35">
        <f t="shared" si="27"/>
        <v>175769.98048179015</v>
      </c>
      <c r="CD22" s="35">
        <f t="shared" si="27"/>
        <v>33874.062906841777</v>
      </c>
      <c r="CE22" s="35">
        <f t="shared" si="27"/>
        <v>46182.185390422026</v>
      </c>
      <c r="CF22" s="35">
        <f t="shared" si="27"/>
        <v>60877.116003186238</v>
      </c>
      <c r="CG22" s="35">
        <f t="shared" si="27"/>
        <v>184558.47950587966</v>
      </c>
      <c r="CH22" s="35">
        <f t="shared" si="27"/>
        <v>35567.76605218387</v>
      </c>
      <c r="CI22" s="35">
        <f t="shared" si="27"/>
        <v>48491.294659943131</v>
      </c>
      <c r="CJ22" s="35">
        <f t="shared" si="27"/>
        <v>63920.97180334555</v>
      </c>
      <c r="CK22" s="35">
        <f t="shared" si="27"/>
        <v>193786.40348117365</v>
      </c>
      <c r="CL22" s="35">
        <f t="shared" si="27"/>
        <v>37346.154354793063</v>
      </c>
      <c r="CM22" s="35">
        <f t="shared" si="27"/>
        <v>50915.859392940292</v>
      </c>
      <c r="CN22" s="35">
        <f t="shared" si="28"/>
        <v>67117.020393512837</v>
      </c>
      <c r="CO22" s="35">
        <f t="shared" si="29"/>
        <v>203475.72365523234</v>
      </c>
    </row>
    <row r="23" spans="1:93" ht="12.75" customHeight="1" outlineLevel="4">
      <c r="A23" s="35"/>
      <c r="B23" s="26"/>
      <c r="C23" s="35">
        <f t="shared" si="20"/>
        <v>0</v>
      </c>
      <c r="D23" s="60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</row>
    <row r="24" spans="1:93" ht="12.75" customHeight="1" outlineLevel="4">
      <c r="A24" s="35"/>
      <c r="B24" s="63"/>
      <c r="C24" s="35">
        <f t="shared" si="20"/>
        <v>0</v>
      </c>
      <c r="D24" s="60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</row>
    <row r="25" spans="1:93" ht="12.75" customHeight="1" outlineLevel="4">
      <c r="A25" s="35"/>
      <c r="B25" s="63"/>
      <c r="C25" s="35">
        <f t="shared" si="20"/>
        <v>0</v>
      </c>
      <c r="D25" s="60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</row>
    <row r="26" spans="1:93" ht="12.75" customHeight="1" outlineLevel="4">
      <c r="A26" s="35"/>
      <c r="B26" s="63"/>
      <c r="C26" s="35">
        <f t="shared" si="20"/>
        <v>0</v>
      </c>
      <c r="D26" s="60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</row>
    <row r="27" spans="1:93" ht="12.75" customHeight="1">
      <c r="A27" s="37"/>
      <c r="B27" s="70" t="s">
        <v>128</v>
      </c>
      <c r="C27" s="70">
        <f t="shared" si="20"/>
        <v>8866005.6311578155</v>
      </c>
      <c r="D27" s="71">
        <f t="shared" ref="D27:BO27" si="30">SUM(D19:D26)</f>
        <v>0</v>
      </c>
      <c r="E27" s="70">
        <f t="shared" si="30"/>
        <v>0</v>
      </c>
      <c r="F27" s="70">
        <f t="shared" si="30"/>
        <v>0</v>
      </c>
      <c r="G27" s="70">
        <f t="shared" si="30"/>
        <v>0</v>
      </c>
      <c r="H27" s="70">
        <f t="shared" si="30"/>
        <v>0</v>
      </c>
      <c r="I27" s="70">
        <f t="shared" si="30"/>
        <v>0</v>
      </c>
      <c r="J27" s="70">
        <f t="shared" si="30"/>
        <v>0</v>
      </c>
      <c r="K27" s="70">
        <f t="shared" si="30"/>
        <v>0</v>
      </c>
      <c r="L27" s="70">
        <f t="shared" si="30"/>
        <v>0</v>
      </c>
      <c r="M27" s="70">
        <f t="shared" si="30"/>
        <v>0</v>
      </c>
      <c r="N27" s="70">
        <f t="shared" si="30"/>
        <v>0</v>
      </c>
      <c r="O27" s="70">
        <f t="shared" si="30"/>
        <v>0</v>
      </c>
      <c r="P27" s="70">
        <f t="shared" si="30"/>
        <v>0</v>
      </c>
      <c r="Q27" s="70">
        <f t="shared" si="30"/>
        <v>0</v>
      </c>
      <c r="R27" s="70">
        <f t="shared" si="30"/>
        <v>0</v>
      </c>
      <c r="S27" s="70">
        <f t="shared" si="30"/>
        <v>0</v>
      </c>
      <c r="T27" s="70">
        <f t="shared" si="30"/>
        <v>0</v>
      </c>
      <c r="U27" s="70">
        <f t="shared" si="30"/>
        <v>0</v>
      </c>
      <c r="V27" s="70">
        <f t="shared" si="30"/>
        <v>0</v>
      </c>
      <c r="W27" s="70">
        <f t="shared" si="30"/>
        <v>47397.379034375001</v>
      </c>
      <c r="X27" s="70">
        <f t="shared" si="30"/>
        <v>64033.776644062498</v>
      </c>
      <c r="Y27" s="70">
        <f t="shared" si="30"/>
        <v>183090.41046031247</v>
      </c>
      <c r="Z27" s="70">
        <f t="shared" si="30"/>
        <v>34459.270462749999</v>
      </c>
      <c r="AA27" s="70">
        <f t="shared" si="30"/>
        <v>50649.306721249995</v>
      </c>
      <c r="AB27" s="70">
        <f t="shared" si="30"/>
        <v>68336.597760250006</v>
      </c>
      <c r="AC27" s="70">
        <f t="shared" si="30"/>
        <v>195748.28819024999</v>
      </c>
      <c r="AD27" s="70">
        <f t="shared" si="30"/>
        <v>36088.443447406244</v>
      </c>
      <c r="AE27" s="70">
        <f t="shared" si="30"/>
        <v>53017.716461874996</v>
      </c>
      <c r="AF27" s="70">
        <f t="shared" si="30"/>
        <v>71519.249245606261</v>
      </c>
      <c r="AG27" s="70">
        <f t="shared" si="30"/>
        <v>204939.32735828127</v>
      </c>
      <c r="AH27" s="70">
        <f t="shared" si="30"/>
        <v>37892.865619776567</v>
      </c>
      <c r="AI27" s="70">
        <f t="shared" si="30"/>
        <v>55668.602284968751</v>
      </c>
      <c r="AJ27" s="70">
        <f t="shared" si="30"/>
        <v>75095.21170788657</v>
      </c>
      <c r="AK27" s="70">
        <f t="shared" si="30"/>
        <v>215186.29372619535</v>
      </c>
      <c r="AL27" s="70">
        <f t="shared" si="30"/>
        <v>39787.508900765388</v>
      </c>
      <c r="AM27" s="70">
        <f t="shared" si="30"/>
        <v>58452.032399217191</v>
      </c>
      <c r="AN27" s="70">
        <f t="shared" si="30"/>
        <v>78849.972293280909</v>
      </c>
      <c r="AO27" s="70">
        <f t="shared" si="30"/>
        <v>225945.60841250507</v>
      </c>
      <c r="AP27" s="70">
        <f t="shared" si="30"/>
        <v>41776.884345803664</v>
      </c>
      <c r="AQ27" s="70">
        <f t="shared" si="30"/>
        <v>61374.634019178055</v>
      </c>
      <c r="AR27" s="70">
        <f t="shared" si="30"/>
        <v>82792.470907944953</v>
      </c>
      <c r="AS27" s="70">
        <f t="shared" si="30"/>
        <v>237242.88883313036</v>
      </c>
      <c r="AT27" s="70">
        <f t="shared" si="30"/>
        <v>43865.728563093857</v>
      </c>
      <c r="AU27" s="70">
        <f t="shared" si="30"/>
        <v>64443.365720136957</v>
      </c>
      <c r="AV27" s="70">
        <f t="shared" si="30"/>
        <v>86932.094453342201</v>
      </c>
      <c r="AW27" s="70">
        <f t="shared" si="30"/>
        <v>249105.0332747869</v>
      </c>
      <c r="AX27" s="70">
        <f t="shared" si="30"/>
        <v>46059.01499124855</v>
      </c>
      <c r="AY27" s="70">
        <f t="shared" si="30"/>
        <v>67665.534006143804</v>
      </c>
      <c r="AZ27" s="70">
        <f t="shared" si="30"/>
        <v>91278.699176009308</v>
      </c>
      <c r="BA27" s="70">
        <f t="shared" si="30"/>
        <v>261560.28493852622</v>
      </c>
      <c r="BB27" s="70">
        <f t="shared" si="30"/>
        <v>48361.965740810978</v>
      </c>
      <c r="BC27" s="70">
        <f t="shared" si="30"/>
        <v>71048.810706450997</v>
      </c>
      <c r="BD27" s="70">
        <f t="shared" si="30"/>
        <v>95842.634134809778</v>
      </c>
      <c r="BE27" s="70">
        <f t="shared" si="30"/>
        <v>274638.29918545252</v>
      </c>
      <c r="BF27" s="70">
        <f t="shared" si="30"/>
        <v>50780.064027851527</v>
      </c>
      <c r="BG27" s="70">
        <f t="shared" si="30"/>
        <v>74601.251241773542</v>
      </c>
      <c r="BH27" s="70">
        <f t="shared" si="30"/>
        <v>100634.76584155027</v>
      </c>
      <c r="BI27" s="70">
        <f t="shared" si="30"/>
        <v>288370.21414472524</v>
      </c>
      <c r="BJ27" s="70">
        <f t="shared" si="30"/>
        <v>53319.067229244101</v>
      </c>
      <c r="BK27" s="70">
        <f t="shared" si="30"/>
        <v>78331.313803862227</v>
      </c>
      <c r="BL27" s="70">
        <f t="shared" si="30"/>
        <v>105666.50413362778</v>
      </c>
      <c r="BM27" s="70">
        <f t="shared" si="30"/>
        <v>302788.72485196148</v>
      </c>
      <c r="BN27" s="70">
        <f t="shared" si="30"/>
        <v>55985.020590706314</v>
      </c>
      <c r="BO27" s="70">
        <f t="shared" si="30"/>
        <v>82247.879494055349</v>
      </c>
      <c r="BP27" s="70">
        <f t="shared" ref="BP27:CO27" si="31">SUM(BP19:BP26)</f>
        <v>110949.82934030918</v>
      </c>
      <c r="BQ27" s="70">
        <f t="shared" si="31"/>
        <v>317928.16109455959</v>
      </c>
      <c r="BR27" s="70">
        <f t="shared" si="31"/>
        <v>58784.271620241634</v>
      </c>
      <c r="BS27" s="70">
        <f t="shared" si="31"/>
        <v>86360.273468758125</v>
      </c>
      <c r="BT27" s="70">
        <f t="shared" si="31"/>
        <v>116497.32080732464</v>
      </c>
      <c r="BU27" s="70">
        <f t="shared" si="31"/>
        <v>333824.56914928753</v>
      </c>
      <c r="BV27" s="70">
        <f t="shared" si="31"/>
        <v>61723.485201253716</v>
      </c>
      <c r="BW27" s="70">
        <f t="shared" si="31"/>
        <v>90678.28714219603</v>
      </c>
      <c r="BX27" s="70">
        <f t="shared" si="31"/>
        <v>122322.18684769087</v>
      </c>
      <c r="BY27" s="70">
        <f t="shared" si="31"/>
        <v>350515.79760675202</v>
      </c>
      <c r="BZ27" s="70">
        <f t="shared" si="31"/>
        <v>64809.659461316405</v>
      </c>
      <c r="CA27" s="70">
        <f t="shared" si="31"/>
        <v>95212.20149930584</v>
      </c>
      <c r="CB27" s="70">
        <f t="shared" si="31"/>
        <v>128438.29619007543</v>
      </c>
      <c r="CC27" s="70">
        <f t="shared" si="31"/>
        <v>368041.58748708956</v>
      </c>
      <c r="CD27" s="70">
        <f t="shared" si="31"/>
        <v>68050.142434382229</v>
      </c>
      <c r="CE27" s="70">
        <f t="shared" si="31"/>
        <v>99972.811574271123</v>
      </c>
      <c r="CF27" s="70">
        <f t="shared" si="31"/>
        <v>134860.2109995792</v>
      </c>
      <c r="CG27" s="70">
        <f t="shared" si="31"/>
        <v>386443.66686144401</v>
      </c>
      <c r="CH27" s="70">
        <f t="shared" si="31"/>
        <v>71452.649556101343</v>
      </c>
      <c r="CI27" s="70">
        <f t="shared" si="31"/>
        <v>104971.45215298468</v>
      </c>
      <c r="CJ27" s="70">
        <f t="shared" si="31"/>
        <v>141603.22154955816</v>
      </c>
      <c r="CK27" s="70">
        <f t="shared" si="31"/>
        <v>405765.85020451632</v>
      </c>
      <c r="CL27" s="70">
        <f t="shared" si="31"/>
        <v>75025.282033906406</v>
      </c>
      <c r="CM27" s="70">
        <f t="shared" si="31"/>
        <v>110220.02476063394</v>
      </c>
      <c r="CN27" s="70">
        <f t="shared" si="31"/>
        <v>148683.38262703607</v>
      </c>
      <c r="CO27" s="72">
        <f t="shared" si="31"/>
        <v>426054.14271474211</v>
      </c>
    </row>
    <row r="28" spans="1:93" ht="12.75" customHeight="1">
      <c r="A28" s="35"/>
      <c r="B28" s="73" t="s">
        <v>129</v>
      </c>
      <c r="C28" s="70">
        <f>SUM(C29:C40)</f>
        <v>-1311733.95491015</v>
      </c>
      <c r="D28" s="60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5"/>
    </row>
    <row r="29" spans="1:93" ht="12.75" customHeight="1" outlineLevel="2">
      <c r="A29" s="35"/>
      <c r="B29" s="63" t="s">
        <v>130</v>
      </c>
      <c r="C29" s="74">
        <f t="shared" ref="C29:C40" si="32">SUM(D29:CN29)</f>
        <v>-132990.08446736724</v>
      </c>
      <c r="D29" s="60"/>
      <c r="E29" s="35">
        <f>-E27*'операционные расходы 2 этап'!$P$7</f>
        <v>0</v>
      </c>
      <c r="F29" s="35">
        <f>-F27*'операционные расходы 2 этап'!$P$7</f>
        <v>0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>
        <f>-V27*'операционные расходы 2 этап'!$P$7</f>
        <v>0</v>
      </c>
      <c r="W29" s="35">
        <f>-W27*'операционные расходы 2 этап'!$P$7</f>
        <v>-710.96068551562496</v>
      </c>
      <c r="X29" s="35">
        <f>-X27*'операционные расходы 2 этап'!$P$7</f>
        <v>-960.50664966093746</v>
      </c>
      <c r="Y29" s="35">
        <f>-Y27*'операционные расходы 2 этап'!$P$7</f>
        <v>-2746.3561569046869</v>
      </c>
      <c r="Z29" s="35">
        <f>-Z27*'операционные расходы 2 этап'!$P$7</f>
        <v>-516.88905694124992</v>
      </c>
      <c r="AA29" s="35">
        <f>-AA27*'операционные расходы 2 этап'!$P$7</f>
        <v>-759.73960081874986</v>
      </c>
      <c r="AB29" s="35">
        <f>-AB27*'операционные расходы 2 этап'!$P$7</f>
        <v>-1025.04896640375</v>
      </c>
      <c r="AC29" s="35">
        <f>-AC27*'операционные расходы 2 этап'!$P$7</f>
        <v>-2936.22432285375</v>
      </c>
      <c r="AD29" s="35">
        <f>-AD27*'операционные расходы 2 этап'!$P$7</f>
        <v>-541.32665171109363</v>
      </c>
      <c r="AE29" s="35">
        <f>-AE27*'операционные расходы 2 этап'!$P$7</f>
        <v>-795.26574692812494</v>
      </c>
      <c r="AF29" s="35">
        <f>-AF27*'операционные расходы 2 этап'!$P$7</f>
        <v>-1072.7887386840939</v>
      </c>
      <c r="AG29" s="35">
        <f>-AG27*'операционные расходы 2 этап'!$P$7</f>
        <v>-3074.089910374219</v>
      </c>
      <c r="AH29" s="35">
        <f>-AH27*'операционные расходы 2 этап'!$P$7</f>
        <v>-568.39298429664848</v>
      </c>
      <c r="AI29" s="35">
        <f>-AI27*'операционные расходы 2 этап'!$P$7</f>
        <v>-835.02903427453123</v>
      </c>
      <c r="AJ29" s="35">
        <f>-AJ27*'операционные расходы 2 этап'!$P$7</f>
        <v>-1126.4281756182986</v>
      </c>
      <c r="AK29" s="35">
        <f>-AK27*'операционные расходы 2 этап'!$P$7</f>
        <v>-3227.7944058929302</v>
      </c>
      <c r="AL29" s="35">
        <f>-AL27*'операционные расходы 2 этап'!$P$7</f>
        <v>-596.81263351148084</v>
      </c>
      <c r="AM29" s="35">
        <f>-AM27*'операционные расходы 2 этап'!$P$7</f>
        <v>-876.78048598825785</v>
      </c>
      <c r="AN29" s="35">
        <f>-AN27*'операционные расходы 2 этап'!$P$7</f>
        <v>-1182.7495843992135</v>
      </c>
      <c r="AO29" s="35">
        <f>-AO27*'операционные расходы 2 этап'!$P$7</f>
        <v>-3389.1841261875761</v>
      </c>
      <c r="AP29" s="35">
        <f>-AP27*'операционные расходы 2 этап'!$P$7</f>
        <v>-626.6532651870549</v>
      </c>
      <c r="AQ29" s="35">
        <f>-AQ27*'операционные расходы 2 этап'!$P$7</f>
        <v>-920.61951028767078</v>
      </c>
      <c r="AR29" s="35">
        <f>-AR27*'операционные расходы 2 этап'!$P$7</f>
        <v>-1241.8870636191743</v>
      </c>
      <c r="AS29" s="35">
        <f>-AS27*'операционные расходы 2 этап'!$P$7</f>
        <v>-3558.6433324969553</v>
      </c>
      <c r="AT29" s="35">
        <f>-AT27*'операционные расходы 2 этап'!$P$7</f>
        <v>-657.9859284464078</v>
      </c>
      <c r="AU29" s="35">
        <f>-AU27*'операционные расходы 2 этап'!$P$7</f>
        <v>-966.65048580205428</v>
      </c>
      <c r="AV29" s="35">
        <f>-AV27*'операционные расходы 2 этап'!$P$7</f>
        <v>-1303.981416800133</v>
      </c>
      <c r="AW29" s="35">
        <f>-AW27*'операционные расходы 2 этап'!$P$7</f>
        <v>-3736.5754991218032</v>
      </c>
      <c r="AX29" s="35">
        <f>-AX27*'операционные расходы 2 этап'!$P$7</f>
        <v>-690.88522486872819</v>
      </c>
      <c r="AY29" s="35">
        <f>-AY27*'операционные расходы 2 этап'!$P$7</f>
        <v>-1014.983010092157</v>
      </c>
      <c r="AZ29" s="35">
        <f>-AZ27*'операционные расходы 2 этап'!$P$7</f>
        <v>-1369.1804876401395</v>
      </c>
      <c r="BA29" s="35">
        <f>-BA27*'операционные расходы 2 этап'!$P$7</f>
        <v>-3923.4042740778932</v>
      </c>
      <c r="BB29" s="35">
        <f>-BB27*'операционные расходы 2 этап'!$P$7</f>
        <v>-725.42948611216468</v>
      </c>
      <c r="BC29" s="35">
        <f>-BC27*'операционные расходы 2 этап'!$P$7</f>
        <v>-1065.732160596765</v>
      </c>
      <c r="BD29" s="35">
        <f>-BD27*'операционные расходы 2 этап'!$P$7</f>
        <v>-1437.6395120221466</v>
      </c>
      <c r="BE29" s="35">
        <f>-BE27*'операционные расходы 2 этап'!$P$7</f>
        <v>-4119.5744877817879</v>
      </c>
      <c r="BF29" s="35">
        <f>-BF27*'операционные расходы 2 этап'!$P$7</f>
        <v>-761.70096041777288</v>
      </c>
      <c r="BG29" s="35">
        <f>-BG27*'операционные расходы 2 этап'!$P$7</f>
        <v>-1119.0187686266031</v>
      </c>
      <c r="BH29" s="35">
        <f>-BH27*'операционные расходы 2 этап'!$P$7</f>
        <v>-1509.521487623254</v>
      </c>
      <c r="BI29" s="35">
        <f>-BI27*'операционные расходы 2 этап'!$P$7</f>
        <v>-4325.5532121708784</v>
      </c>
      <c r="BJ29" s="35">
        <f>-BJ27*'операционные расходы 2 этап'!$P$7</f>
        <v>-799.7860084386615</v>
      </c>
      <c r="BK29" s="35">
        <f>-BK27*'операционные расходы 2 этап'!$P$7</f>
        <v>-1174.9697070579334</v>
      </c>
      <c r="BL29" s="35">
        <f>-BL27*'операционные расходы 2 этап'!$P$7</f>
        <v>-1584.9975620044165</v>
      </c>
      <c r="BM29" s="35">
        <f>-BM27*'операционные расходы 2 этап'!$P$7</f>
        <v>-4541.830872779422</v>
      </c>
      <c r="BN29" s="35">
        <f>-BN27*'операционные расходы 2 этап'!$P$7</f>
        <v>-839.77530886059469</v>
      </c>
      <c r="BO29" s="35">
        <f>-BO27*'операционные расходы 2 этап'!$P$7</f>
        <v>-1233.7181924108302</v>
      </c>
      <c r="BP29" s="35">
        <f>-BP27*'операционные расходы 2 этап'!$P$7</f>
        <v>-1664.2474401046377</v>
      </c>
      <c r="BQ29" s="35">
        <f>-BQ27*'операционные расходы 2 этап'!$P$7</f>
        <v>-4768.9224164183934</v>
      </c>
      <c r="BR29" s="35">
        <f>-BR27*'операционные расходы 2 этап'!$P$7</f>
        <v>-881.76407430362451</v>
      </c>
      <c r="BS29" s="35">
        <f>-BS27*'операционные расходы 2 этап'!$P$7</f>
        <v>-1295.4041020313718</v>
      </c>
      <c r="BT29" s="35">
        <f>-BT27*'операционные расходы 2 этап'!$P$7</f>
        <v>-1747.4598121098695</v>
      </c>
      <c r="BU29" s="35">
        <f>-BU27*'операционные расходы 2 этап'!$P$7</f>
        <v>-5007.3685372393129</v>
      </c>
      <c r="BV29" s="35">
        <f>-BV27*'операционные расходы 2 этап'!$P$7</f>
        <v>-925.85227801880569</v>
      </c>
      <c r="BW29" s="35">
        <f>-BW27*'операционные расходы 2 этап'!$P$7</f>
        <v>-1360.1743071329404</v>
      </c>
      <c r="BX29" s="35">
        <f>-BX27*'операционные расходы 2 этап'!$P$7</f>
        <v>-1834.832802715363</v>
      </c>
      <c r="BY29" s="35">
        <f>-BY27*'операционные расходы 2 этап'!$P$7</f>
        <v>-5257.7369641012801</v>
      </c>
      <c r="BZ29" s="35">
        <f>-BZ27*'операционные расходы 2 этап'!$P$7</f>
        <v>-972.14489191974599</v>
      </c>
      <c r="CA29" s="35">
        <f>-CA27*'операционные расходы 2 этап'!$P$7</f>
        <v>-1428.1830224895875</v>
      </c>
      <c r="CB29" s="35">
        <f>-CB27*'операционные расходы 2 этап'!$P$7</f>
        <v>-1926.5744428511314</v>
      </c>
      <c r="CC29" s="35">
        <f>-CC27*'операционные расходы 2 этап'!$P$7</f>
        <v>-5520.6238123063431</v>
      </c>
      <c r="CD29" s="35">
        <f>-CD27*'операционные расходы 2 этап'!$P$7</f>
        <v>-1020.7521365157334</v>
      </c>
      <c r="CE29" s="35">
        <f>-CE27*'операционные расходы 2 этап'!$P$7</f>
        <v>-1499.5921736140667</v>
      </c>
      <c r="CF29" s="35">
        <f>-CF27*'операционные расходы 2 этап'!$P$7</f>
        <v>-2022.9031649936878</v>
      </c>
      <c r="CG29" s="35">
        <f>-CG27*'операционные расходы 2 этап'!$P$7</f>
        <v>-5796.6550029216596</v>
      </c>
      <c r="CH29" s="35">
        <f>-CH27*'операционные расходы 2 этап'!$P$7</f>
        <v>-1071.7897433415201</v>
      </c>
      <c r="CI29" s="35">
        <f>-CI27*'операционные расходы 2 этап'!$P$7</f>
        <v>-1574.5717822947702</v>
      </c>
      <c r="CJ29" s="35">
        <f>-CJ27*'операционные расходы 2 этап'!$P$7</f>
        <v>-2124.0483232433726</v>
      </c>
      <c r="CK29" s="35">
        <f>-CK27*'операционные расходы 2 этап'!$P$7</f>
        <v>-6086.487753067745</v>
      </c>
      <c r="CL29" s="35">
        <f>-CL27*'операционные расходы 2 этап'!$P$7</f>
        <v>-1125.379230508596</v>
      </c>
      <c r="CM29" s="35">
        <f>-CM27*'операционные расходы 2 этап'!$P$7</f>
        <v>-1653.3003714095091</v>
      </c>
      <c r="CN29" s="35">
        <f>-CN27*'операционные расходы 2 этап'!$P$7</f>
        <v>-2230.250739405541</v>
      </c>
      <c r="CO29" s="5">
        <f>-CO27*'операционные расходы 2 этап'!$P$7</f>
        <v>-6390.8121407211311</v>
      </c>
    </row>
    <row r="30" spans="1:93" ht="12.75" customHeight="1" outlineLevel="2">
      <c r="A30" s="35"/>
      <c r="B30" s="63" t="s">
        <v>131</v>
      </c>
      <c r="C30" s="74">
        <f t="shared" si="32"/>
        <v>-40163.005509144888</v>
      </c>
      <c r="D30" s="60"/>
      <c r="E30" s="35">
        <f>E29*Assump!$D$24</f>
        <v>0</v>
      </c>
      <c r="F30" s="35">
        <f>F29*Assump!$D$24</f>
        <v>0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>
        <f>V29*Assump!$D$24</f>
        <v>0</v>
      </c>
      <c r="W30" s="35">
        <f>W29*Assump!$D$24</f>
        <v>-214.71012702571872</v>
      </c>
      <c r="X30" s="35">
        <f>X29*Assump!$D$24</f>
        <v>-290.07300819760309</v>
      </c>
      <c r="Y30" s="35">
        <f>Y29*Assump!$D$24</f>
        <v>-829.39955938521541</v>
      </c>
      <c r="Z30" s="35">
        <f>Z29*Assump!$D$24</f>
        <v>-156.10049519625747</v>
      </c>
      <c r="AA30" s="35">
        <f>AA29*Assump!$D$24</f>
        <v>-229.44135944726244</v>
      </c>
      <c r="AB30" s="35">
        <f>AB29*Assump!$D$24</f>
        <v>-309.5647878539325</v>
      </c>
      <c r="AC30" s="35">
        <f>AC29*Assump!$D$24</f>
        <v>-886.73974550183243</v>
      </c>
      <c r="AD30" s="35">
        <f>AD29*Assump!$D$24</f>
        <v>-163.48064881675026</v>
      </c>
      <c r="AE30" s="35">
        <f>AE29*Assump!$D$24</f>
        <v>-240.17025557229371</v>
      </c>
      <c r="AF30" s="35">
        <f>AF29*Assump!$D$24</f>
        <v>-323.98219908259637</v>
      </c>
      <c r="AG30" s="35">
        <f>AG29*Assump!$D$24</f>
        <v>-928.37515293301408</v>
      </c>
      <c r="AH30" s="35">
        <f>AH29*Assump!$D$24</f>
        <v>-171.65468125758784</v>
      </c>
      <c r="AI30" s="35">
        <f>AI29*Assump!$D$24</f>
        <v>-252.17876835090843</v>
      </c>
      <c r="AJ30" s="35">
        <f>AJ29*Assump!$D$24</f>
        <v>-340.18130903672619</v>
      </c>
      <c r="AK30" s="35">
        <f>AK29*Assump!$D$24</f>
        <v>-974.79391057966484</v>
      </c>
      <c r="AL30" s="35">
        <f>AL29*Assump!$D$24</f>
        <v>-180.23741532046722</v>
      </c>
      <c r="AM30" s="35">
        <f>AM29*Assump!$D$24</f>
        <v>-264.78770676845386</v>
      </c>
      <c r="AN30" s="35">
        <f>AN29*Assump!$D$24</f>
        <v>-357.1903744885625</v>
      </c>
      <c r="AO30" s="35">
        <f>AO29*Assump!$D$24</f>
        <v>-1023.533606108648</v>
      </c>
      <c r="AP30" s="35">
        <f>AP29*Assump!$D$24</f>
        <v>-189.24928608649057</v>
      </c>
      <c r="AQ30" s="35">
        <f>AQ29*Assump!$D$24</f>
        <v>-278.02709210687658</v>
      </c>
      <c r="AR30" s="35">
        <f>AR29*Assump!$D$24</f>
        <v>-375.04989321299064</v>
      </c>
      <c r="AS30" s="35">
        <f>AS29*Assump!$D$24</f>
        <v>-1074.7102864140804</v>
      </c>
      <c r="AT30" s="35">
        <f>AT29*Assump!$D$24</f>
        <v>-198.71175039081515</v>
      </c>
      <c r="AU30" s="35">
        <f>AU29*Assump!$D$24</f>
        <v>-291.92844671222036</v>
      </c>
      <c r="AV30" s="35">
        <f>AV29*Assump!$D$24</f>
        <v>-393.80238787364016</v>
      </c>
      <c r="AW30" s="35">
        <f>AW29*Assump!$D$24</f>
        <v>-1128.4458007347846</v>
      </c>
      <c r="AX30" s="35">
        <f>AX29*Assump!$D$24</f>
        <v>-208.6473379103559</v>
      </c>
      <c r="AY30" s="35">
        <f>AY29*Assump!$D$24</f>
        <v>-306.52486904783137</v>
      </c>
      <c r="AZ30" s="35">
        <f>AZ29*Assump!$D$24</f>
        <v>-413.49250726732214</v>
      </c>
      <c r="BA30" s="35">
        <f>BA29*Assump!$D$24</f>
        <v>-1184.8680907715236</v>
      </c>
      <c r="BB30" s="35">
        <f>BB29*Assump!$D$24</f>
        <v>-219.07970480587372</v>
      </c>
      <c r="BC30" s="35">
        <f>BC29*Assump!$D$24</f>
        <v>-321.851112500223</v>
      </c>
      <c r="BD30" s="35">
        <f>BD29*Assump!$D$24</f>
        <v>-434.16713263068829</v>
      </c>
      <c r="BE30" s="35">
        <f>BE29*Assump!$D$24</f>
        <v>-1244.1114953100998</v>
      </c>
      <c r="BF30" s="35">
        <f>BF29*Assump!$D$24</f>
        <v>-230.03369004616741</v>
      </c>
      <c r="BG30" s="35">
        <f>BG29*Assump!$D$24</f>
        <v>-337.94366812523413</v>
      </c>
      <c r="BH30" s="35">
        <f>BH29*Assump!$D$24</f>
        <v>-455.87548926222269</v>
      </c>
      <c r="BI30" s="35">
        <f>BI29*Assump!$D$24</f>
        <v>-1306.3170700756052</v>
      </c>
      <c r="BJ30" s="35">
        <f>BJ29*Assump!$D$24</f>
        <v>-241.53537454847577</v>
      </c>
      <c r="BK30" s="35">
        <f>BK29*Assump!$D$24</f>
        <v>-354.8408515314959</v>
      </c>
      <c r="BL30" s="35">
        <f>BL29*Assump!$D$24</f>
        <v>-478.66926372533379</v>
      </c>
      <c r="BM30" s="35">
        <f>BM29*Assump!$D$24</f>
        <v>-1371.6329235793853</v>
      </c>
      <c r="BN30" s="35">
        <f>BN29*Assump!$D$24</f>
        <v>-253.6121432758996</v>
      </c>
      <c r="BO30" s="35">
        <f>BO29*Assump!$D$24</f>
        <v>-372.58289410807072</v>
      </c>
      <c r="BP30" s="35">
        <f>BP29*Assump!$D$24</f>
        <v>-502.60272691160054</v>
      </c>
      <c r="BQ30" s="35">
        <f>BQ29*Assump!$D$24</f>
        <v>-1440.2145697583549</v>
      </c>
      <c r="BR30" s="35">
        <f>BR29*Assump!$D$24</f>
        <v>-266.2927504396946</v>
      </c>
      <c r="BS30" s="35">
        <f>BS29*Assump!$D$24</f>
        <v>-391.21203881347429</v>
      </c>
      <c r="BT30" s="35">
        <f>BT29*Assump!$D$24</f>
        <v>-527.73286325718061</v>
      </c>
      <c r="BU30" s="35">
        <f>BU29*Assump!$D$24</f>
        <v>-1512.2252982462724</v>
      </c>
      <c r="BV30" s="35">
        <f>BV29*Assump!$D$24</f>
        <v>-279.60738796167931</v>
      </c>
      <c r="BW30" s="35">
        <f>BW29*Assump!$D$24</f>
        <v>-410.77264075414797</v>
      </c>
      <c r="BX30" s="35">
        <f>BX29*Assump!$D$24</f>
        <v>-554.11950642003956</v>
      </c>
      <c r="BY30" s="35">
        <f>BY29*Assump!$D$24</f>
        <v>-1587.8365631585866</v>
      </c>
      <c r="BZ30" s="35">
        <f>BZ29*Assump!$D$24</f>
        <v>-293.58775735976326</v>
      </c>
      <c r="CA30" s="35">
        <f>CA29*Assump!$D$24</f>
        <v>-431.3112727918554</v>
      </c>
      <c r="CB30" s="35">
        <f>CB29*Assump!$D$24</f>
        <v>-581.8254817410417</v>
      </c>
      <c r="CC30" s="35">
        <f>CC29*Assump!$D$24</f>
        <v>-1667.2283913165156</v>
      </c>
      <c r="CD30" s="35">
        <f>CD29*Assump!$D$24</f>
        <v>-308.26714522775148</v>
      </c>
      <c r="CE30" s="35">
        <f>CE29*Assump!$D$24</f>
        <v>-452.87683643144811</v>
      </c>
      <c r="CF30" s="35">
        <f>CF29*Assump!$D$24</f>
        <v>-610.91675582809376</v>
      </c>
      <c r="CG30" s="35">
        <f>CG29*Assump!$D$24</f>
        <v>-1750.5898108823412</v>
      </c>
      <c r="CH30" s="35">
        <f>CH29*Assump!$D$24</f>
        <v>-323.68050248913903</v>
      </c>
      <c r="CI30" s="35">
        <f>CI29*Assump!$D$24</f>
        <v>-475.52067825302061</v>
      </c>
      <c r="CJ30" s="35">
        <f>CJ29*Assump!$D$24</f>
        <v>-641.46259361949853</v>
      </c>
      <c r="CK30" s="35">
        <f>CK29*Assump!$D$24</f>
        <v>-1838.1193014264588</v>
      </c>
      <c r="CL30" s="35">
        <f>CL29*Assump!$D$24</f>
        <v>-339.86452761359601</v>
      </c>
      <c r="CM30" s="35">
        <f>CM29*Assump!$D$24</f>
        <v>-499.29671216567175</v>
      </c>
      <c r="CN30" s="35">
        <f>CN29*Assump!$D$24</f>
        <v>-673.53572330047336</v>
      </c>
      <c r="CO30" s="5">
        <f>CO29*Assump!$D$24</f>
        <v>-1930.0252664977816</v>
      </c>
    </row>
    <row r="31" spans="1:93" ht="12.75" customHeight="1" outlineLevel="2">
      <c r="A31" s="35"/>
      <c r="B31" s="63" t="s">
        <v>132</v>
      </c>
      <c r="C31" s="74">
        <f t="shared" si="32"/>
        <v>-249942.46760057649</v>
      </c>
      <c r="D31" s="60"/>
      <c r="E31" s="35">
        <f>-IF(E15&gt;60%,#REF!*3/1000,0)</f>
        <v>0</v>
      </c>
      <c r="F31" s="35">
        <f>-IF(F15&gt;60%,#REF!*3/1000,0)</f>
        <v>0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>
        <f>-IF(V15&gt;60%,#REF!*3/1000,0)</f>
        <v>0</v>
      </c>
      <c r="W31" s="35">
        <f>-IF(W15&gt;60%,'ФОТ 1 этап'!$G$330*3/1000*0.05,0)</f>
        <v>-3570.6066800082403</v>
      </c>
      <c r="X31" s="35">
        <f>-IF(X15&gt;60%,'ФОТ 1 этап'!$G$330*3/1000*0.05,0)</f>
        <v>-3570.6066800082403</v>
      </c>
      <c r="Y31" s="35">
        <f>-IF(Y15&gt;60%,'ФОТ 1 этап'!$G$330*3/1000*0.05,0)</f>
        <v>-3570.6066800082403</v>
      </c>
      <c r="Z31" s="35">
        <f>-IF(Z15&gt;60%,'ФОТ 1 этап'!$G$330*3/1000*0.05,0)</f>
        <v>-3570.6066800082403</v>
      </c>
      <c r="AA31" s="35">
        <f>-IF(AA15&gt;60%,'ФОТ 1 этап'!$G$330*3/1000*0.05,0)</f>
        <v>-3570.6066800082403</v>
      </c>
      <c r="AB31" s="35">
        <f>-IF(AB15&gt;60%,'ФОТ 1 этап'!$G$330*3/1000*0.05,0)</f>
        <v>-3570.6066800082403</v>
      </c>
      <c r="AC31" s="35">
        <f>-IF(AC15&gt;60%,'ФОТ 1 этап'!$G$330*3/1000*0.05,0)</f>
        <v>-3570.6066800082403</v>
      </c>
      <c r="AD31" s="35">
        <f>-IF(AD15&gt;60%,'ФОТ 1 этап'!$G$330*3/1000*0.05,0)</f>
        <v>-3570.6066800082403</v>
      </c>
      <c r="AE31" s="35">
        <f>-IF(AE15&gt;60%,'ФОТ 1 этап'!$G$330*3/1000*0.05,0)</f>
        <v>-3570.6066800082403</v>
      </c>
      <c r="AF31" s="35">
        <f>-IF(AF15&gt;60%,'ФОТ 1 этап'!$G$330*3/1000*0.05,0)</f>
        <v>-3570.6066800082403</v>
      </c>
      <c r="AG31" s="35">
        <f>-IF(AG15&gt;60%,'ФОТ 1 этап'!$G$330*3/1000*0.05,0)</f>
        <v>-3570.6066800082403</v>
      </c>
      <c r="AH31" s="35">
        <f>-IF(AH15&gt;60%,'ФОТ 1 этап'!$G$330*3/1000*0.05,0)</f>
        <v>-3570.6066800082403</v>
      </c>
      <c r="AI31" s="35">
        <f>-IF(AI15&gt;60%,'ФОТ 1 этап'!$G$330*3/1000*0.05,0)</f>
        <v>-3570.6066800082403</v>
      </c>
      <c r="AJ31" s="35">
        <f>-IF(AJ15&gt;60%,'ФОТ 1 этап'!$G$330*3/1000*0.05,0)</f>
        <v>-3570.6066800082403</v>
      </c>
      <c r="AK31" s="35">
        <f>-IF(AK15&gt;60%,'ФОТ 1 этап'!$G$330*3/1000*0.05,0)</f>
        <v>-3570.6066800082403</v>
      </c>
      <c r="AL31" s="35">
        <f>-IF(AL15&gt;60%,'ФОТ 1 этап'!$G$330*3/1000*0.05,0)</f>
        <v>-3570.6066800082403</v>
      </c>
      <c r="AM31" s="35">
        <f>-IF(AM15&gt;60%,'ФОТ 1 этап'!$G$330*3/1000*0.05,0)</f>
        <v>-3570.6066800082403</v>
      </c>
      <c r="AN31" s="35">
        <f>-IF(AN15&gt;60%,'ФОТ 1 этап'!$G$330*3/1000*0.05,0)</f>
        <v>-3570.6066800082403</v>
      </c>
      <c r="AO31" s="35">
        <f>-IF(AO15&gt;60%,'ФОТ 1 этап'!$G$330*3/1000*0.05,0)</f>
        <v>-3570.6066800082403</v>
      </c>
      <c r="AP31" s="35">
        <f>-IF(AP15&gt;60%,'ФОТ 1 этап'!$G$330*3/1000*0.05,0)</f>
        <v>-3570.6066800082403</v>
      </c>
      <c r="AQ31" s="35">
        <f>-IF(AQ15&gt;60%,'ФОТ 1 этап'!$G$330*3/1000*0.05,0)</f>
        <v>-3570.6066800082403</v>
      </c>
      <c r="AR31" s="35">
        <f>-IF(AR15&gt;60%,'ФОТ 1 этап'!$G$330*3/1000*0.05,0)</f>
        <v>-3570.6066800082403</v>
      </c>
      <c r="AS31" s="35">
        <f>-IF(AS15&gt;60%,'ФОТ 1 этап'!$G$330*3/1000*0.05,0)</f>
        <v>-3570.6066800082403</v>
      </c>
      <c r="AT31" s="35">
        <f>-IF(AT15&gt;60%,'ФОТ 1 этап'!$G$330*3/1000*0.05,0)</f>
        <v>-3570.6066800082403</v>
      </c>
      <c r="AU31" s="35">
        <f>-IF(AU15&gt;60%,'ФОТ 1 этап'!$G$330*3/1000*0.05,0)</f>
        <v>-3570.6066800082403</v>
      </c>
      <c r="AV31" s="35">
        <f>-IF(AV15&gt;60%,'ФОТ 1 этап'!$G$330*3/1000*0.05,0)</f>
        <v>-3570.6066800082403</v>
      </c>
      <c r="AW31" s="35">
        <f>-IF(AW15&gt;60%,'ФОТ 1 этап'!$G$330*3/1000*0.05,0)</f>
        <v>-3570.6066800082403</v>
      </c>
      <c r="AX31" s="35">
        <f>-IF(AX15&gt;60%,'ФОТ 1 этап'!$G$330*3/1000*0.05,0)</f>
        <v>-3570.6066800082403</v>
      </c>
      <c r="AY31" s="35">
        <f>-IF(AY15&gt;60%,'ФОТ 1 этап'!$G$330*3/1000*0.05,0)</f>
        <v>-3570.6066800082403</v>
      </c>
      <c r="AZ31" s="35">
        <f>-IF(AZ15&gt;60%,'ФОТ 1 этап'!$G$330*3/1000*0.05,0)</f>
        <v>-3570.6066800082403</v>
      </c>
      <c r="BA31" s="35">
        <f>-IF(BA15&gt;60%,'ФОТ 1 этап'!$G$330*3/1000*0.05,0)</f>
        <v>-3570.6066800082403</v>
      </c>
      <c r="BB31" s="35">
        <f>-IF(BB15&gt;60%,'ФОТ 1 этап'!$G$330*3/1000*0.05,0)</f>
        <v>-3570.6066800082403</v>
      </c>
      <c r="BC31" s="35">
        <f>-IF(BC15&gt;60%,'ФОТ 1 этап'!$G$330*3/1000*0.05,0)</f>
        <v>-3570.6066800082403</v>
      </c>
      <c r="BD31" s="35">
        <f>-IF(BD15&gt;60%,'ФОТ 1 этап'!$G$330*3/1000*0.05,0)</f>
        <v>-3570.6066800082403</v>
      </c>
      <c r="BE31" s="35">
        <f>-IF(BE15&gt;60%,'ФОТ 1 этап'!$G$330*3/1000*0.05,0)</f>
        <v>-3570.6066800082403</v>
      </c>
      <c r="BF31" s="35">
        <f>-IF(BF15&gt;60%,'ФОТ 1 этап'!$G$330*3/1000*0.05,0)</f>
        <v>-3570.6066800082403</v>
      </c>
      <c r="BG31" s="35">
        <f>-IF(BG15&gt;60%,'ФОТ 1 этап'!$G$330*3/1000*0.05,0)</f>
        <v>-3570.6066800082403</v>
      </c>
      <c r="BH31" s="35">
        <f>-IF(BH15&gt;60%,'ФОТ 1 этап'!$G$330*3/1000*0.05,0)</f>
        <v>-3570.6066800082403</v>
      </c>
      <c r="BI31" s="35">
        <f>-IF(BI15&gt;60%,'ФОТ 1 этап'!$G$330*3/1000*0.05,0)</f>
        <v>-3570.6066800082403</v>
      </c>
      <c r="BJ31" s="35">
        <f>-IF(BJ15&gt;60%,'ФОТ 1 этап'!$G$330*3/1000*0.05,0)</f>
        <v>-3570.6066800082403</v>
      </c>
      <c r="BK31" s="35">
        <f>-IF(BK15&gt;60%,'ФОТ 1 этап'!$G$330*3/1000*0.05,0)</f>
        <v>-3570.6066800082403</v>
      </c>
      <c r="BL31" s="35">
        <f>-IF(BL15&gt;60%,'ФОТ 1 этап'!$G$330*3/1000*0.05,0)</f>
        <v>-3570.6066800082403</v>
      </c>
      <c r="BM31" s="35">
        <f>-IF(BM15&gt;60%,'ФОТ 1 этап'!$G$330*3/1000*0.05,0)</f>
        <v>-3570.6066800082403</v>
      </c>
      <c r="BN31" s="35">
        <f>-IF(BN15&gt;60%,'ФОТ 1 этап'!$G$330*3/1000*0.05,0)</f>
        <v>-3570.6066800082403</v>
      </c>
      <c r="BO31" s="35">
        <f>-IF(BO15&gt;60%,'ФОТ 1 этап'!$G$330*3/1000*0.05,0)</f>
        <v>-3570.6066800082403</v>
      </c>
      <c r="BP31" s="35">
        <f>-IF(BP15&gt;60%,'ФОТ 1 этап'!$G$330*3/1000*0.05,0)</f>
        <v>-3570.6066800082403</v>
      </c>
      <c r="BQ31" s="35">
        <f>-IF(BQ15&gt;60%,'ФОТ 1 этап'!$G$330*3/1000*0.05,0)</f>
        <v>-3570.6066800082403</v>
      </c>
      <c r="BR31" s="35">
        <f>-IF(BR15&gt;60%,'ФОТ 1 этап'!$G$330*3/1000*0.05,0)</f>
        <v>-3570.6066800082403</v>
      </c>
      <c r="BS31" s="35">
        <f>-IF(BS15&gt;60%,'ФОТ 1 этап'!$G$330*3/1000*0.05,0)</f>
        <v>-3570.6066800082403</v>
      </c>
      <c r="BT31" s="35">
        <f>-IF(BT15&gt;60%,'ФОТ 1 этап'!$G$330*3/1000*0.05,0)</f>
        <v>-3570.6066800082403</v>
      </c>
      <c r="BU31" s="35">
        <f>-IF(BU15&gt;60%,'ФОТ 1 этап'!$G$330*3/1000*0.05,0)</f>
        <v>-3570.6066800082403</v>
      </c>
      <c r="BV31" s="35">
        <f>-IF(BV15&gt;60%,'ФОТ 1 этап'!$G$330*3/1000*0.05,0)</f>
        <v>-3570.6066800082403</v>
      </c>
      <c r="BW31" s="35">
        <f>-IF(BW15&gt;60%,'ФОТ 1 этап'!$G$330*3/1000*0.05,0)</f>
        <v>-3570.6066800082403</v>
      </c>
      <c r="BX31" s="35">
        <f>-IF(BX15&gt;60%,'ФОТ 1 этап'!$G$330*3/1000*0.05,0)</f>
        <v>-3570.6066800082403</v>
      </c>
      <c r="BY31" s="35">
        <f>-IF(BY15&gt;60%,'ФОТ 1 этап'!$G$330*3/1000*0.05,0)</f>
        <v>-3570.6066800082403</v>
      </c>
      <c r="BZ31" s="35">
        <f>-IF(BZ15&gt;60%,'ФОТ 1 этап'!$G$330*3/1000*0.05,0)</f>
        <v>-3570.6066800082403</v>
      </c>
      <c r="CA31" s="35">
        <f>-IF(CA15&gt;60%,'ФОТ 1 этап'!$G$330*3/1000*0.05,0)</f>
        <v>-3570.6066800082403</v>
      </c>
      <c r="CB31" s="35">
        <f>-IF(CB15&gt;60%,'ФОТ 1 этап'!$G$330*3/1000*0.05,0)</f>
        <v>-3570.6066800082403</v>
      </c>
      <c r="CC31" s="35">
        <f>-IF(CC15&gt;60%,'ФОТ 1 этап'!$G$330*3/1000*0.05,0)</f>
        <v>-3570.6066800082403</v>
      </c>
      <c r="CD31" s="35">
        <f>-IF(CD15&gt;60%,'ФОТ 1 этап'!$G$330*3/1000*0.05,0)</f>
        <v>-3570.6066800082403</v>
      </c>
      <c r="CE31" s="35">
        <f>-IF(CE15&gt;60%,'ФОТ 1 этап'!$G$330*3/1000*0.05,0)</f>
        <v>-3570.6066800082403</v>
      </c>
      <c r="CF31" s="35">
        <f>-IF(CF15&gt;60%,'ФОТ 1 этап'!$G$330*3/1000*0.05,0)</f>
        <v>-3570.6066800082403</v>
      </c>
      <c r="CG31" s="35">
        <f>-IF(CG15&gt;60%,'ФОТ 1 этап'!$G$330*3/1000*0.05,0)</f>
        <v>-3570.6066800082403</v>
      </c>
      <c r="CH31" s="35">
        <f>-IF(CH15&gt;60%,'ФОТ 1 этап'!$G$330*3/1000*0.05,0)</f>
        <v>-3570.6066800082403</v>
      </c>
      <c r="CI31" s="35">
        <f>-IF(CI15&gt;60%,'ФОТ 1 этап'!$G$330*3/1000*0.05,0)</f>
        <v>-3570.6066800082403</v>
      </c>
      <c r="CJ31" s="35">
        <f>-IF(CJ15&gt;60%,'ФОТ 1 этап'!$G$330*3/1000*0.05,0)</f>
        <v>-3570.6066800082403</v>
      </c>
      <c r="CK31" s="35">
        <f>-IF(CK15&gt;60%,'ФОТ 1 этап'!$G$330*3/1000*0.05,0)</f>
        <v>-3570.6066800082403</v>
      </c>
      <c r="CL31" s="35">
        <f>-IF(CL15&gt;60%,'ФОТ 1 этап'!$G$330*3/1000*0.05,0)</f>
        <v>-3570.6066800082403</v>
      </c>
      <c r="CM31" s="35">
        <f>-IF(CM15&gt;60%,'ФОТ 1 этап'!$G$330*3/1000*0.05,0)</f>
        <v>-3570.6066800082403</v>
      </c>
      <c r="CN31" s="35">
        <f>-IF(CN15&gt;60%,'ФОТ 1 этап'!$G$330*3/1000*0.05,0)</f>
        <v>-3570.6066800082403</v>
      </c>
      <c r="CO31" s="35">
        <f>-IF(CO15&gt;60%,'ФОТ 1 этап'!$G$330*3/1000*0.05,0)</f>
        <v>-3570.6066800082403</v>
      </c>
    </row>
    <row r="32" spans="1:93" ht="12.75" customHeight="1" outlineLevel="2">
      <c r="A32" s="35"/>
      <c r="B32" s="63" t="s">
        <v>133</v>
      </c>
      <c r="C32" s="74">
        <f t="shared" si="32"/>
        <v>-386587.67153533088</v>
      </c>
      <c r="D32" s="60"/>
      <c r="E32" s="35">
        <f>-E22*'операционные расходы 2 этап'!$R$11</f>
        <v>0</v>
      </c>
      <c r="F32" s="35">
        <f>-F22*'операционные расходы 2 этап'!$R$11</f>
        <v>0</v>
      </c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>
        <f>-V22*'операционные расходы 2 этап'!$R$11</f>
        <v>0</v>
      </c>
      <c r="W32" s="35">
        <f>-(W21)*'операционные расходы 2 этап'!$R$10</f>
        <v>-2058.5765249999999</v>
      </c>
      <c r="X32" s="35">
        <f>-(X21)*'операционные расходы 2 этап'!$R$10</f>
        <v>-2695.6793587499997</v>
      </c>
      <c r="Y32" s="35">
        <f>-(Y21)*'операционные расходы 2 этап'!$R$10</f>
        <v>-8159.8770330670877</v>
      </c>
      <c r="Z32" s="35">
        <f>-(Z21)*'операционные расходы 2 этап'!$R$10</f>
        <v>-1600.9338382874998</v>
      </c>
      <c r="AA32" s="35">
        <f>-(AA21)*'операционные расходы 2 этап'!$R$10</f>
        <v>-2161.5053512499999</v>
      </c>
      <c r="AB32" s="35">
        <f>-(AB21)*'операционные расходы 2 этап'!$R$10</f>
        <v>-2830.4633266874994</v>
      </c>
      <c r="AC32" s="35">
        <f>-(AC21)*'операционные расходы 2 этап'!$R$10</f>
        <v>-8593.917108201058</v>
      </c>
      <c r="AD32" s="35">
        <f>-(AD21)*'операционные расходы 2 этап'!$R$10</f>
        <v>-1680.9805302018749</v>
      </c>
      <c r="AE32" s="35">
        <f>-(AE21)*'операционные расходы 2 этап'!$R$10</f>
        <v>-2269.5806188124998</v>
      </c>
      <c r="AF32" s="35">
        <f>-(AF21)*'операционные расходы 2 этап'!$R$10</f>
        <v>-2971.986493021875</v>
      </c>
      <c r="AG32" s="35">
        <f>-(AG21)*'операционные расходы 2 этап'!$R$10</f>
        <v>-9023.6129177643743</v>
      </c>
      <c r="AH32" s="35">
        <f>-(AH21)*'операционные расходы 2 этап'!$R$10</f>
        <v>-1765.0295567119688</v>
      </c>
      <c r="AI32" s="35">
        <f>-(AI21)*'операционные расходы 2 этап'!$R$10</f>
        <v>-2383.0596497531246</v>
      </c>
      <c r="AJ32" s="35">
        <f>-(AJ21)*'операционные расходы 2 этап'!$R$10</f>
        <v>-3120.5858176729685</v>
      </c>
      <c r="AK32" s="35">
        <f>-(AK21)*'операционные расходы 2 этап'!$R$10</f>
        <v>-9474.7935636525945</v>
      </c>
      <c r="AL32" s="35">
        <f>-(AL21)*'операционные расходы 2 этап'!$R$10</f>
        <v>-1853.2810345475673</v>
      </c>
      <c r="AM32" s="35">
        <f>-(AM21)*'операционные расходы 2 этап'!$R$10</f>
        <v>-2502.2126322407812</v>
      </c>
      <c r="AN32" s="35">
        <f>-(AN21)*'операционные расходы 2 этап'!$R$10</f>
        <v>-3276.6151085566171</v>
      </c>
      <c r="AO32" s="35">
        <f>-(AO21)*'операционные расходы 2 этап'!$R$10</f>
        <v>-9948.5332418352245</v>
      </c>
      <c r="AP32" s="35">
        <f>-(AP21)*'операционные расходы 2 этап'!$R$10</f>
        <v>-1945.9450862749457</v>
      </c>
      <c r="AQ32" s="35">
        <f>-(AQ21)*'операционные расходы 2 этап'!$R$10</f>
        <v>-2627.3232638528202</v>
      </c>
      <c r="AR32" s="35">
        <f>-(AR21)*'операционные расходы 2 этап'!$R$10</f>
        <v>-3440.4458639844479</v>
      </c>
      <c r="AS32" s="35">
        <f>-(AS21)*'операционные расходы 2 этап'!$R$10</f>
        <v>-10445.959903926987</v>
      </c>
      <c r="AT32" s="35">
        <f>-(AT21)*'операционные расходы 2 этап'!$R$10</f>
        <v>-2043.2423405886932</v>
      </c>
      <c r="AU32" s="35">
        <f>-(AU21)*'операционные расходы 2 этап'!$R$10</f>
        <v>-2758.6894270454609</v>
      </c>
      <c r="AV32" s="35">
        <f>-(AV21)*'операционные расходы 2 этап'!$R$10</f>
        <v>-3612.4681571836704</v>
      </c>
      <c r="AW32" s="35">
        <f>-(AW21)*'операционные расходы 2 этап'!$R$10</f>
        <v>-10968.257899123337</v>
      </c>
      <c r="AX32" s="35">
        <f>-(AX21)*'операционные расходы 2 этап'!$R$10</f>
        <v>-2145.4044576181277</v>
      </c>
      <c r="AY32" s="35">
        <f>-(AY21)*'операционные расходы 2 этап'!$R$10</f>
        <v>-2896.6238983977341</v>
      </c>
      <c r="AZ32" s="35">
        <f>-(AZ21)*'операционные расходы 2 этап'!$R$10</f>
        <v>-3793.0915650428542</v>
      </c>
      <c r="BA32" s="35">
        <f>-(BA21)*'операционные расходы 2 этап'!$R$10</f>
        <v>-11516.670794079504</v>
      </c>
      <c r="BB32" s="35">
        <f>-(BB21)*'операционные расходы 2 этап'!$R$10</f>
        <v>-2252.6746804990344</v>
      </c>
      <c r="BC32" s="35">
        <f>-(BC21)*'операционные расходы 2 этап'!$R$10</f>
        <v>-3041.455093317621</v>
      </c>
      <c r="BD32" s="35">
        <f>-(BD21)*'операционные расходы 2 этап'!$R$10</f>
        <v>-3982.7461432949972</v>
      </c>
      <c r="BE32" s="35">
        <f>-(BE21)*'операционные расходы 2 этап'!$R$10</f>
        <v>-12092.50433378348</v>
      </c>
      <c r="BF32" s="35">
        <f>-(BF21)*'операционные расходы 2 этап'!$R$10</f>
        <v>-2365.3084145239859</v>
      </c>
      <c r="BG32" s="35">
        <f>-(BG21)*'операционные расходы 2 этап'!$R$10</f>
        <v>-3193.5278479835024</v>
      </c>
      <c r="BH32" s="35">
        <f>-(BH21)*'операционные расходы 2 этап'!$R$10</f>
        <v>-4181.8834504597471</v>
      </c>
      <c r="BI32" s="35">
        <f>-(BI21)*'операционные расходы 2 этап'!$R$10</f>
        <v>-12697.129550472653</v>
      </c>
      <c r="BJ32" s="35">
        <f>-(BJ21)*'операционные расходы 2 этап'!$R$10</f>
        <v>-2483.5738352501853</v>
      </c>
      <c r="BK32" s="35">
        <f>-(BK21)*'операционные расходы 2 этап'!$R$10</f>
        <v>-3353.2042403826777</v>
      </c>
      <c r="BL32" s="35">
        <f>-(BL21)*'операционные расходы 2 этап'!$R$10</f>
        <v>-4390.9776229827348</v>
      </c>
      <c r="BM32" s="35">
        <f>-(BM21)*'операционные расходы 2 этап'!$R$10</f>
        <v>-13331.986027996287</v>
      </c>
      <c r="BN32" s="35">
        <f>-(BN21)*'операционные расходы 2 этап'!$R$10</f>
        <v>-2607.7525270126948</v>
      </c>
      <c r="BO32" s="35">
        <f>-(BO21)*'операционные расходы 2 этап'!$R$10</f>
        <v>-3520.8644524018118</v>
      </c>
      <c r="BP32" s="35">
        <f>-(BP21)*'операционные расходы 2 этап'!$R$10</f>
        <v>-4610.5265041318717</v>
      </c>
      <c r="BQ32" s="35">
        <f>-(BQ21)*'операционные расходы 2 этап'!$R$10</f>
        <v>-13998.585329396103</v>
      </c>
      <c r="BR32" s="35">
        <f>-(BR21)*'операционные расходы 2 этап'!$R$10</f>
        <v>-2738.1401533633298</v>
      </c>
      <c r="BS32" s="35">
        <f>-(BS21)*'операционные расходы 2 этап'!$R$10</f>
        <v>-3696.9076750219028</v>
      </c>
      <c r="BT32" s="35">
        <f>-(BT21)*'операционные расходы 2 этап'!$R$10</f>
        <v>-4841.052829338465</v>
      </c>
      <c r="BU32" s="35">
        <f>-(BU21)*'операционные расходы 2 этап'!$R$10</f>
        <v>-14698.514595865909</v>
      </c>
      <c r="BV32" s="35">
        <f>-(BV21)*'операционные расходы 2 этап'!$R$10</f>
        <v>-2875.0471610314962</v>
      </c>
      <c r="BW32" s="35">
        <f>-(BW21)*'операционные расходы 2 этап'!$R$10</f>
        <v>-3881.753058772998</v>
      </c>
      <c r="BX32" s="35">
        <f>-(BX21)*'операционные расходы 2 этап'!$R$10</f>
        <v>-5083.105470805388</v>
      </c>
      <c r="BY32" s="35">
        <f>-(BY21)*'операционные расходы 2 этап'!$R$10</f>
        <v>-15433.440325659205</v>
      </c>
      <c r="BZ32" s="35">
        <f>-(BZ21)*'операционные расходы 2 этап'!$R$10</f>
        <v>-3018.7995190830716</v>
      </c>
      <c r="CA32" s="35">
        <f>-(CA21)*'операционные расходы 2 этап'!$R$10</f>
        <v>-4075.8407117116481</v>
      </c>
      <c r="CB32" s="35">
        <f>-(CB21)*'операционные расходы 2 этап'!$R$10</f>
        <v>-5337.2607443456573</v>
      </c>
      <c r="CC32" s="35">
        <f>-(CC21)*'операционные расходы 2 этап'!$R$10</f>
        <v>-16205.112341942167</v>
      </c>
      <c r="CD32" s="35">
        <f>-(CD21)*'операционные расходы 2 этап'!$R$10</f>
        <v>-3169.7394950372254</v>
      </c>
      <c r="CE32" s="35">
        <f>-(CE21)*'операционные расходы 2 этап'!$R$10</f>
        <v>-4279.6327472972307</v>
      </c>
      <c r="CF32" s="35">
        <f>-(CF21)*'операционные расходы 2 этап'!$R$10</f>
        <v>-5604.1237815629411</v>
      </c>
      <c r="CG32" s="35">
        <f>-(CG21)*'операционные расходы 2 этап'!$R$10</f>
        <v>-17015.367959039275</v>
      </c>
      <c r="CH32" s="35">
        <f>-(CH21)*'операционные расходы 2 этап'!$R$10</f>
        <v>-3328.2264697890864</v>
      </c>
      <c r="CI32" s="35">
        <f>-(CI21)*'операционные расходы 2 этап'!$R$10</f>
        <v>-4493.6143846620926</v>
      </c>
      <c r="CJ32" s="35">
        <f>-(CJ21)*'операционные расходы 2 этап'!$R$10</f>
        <v>-5884.329970641088</v>
      </c>
      <c r="CK32" s="35">
        <f>-(CK21)*'операционные расходы 2 этап'!$R$10</f>
        <v>-17866.136356991239</v>
      </c>
      <c r="CL32" s="35">
        <f>-(CL21)*'операционные расходы 2 этап'!$R$10</f>
        <v>-3494.6377932785413</v>
      </c>
      <c r="CM32" s="35">
        <f>-(CM21)*'операционные расходы 2 этап'!$R$10</f>
        <v>-4718.2951038951969</v>
      </c>
      <c r="CN32" s="35">
        <f>-(CN21)*'операционные расходы 2 этап'!$R$10</f>
        <v>-6178.5464691731422</v>
      </c>
      <c r="CO32" s="35">
        <f>-(CO21)*'операционные расходы 2 этап'!$R$10</f>
        <v>-18759.443174840802</v>
      </c>
    </row>
    <row r="33" spans="1:93" ht="12.75" customHeight="1" outlineLevel="2">
      <c r="A33" s="35"/>
      <c r="B33" s="63" t="s">
        <v>134</v>
      </c>
      <c r="C33" s="74">
        <f t="shared" si="32"/>
        <v>-191740.52870720695</v>
      </c>
      <c r="D33" s="60"/>
      <c r="E33" s="35">
        <f>-E20*'операционные расходы 2 этап'!$S$12</f>
        <v>0</v>
      </c>
      <c r="F33" s="35">
        <f>-F20*'операционные расходы 2 этап'!$S$12</f>
        <v>0</v>
      </c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>
        <f>-V20*'операционные расходы 2 этап'!$S$12</f>
        <v>0</v>
      </c>
      <c r="W33" s="35">
        <f>-(W20)*'операционные расходы 2 этап'!$R$10</f>
        <v>-763.93799999999999</v>
      </c>
      <c r="X33" s="35">
        <f>-(X20)*'операционные расходы 2 этап'!$R$10</f>
        <v>-974.42729999999995</v>
      </c>
      <c r="Y33" s="35">
        <f>-(Y20)*'операционные расходы 2 этап'!$R$10</f>
        <v>-2931.4089160876015</v>
      </c>
      <c r="Z33" s="35">
        <f>-(Z20)*'операционные расходы 2 этап'!$R$10</f>
        <v>-790.52006249999988</v>
      </c>
      <c r="AA33" s="35">
        <f>-(AA20)*'операционные расходы 2 этап'!$R$10</f>
        <v>-1114.0762499999996</v>
      </c>
      <c r="AB33" s="35">
        <f>-(AB20)*'операционные расходы 2 этап'!$R$10</f>
        <v>-1421.0398124999995</v>
      </c>
      <c r="AC33" s="35">
        <f>-(AC20)*'операционные расходы 2 этап'!$R$10</f>
        <v>-4274.9713344420124</v>
      </c>
      <c r="AD33" s="35">
        <f>-(AD20)*'операционные расходы 2 этап'!$R$10</f>
        <v>-830.04606562499987</v>
      </c>
      <c r="AE33" s="35">
        <f>-(AE20)*'операционные расходы 2 этап'!$R$10</f>
        <v>-1169.7800624999995</v>
      </c>
      <c r="AF33" s="35">
        <f>-(AF20)*'операционные расходы 2 этап'!$R$10</f>
        <v>-1492.0918031249996</v>
      </c>
      <c r="AG33" s="35">
        <f>-(AG20)*'операционные расходы 2 этап'!$R$10</f>
        <v>-4488.719878124999</v>
      </c>
      <c r="AH33" s="35">
        <f>-(AH20)*'операционные расходы 2 этап'!$R$10</f>
        <v>-871.54836890624983</v>
      </c>
      <c r="AI33" s="35">
        <f>-(AI20)*'операционные расходы 2 этап'!$R$10</f>
        <v>-1228.2690656249997</v>
      </c>
      <c r="AJ33" s="35">
        <f>-(AJ20)*'операционные расходы 2 этап'!$R$10</f>
        <v>-1566.6963932812498</v>
      </c>
      <c r="AK33" s="35">
        <f>-(AK20)*'операционные расходы 2 этап'!$R$10</f>
        <v>-4713.1558720312496</v>
      </c>
      <c r="AL33" s="35">
        <f>-(AL20)*'операционные расходы 2 этап'!$R$10</f>
        <v>-915.12578735156239</v>
      </c>
      <c r="AM33" s="35">
        <f>-(AM20)*'операционные расходы 2 этап'!$R$10</f>
        <v>-1289.6825189062497</v>
      </c>
      <c r="AN33" s="35">
        <f>-(AN20)*'операционные расходы 2 этап'!$R$10</f>
        <v>-1645.0312129453121</v>
      </c>
      <c r="AO33" s="35">
        <f>-(AO20)*'операционные расходы 2 этап'!$R$10</f>
        <v>-4948.8136656328124</v>
      </c>
      <c r="AP33" s="35">
        <f>-(AP20)*'операционные расходы 2 этап'!$R$10</f>
        <v>-960.88207671914051</v>
      </c>
      <c r="AQ33" s="35">
        <f>-(AQ20)*'операционные расходы 2 этап'!$R$10</f>
        <v>-1354.1666448515623</v>
      </c>
      <c r="AR33" s="35">
        <f>-(AR20)*'операционные расходы 2 этап'!$R$10</f>
        <v>-1727.2827735925778</v>
      </c>
      <c r="AS33" s="35">
        <f>-(AS20)*'операционные расходы 2 этап'!$R$10</f>
        <v>-5196.2543489144537</v>
      </c>
      <c r="AT33" s="35">
        <f>-(AT20)*'операционные расходы 2 этап'!$R$10</f>
        <v>-1008.9261805550975</v>
      </c>
      <c r="AU33" s="35">
        <f>-(AU20)*'операционные расходы 2 этап'!$R$10</f>
        <v>-1421.8749770941404</v>
      </c>
      <c r="AV33" s="35">
        <f>-(AV20)*'операционные расходы 2 этап'!$R$10</f>
        <v>-1813.6469122722067</v>
      </c>
      <c r="AW33" s="35">
        <f>-(AW20)*'операционные расходы 2 этап'!$R$10</f>
        <v>-5456.0670663601768</v>
      </c>
      <c r="AX33" s="35">
        <f>-(AX20)*'операционные расходы 2 этап'!$R$10</f>
        <v>-1059.3724895828525</v>
      </c>
      <c r="AY33" s="35">
        <f>-(AY20)*'операционные расходы 2 этап'!$R$10</f>
        <v>-1492.9687259488476</v>
      </c>
      <c r="AZ33" s="35">
        <f>-(AZ20)*'операционные расходы 2 этап'!$R$10</f>
        <v>-1904.3292578858172</v>
      </c>
      <c r="BA33" s="35">
        <f>-(BA20)*'операционные расходы 2 этап'!$R$10</f>
        <v>-5728.8704196781855</v>
      </c>
      <c r="BB33" s="35">
        <f>-(BB20)*'операционные расходы 2 этап'!$R$10</f>
        <v>-1112.3411140619951</v>
      </c>
      <c r="BC33" s="35">
        <f>-(BC20)*'операционные расходы 2 этап'!$R$10</f>
        <v>-1567.61716224629</v>
      </c>
      <c r="BD33" s="35">
        <f>-(BD20)*'операционные расходы 2 этап'!$R$10</f>
        <v>-1999.5457207801082</v>
      </c>
      <c r="BE33" s="35">
        <f>-(BE20)*'операционные расходы 2 этап'!$R$10</f>
        <v>-6015.3139406620949</v>
      </c>
      <c r="BF33" s="35">
        <f>-(BF20)*'операционные расходы 2 этап'!$R$10</f>
        <v>-1167.9581697650949</v>
      </c>
      <c r="BG33" s="35">
        <f>-(BG20)*'операционные расходы 2 этап'!$R$10</f>
        <v>-1645.9980203586044</v>
      </c>
      <c r="BH33" s="35">
        <f>-(BH20)*'операционные расходы 2 этап'!$R$10</f>
        <v>-2099.5230068191136</v>
      </c>
      <c r="BI33" s="35">
        <f>-(BI20)*'операционные расходы 2 этап'!$R$10</f>
        <v>-6316.0796376952003</v>
      </c>
      <c r="BJ33" s="35">
        <f>-(BJ20)*'операционные расходы 2 этап'!$R$10</f>
        <v>-1226.3560782533498</v>
      </c>
      <c r="BK33" s="35">
        <f>-(BK20)*'операционные расходы 2 этап'!$R$10</f>
        <v>-1728.2979213765348</v>
      </c>
      <c r="BL33" s="35">
        <f>-(BL20)*'операционные расходы 2 этап'!$R$10</f>
        <v>-2204.4991571600694</v>
      </c>
      <c r="BM33" s="35">
        <f>-(BM20)*'операционные расходы 2 этап'!$R$10</f>
        <v>-6631.8836195799604</v>
      </c>
      <c r="BN33" s="35">
        <f>-(BN20)*'операционные расходы 2 этап'!$R$10</f>
        <v>-1287.6738821660172</v>
      </c>
      <c r="BO33" s="35">
        <f>-(BO20)*'операционные расходы 2 этап'!$R$10</f>
        <v>-1814.7128174453617</v>
      </c>
      <c r="BP33" s="35">
        <f>-(BP20)*'операционные расходы 2 этап'!$R$10</f>
        <v>-2314.724115018073</v>
      </c>
      <c r="BQ33" s="35">
        <f>-(BQ20)*'операционные расходы 2 этап'!$R$10</f>
        <v>-6963.4778005589587</v>
      </c>
      <c r="BR33" s="35">
        <f>-(BR20)*'операционные расходы 2 этап'!$R$10</f>
        <v>-1352.0575762743181</v>
      </c>
      <c r="BS33" s="35">
        <f>-(BS20)*'операционные расходы 2 этап'!$R$10</f>
        <v>-1905.4484583176297</v>
      </c>
      <c r="BT33" s="35">
        <f>-(BT20)*'операционные расходы 2 этап'!$R$10</f>
        <v>-2430.4603207689765</v>
      </c>
      <c r="BU33" s="35">
        <f>-(BU20)*'операционные расходы 2 этап'!$R$10</f>
        <v>-7311.6516905869057</v>
      </c>
      <c r="BV33" s="35">
        <f>-(BV20)*'операционные расходы 2 этап'!$R$10</f>
        <v>-1419.660455088034</v>
      </c>
      <c r="BW33" s="35">
        <f>-(BW20)*'операционные расходы 2 этап'!$R$10</f>
        <v>-2000.7208812335111</v>
      </c>
      <c r="BX33" s="35">
        <f>-(BX20)*'операционные расходы 2 этап'!$R$10</f>
        <v>-2551.9833368074255</v>
      </c>
      <c r="BY33" s="35">
        <f>-(BY20)*'операционные расходы 2 этап'!$R$10</f>
        <v>-7677.2342751162514</v>
      </c>
      <c r="BZ33" s="35">
        <f>-(BZ20)*'операционные расходы 2 этап'!$R$10</f>
        <v>-1490.6434778424359</v>
      </c>
      <c r="CA33" s="35">
        <f>-(CA20)*'операционные расходы 2 этап'!$R$10</f>
        <v>-2100.7569252951871</v>
      </c>
      <c r="CB33" s="35">
        <f>-(CB20)*'операционные расходы 2 этап'!$R$10</f>
        <v>-2679.5825036477968</v>
      </c>
      <c r="CC33" s="35">
        <f>-(CC20)*'операционные расходы 2 этап'!$R$10</f>
        <v>-8061.0959888720645</v>
      </c>
      <c r="CD33" s="35">
        <f>-(CD20)*'операционные расходы 2 этап'!$R$10</f>
        <v>-1565.1756517345577</v>
      </c>
      <c r="CE33" s="35">
        <f>-(CE20)*'операционные расходы 2 этап'!$R$10</f>
        <v>-2205.7947715599462</v>
      </c>
      <c r="CF33" s="35">
        <f>-(CF20)*'операционные расходы 2 этап'!$R$10</f>
        <v>-2813.5616288301867</v>
      </c>
      <c r="CG33" s="35">
        <f>-(CG20)*'операционные расходы 2 этап'!$R$10</f>
        <v>-8464.1507883156683</v>
      </c>
      <c r="CH33" s="35">
        <f>-(CH20)*'операционные расходы 2 этап'!$R$10</f>
        <v>-1643.4344343212858</v>
      </c>
      <c r="CI33" s="35">
        <f>-(CI20)*'операционные расходы 2 этап'!$R$10</f>
        <v>-2316.0845101379437</v>
      </c>
      <c r="CJ33" s="35">
        <f>-(CJ20)*'операционные расходы 2 этап'!$R$10</f>
        <v>-2954.2397102716964</v>
      </c>
      <c r="CK33" s="35">
        <f>-(CK20)*'операционные расходы 2 этап'!$R$10</f>
        <v>-8887.3583277314519</v>
      </c>
      <c r="CL33" s="35">
        <f>-(CL20)*'операционные расходы 2 этап'!$R$10</f>
        <v>-1725.6061560373503</v>
      </c>
      <c r="CM33" s="35">
        <f>-(CM20)*'операционные расходы 2 этап'!$R$10</f>
        <v>-2431.8887356448408</v>
      </c>
      <c r="CN33" s="35">
        <f>-(CN20)*'операционные расходы 2 этап'!$R$10</f>
        <v>-3101.9516957852816</v>
      </c>
      <c r="CO33" s="35">
        <f>-(CO20)*'операционные расходы 2 этап'!$R$10</f>
        <v>-9331.7262441180264</v>
      </c>
    </row>
    <row r="34" spans="1:93" ht="12.75" customHeight="1" outlineLevel="2">
      <c r="A34" s="35"/>
      <c r="B34" s="63" t="s">
        <v>135</v>
      </c>
      <c r="C34" s="74">
        <f t="shared" si="32"/>
        <v>-132990.08446736724</v>
      </c>
      <c r="D34" s="60"/>
      <c r="E34" s="35">
        <f>-E19*'операционные расходы 2 этап'!$Q$13-(E20+E22)*'операционные расходы 2 этап'!$R$13</f>
        <v>0</v>
      </c>
      <c r="F34" s="35">
        <f>-F19*'операционные расходы 2 этап'!$Q$13-(F20+F22)*'операционные расходы 2 этап'!$R$13</f>
        <v>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>
        <f>-V19*'операционные расходы 2 этап'!$Q$13-(V20+V22)*'операционные расходы 2 этап'!$R$13</f>
        <v>0</v>
      </c>
      <c r="W34" s="35">
        <f>-W27*'операционные расходы 2 этап'!$P$11</f>
        <v>-710.96068551562496</v>
      </c>
      <c r="X34" s="35">
        <f>-X27*'операционные расходы 2 этап'!$P$11</f>
        <v>-960.50664966093746</v>
      </c>
      <c r="Y34" s="35">
        <f>-Y27*'операционные расходы 2 этап'!$P$11</f>
        <v>-2746.3561569046869</v>
      </c>
      <c r="Z34" s="35">
        <f>-Z27*'операционные расходы 2 этап'!$P$11</f>
        <v>-516.88905694124992</v>
      </c>
      <c r="AA34" s="35">
        <f>-AA27*'операционные расходы 2 этап'!$P$11</f>
        <v>-759.73960081874986</v>
      </c>
      <c r="AB34" s="35">
        <f>-AB27*'операционные расходы 2 этап'!$P$11</f>
        <v>-1025.04896640375</v>
      </c>
      <c r="AC34" s="35">
        <f>-AC27*'операционные расходы 2 этап'!$P$11</f>
        <v>-2936.22432285375</v>
      </c>
      <c r="AD34" s="35">
        <f>-AD27*'операционные расходы 2 этап'!$P$11</f>
        <v>-541.32665171109363</v>
      </c>
      <c r="AE34" s="35">
        <f>-AE27*'операционные расходы 2 этап'!$P$11</f>
        <v>-795.26574692812494</v>
      </c>
      <c r="AF34" s="35">
        <f>-AF27*'операционные расходы 2 этап'!$P$11</f>
        <v>-1072.7887386840939</v>
      </c>
      <c r="AG34" s="35">
        <f>-AG27*'операционные расходы 2 этап'!$P$11</f>
        <v>-3074.089910374219</v>
      </c>
      <c r="AH34" s="35">
        <f>-AH27*'операционные расходы 2 этап'!$P$11</f>
        <v>-568.39298429664848</v>
      </c>
      <c r="AI34" s="35">
        <f>-AI27*'операционные расходы 2 этап'!$P$11</f>
        <v>-835.02903427453123</v>
      </c>
      <c r="AJ34" s="35">
        <f>-AJ27*'операционные расходы 2 этап'!$P$11</f>
        <v>-1126.4281756182986</v>
      </c>
      <c r="AK34" s="35">
        <f>-AK27*'операционные расходы 2 этап'!$P$11</f>
        <v>-3227.7944058929302</v>
      </c>
      <c r="AL34" s="35">
        <f>-AL27*'операционные расходы 2 этап'!$P$11</f>
        <v>-596.81263351148084</v>
      </c>
      <c r="AM34" s="35">
        <f>-AM27*'операционные расходы 2 этап'!$P$11</f>
        <v>-876.78048598825785</v>
      </c>
      <c r="AN34" s="35">
        <f>-AN27*'операционные расходы 2 этап'!$P$11</f>
        <v>-1182.7495843992135</v>
      </c>
      <c r="AO34" s="35">
        <f>-AO27*'операционные расходы 2 этап'!$P$11</f>
        <v>-3389.1841261875761</v>
      </c>
      <c r="AP34" s="35">
        <f>-AP27*'операционные расходы 2 этап'!$P$11</f>
        <v>-626.6532651870549</v>
      </c>
      <c r="AQ34" s="35">
        <f>-AQ27*'операционные расходы 2 этап'!$P$11</f>
        <v>-920.61951028767078</v>
      </c>
      <c r="AR34" s="35">
        <f>-AR27*'операционные расходы 2 этап'!$P$11</f>
        <v>-1241.8870636191743</v>
      </c>
      <c r="AS34" s="35">
        <f>-AS27*'операционные расходы 2 этап'!$P$11</f>
        <v>-3558.6433324969553</v>
      </c>
      <c r="AT34" s="35">
        <f>-AT27*'операционные расходы 2 этап'!$P$11</f>
        <v>-657.9859284464078</v>
      </c>
      <c r="AU34" s="35">
        <f>-AU27*'операционные расходы 2 этап'!$P$11</f>
        <v>-966.65048580205428</v>
      </c>
      <c r="AV34" s="35">
        <f>-AV27*'операционные расходы 2 этап'!$P$11</f>
        <v>-1303.981416800133</v>
      </c>
      <c r="AW34" s="35">
        <f>-AW27*'операционные расходы 2 этап'!$P$11</f>
        <v>-3736.5754991218032</v>
      </c>
      <c r="AX34" s="35">
        <f>-AX27*'операционные расходы 2 этап'!$P$11</f>
        <v>-690.88522486872819</v>
      </c>
      <c r="AY34" s="35">
        <f>-AY27*'операционные расходы 2 этап'!$P$11</f>
        <v>-1014.983010092157</v>
      </c>
      <c r="AZ34" s="35">
        <f>-AZ27*'операционные расходы 2 этап'!$P$11</f>
        <v>-1369.1804876401395</v>
      </c>
      <c r="BA34" s="35">
        <f>-BA27*'операционные расходы 2 этап'!$P$11</f>
        <v>-3923.4042740778932</v>
      </c>
      <c r="BB34" s="35">
        <f>-BB27*'операционные расходы 2 этап'!$P$11</f>
        <v>-725.42948611216468</v>
      </c>
      <c r="BC34" s="35">
        <f>-BC27*'операционные расходы 2 этап'!$P$11</f>
        <v>-1065.732160596765</v>
      </c>
      <c r="BD34" s="35">
        <f>-BD27*'операционные расходы 2 этап'!$P$11</f>
        <v>-1437.6395120221466</v>
      </c>
      <c r="BE34" s="35">
        <f>-BE27*'операционные расходы 2 этап'!$P$11</f>
        <v>-4119.5744877817879</v>
      </c>
      <c r="BF34" s="35">
        <f>-BF27*'операционные расходы 2 этап'!$P$11</f>
        <v>-761.70096041777288</v>
      </c>
      <c r="BG34" s="35">
        <f>-BG27*'операционные расходы 2 этап'!$P$11</f>
        <v>-1119.0187686266031</v>
      </c>
      <c r="BH34" s="35">
        <f>-BH27*'операционные расходы 2 этап'!$P$11</f>
        <v>-1509.521487623254</v>
      </c>
      <c r="BI34" s="35">
        <f>-BI27*'операционные расходы 2 этап'!$P$11</f>
        <v>-4325.5532121708784</v>
      </c>
      <c r="BJ34" s="35">
        <f>-BJ27*'операционные расходы 2 этап'!$P$11</f>
        <v>-799.7860084386615</v>
      </c>
      <c r="BK34" s="35">
        <f>-BK27*'операционные расходы 2 этап'!$P$11</f>
        <v>-1174.9697070579334</v>
      </c>
      <c r="BL34" s="35">
        <f>-BL27*'операционные расходы 2 этап'!$P$11</f>
        <v>-1584.9975620044165</v>
      </c>
      <c r="BM34" s="35">
        <f>-BM27*'операционные расходы 2 этап'!$P$11</f>
        <v>-4541.830872779422</v>
      </c>
      <c r="BN34" s="35">
        <f>-BN27*'операционные расходы 2 этап'!$P$11</f>
        <v>-839.77530886059469</v>
      </c>
      <c r="BO34" s="35">
        <f>-BO27*'операционные расходы 2 этап'!$P$11</f>
        <v>-1233.7181924108302</v>
      </c>
      <c r="BP34" s="35">
        <f>-BP27*'операционные расходы 2 этап'!$P$11</f>
        <v>-1664.2474401046377</v>
      </c>
      <c r="BQ34" s="35">
        <f>-BQ27*'операционные расходы 2 этап'!$P$11</f>
        <v>-4768.9224164183934</v>
      </c>
      <c r="BR34" s="35">
        <f>-BR27*'операционные расходы 2 этап'!$P$11</f>
        <v>-881.76407430362451</v>
      </c>
      <c r="BS34" s="35">
        <f>-BS27*'операционные расходы 2 этап'!$P$11</f>
        <v>-1295.4041020313718</v>
      </c>
      <c r="BT34" s="35">
        <f>-BT27*'операционные расходы 2 этап'!$P$11</f>
        <v>-1747.4598121098695</v>
      </c>
      <c r="BU34" s="35">
        <f>-BU27*'операционные расходы 2 этап'!$P$11</f>
        <v>-5007.3685372393129</v>
      </c>
      <c r="BV34" s="35">
        <f>-BV27*'операционные расходы 2 этап'!$P$11</f>
        <v>-925.85227801880569</v>
      </c>
      <c r="BW34" s="35">
        <f>-BW27*'операционные расходы 2 этап'!$P$11</f>
        <v>-1360.1743071329404</v>
      </c>
      <c r="BX34" s="35">
        <f>-BX27*'операционные расходы 2 этап'!$P$11</f>
        <v>-1834.832802715363</v>
      </c>
      <c r="BY34" s="35">
        <f>-BY27*'операционные расходы 2 этап'!$P$11</f>
        <v>-5257.7369641012801</v>
      </c>
      <c r="BZ34" s="35">
        <f>-BZ27*'операционные расходы 2 этап'!$P$11</f>
        <v>-972.14489191974599</v>
      </c>
      <c r="CA34" s="35">
        <f>-CA27*'операционные расходы 2 этап'!$P$11</f>
        <v>-1428.1830224895875</v>
      </c>
      <c r="CB34" s="35">
        <f>-CB27*'операционные расходы 2 этап'!$P$11</f>
        <v>-1926.5744428511314</v>
      </c>
      <c r="CC34" s="35">
        <f>-CC27*'операционные расходы 2 этап'!$P$11</f>
        <v>-5520.6238123063431</v>
      </c>
      <c r="CD34" s="35">
        <f>-CD27*'операционные расходы 2 этап'!$P$11</f>
        <v>-1020.7521365157334</v>
      </c>
      <c r="CE34" s="35">
        <f>-CE27*'операционные расходы 2 этап'!$P$11</f>
        <v>-1499.5921736140667</v>
      </c>
      <c r="CF34" s="35">
        <f>-CF27*'операционные расходы 2 этап'!$P$11</f>
        <v>-2022.9031649936878</v>
      </c>
      <c r="CG34" s="35">
        <f>-CG27*'операционные расходы 2 этап'!$P$11</f>
        <v>-5796.6550029216596</v>
      </c>
      <c r="CH34" s="35">
        <f>-CH27*'операционные расходы 2 этап'!$P$11</f>
        <v>-1071.7897433415201</v>
      </c>
      <c r="CI34" s="35">
        <f>-CI27*'операционные расходы 2 этап'!$P$11</f>
        <v>-1574.5717822947702</v>
      </c>
      <c r="CJ34" s="35">
        <f>-CJ27*'операционные расходы 2 этап'!$P$11</f>
        <v>-2124.0483232433726</v>
      </c>
      <c r="CK34" s="35">
        <f>-CK27*'операционные расходы 2 этап'!$P$11</f>
        <v>-6086.487753067745</v>
      </c>
      <c r="CL34" s="35">
        <f>-CL27*'операционные расходы 2 этап'!$P$11</f>
        <v>-1125.379230508596</v>
      </c>
      <c r="CM34" s="35">
        <f>-CM27*'операционные расходы 2 этап'!$P$11</f>
        <v>-1653.3003714095091</v>
      </c>
      <c r="CN34" s="35">
        <f>-CN27*'операционные расходы 2 этап'!$P$11</f>
        <v>-2230.250739405541</v>
      </c>
      <c r="CO34" s="35">
        <f>-CO27*'операционные расходы 2 этап'!$P$11</f>
        <v>-6390.8121407211311</v>
      </c>
    </row>
    <row r="35" spans="1:93" ht="12.75" customHeight="1" outlineLevel="2">
      <c r="A35" s="35"/>
      <c r="B35" s="63" t="s">
        <v>136</v>
      </c>
      <c r="C35" s="74">
        <f t="shared" si="32"/>
        <v>0</v>
      </c>
      <c r="D35" s="60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>
        <f>-W$23*'операционные расходы 2 этап'!$T$14</f>
        <v>0</v>
      </c>
      <c r="X35" s="35">
        <f>-X$23*'операционные расходы 2 этап'!$T$14</f>
        <v>0</v>
      </c>
      <c r="Y35" s="35">
        <f>-Y$23*'операционные расходы 2 этап'!$T$14</f>
        <v>0</v>
      </c>
      <c r="Z35" s="35">
        <f>-Z$23*'операционные расходы 2 этап'!$T$14</f>
        <v>0</v>
      </c>
      <c r="AA35" s="35">
        <f>-AA$23*'операционные расходы 2 этап'!$T$14</f>
        <v>0</v>
      </c>
      <c r="AB35" s="35">
        <f>-AB$23*'операционные расходы 2 этап'!$T$14</f>
        <v>0</v>
      </c>
      <c r="AC35" s="35">
        <f>-AC$23*'операционные расходы 2 этап'!$T$14</f>
        <v>0</v>
      </c>
      <c r="AD35" s="35">
        <f>-AD$23*'операционные расходы 2 этап'!$T$14</f>
        <v>0</v>
      </c>
      <c r="AE35" s="35">
        <f>-AE$23*'операционные расходы 2 этап'!$T$14</f>
        <v>0</v>
      </c>
      <c r="AF35" s="35">
        <f>-AF$23*'операционные расходы 2 этап'!$T$14</f>
        <v>0</v>
      </c>
      <c r="AG35" s="35">
        <f>-AG$23*'операционные расходы 2 этап'!$T$14</f>
        <v>0</v>
      </c>
      <c r="AH35" s="35">
        <f>-AH$23*'операционные расходы 2 этап'!$T$14</f>
        <v>0</v>
      </c>
      <c r="AI35" s="35">
        <f>-AI$23*'операционные расходы 2 этап'!$T$14</f>
        <v>0</v>
      </c>
      <c r="AJ35" s="35">
        <f>-AJ$23*'операционные расходы 2 этап'!$T$14</f>
        <v>0</v>
      </c>
      <c r="AK35" s="35">
        <f>-AK$23*'операционные расходы 2 этап'!$T$14</f>
        <v>0</v>
      </c>
      <c r="AL35" s="35">
        <f>-AL$23*'операционные расходы 2 этап'!$T$14</f>
        <v>0</v>
      </c>
      <c r="AM35" s="35">
        <f>-AM$23*'операционные расходы 2 этап'!$T$14</f>
        <v>0</v>
      </c>
      <c r="AN35" s="35">
        <f>-AN$23*'операционные расходы 2 этап'!$T$14</f>
        <v>0</v>
      </c>
      <c r="AO35" s="35">
        <f>-AO$23*'операционные расходы 2 этап'!$T$14</f>
        <v>0</v>
      </c>
      <c r="AP35" s="35">
        <f>-AP$23*'операционные расходы 2 этап'!$T$14</f>
        <v>0</v>
      </c>
      <c r="AQ35" s="35">
        <f>-AQ$23*'операционные расходы 2 этап'!$T$14</f>
        <v>0</v>
      </c>
      <c r="AR35" s="35">
        <f>-AR$23*'операционные расходы 2 этап'!$T$14</f>
        <v>0</v>
      </c>
      <c r="AS35" s="35">
        <f>-AS$23*'операционные расходы 2 этап'!$T$14</f>
        <v>0</v>
      </c>
      <c r="AT35" s="35">
        <f>-AT$23*'операционные расходы 2 этап'!$T$14</f>
        <v>0</v>
      </c>
      <c r="AU35" s="35">
        <f>-AU$23*'операционные расходы 2 этап'!$T$14</f>
        <v>0</v>
      </c>
      <c r="AV35" s="35">
        <f>-AV$23*'операционные расходы 2 этап'!$T$14</f>
        <v>0</v>
      </c>
      <c r="AW35" s="35">
        <f>-AW$23*'операционные расходы 2 этап'!$T$14</f>
        <v>0</v>
      </c>
      <c r="AX35" s="35">
        <f>-AX$23*'операционные расходы 2 этап'!$T$14</f>
        <v>0</v>
      </c>
      <c r="AY35" s="35">
        <f>-AY$23*'операционные расходы 2 этап'!$T$14</f>
        <v>0</v>
      </c>
      <c r="AZ35" s="35">
        <f>-AZ$23*'операционные расходы 2 этап'!$T$14</f>
        <v>0</v>
      </c>
      <c r="BA35" s="35">
        <f>-BA$23*'операционные расходы 2 этап'!$T$14</f>
        <v>0</v>
      </c>
      <c r="BB35" s="35">
        <f>-BB$23*'операционные расходы 2 этап'!$T$14</f>
        <v>0</v>
      </c>
      <c r="BC35" s="35">
        <f>-BC$23*'операционные расходы 2 этап'!$T$14</f>
        <v>0</v>
      </c>
      <c r="BD35" s="35">
        <f>-BD$23*'операционные расходы 2 этап'!$T$14</f>
        <v>0</v>
      </c>
      <c r="BE35" s="35">
        <f>-BE$23*'операционные расходы 2 этап'!$T$14</f>
        <v>0</v>
      </c>
      <c r="BF35" s="35">
        <f>-BF$23*'операционные расходы 2 этап'!$T$14</f>
        <v>0</v>
      </c>
      <c r="BG35" s="35">
        <f>-BG$23*'операционные расходы 2 этап'!$T$14</f>
        <v>0</v>
      </c>
      <c r="BH35" s="35">
        <f>-BH$23*'операционные расходы 2 этап'!$T$14</f>
        <v>0</v>
      </c>
      <c r="BI35" s="35">
        <f>-BI$23*'операционные расходы 2 этап'!$T$14</f>
        <v>0</v>
      </c>
      <c r="BJ35" s="35">
        <f>-BJ$23*'операционные расходы 2 этап'!$T$14</f>
        <v>0</v>
      </c>
      <c r="BK35" s="35">
        <f>-BK$23*'операционные расходы 2 этап'!$T$14</f>
        <v>0</v>
      </c>
      <c r="BL35" s="35">
        <f>-BL$23*'операционные расходы 2 этап'!$T$14</f>
        <v>0</v>
      </c>
      <c r="BM35" s="35">
        <f>-BM$23*'операционные расходы 2 этап'!$T$14</f>
        <v>0</v>
      </c>
      <c r="BN35" s="35">
        <f>-BN$23*'операционные расходы 2 этап'!$T$14</f>
        <v>0</v>
      </c>
      <c r="BO35" s="35">
        <f>-BO$23*'операционные расходы 2 этап'!$T$14</f>
        <v>0</v>
      </c>
      <c r="BP35" s="35">
        <f>-BP$23*'операционные расходы 2 этап'!$T$14</f>
        <v>0</v>
      </c>
      <c r="BQ35" s="35">
        <f>-BQ$23*'операционные расходы 2 этап'!$T$14</f>
        <v>0</v>
      </c>
      <c r="BR35" s="35">
        <f>-BR$23*'операционные расходы 2 этап'!$T$14</f>
        <v>0</v>
      </c>
      <c r="BS35" s="35">
        <f>-BS$23*'операционные расходы 2 этап'!$T$14</f>
        <v>0</v>
      </c>
      <c r="BT35" s="35">
        <f>-BT$23*'операционные расходы 2 этап'!$T$14</f>
        <v>0</v>
      </c>
      <c r="BU35" s="35">
        <f>-BU$23*'операционные расходы 2 этап'!$T$14</f>
        <v>0</v>
      </c>
      <c r="BV35" s="35">
        <f>-BV$23*'операционные расходы 2 этап'!$T$14</f>
        <v>0</v>
      </c>
      <c r="BW35" s="35">
        <f>-BW$23*'операционные расходы 2 этап'!$T$14</f>
        <v>0</v>
      </c>
      <c r="BX35" s="35">
        <f>-BX$23*'операционные расходы 2 этап'!$T$14</f>
        <v>0</v>
      </c>
      <c r="BY35" s="35">
        <f>-BY$23*'операционные расходы 2 этап'!$T$14</f>
        <v>0</v>
      </c>
      <c r="BZ35" s="35">
        <f>-BZ$23*'операционные расходы 2 этап'!$T$14</f>
        <v>0</v>
      </c>
      <c r="CA35" s="35">
        <f>-CA$23*'операционные расходы 2 этап'!$T$14</f>
        <v>0</v>
      </c>
      <c r="CB35" s="35">
        <f>-CB$23*'операционные расходы 2 этап'!$T$14</f>
        <v>0</v>
      </c>
      <c r="CC35" s="35">
        <f>-CC$23*'операционные расходы 2 этап'!$T$14</f>
        <v>0</v>
      </c>
      <c r="CD35" s="35">
        <f>-CD$23*'операционные расходы 2 этап'!$T$14</f>
        <v>0</v>
      </c>
      <c r="CE35" s="35">
        <f>-CE$23*'операционные расходы 2 этап'!$T$14</f>
        <v>0</v>
      </c>
      <c r="CF35" s="35">
        <f>-CF$23*'операционные расходы 2 этап'!$T$14</f>
        <v>0</v>
      </c>
      <c r="CG35" s="35">
        <f>-CG$23*'операционные расходы 2 этап'!$T$14</f>
        <v>0</v>
      </c>
      <c r="CH35" s="35">
        <f>-CH$23*'операционные расходы 2 этап'!$T$14</f>
        <v>0</v>
      </c>
      <c r="CI35" s="35">
        <f>-CI$23*'операционные расходы 2 этап'!$T$14</f>
        <v>0</v>
      </c>
      <c r="CJ35" s="35">
        <f>-CJ$23*'операционные расходы 2 этап'!$T$14</f>
        <v>0</v>
      </c>
      <c r="CK35" s="35">
        <f>-CK$23*'операционные расходы 2 этап'!$T$14</f>
        <v>0</v>
      </c>
      <c r="CL35" s="35">
        <f>-CL$23*'операционные расходы 2 этап'!$T$14</f>
        <v>0</v>
      </c>
      <c r="CM35" s="35">
        <f>-CM$23*'операционные расходы 2 этап'!$T$14</f>
        <v>0</v>
      </c>
      <c r="CN35" s="35">
        <f>-CN$23*'операционные расходы 2 этап'!$T$14</f>
        <v>0</v>
      </c>
      <c r="CO35" s="35">
        <f>-CO$23*'операционные расходы 2 этап'!$T$14</f>
        <v>0</v>
      </c>
    </row>
    <row r="36" spans="1:93" ht="12.75" customHeight="1" outlineLevel="2">
      <c r="A36" s="35"/>
      <c r="B36" s="63" t="s">
        <v>137</v>
      </c>
      <c r="C36" s="74">
        <f t="shared" si="32"/>
        <v>0</v>
      </c>
      <c r="D36" s="60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>
        <f>-W$23*'операционные расходы 2 этап'!$T$15</f>
        <v>0</v>
      </c>
      <c r="X36" s="35">
        <f>-X$23*'операционные расходы 2 этап'!$T$15</f>
        <v>0</v>
      </c>
      <c r="Y36" s="35">
        <f>-Y$23*'операционные расходы 2 этап'!$T$15</f>
        <v>0</v>
      </c>
      <c r="Z36" s="35">
        <f>-Z$23*'операционные расходы 2 этап'!$T$15</f>
        <v>0</v>
      </c>
      <c r="AA36" s="35">
        <f>-AA$23*'операционные расходы 2 этап'!$T$15</f>
        <v>0</v>
      </c>
      <c r="AB36" s="35">
        <f>-AB$23*'операционные расходы 2 этап'!$T$15</f>
        <v>0</v>
      </c>
      <c r="AC36" s="35">
        <f>-AC$23*'операционные расходы 2 этап'!$T$15</f>
        <v>0</v>
      </c>
      <c r="AD36" s="35">
        <f>-AD$23*'операционные расходы 2 этап'!$T$15</f>
        <v>0</v>
      </c>
      <c r="AE36" s="35">
        <f>-AE$23*'операционные расходы 2 этап'!$T$15</f>
        <v>0</v>
      </c>
      <c r="AF36" s="35">
        <f>-AF$23*'операционные расходы 2 этап'!$T$15</f>
        <v>0</v>
      </c>
      <c r="AG36" s="35">
        <f>-AG$23*'операционные расходы 2 этап'!$T$15</f>
        <v>0</v>
      </c>
      <c r="AH36" s="35">
        <f>-AH$23*'операционные расходы 2 этап'!$T$15</f>
        <v>0</v>
      </c>
      <c r="AI36" s="35">
        <f>-AI$23*'операционные расходы 2 этап'!$T$15</f>
        <v>0</v>
      </c>
      <c r="AJ36" s="35">
        <f>-AJ$23*'операционные расходы 2 этап'!$T$15</f>
        <v>0</v>
      </c>
      <c r="AK36" s="35">
        <f>-AK$23*'операционные расходы 2 этап'!$T$15</f>
        <v>0</v>
      </c>
      <c r="AL36" s="35">
        <f>-AL$23*'операционные расходы 2 этап'!$T$15</f>
        <v>0</v>
      </c>
      <c r="AM36" s="35">
        <f>-AM$23*'операционные расходы 2 этап'!$T$15</f>
        <v>0</v>
      </c>
      <c r="AN36" s="35">
        <f>-AN$23*'операционные расходы 2 этап'!$T$15</f>
        <v>0</v>
      </c>
      <c r="AO36" s="35">
        <f>-AO$23*'операционные расходы 2 этап'!$T$15</f>
        <v>0</v>
      </c>
      <c r="AP36" s="35">
        <f>-AP$23*'операционные расходы 2 этап'!$T$15</f>
        <v>0</v>
      </c>
      <c r="AQ36" s="35">
        <f>-AQ$23*'операционные расходы 2 этап'!$T$15</f>
        <v>0</v>
      </c>
      <c r="AR36" s="35">
        <f>-AR$23*'операционные расходы 2 этап'!$T$15</f>
        <v>0</v>
      </c>
      <c r="AS36" s="35">
        <f>-AS$23*'операционные расходы 2 этап'!$T$15</f>
        <v>0</v>
      </c>
      <c r="AT36" s="35">
        <f>-AT$23*'операционные расходы 2 этап'!$T$15</f>
        <v>0</v>
      </c>
      <c r="AU36" s="35">
        <f>-AU$23*'операционные расходы 2 этап'!$T$15</f>
        <v>0</v>
      </c>
      <c r="AV36" s="35">
        <f>-AV$23*'операционные расходы 2 этап'!$T$15</f>
        <v>0</v>
      </c>
      <c r="AW36" s="35">
        <f>-AW$23*'операционные расходы 2 этап'!$T$15</f>
        <v>0</v>
      </c>
      <c r="AX36" s="35">
        <f>-AX$23*'операционные расходы 2 этап'!$T$15</f>
        <v>0</v>
      </c>
      <c r="AY36" s="35">
        <f>-AY$23*'операционные расходы 2 этап'!$T$15</f>
        <v>0</v>
      </c>
      <c r="AZ36" s="35">
        <f>-AZ$23*'операционные расходы 2 этап'!$T$15</f>
        <v>0</v>
      </c>
      <c r="BA36" s="35">
        <f>-BA$23*'операционные расходы 2 этап'!$T$15</f>
        <v>0</v>
      </c>
      <c r="BB36" s="35">
        <f>-BB$23*'операционные расходы 2 этап'!$T$15</f>
        <v>0</v>
      </c>
      <c r="BC36" s="35">
        <f>-BC$23*'операционные расходы 2 этап'!$T$15</f>
        <v>0</v>
      </c>
      <c r="BD36" s="35">
        <f>-BD$23*'операционные расходы 2 этап'!$T$15</f>
        <v>0</v>
      </c>
      <c r="BE36" s="35">
        <f>-BE$23*'операционные расходы 2 этап'!$T$15</f>
        <v>0</v>
      </c>
      <c r="BF36" s="35">
        <f>-BF$23*'операционные расходы 2 этап'!$T$15</f>
        <v>0</v>
      </c>
      <c r="BG36" s="35">
        <f>-BG$23*'операционные расходы 2 этап'!$T$15</f>
        <v>0</v>
      </c>
      <c r="BH36" s="35">
        <f>-BH$23*'операционные расходы 2 этап'!$T$15</f>
        <v>0</v>
      </c>
      <c r="BI36" s="35">
        <f>-BI$23*'операционные расходы 2 этап'!$T$15</f>
        <v>0</v>
      </c>
      <c r="BJ36" s="35">
        <f>-BJ$23*'операционные расходы 2 этап'!$T$15</f>
        <v>0</v>
      </c>
      <c r="BK36" s="35">
        <f>-BK$23*'операционные расходы 2 этап'!$T$15</f>
        <v>0</v>
      </c>
      <c r="BL36" s="35">
        <f>-BL$23*'операционные расходы 2 этап'!$T$15</f>
        <v>0</v>
      </c>
      <c r="BM36" s="35">
        <f>-BM$23*'операционные расходы 2 этап'!$T$15</f>
        <v>0</v>
      </c>
      <c r="BN36" s="35">
        <f>-BN$23*'операционные расходы 2 этап'!$T$15</f>
        <v>0</v>
      </c>
      <c r="BO36" s="35">
        <f>-BO$23*'операционные расходы 2 этап'!$T$15</f>
        <v>0</v>
      </c>
      <c r="BP36" s="35">
        <f>-BP$23*'операционные расходы 2 этап'!$T$15</f>
        <v>0</v>
      </c>
      <c r="BQ36" s="35">
        <f>-BQ$23*'операционные расходы 2 этап'!$T$15</f>
        <v>0</v>
      </c>
      <c r="BR36" s="35">
        <f>-BR$23*'операционные расходы 2 этап'!$T$15</f>
        <v>0</v>
      </c>
      <c r="BS36" s="35">
        <f>-BS$23*'операционные расходы 2 этап'!$T$15</f>
        <v>0</v>
      </c>
      <c r="BT36" s="35">
        <f>-BT$23*'операционные расходы 2 этап'!$T$15</f>
        <v>0</v>
      </c>
      <c r="BU36" s="35">
        <f>-BU$23*'операционные расходы 2 этап'!$T$15</f>
        <v>0</v>
      </c>
      <c r="BV36" s="35">
        <f>-BV$23*'операционные расходы 2 этап'!$T$15</f>
        <v>0</v>
      </c>
      <c r="BW36" s="35">
        <f>-BW$23*'операционные расходы 2 этап'!$T$15</f>
        <v>0</v>
      </c>
      <c r="BX36" s="35">
        <f>-BX$23*'операционные расходы 2 этап'!$T$15</f>
        <v>0</v>
      </c>
      <c r="BY36" s="35">
        <f>-BY$23*'операционные расходы 2 этап'!$T$15</f>
        <v>0</v>
      </c>
      <c r="BZ36" s="35">
        <f>-BZ$23*'операционные расходы 2 этап'!$T$15</f>
        <v>0</v>
      </c>
      <c r="CA36" s="35">
        <f>-CA$23*'операционные расходы 2 этап'!$T$15</f>
        <v>0</v>
      </c>
      <c r="CB36" s="35">
        <f>-CB$23*'операционные расходы 2 этап'!$T$15</f>
        <v>0</v>
      </c>
      <c r="CC36" s="35">
        <f>-CC$23*'операционные расходы 2 этап'!$T$15</f>
        <v>0</v>
      </c>
      <c r="CD36" s="35">
        <f>-CD$23*'операционные расходы 2 этап'!$T$15</f>
        <v>0</v>
      </c>
      <c r="CE36" s="35">
        <f>-CE$23*'операционные расходы 2 этап'!$T$15</f>
        <v>0</v>
      </c>
      <c r="CF36" s="35">
        <f>-CF$23*'операционные расходы 2 этап'!$T$15</f>
        <v>0</v>
      </c>
      <c r="CG36" s="35">
        <f>-CG$23*'операционные расходы 2 этап'!$T$15</f>
        <v>0</v>
      </c>
      <c r="CH36" s="35">
        <f>-CH$23*'операционные расходы 2 этап'!$T$15</f>
        <v>0</v>
      </c>
      <c r="CI36" s="35">
        <f>-CI$23*'операционные расходы 2 этап'!$T$15</f>
        <v>0</v>
      </c>
      <c r="CJ36" s="35">
        <f>-CJ$23*'операционные расходы 2 этап'!$T$15</f>
        <v>0</v>
      </c>
      <c r="CK36" s="35">
        <f>-CK$23*'операционные расходы 2 этап'!$T$15</f>
        <v>0</v>
      </c>
      <c r="CL36" s="35">
        <f>-CL$23*'операционные расходы 2 этап'!$T$15</f>
        <v>0</v>
      </c>
      <c r="CM36" s="35">
        <f>-CM$23*'операционные расходы 2 этап'!$T$15</f>
        <v>0</v>
      </c>
      <c r="CN36" s="35">
        <f>-CN$23*'операционные расходы 2 этап'!$T$15</f>
        <v>0</v>
      </c>
      <c r="CO36" s="35">
        <f>-CO$23*'операционные расходы 2 этап'!$T$15</f>
        <v>0</v>
      </c>
    </row>
    <row r="37" spans="1:93" ht="12.75" customHeight="1" outlineLevel="2">
      <c r="A37" s="35"/>
      <c r="B37" s="63" t="s">
        <v>138</v>
      </c>
      <c r="C37" s="74">
        <f t="shared" si="32"/>
        <v>0</v>
      </c>
      <c r="D37" s="60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</row>
    <row r="38" spans="1:93" ht="12.75" customHeight="1" outlineLevel="2">
      <c r="A38" s="35"/>
      <c r="B38" s="63" t="s">
        <v>139</v>
      </c>
      <c r="C38" s="74">
        <f t="shared" si="32"/>
        <v>-62062.039418104701</v>
      </c>
      <c r="D38" s="60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>
        <f>-W$27*'операционные расходы 2 этап'!$P12</f>
        <v>-331.78165324062502</v>
      </c>
      <c r="X38" s="35">
        <f>-X$27*'операционные расходы 2 этап'!$P12</f>
        <v>-448.23643650843752</v>
      </c>
      <c r="Y38" s="35">
        <f>-Y$27*'операционные расходы 2 этап'!$P12</f>
        <v>-1281.6328732221873</v>
      </c>
      <c r="Z38" s="35">
        <f>-Z$27*'операционные расходы 2 этап'!$P12</f>
        <v>-241.21489323924999</v>
      </c>
      <c r="AA38" s="35">
        <f>-AA$27*'операционные расходы 2 этап'!$P12</f>
        <v>-354.54514704874998</v>
      </c>
      <c r="AB38" s="35">
        <f>-AB$27*'операционные расходы 2 этап'!$P12</f>
        <v>-478.35618432175005</v>
      </c>
      <c r="AC38" s="35">
        <f>-AC$27*'операционные расходы 2 этап'!$P12</f>
        <v>-1370.2380173317499</v>
      </c>
      <c r="AD38" s="35">
        <f>-AD$27*'операционные расходы 2 этап'!$P12</f>
        <v>-252.6191041318437</v>
      </c>
      <c r="AE38" s="35">
        <f>-AE$27*'операционные расходы 2 этап'!$P12</f>
        <v>-371.12401523312496</v>
      </c>
      <c r="AF38" s="35">
        <f>-AF$27*'операционные расходы 2 этап'!$P12</f>
        <v>-500.63474471924383</v>
      </c>
      <c r="AG38" s="35">
        <f>-AG$27*'операционные расходы 2 этап'!$P12</f>
        <v>-1434.5752915079688</v>
      </c>
      <c r="AH38" s="35">
        <f>-AH$27*'операционные расходы 2 этап'!$P12</f>
        <v>-265.25005933843596</v>
      </c>
      <c r="AI38" s="35">
        <f>-AI$27*'операционные расходы 2 этап'!$P12</f>
        <v>-389.68021599478124</v>
      </c>
      <c r="AJ38" s="35">
        <f>-AJ$27*'операционные расходы 2 этап'!$P12</f>
        <v>-525.666481955206</v>
      </c>
      <c r="AK38" s="35">
        <f>-AK$27*'операционные расходы 2 этап'!$P12</f>
        <v>-1506.3040560833674</v>
      </c>
      <c r="AL38" s="35">
        <f>-AL$27*'операционные расходы 2 этап'!$P12</f>
        <v>-278.51256230535773</v>
      </c>
      <c r="AM38" s="35">
        <f>-AM$27*'операционные расходы 2 этап'!$P12</f>
        <v>-409.16422679452035</v>
      </c>
      <c r="AN38" s="35">
        <f>-AN$27*'операционные расходы 2 этап'!$P12</f>
        <v>-551.94980605296632</v>
      </c>
      <c r="AO38" s="35">
        <f>-AO$27*'операционные расходы 2 этап'!$P12</f>
        <v>-1581.6192588875356</v>
      </c>
      <c r="AP38" s="35">
        <f>-AP$27*'операционные расходы 2 этап'!$P12</f>
        <v>-292.43819042062563</v>
      </c>
      <c r="AQ38" s="35">
        <f>-AQ$27*'операционные расходы 2 этап'!$P12</f>
        <v>-429.62243813424641</v>
      </c>
      <c r="AR38" s="35">
        <f>-AR$27*'операционные расходы 2 этап'!$P12</f>
        <v>-579.54729635561466</v>
      </c>
      <c r="AS38" s="35">
        <f>-AS$27*'операционные расходы 2 этап'!$P12</f>
        <v>-1660.7002218319126</v>
      </c>
      <c r="AT38" s="35">
        <f>-AT$27*'операционные расходы 2 этап'!$P12</f>
        <v>-307.06009994165703</v>
      </c>
      <c r="AU38" s="35">
        <f>-AU$27*'операционные расходы 2 этап'!$P12</f>
        <v>-451.10356004095871</v>
      </c>
      <c r="AV38" s="35">
        <f>-AV$27*'операционные расходы 2 этап'!$P12</f>
        <v>-608.52466117339543</v>
      </c>
      <c r="AW38" s="35">
        <f>-AW$27*'операционные расходы 2 этап'!$P12</f>
        <v>-1743.7352329235084</v>
      </c>
      <c r="AX38" s="35">
        <f>-AX$27*'операционные расходы 2 этап'!$P12</f>
        <v>-322.41310493873988</v>
      </c>
      <c r="AY38" s="35">
        <f>-AY$27*'операционные расходы 2 этап'!$P12</f>
        <v>-473.65873804300662</v>
      </c>
      <c r="AZ38" s="35">
        <f>-AZ$27*'операционные расходы 2 этап'!$P12</f>
        <v>-638.95089423206514</v>
      </c>
      <c r="BA38" s="35">
        <f>-BA$27*'операционные расходы 2 этап'!$P12</f>
        <v>-1830.9219945696836</v>
      </c>
      <c r="BB38" s="35">
        <f>-BB$27*'операционные расходы 2 этап'!$P12</f>
        <v>-338.53376018567684</v>
      </c>
      <c r="BC38" s="35">
        <f>-BC$27*'операционные расходы 2 этап'!$P12</f>
        <v>-497.34167494515697</v>
      </c>
      <c r="BD38" s="35">
        <f>-BD$27*'операционные расходы 2 этап'!$P12</f>
        <v>-670.89843894366845</v>
      </c>
      <c r="BE38" s="35">
        <f>-BE$27*'операционные расходы 2 этап'!$P12</f>
        <v>-1922.4680942981677</v>
      </c>
      <c r="BF38" s="35">
        <f>-BF$27*'операционные расходы 2 этап'!$P12</f>
        <v>-355.46044819496069</v>
      </c>
      <c r="BG38" s="35">
        <f>-BG$27*'операционные расходы 2 этап'!$P12</f>
        <v>-522.20875869241479</v>
      </c>
      <c r="BH38" s="35">
        <f>-BH$27*'операционные расходы 2 этап'!$P12</f>
        <v>-704.44336089085186</v>
      </c>
      <c r="BI38" s="35">
        <f>-BI$27*'операционные расходы 2 этап'!$P12</f>
        <v>-2018.5914990130766</v>
      </c>
      <c r="BJ38" s="35">
        <f>-BJ$27*'операционные расходы 2 этап'!$P12</f>
        <v>-373.23347060470871</v>
      </c>
      <c r="BK38" s="35">
        <f>-BK$27*'операционные расходы 2 этап'!$P12</f>
        <v>-548.31919662703558</v>
      </c>
      <c r="BL38" s="35">
        <f>-BL$27*'операционные расходы 2 этап'!$P12</f>
        <v>-739.66552893539449</v>
      </c>
      <c r="BM38" s="35">
        <f>-BM$27*'операционные расходы 2 этап'!$P12</f>
        <v>-2119.5210739637305</v>
      </c>
      <c r="BN38" s="35">
        <f>-BN$27*'операционные расходы 2 этап'!$P12</f>
        <v>-391.89514413494419</v>
      </c>
      <c r="BO38" s="35">
        <f>-BO$27*'операционные расходы 2 этап'!$P12</f>
        <v>-575.73515645838745</v>
      </c>
      <c r="BP38" s="35">
        <f>-BP$27*'операционные расходы 2 этап'!$P12</f>
        <v>-776.64880538216426</v>
      </c>
      <c r="BQ38" s="35">
        <f>-BQ$27*'операционные расходы 2 этап'!$P12</f>
        <v>-2225.4971276619171</v>
      </c>
      <c r="BR38" s="35">
        <f>-BR$27*'операционные расходы 2 этап'!$P12</f>
        <v>-411.48990134169145</v>
      </c>
      <c r="BS38" s="35">
        <f>-BS$27*'операционные расходы 2 этап'!$P12</f>
        <v>-604.52191428130686</v>
      </c>
      <c r="BT38" s="35">
        <f>-BT$27*'операционные расходы 2 этап'!$P12</f>
        <v>-815.4812456512725</v>
      </c>
      <c r="BU38" s="35">
        <f>-BU$27*'операционные расходы 2 этап'!$P12</f>
        <v>-2336.7719840450127</v>
      </c>
      <c r="BV38" s="35">
        <f>-BV$27*'операционные расходы 2 этап'!$P12</f>
        <v>-432.06439640877602</v>
      </c>
      <c r="BW38" s="35">
        <f>-BW$27*'операционные расходы 2 этап'!$P12</f>
        <v>-634.74800999537217</v>
      </c>
      <c r="BX38" s="35">
        <f>-BX$27*'операционные расходы 2 этап'!$P12</f>
        <v>-856.25530793383609</v>
      </c>
      <c r="BY38" s="35">
        <f>-BY$27*'операционные расходы 2 этап'!$P12</f>
        <v>-2453.610583247264</v>
      </c>
      <c r="BZ38" s="35">
        <f>-BZ$27*'операционные расходы 2 этап'!$P12</f>
        <v>-453.66761622921484</v>
      </c>
      <c r="CA38" s="35">
        <f>-CA$27*'операционные расходы 2 этап'!$P12</f>
        <v>-666.48541049514085</v>
      </c>
      <c r="CB38" s="35">
        <f>-CB$27*'операционные расходы 2 этап'!$P12</f>
        <v>-899.06807333052802</v>
      </c>
      <c r="CC38" s="35">
        <f>-CC$27*'операционные расходы 2 этап'!$P12</f>
        <v>-2576.2911124096272</v>
      </c>
      <c r="CD38" s="35">
        <f>-CD$27*'операционные расходы 2 этап'!$P12</f>
        <v>-476.35099704067562</v>
      </c>
      <c r="CE38" s="35">
        <f>-CE$27*'операционные расходы 2 этап'!$P12</f>
        <v>-699.80968101989788</v>
      </c>
      <c r="CF38" s="35">
        <f>-CF$27*'операционные расходы 2 этап'!$P12</f>
        <v>-944.02147699705438</v>
      </c>
      <c r="CG38" s="35">
        <f>-CG$27*'операционные расходы 2 этап'!$P12</f>
        <v>-2705.1056680301081</v>
      </c>
      <c r="CH38" s="35">
        <f>-CH$27*'операционные расходы 2 этап'!$P12</f>
        <v>-500.1685468927094</v>
      </c>
      <c r="CI38" s="35">
        <f>-CI$27*'операционные расходы 2 этап'!$P12</f>
        <v>-734.80016507089283</v>
      </c>
      <c r="CJ38" s="35">
        <f>-CJ$27*'операционные расходы 2 этап'!$P12</f>
        <v>-991.22255084690721</v>
      </c>
      <c r="CK38" s="35">
        <f>-CK$27*'операционные расходы 2 этап'!$P12</f>
        <v>-2840.3609514316145</v>
      </c>
      <c r="CL38" s="35">
        <f>-CL$27*'операционные расходы 2 этап'!$P12</f>
        <v>-525.17697423734489</v>
      </c>
      <c r="CM38" s="35">
        <f>-CM$27*'операционные расходы 2 этап'!$P12</f>
        <v>-771.54017332443755</v>
      </c>
      <c r="CN38" s="35">
        <f>-CN$27*'операционные расходы 2 этап'!$P12</f>
        <v>-1040.7836783892526</v>
      </c>
      <c r="CO38" s="35">
        <f>-CO$27*'операционные расходы 2 этап'!$P12</f>
        <v>-2982.3789990031946</v>
      </c>
    </row>
    <row r="39" spans="1:93" ht="12.75" customHeight="1" outlineLevel="2">
      <c r="A39" s="35"/>
      <c r="B39" s="63" t="s">
        <v>140</v>
      </c>
      <c r="C39" s="74">
        <f t="shared" si="32"/>
        <v>-70928.045049262539</v>
      </c>
      <c r="D39" s="60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>
        <f>-W$27*'операционные расходы 2 этап'!$P13</f>
        <v>-379.179032275</v>
      </c>
      <c r="X39" s="35">
        <f>-X$27*'операционные расходы 2 этап'!$P13</f>
        <v>-512.27021315249999</v>
      </c>
      <c r="Y39" s="35">
        <f>-Y$27*'операционные расходы 2 этап'!$P13</f>
        <v>-1464.7232836824999</v>
      </c>
      <c r="Z39" s="35">
        <f>-Z$27*'операционные расходы 2 этап'!$P13</f>
        <v>-275.67416370199999</v>
      </c>
      <c r="AA39" s="35">
        <f>-AA$27*'операционные расходы 2 этап'!$P13</f>
        <v>-405.19445377</v>
      </c>
      <c r="AB39" s="35">
        <f>-AB$27*'операционные расходы 2 этап'!$P13</f>
        <v>-546.69278208200001</v>
      </c>
      <c r="AC39" s="35">
        <f>-AC$27*'операционные расходы 2 этап'!$P13</f>
        <v>-1565.9863055220001</v>
      </c>
      <c r="AD39" s="35">
        <f>-AD$27*'операционные расходы 2 этап'!$P13</f>
        <v>-288.70754757924993</v>
      </c>
      <c r="AE39" s="35">
        <f>-AE$27*'операционные расходы 2 этап'!$P13</f>
        <v>-424.14173169499998</v>
      </c>
      <c r="AF39" s="35">
        <f>-AF$27*'операционные расходы 2 этап'!$P13</f>
        <v>-572.15399396485009</v>
      </c>
      <c r="AG39" s="35">
        <f>-AG$27*'операционные расходы 2 этап'!$P13</f>
        <v>-1639.5146188662502</v>
      </c>
      <c r="AH39" s="35">
        <f>-AH$27*'операционные расходы 2 этап'!$P13</f>
        <v>-303.14292495821252</v>
      </c>
      <c r="AI39" s="35">
        <f>-AI$27*'операционные расходы 2 этап'!$P13</f>
        <v>-445.34881827974999</v>
      </c>
      <c r="AJ39" s="35">
        <f>-AJ$27*'операционные расходы 2 этап'!$P13</f>
        <v>-600.76169366309261</v>
      </c>
      <c r="AK39" s="35">
        <f>-AK$27*'операционные расходы 2 этап'!$P13</f>
        <v>-1721.4903498095628</v>
      </c>
      <c r="AL39" s="35">
        <f>-AL$27*'операционные расходы 2 этап'!$P13</f>
        <v>-318.30007120612311</v>
      </c>
      <c r="AM39" s="35">
        <f>-AM$27*'операционные расходы 2 этап'!$P13</f>
        <v>-467.61625919373756</v>
      </c>
      <c r="AN39" s="35">
        <f>-AN$27*'операционные расходы 2 этап'!$P13</f>
        <v>-630.79977834624731</v>
      </c>
      <c r="AO39" s="35">
        <f>-AO$27*'операционные расходы 2 этап'!$P13</f>
        <v>-1807.5648673000405</v>
      </c>
      <c r="AP39" s="35">
        <f>-AP$27*'операционные расходы 2 этап'!$P13</f>
        <v>-334.21507476642932</v>
      </c>
      <c r="AQ39" s="35">
        <f>-AQ$27*'операционные расходы 2 этап'!$P13</f>
        <v>-490.99707215342443</v>
      </c>
      <c r="AR39" s="35">
        <f>-AR$27*'операционные расходы 2 этап'!$P13</f>
        <v>-662.33976726355968</v>
      </c>
      <c r="AS39" s="35">
        <f>-AS$27*'операционные расходы 2 этап'!$P13</f>
        <v>-1897.9431106650429</v>
      </c>
      <c r="AT39" s="35">
        <f>-AT$27*'операционные расходы 2 этап'!$P13</f>
        <v>-350.92582850475088</v>
      </c>
      <c r="AU39" s="35">
        <f>-AU$27*'операционные расходы 2 этап'!$P13</f>
        <v>-515.54692576109562</v>
      </c>
      <c r="AV39" s="35">
        <f>-AV$27*'операционные расходы 2 этап'!$P13</f>
        <v>-695.45675562673762</v>
      </c>
      <c r="AW39" s="35">
        <f>-AW$27*'операционные расходы 2 этап'!$P13</f>
        <v>-1992.8402661982952</v>
      </c>
      <c r="AX39" s="35">
        <f>-AX$27*'операционные расходы 2 этап'!$P13</f>
        <v>-368.47211992998842</v>
      </c>
      <c r="AY39" s="35">
        <f>-AY$27*'операционные расходы 2 этап'!$P13</f>
        <v>-541.32427204915041</v>
      </c>
      <c r="AZ39" s="35">
        <f>-AZ$27*'операционные расходы 2 этап'!$P13</f>
        <v>-730.22959340807449</v>
      </c>
      <c r="BA39" s="35">
        <f>-BA$27*'операционные расходы 2 этап'!$P13</f>
        <v>-2092.48227950821</v>
      </c>
      <c r="BB39" s="35">
        <f>-BB$27*'операционные расходы 2 этап'!$P13</f>
        <v>-386.89572592648784</v>
      </c>
      <c r="BC39" s="35">
        <f>-BC$27*'операционные расходы 2 этап'!$P13</f>
        <v>-568.39048565160795</v>
      </c>
      <c r="BD39" s="35">
        <f>-BD$27*'операционные расходы 2 этап'!$P13</f>
        <v>-766.74107307847828</v>
      </c>
      <c r="BE39" s="35">
        <f>-BE$27*'операционные расходы 2 этап'!$P13</f>
        <v>-2197.1063934836202</v>
      </c>
      <c r="BF39" s="35">
        <f>-BF$27*'операционные расходы 2 этап'!$P13</f>
        <v>-406.24051222281224</v>
      </c>
      <c r="BG39" s="35">
        <f>-BG$27*'операционные расходы 2 этап'!$P13</f>
        <v>-596.81000993418832</v>
      </c>
      <c r="BH39" s="35">
        <f>-BH$27*'операционные расходы 2 этап'!$P13</f>
        <v>-805.0781267324021</v>
      </c>
      <c r="BI39" s="35">
        <f>-BI$27*'операционные расходы 2 этап'!$P13</f>
        <v>-2306.961713157802</v>
      </c>
      <c r="BJ39" s="35">
        <f>-BJ$27*'операционные расходы 2 этап'!$P13</f>
        <v>-426.55253783395284</v>
      </c>
      <c r="BK39" s="35">
        <f>-BK$27*'операционные расходы 2 этап'!$P13</f>
        <v>-626.65051043089784</v>
      </c>
      <c r="BL39" s="35">
        <f>-BL$27*'операционные расходы 2 этап'!$P13</f>
        <v>-845.33203306902226</v>
      </c>
      <c r="BM39" s="35">
        <f>-BM$27*'операционные расходы 2 этап'!$P13</f>
        <v>-2422.3097988156919</v>
      </c>
      <c r="BN39" s="35">
        <f>-BN$27*'операционные расходы 2 этап'!$P13</f>
        <v>-447.8801647256505</v>
      </c>
      <c r="BO39" s="35">
        <f>-BO$27*'операционные расходы 2 этап'!$P13</f>
        <v>-657.98303595244283</v>
      </c>
      <c r="BP39" s="35">
        <f>-BP$27*'операционные расходы 2 этап'!$P13</f>
        <v>-887.59863472247343</v>
      </c>
      <c r="BQ39" s="35">
        <f>-BQ$27*'операционные расходы 2 этап'!$P13</f>
        <v>-2543.4252887564767</v>
      </c>
      <c r="BR39" s="35">
        <f>-BR$27*'операционные расходы 2 этап'!$P13</f>
        <v>-470.27417296193306</v>
      </c>
      <c r="BS39" s="35">
        <f>-BS$27*'операционные расходы 2 этап'!$P13</f>
        <v>-690.88218775006499</v>
      </c>
      <c r="BT39" s="35">
        <f>-BT$27*'операционные расходы 2 этап'!$P13</f>
        <v>-931.97856645859713</v>
      </c>
      <c r="BU39" s="35">
        <f>-BU$27*'операционные расходы 2 этап'!$P13</f>
        <v>-2670.5965531943002</v>
      </c>
      <c r="BV39" s="35">
        <f>-BV$27*'операционные расходы 2 этап'!$P13</f>
        <v>-493.78788161002973</v>
      </c>
      <c r="BW39" s="35">
        <f>-BW$27*'операционные расходы 2 этап'!$P13</f>
        <v>-725.42629713756821</v>
      </c>
      <c r="BX39" s="35">
        <f>-BX$27*'операционные расходы 2 этап'!$P13</f>
        <v>-978.57749478152698</v>
      </c>
      <c r="BY39" s="35">
        <f>-BY$27*'операционные расходы 2 этап'!$P13</f>
        <v>-2804.1263808540161</v>
      </c>
      <c r="BZ39" s="35">
        <f>-BZ$27*'операционные расходы 2 этап'!$P13</f>
        <v>-518.4772756905312</v>
      </c>
      <c r="CA39" s="35">
        <f>-CA$27*'операционные расходы 2 этап'!$P13</f>
        <v>-761.69761199444679</v>
      </c>
      <c r="CB39" s="35">
        <f>-CB$27*'операционные расходы 2 этап'!$P13</f>
        <v>-1027.5063695206034</v>
      </c>
      <c r="CC39" s="35">
        <f>-CC$27*'операционные расходы 2 этап'!$P13</f>
        <v>-2944.3326998967163</v>
      </c>
      <c r="CD39" s="35">
        <f>-CD$27*'операционные расходы 2 этап'!$P13</f>
        <v>-544.40113947505779</v>
      </c>
      <c r="CE39" s="35">
        <f>-CE$27*'операционные расходы 2 этап'!$P13</f>
        <v>-799.78249259416896</v>
      </c>
      <c r="CF39" s="35">
        <f>-CF$27*'операционные расходы 2 этап'!$P13</f>
        <v>-1078.8816879966337</v>
      </c>
      <c r="CG39" s="35">
        <f>-CG$27*'операционные расходы 2 этап'!$P13</f>
        <v>-3091.549334891552</v>
      </c>
      <c r="CH39" s="35">
        <f>-CH$27*'операционные расходы 2 этап'!$P13</f>
        <v>-571.62119644881079</v>
      </c>
      <c r="CI39" s="35">
        <f>-CI$27*'операционные расходы 2 этап'!$P13</f>
        <v>-839.77161722387746</v>
      </c>
      <c r="CJ39" s="35">
        <f>-CJ$27*'операционные расходы 2 этап'!$P13</f>
        <v>-1132.8257723964653</v>
      </c>
      <c r="CK39" s="35">
        <f>-CK$27*'операционные расходы 2 этап'!$P13</f>
        <v>-3246.1268016361305</v>
      </c>
      <c r="CL39" s="35">
        <f>-CL$27*'операционные расходы 2 этап'!$P13</f>
        <v>-600.20225627125126</v>
      </c>
      <c r="CM39" s="35">
        <f>-CM$27*'операционные расходы 2 этап'!$P13</f>
        <v>-881.76019808507158</v>
      </c>
      <c r="CN39" s="35">
        <f>-CN$27*'операционные расходы 2 этап'!$P13</f>
        <v>-1189.4670610162887</v>
      </c>
      <c r="CO39" s="35">
        <f>-CO$27*'операционные расходы 2 этап'!$P13</f>
        <v>-3408.4331417179369</v>
      </c>
    </row>
    <row r="40" spans="1:93" ht="12.75" customHeight="1" outlineLevel="2">
      <c r="A40" s="35"/>
      <c r="B40" s="63" t="s">
        <v>141</v>
      </c>
      <c r="C40" s="74">
        <f t="shared" si="32"/>
        <v>-44330.028155789078</v>
      </c>
      <c r="D40" s="60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>
        <f>-W$27*'операционные расходы 2 этап'!$P14</f>
        <v>-236.98689517187501</v>
      </c>
      <c r="X40" s="35">
        <f>-X$27*'операционные расходы 2 этап'!$P14</f>
        <v>-320.16888322031252</v>
      </c>
      <c r="Y40" s="35">
        <f>-Y$27*'операционные расходы 2 этап'!$P14</f>
        <v>-915.45205230156239</v>
      </c>
      <c r="Z40" s="35">
        <f>-Z$27*'операционные расходы 2 этап'!$P14</f>
        <v>-172.29635231374999</v>
      </c>
      <c r="AA40" s="35">
        <f>-AA$27*'операционные расходы 2 этап'!$P14</f>
        <v>-253.24653360624998</v>
      </c>
      <c r="AB40" s="35">
        <f>-AB$27*'операционные расходы 2 этап'!$P14</f>
        <v>-341.68298880125002</v>
      </c>
      <c r="AC40" s="35">
        <f>-AC$27*'операционные расходы 2 этап'!$P14</f>
        <v>-978.74144095124996</v>
      </c>
      <c r="AD40" s="35">
        <f>-AD$27*'операционные расходы 2 этап'!$P14</f>
        <v>-180.44221723703123</v>
      </c>
      <c r="AE40" s="35">
        <f>-AE$27*'операционные расходы 2 этап'!$P14</f>
        <v>-265.088582309375</v>
      </c>
      <c r="AF40" s="35">
        <f>-AF$27*'операционные расходы 2 этап'!$P14</f>
        <v>-357.5962462280313</v>
      </c>
      <c r="AG40" s="35">
        <f>-AG$27*'операционные расходы 2 этап'!$P14</f>
        <v>-1024.6966367914063</v>
      </c>
      <c r="AH40" s="35">
        <f>-AH$27*'операционные расходы 2 этап'!$P14</f>
        <v>-189.46432809888285</v>
      </c>
      <c r="AI40" s="35">
        <f>-AI$27*'операционные расходы 2 этап'!$P14</f>
        <v>-278.34301142484378</v>
      </c>
      <c r="AJ40" s="35">
        <f>-AJ$27*'операционные расходы 2 этап'!$P14</f>
        <v>-375.47605853943287</v>
      </c>
      <c r="AK40" s="35">
        <f>-AK$27*'операционные расходы 2 этап'!$P14</f>
        <v>-1075.9314686309767</v>
      </c>
      <c r="AL40" s="35">
        <f>-AL$27*'операционные расходы 2 этап'!$P14</f>
        <v>-198.93754450382696</v>
      </c>
      <c r="AM40" s="35">
        <f>-AM$27*'операционные расходы 2 этап'!$P14</f>
        <v>-292.26016199608597</v>
      </c>
      <c r="AN40" s="35">
        <f>-AN$27*'операционные расходы 2 этап'!$P14</f>
        <v>-394.24986146640458</v>
      </c>
      <c r="AO40" s="35">
        <f>-AO$27*'операционные расходы 2 этап'!$P14</f>
        <v>-1129.7280420625254</v>
      </c>
      <c r="AP40" s="35">
        <f>-AP$27*'операционные расходы 2 этап'!$P14</f>
        <v>-208.88442172901833</v>
      </c>
      <c r="AQ40" s="35">
        <f>-AQ$27*'операционные расходы 2 этап'!$P14</f>
        <v>-306.87317009589026</v>
      </c>
      <c r="AR40" s="35">
        <f>-AR$27*'операционные расходы 2 этап'!$P14</f>
        <v>-413.9623545397248</v>
      </c>
      <c r="AS40" s="35">
        <f>-AS$27*'операционные расходы 2 этап'!$P14</f>
        <v>-1186.2144441656519</v>
      </c>
      <c r="AT40" s="35">
        <f>-AT$27*'операционные расходы 2 этап'!$P14</f>
        <v>-219.32864281546929</v>
      </c>
      <c r="AU40" s="35">
        <f>-AU$27*'операционные расходы 2 этап'!$P14</f>
        <v>-322.21682860068478</v>
      </c>
      <c r="AV40" s="35">
        <f>-AV$27*'операционные расходы 2 этап'!$P14</f>
        <v>-434.660472266711</v>
      </c>
      <c r="AW40" s="35">
        <f>-AW$27*'операционные расходы 2 этап'!$P14</f>
        <v>-1245.5251663739346</v>
      </c>
      <c r="AX40" s="35">
        <f>-AX$27*'операционные расходы 2 этап'!$P14</f>
        <v>-230.29507495624276</v>
      </c>
      <c r="AY40" s="35">
        <f>-AY$27*'операционные расходы 2 этап'!$P14</f>
        <v>-338.32767003071905</v>
      </c>
      <c r="AZ40" s="35">
        <f>-AZ$27*'операционные расходы 2 этап'!$P14</f>
        <v>-456.39349588004654</v>
      </c>
      <c r="BA40" s="35">
        <f>-BA$27*'операционные расходы 2 этап'!$P14</f>
        <v>-1307.8014246926311</v>
      </c>
      <c r="BB40" s="35">
        <f>-BB$27*'операционные расходы 2 этап'!$P14</f>
        <v>-241.80982870405489</v>
      </c>
      <c r="BC40" s="35">
        <f>-BC$27*'операционные расходы 2 этап'!$P14</f>
        <v>-355.24405353225501</v>
      </c>
      <c r="BD40" s="35">
        <f>-BD$27*'операционные расходы 2 этап'!$P14</f>
        <v>-479.21317067404891</v>
      </c>
      <c r="BE40" s="35">
        <f>-BE$27*'операционные расходы 2 этап'!$P14</f>
        <v>-1373.1914959272626</v>
      </c>
      <c r="BF40" s="35">
        <f>-BF$27*'операционные расходы 2 этап'!$P14</f>
        <v>-253.90032013925764</v>
      </c>
      <c r="BG40" s="35">
        <f>-BG$27*'операционные расходы 2 этап'!$P14</f>
        <v>-373.00625620886774</v>
      </c>
      <c r="BH40" s="35">
        <f>-BH$27*'операционные расходы 2 этап'!$P14</f>
        <v>-503.17382920775134</v>
      </c>
      <c r="BI40" s="35">
        <f>-BI$27*'операционные расходы 2 этап'!$P14</f>
        <v>-1441.8510707236262</v>
      </c>
      <c r="BJ40" s="35">
        <f>-BJ$27*'операционные расходы 2 этап'!$P14</f>
        <v>-266.59533614622052</v>
      </c>
      <c r="BK40" s="35">
        <f>-BK$27*'операционные расходы 2 этап'!$P14</f>
        <v>-391.65656901931112</v>
      </c>
      <c r="BL40" s="35">
        <f>-BL$27*'операционные расходы 2 этап'!$P14</f>
        <v>-528.33252066813895</v>
      </c>
      <c r="BM40" s="35">
        <f>-BM$27*'операционные расходы 2 этап'!$P14</f>
        <v>-1513.9436242598074</v>
      </c>
      <c r="BN40" s="35">
        <f>-BN$27*'операционные расходы 2 этап'!$P14</f>
        <v>-279.92510295353156</v>
      </c>
      <c r="BO40" s="35">
        <f>-BO$27*'операционные расходы 2 этап'!$P14</f>
        <v>-411.23939747027674</v>
      </c>
      <c r="BP40" s="35">
        <f>-BP$27*'операционные расходы 2 этап'!$P14</f>
        <v>-554.7491467015459</v>
      </c>
      <c r="BQ40" s="35">
        <f>-BQ$27*'операционные расходы 2 этап'!$P14</f>
        <v>-1589.6408054727981</v>
      </c>
      <c r="BR40" s="35">
        <f>-BR$27*'операционные расходы 2 этап'!$P14</f>
        <v>-293.92135810120817</v>
      </c>
      <c r="BS40" s="35">
        <f>-BS$27*'операционные расходы 2 этап'!$P14</f>
        <v>-431.80136734379062</v>
      </c>
      <c r="BT40" s="35">
        <f>-BT$27*'операционные расходы 2 этап'!$P14</f>
        <v>-582.48660403662313</v>
      </c>
      <c r="BU40" s="35">
        <f>-BU$27*'операционные расходы 2 этап'!$P14</f>
        <v>-1669.1228457464376</v>
      </c>
      <c r="BV40" s="35">
        <f>-BV$27*'операционные расходы 2 этап'!$P14</f>
        <v>-308.6174260062686</v>
      </c>
      <c r="BW40" s="35">
        <f>-BW$27*'операционные расходы 2 этап'!$P14</f>
        <v>-453.39143571098015</v>
      </c>
      <c r="BX40" s="35">
        <f>-BX$27*'операционные расходы 2 этап'!$P14</f>
        <v>-611.61093423845432</v>
      </c>
      <c r="BY40" s="35">
        <f>-BY$27*'операционные расходы 2 этап'!$P14</f>
        <v>-1752.5789880337602</v>
      </c>
      <c r="BZ40" s="35">
        <f>-BZ$27*'операционные расходы 2 этап'!$P14</f>
        <v>-324.04829730658201</v>
      </c>
      <c r="CA40" s="35">
        <f>-CA$27*'операционные расходы 2 этап'!$P14</f>
        <v>-476.06100749652921</v>
      </c>
      <c r="CB40" s="35">
        <f>-CB$27*'операционные расходы 2 этап'!$P14</f>
        <v>-642.19148095037713</v>
      </c>
      <c r="CC40" s="35">
        <f>-CC$27*'операционные расходы 2 этап'!$P14</f>
        <v>-1840.2079374354478</v>
      </c>
      <c r="CD40" s="35">
        <f>-CD$27*'операционные расходы 2 этап'!$P14</f>
        <v>-340.25071217191118</v>
      </c>
      <c r="CE40" s="35">
        <f>-CE$27*'операционные расходы 2 этап'!$P14</f>
        <v>-499.86405787135561</v>
      </c>
      <c r="CF40" s="35">
        <f>-CF$27*'операционные расходы 2 этап'!$P14</f>
        <v>-674.30105499789602</v>
      </c>
      <c r="CG40" s="35">
        <f>-CG$27*'операционные расходы 2 этап'!$P14</f>
        <v>-1932.2183343072202</v>
      </c>
      <c r="CH40" s="35">
        <f>-CH$27*'операционные расходы 2 этап'!$P14</f>
        <v>-357.26324778050673</v>
      </c>
      <c r="CI40" s="35">
        <f>-CI$27*'операционные расходы 2 этап'!$P14</f>
        <v>-524.85726076492347</v>
      </c>
      <c r="CJ40" s="35">
        <f>-CJ$27*'операционные расходы 2 этап'!$P14</f>
        <v>-708.01610774779078</v>
      </c>
      <c r="CK40" s="35">
        <f>-CK$27*'операционные расходы 2 этап'!$P14</f>
        <v>-2028.8292510225817</v>
      </c>
      <c r="CL40" s="35">
        <f>-CL$27*'операционные расходы 2 этап'!$P14</f>
        <v>-375.12641016953205</v>
      </c>
      <c r="CM40" s="35">
        <f>-CM$27*'операционные расходы 2 этап'!$P14</f>
        <v>-551.10012380316971</v>
      </c>
      <c r="CN40" s="35">
        <f>-CN$27*'операционные расходы 2 этап'!$P14</f>
        <v>-743.41691313518038</v>
      </c>
      <c r="CO40" s="35">
        <f>-CO$27*'операционные расходы 2 этап'!$P14</f>
        <v>-2130.2707135737105</v>
      </c>
    </row>
    <row r="41" spans="1:93" ht="12.75" customHeight="1" outlineLevel="1">
      <c r="A41" s="35"/>
      <c r="B41" s="73" t="s">
        <v>142</v>
      </c>
      <c r="C41" s="37">
        <f>SUM(C42:C58)</f>
        <v>-3417414.7347021406</v>
      </c>
      <c r="D41" s="60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5"/>
    </row>
    <row r="42" spans="1:93" ht="12.75" customHeight="1" outlineLevel="2">
      <c r="A42" s="35"/>
      <c r="B42" s="63" t="s">
        <v>143</v>
      </c>
      <c r="C42" s="74">
        <f t="shared" ref="C42:C60" si="33">SUM(D42:CN42)</f>
        <v>-2482481.5767241889</v>
      </c>
      <c r="D42" s="60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>
        <f>-W$27*'операционные расходы 2 этап'!$P16</f>
        <v>-13271.266129625001</v>
      </c>
      <c r="X42" s="35">
        <f>-X$27*'операционные расходы 2 этап'!$P16</f>
        <v>-17929.4574603375</v>
      </c>
      <c r="Y42" s="35">
        <f>-Y$27*'операционные расходы 2 этап'!$P16</f>
        <v>-51265.314928887499</v>
      </c>
      <c r="Z42" s="35">
        <f>-Z$27*'операционные расходы 2 этап'!$P16</f>
        <v>-9648.5957295700009</v>
      </c>
      <c r="AA42" s="35">
        <f>-AA$27*'операционные расходы 2 этап'!$P16</f>
        <v>-14181.80588195</v>
      </c>
      <c r="AB42" s="35">
        <f>-AB$27*'операционные расходы 2 этап'!$P16</f>
        <v>-19134.247372870002</v>
      </c>
      <c r="AC42" s="35">
        <f>-AC$27*'операционные расходы 2 этап'!$P16</f>
        <v>-54809.520693270002</v>
      </c>
      <c r="AD42" s="35">
        <f>-AD$27*'операционные расходы 2 этап'!$P16</f>
        <v>-10104.764165273749</v>
      </c>
      <c r="AE42" s="35">
        <f>-AE$27*'операционные расходы 2 этап'!$P16</f>
        <v>-14844.960609325</v>
      </c>
      <c r="AF42" s="35">
        <f>-AF$27*'операционные расходы 2 этап'!$P16</f>
        <v>-20025.389788769757</v>
      </c>
      <c r="AG42" s="35">
        <f>-AG$27*'операционные расходы 2 этап'!$P16</f>
        <v>-57383.011660318763</v>
      </c>
      <c r="AH42" s="35">
        <f>-AH$27*'операционные расходы 2 этап'!$P16</f>
        <v>-10610.00237353744</v>
      </c>
      <c r="AI42" s="35">
        <f>-AI$27*'операционные расходы 2 этап'!$P16</f>
        <v>-15587.208639791252</v>
      </c>
      <c r="AJ42" s="35">
        <f>-AJ$27*'операционные расходы 2 этап'!$P16</f>
        <v>-21026.659278208241</v>
      </c>
      <c r="AK42" s="35">
        <f>-AK$27*'операционные расходы 2 этап'!$P16</f>
        <v>-60252.1622433347</v>
      </c>
      <c r="AL42" s="35">
        <f>-AL$27*'операционные расходы 2 этап'!$P16</f>
        <v>-11140.502492214309</v>
      </c>
      <c r="AM42" s="35">
        <f>-AM$27*'операционные расходы 2 этап'!$P16</f>
        <v>-16366.569071780816</v>
      </c>
      <c r="AN42" s="35">
        <f>-AN$27*'операционные расходы 2 этап'!$P16</f>
        <v>-22077.992242118657</v>
      </c>
      <c r="AO42" s="35">
        <f>-AO$27*'операционные расходы 2 этап'!$P16</f>
        <v>-63264.770355501423</v>
      </c>
      <c r="AP42" s="35">
        <f>-AP$27*'операционные расходы 2 этап'!$P16</f>
        <v>-11697.527616825028</v>
      </c>
      <c r="AQ42" s="35">
        <f>-AQ$27*'операционные расходы 2 этап'!$P16</f>
        <v>-17184.897525369855</v>
      </c>
      <c r="AR42" s="35">
        <f>-AR$27*'операционные расходы 2 этап'!$P16</f>
        <v>-23181.891854224588</v>
      </c>
      <c r="AS42" s="35">
        <f>-AS$27*'операционные расходы 2 этап'!$P16</f>
        <v>-66428.008873276514</v>
      </c>
      <c r="AT42" s="35">
        <f>-AT$27*'операционные расходы 2 этап'!$P16</f>
        <v>-12282.403997666281</v>
      </c>
      <c r="AU42" s="35">
        <f>-AU$27*'операционные расходы 2 этап'!$P16</f>
        <v>-18044.14240163835</v>
      </c>
      <c r="AV42" s="35">
        <f>-AV$27*'операционные расходы 2 этап'!$P16</f>
        <v>-24340.986446935818</v>
      </c>
      <c r="AW42" s="35">
        <f>-AW$27*'операционные расходы 2 этап'!$P16</f>
        <v>-69749.409316940335</v>
      </c>
      <c r="AX42" s="35">
        <f>-AX$27*'операционные расходы 2 этап'!$P16</f>
        <v>-12896.524197549596</v>
      </c>
      <c r="AY42" s="35">
        <f>-AY$27*'операционные расходы 2 этап'!$P16</f>
        <v>-18946.349521720265</v>
      </c>
      <c r="AZ42" s="35">
        <f>-AZ$27*'операционные расходы 2 этап'!$P16</f>
        <v>-25558.035769282607</v>
      </c>
      <c r="BA42" s="35">
        <f>-BA$27*'операционные расходы 2 этап'!$P16</f>
        <v>-73236.87978278735</v>
      </c>
      <c r="BB42" s="35">
        <f>-BB$27*'операционные расходы 2 этап'!$P16</f>
        <v>-13541.350407427075</v>
      </c>
      <c r="BC42" s="35">
        <f>-BC$27*'операционные расходы 2 этап'!$P16</f>
        <v>-19893.666997806282</v>
      </c>
      <c r="BD42" s="35">
        <f>-BD$27*'операционные расходы 2 этап'!$P16</f>
        <v>-26835.93755774674</v>
      </c>
      <c r="BE42" s="35">
        <f>-BE$27*'операционные расходы 2 этап'!$P16</f>
        <v>-76898.723771926714</v>
      </c>
      <c r="BF42" s="35">
        <f>-BF$27*'операционные расходы 2 этап'!$P16</f>
        <v>-14218.417927798429</v>
      </c>
      <c r="BG42" s="35">
        <f>-BG$27*'операционные расходы 2 этап'!$P16</f>
        <v>-20888.350347696593</v>
      </c>
      <c r="BH42" s="35">
        <f>-BH$27*'операционные расходы 2 этап'!$P16</f>
        <v>-28177.734435634076</v>
      </c>
      <c r="BI42" s="35">
        <f>-BI$27*'операционные расходы 2 этап'!$P16</f>
        <v>-80743.659960523073</v>
      </c>
      <c r="BJ42" s="35">
        <f>-BJ$27*'операционные расходы 2 этап'!$P16</f>
        <v>-14929.338824188349</v>
      </c>
      <c r="BK42" s="35">
        <f>-BK$27*'операционные расходы 2 этап'!$P16</f>
        <v>-21932.767865081427</v>
      </c>
      <c r="BL42" s="35">
        <f>-BL$27*'операционные расходы 2 этап'!$P16</f>
        <v>-29586.621157415782</v>
      </c>
      <c r="BM42" s="35">
        <f>-BM$27*'операционные расходы 2 этап'!$P16</f>
        <v>-84780.842958549227</v>
      </c>
      <c r="BN42" s="35">
        <f>-BN$27*'операционные расходы 2 этап'!$P16</f>
        <v>-15675.805765397768</v>
      </c>
      <c r="BO42" s="35">
        <f>-BO$27*'операционные расходы 2 этап'!$P16</f>
        <v>-23029.406258335501</v>
      </c>
      <c r="BP42" s="35">
        <f>-BP$27*'операционные расходы 2 этап'!$P16</f>
        <v>-31065.952215286572</v>
      </c>
      <c r="BQ42" s="35">
        <f>-BQ$27*'операционные расходы 2 этап'!$P16</f>
        <v>-89019.885106476693</v>
      </c>
      <c r="BR42" s="35">
        <f>-BR$27*'операционные расходы 2 этап'!$P16</f>
        <v>-16459.596053667658</v>
      </c>
      <c r="BS42" s="35">
        <f>-BS$27*'операционные расходы 2 этап'!$P16</f>
        <v>-24180.876571252276</v>
      </c>
      <c r="BT42" s="35">
        <f>-BT$27*'операционные расходы 2 этап'!$P16</f>
        <v>-32619.249826050902</v>
      </c>
      <c r="BU42" s="35">
        <f>-BU$27*'операционные расходы 2 этап'!$P16</f>
        <v>-93470.879361800515</v>
      </c>
      <c r="BV42" s="35">
        <f>-BV$27*'операционные расходы 2 этап'!$P16</f>
        <v>-17282.575856351043</v>
      </c>
      <c r="BW42" s="35">
        <f>-BW$27*'операционные расходы 2 этап'!$P16</f>
        <v>-25389.920399814891</v>
      </c>
      <c r="BX42" s="35">
        <f>-BX$27*'операционные расходы 2 этап'!$P16</f>
        <v>-34250.212317353449</v>
      </c>
      <c r="BY42" s="35">
        <f>-BY$27*'операционные расходы 2 этап'!$P16</f>
        <v>-98144.423329890575</v>
      </c>
      <c r="BZ42" s="35">
        <f>-BZ$27*'операционные расходы 2 этап'!$P16</f>
        <v>-18146.704649168594</v>
      </c>
      <c r="CA42" s="35">
        <f>-CA$27*'операционные расходы 2 этап'!$P16</f>
        <v>-26659.416419805639</v>
      </c>
      <c r="CB42" s="35">
        <f>-CB$27*'операционные расходы 2 этап'!$P16</f>
        <v>-35962.722933221121</v>
      </c>
      <c r="CC42" s="35">
        <f>-CC$27*'операционные расходы 2 этап'!$P16</f>
        <v>-103051.64449638508</v>
      </c>
      <c r="CD42" s="35">
        <f>-CD$27*'операционные расходы 2 этап'!$P16</f>
        <v>-19054.039881627024</v>
      </c>
      <c r="CE42" s="35">
        <f>-CE$27*'операционные расходы 2 этап'!$P16</f>
        <v>-27992.387240795917</v>
      </c>
      <c r="CF42" s="35">
        <f>-CF$27*'операционные расходы 2 этап'!$P16</f>
        <v>-37760.859079882182</v>
      </c>
      <c r="CG42" s="35">
        <f>-CG$27*'операционные расходы 2 этап'!$P16</f>
        <v>-108204.22672120434</v>
      </c>
      <c r="CH42" s="35">
        <f>-CH$27*'операционные расходы 2 этап'!$P16</f>
        <v>-20006.74187570838</v>
      </c>
      <c r="CI42" s="35">
        <f>-CI$27*'операционные расходы 2 этап'!$P16</f>
        <v>-29392.006602835714</v>
      </c>
      <c r="CJ42" s="35">
        <f>-CJ$27*'операционные расходы 2 этап'!$P16</f>
        <v>-39648.902033876286</v>
      </c>
      <c r="CK42" s="35">
        <f>-CK$27*'операционные расходы 2 этап'!$P16</f>
        <v>-113614.43805726458</v>
      </c>
      <c r="CL42" s="35">
        <f>-CL$27*'операционные расходы 2 этап'!$P16</f>
        <v>-21007.078969493796</v>
      </c>
      <c r="CM42" s="35">
        <f>-CM$27*'операционные расходы 2 этап'!$P16</f>
        <v>-30861.606932977505</v>
      </c>
      <c r="CN42" s="35">
        <f>-CN$27*'операционные расходы 2 этап'!$P16</f>
        <v>-41631.347135570104</v>
      </c>
      <c r="CO42" s="35">
        <f>-CO$27*'операционные расходы 2 этап'!$P16</f>
        <v>-119295.1599601278</v>
      </c>
    </row>
    <row r="43" spans="1:93" ht="12.75" customHeight="1" outlineLevel="2">
      <c r="A43" s="35"/>
      <c r="B43" s="63" t="s">
        <v>144</v>
      </c>
      <c r="C43" s="74">
        <f t="shared" si="33"/>
        <v>-79794.050680420361</v>
      </c>
      <c r="D43" s="60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>
        <f>-W$27*'операционные расходы 2 этап'!$P17</f>
        <v>-426.57641130937498</v>
      </c>
      <c r="X43" s="35">
        <f>-X$27*'операционные расходы 2 этап'!$P17</f>
        <v>-576.3039897965624</v>
      </c>
      <c r="Y43" s="35">
        <f>-Y$27*'операционные расходы 2 этап'!$P17</f>
        <v>-1647.8136941428122</v>
      </c>
      <c r="Z43" s="35">
        <f>-Z$27*'операционные расходы 2 этап'!$P17</f>
        <v>-310.13343416474999</v>
      </c>
      <c r="AA43" s="35">
        <f>-AA$27*'операционные расходы 2 этап'!$P17</f>
        <v>-455.84376049124995</v>
      </c>
      <c r="AB43" s="35">
        <f>-AB$27*'операционные расходы 2 этап'!$P17</f>
        <v>-615.02937984225002</v>
      </c>
      <c r="AC43" s="35">
        <f>-AC$27*'операционные расходы 2 этап'!$P17</f>
        <v>-1761.7345937122498</v>
      </c>
      <c r="AD43" s="35">
        <f>-AD$27*'операционные расходы 2 этап'!$P17</f>
        <v>-324.79599102665617</v>
      </c>
      <c r="AE43" s="35">
        <f>-AE$27*'операционные расходы 2 этап'!$P17</f>
        <v>-477.15944815687493</v>
      </c>
      <c r="AF43" s="35">
        <f>-AF$27*'операционные расходы 2 этап'!$P17</f>
        <v>-643.67324321045635</v>
      </c>
      <c r="AG43" s="35">
        <f>-AG$27*'операционные расходы 2 этап'!$P17</f>
        <v>-1844.4539462245314</v>
      </c>
      <c r="AH43" s="35">
        <f>-AH$27*'операционные расходы 2 этап'!$P17</f>
        <v>-341.03579057798908</v>
      </c>
      <c r="AI43" s="35">
        <f>-AI$27*'операционные расходы 2 этап'!$P17</f>
        <v>-501.01742056471869</v>
      </c>
      <c r="AJ43" s="35">
        <f>-AJ$27*'операционные расходы 2 этап'!$P17</f>
        <v>-675.85690537097912</v>
      </c>
      <c r="AK43" s="35">
        <f>-AK$27*'операционные расходы 2 этап'!$P17</f>
        <v>-1936.6766435357581</v>
      </c>
      <c r="AL43" s="35">
        <f>-AL$27*'операционные расходы 2 этап'!$P17</f>
        <v>-358.08758010688848</v>
      </c>
      <c r="AM43" s="35">
        <f>-AM$27*'операционные расходы 2 этап'!$P17</f>
        <v>-526.06829159295467</v>
      </c>
      <c r="AN43" s="35">
        <f>-AN$27*'операционные расходы 2 этап'!$P17</f>
        <v>-709.64975063952818</v>
      </c>
      <c r="AO43" s="35">
        <f>-AO$27*'операционные расходы 2 этап'!$P17</f>
        <v>-2033.5104757125455</v>
      </c>
      <c r="AP43" s="35">
        <f>-AP$27*'операционные расходы 2 этап'!$P17</f>
        <v>-375.99195911223296</v>
      </c>
      <c r="AQ43" s="35">
        <f>-AQ$27*'операционные расходы 2 этап'!$P17</f>
        <v>-552.37170617260244</v>
      </c>
      <c r="AR43" s="35">
        <f>-AR$27*'операционные расходы 2 этап'!$P17</f>
        <v>-745.13223817150447</v>
      </c>
      <c r="AS43" s="35">
        <f>-AS$27*'операционные расходы 2 этап'!$P17</f>
        <v>-2135.1859994981733</v>
      </c>
      <c r="AT43" s="35">
        <f>-AT$27*'операционные расходы 2 этап'!$P17</f>
        <v>-394.79155706784468</v>
      </c>
      <c r="AU43" s="35">
        <f>-AU$27*'операционные расходы 2 этап'!$P17</f>
        <v>-579.99029148123259</v>
      </c>
      <c r="AV43" s="35">
        <f>-AV$27*'операционные расходы 2 этап'!$P17</f>
        <v>-782.38885008007969</v>
      </c>
      <c r="AW43" s="35">
        <f>-AW$27*'операционные расходы 2 этап'!$P17</f>
        <v>-2241.9452994730818</v>
      </c>
      <c r="AX43" s="35">
        <f>-AX$27*'операционные расходы 2 этап'!$P17</f>
        <v>-414.53113492123691</v>
      </c>
      <c r="AY43" s="35">
        <f>-AY$27*'операционные расходы 2 этап'!$P17</f>
        <v>-608.98980605529414</v>
      </c>
      <c r="AZ43" s="35">
        <f>-AZ$27*'операционные расходы 2 этап'!$P17</f>
        <v>-821.50829258408373</v>
      </c>
      <c r="BA43" s="35">
        <f>-BA$27*'операционные расходы 2 этап'!$P17</f>
        <v>-2354.0425644467359</v>
      </c>
      <c r="BB43" s="35">
        <f>-BB$27*'операционные расходы 2 этап'!$P17</f>
        <v>-435.25769166729879</v>
      </c>
      <c r="BC43" s="35">
        <f>-BC$27*'операционные расходы 2 этап'!$P17</f>
        <v>-639.43929635805887</v>
      </c>
      <c r="BD43" s="35">
        <f>-BD$27*'операционные расходы 2 этап'!$P17</f>
        <v>-862.58370721328788</v>
      </c>
      <c r="BE43" s="35">
        <f>-BE$27*'операционные расходы 2 этап'!$P17</f>
        <v>-2471.7446926690723</v>
      </c>
      <c r="BF43" s="35">
        <f>-BF$27*'операционные расходы 2 этап'!$P17</f>
        <v>-457.02057625066374</v>
      </c>
      <c r="BG43" s="35">
        <f>-BG$27*'операционные расходы 2 этап'!$P17</f>
        <v>-671.41126117596184</v>
      </c>
      <c r="BH43" s="35">
        <f>-BH$27*'операционные расходы 2 этап'!$P17</f>
        <v>-905.71289257395233</v>
      </c>
      <c r="BI43" s="35">
        <f>-BI$27*'операционные расходы 2 этап'!$P17</f>
        <v>-2595.3319273025268</v>
      </c>
      <c r="BJ43" s="35">
        <f>-BJ$27*'операционные расходы 2 этап'!$P17</f>
        <v>-479.87160506319685</v>
      </c>
      <c r="BK43" s="35">
        <f>-BK$27*'операционные расходы 2 этап'!$P17</f>
        <v>-704.98182423475998</v>
      </c>
      <c r="BL43" s="35">
        <f>-BL$27*'операционные расходы 2 этап'!$P17</f>
        <v>-950.99853720264991</v>
      </c>
      <c r="BM43" s="35">
        <f>-BM$27*'операционные расходы 2 этап'!$P17</f>
        <v>-2725.0985236676529</v>
      </c>
      <c r="BN43" s="35">
        <f>-BN$27*'операционные расходы 2 этап'!$P17</f>
        <v>-503.86518531635676</v>
      </c>
      <c r="BO43" s="35">
        <f>-BO$27*'операционные расходы 2 этап'!$P17</f>
        <v>-740.2309154464981</v>
      </c>
      <c r="BP43" s="35">
        <f>-BP$27*'операционные расходы 2 этап'!$P17</f>
        <v>-998.5484640627825</v>
      </c>
      <c r="BQ43" s="35">
        <f>-BQ$27*'операционные расходы 2 этап'!$P17</f>
        <v>-2861.3534498510362</v>
      </c>
      <c r="BR43" s="35">
        <f>-BR$27*'операционные расходы 2 этап'!$P17</f>
        <v>-529.05844458217462</v>
      </c>
      <c r="BS43" s="35">
        <f>-BS$27*'операционные расходы 2 этап'!$P17</f>
        <v>-777.24246121882311</v>
      </c>
      <c r="BT43" s="35">
        <f>-BT$27*'операционные расходы 2 этап'!$P17</f>
        <v>-1048.4758872659215</v>
      </c>
      <c r="BU43" s="35">
        <f>-BU$27*'операционные расходы 2 этап'!$P17</f>
        <v>-3004.4211223435877</v>
      </c>
      <c r="BV43" s="35">
        <f>-BV$27*'операционные расходы 2 этап'!$P17</f>
        <v>-555.51136681128344</v>
      </c>
      <c r="BW43" s="35">
        <f>-BW$27*'операционные расходы 2 этап'!$P17</f>
        <v>-816.10458427976425</v>
      </c>
      <c r="BX43" s="35">
        <f>-BX$27*'операционные расходы 2 этап'!$P17</f>
        <v>-1100.8996816292179</v>
      </c>
      <c r="BY43" s="35">
        <f>-BY$27*'операционные расходы 2 этап'!$P17</f>
        <v>-3154.6421784607678</v>
      </c>
      <c r="BZ43" s="35">
        <f>-BZ$27*'операционные расходы 2 этап'!$P17</f>
        <v>-583.28693515184762</v>
      </c>
      <c r="CA43" s="35">
        <f>-CA$27*'операционные расходы 2 этап'!$P17</f>
        <v>-856.90981349375249</v>
      </c>
      <c r="CB43" s="35">
        <f>-CB$27*'операционные расходы 2 этап'!$P17</f>
        <v>-1155.9446657106787</v>
      </c>
      <c r="CC43" s="35">
        <f>-CC$27*'операционные расходы 2 этап'!$P17</f>
        <v>-3312.3742873838059</v>
      </c>
      <c r="CD43" s="35">
        <f>-CD$27*'операционные расходы 2 этап'!$P17</f>
        <v>-612.45128190944001</v>
      </c>
      <c r="CE43" s="35">
        <f>-CE$27*'операционные расходы 2 этап'!$P17</f>
        <v>-899.75530416844003</v>
      </c>
      <c r="CF43" s="35">
        <f>-CF$27*'операционные расходы 2 этап'!$P17</f>
        <v>-1213.7418989962127</v>
      </c>
      <c r="CG43" s="35">
        <f>-CG$27*'операционные расходы 2 этап'!$P17</f>
        <v>-3477.993001752996</v>
      </c>
      <c r="CH43" s="35">
        <f>-CH$27*'операционные расходы 2 этап'!$P17</f>
        <v>-643.07384600491207</v>
      </c>
      <c r="CI43" s="35">
        <f>-CI$27*'операционные расходы 2 этап'!$P17</f>
        <v>-944.74306937686208</v>
      </c>
      <c r="CJ43" s="35">
        <f>-CJ$27*'операционные расходы 2 этап'!$P17</f>
        <v>-1274.4289939460234</v>
      </c>
      <c r="CK43" s="35">
        <f>-CK$27*'операционные расходы 2 этап'!$P17</f>
        <v>-3651.8926518406465</v>
      </c>
      <c r="CL43" s="35">
        <f>-CL$27*'операционные расходы 2 этап'!$P17</f>
        <v>-675.22753830515762</v>
      </c>
      <c r="CM43" s="35">
        <f>-CM$27*'операционные расходы 2 этап'!$P17</f>
        <v>-991.98022284570538</v>
      </c>
      <c r="CN43" s="35">
        <f>-CN$27*'операционные расходы 2 этап'!$P17</f>
        <v>-1338.1504436433245</v>
      </c>
      <c r="CO43" s="35">
        <f>-CO$27*'операционные расходы 2 этап'!$P17</f>
        <v>-3834.4872844326787</v>
      </c>
    </row>
    <row r="44" spans="1:93" ht="12.75" customHeight="1" outlineLevel="2">
      <c r="A44" s="35"/>
      <c r="B44" s="63" t="s">
        <v>145</v>
      </c>
      <c r="C44" s="74">
        <f t="shared" si="33"/>
        <v>-88660.056311578155</v>
      </c>
      <c r="D44" s="60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>
        <f>-W$27*'операционные расходы 2 этап'!$P$18</f>
        <v>-473.97379034375001</v>
      </c>
      <c r="X44" s="35">
        <f>-X$27*'операционные расходы 2 этап'!$P$18</f>
        <v>-640.33776644062505</v>
      </c>
      <c r="Y44" s="35">
        <f>-Y$27*'операционные расходы 2 этап'!$P$18</f>
        <v>-1830.9041046031248</v>
      </c>
      <c r="Z44" s="35">
        <f>-Z$27*'операционные расходы 2 этап'!$P$18</f>
        <v>-344.59270462749998</v>
      </c>
      <c r="AA44" s="35">
        <f>-AA$27*'операционные расходы 2 этап'!$P$18</f>
        <v>-506.49306721249997</v>
      </c>
      <c r="AB44" s="35">
        <f>-AB$27*'операционные расходы 2 этап'!$P$18</f>
        <v>-683.36597760250004</v>
      </c>
      <c r="AC44" s="35">
        <f>-AC$27*'операционные расходы 2 этап'!$P$18</f>
        <v>-1957.4828819024999</v>
      </c>
      <c r="AD44" s="35">
        <f>-AD$27*'операционные расходы 2 этап'!$P$18</f>
        <v>-360.88443447406246</v>
      </c>
      <c r="AE44" s="35">
        <f>-AE$27*'операционные расходы 2 этап'!$P$18</f>
        <v>-530.17716461875</v>
      </c>
      <c r="AF44" s="35">
        <f>-AF$27*'операционные расходы 2 этап'!$P$18</f>
        <v>-715.19249245606261</v>
      </c>
      <c r="AG44" s="35">
        <f>-AG$27*'операционные расходы 2 этап'!$P$18</f>
        <v>-2049.3932735828125</v>
      </c>
      <c r="AH44" s="35">
        <f>-AH$27*'операционные расходы 2 этап'!$P$18</f>
        <v>-378.92865619776569</v>
      </c>
      <c r="AI44" s="35">
        <f>-AI$27*'операционные расходы 2 этап'!$P$18</f>
        <v>-556.68602284968756</v>
      </c>
      <c r="AJ44" s="35">
        <f>-AJ$27*'операционные расходы 2 этап'!$P$18</f>
        <v>-750.95211707886574</v>
      </c>
      <c r="AK44" s="35">
        <f>-AK$27*'операционные расходы 2 этап'!$P$18</f>
        <v>-2151.8629372619534</v>
      </c>
      <c r="AL44" s="35">
        <f>-AL$27*'операционные расходы 2 этап'!$P$18</f>
        <v>-397.87508900765391</v>
      </c>
      <c r="AM44" s="35">
        <f>-AM$27*'операционные расходы 2 этап'!$P$18</f>
        <v>-584.52032399217194</v>
      </c>
      <c r="AN44" s="35">
        <f>-AN$27*'операционные расходы 2 этап'!$P$18</f>
        <v>-788.49972293280916</v>
      </c>
      <c r="AO44" s="35">
        <f>-AO$27*'операционные расходы 2 этап'!$P$18</f>
        <v>-2259.4560841250509</v>
      </c>
      <c r="AP44" s="35">
        <f>-AP$27*'операционные расходы 2 этап'!$P$18</f>
        <v>-417.76884345803666</v>
      </c>
      <c r="AQ44" s="35">
        <f>-AQ$27*'операционные расходы 2 этап'!$P$18</f>
        <v>-613.74634019178052</v>
      </c>
      <c r="AR44" s="35">
        <f>-AR$27*'операционные расходы 2 этап'!$P$18</f>
        <v>-827.9247090794496</v>
      </c>
      <c r="AS44" s="35">
        <f>-AS$27*'операционные расходы 2 этап'!$P$18</f>
        <v>-2372.4288883313038</v>
      </c>
      <c r="AT44" s="35">
        <f>-AT$27*'операционные расходы 2 этап'!$P$18</f>
        <v>-438.65728563093859</v>
      </c>
      <c r="AU44" s="35">
        <f>-AU$27*'операционные расходы 2 этап'!$P$18</f>
        <v>-644.43365720136956</v>
      </c>
      <c r="AV44" s="35">
        <f>-AV$27*'операционные расходы 2 этап'!$P$18</f>
        <v>-869.32094453342199</v>
      </c>
      <c r="AW44" s="35">
        <f>-AW$27*'операционные расходы 2 этап'!$P$18</f>
        <v>-2491.0503327478691</v>
      </c>
      <c r="AX44" s="35">
        <f>-AX$27*'операционные расходы 2 этап'!$P$18</f>
        <v>-460.59014991248551</v>
      </c>
      <c r="AY44" s="35">
        <f>-AY$27*'операционные расходы 2 этап'!$P$18</f>
        <v>-676.6553400614381</v>
      </c>
      <c r="AZ44" s="35">
        <f>-AZ$27*'операционные расходы 2 этап'!$P$18</f>
        <v>-912.78699176009309</v>
      </c>
      <c r="BA44" s="35">
        <f>-BA$27*'операционные расходы 2 этап'!$P$18</f>
        <v>-2615.6028493852623</v>
      </c>
      <c r="BB44" s="35">
        <f>-BB$27*'операционные расходы 2 этап'!$P$18</f>
        <v>-483.61965740810979</v>
      </c>
      <c r="BC44" s="35">
        <f>-BC$27*'операционные расходы 2 этап'!$P$18</f>
        <v>-710.48810706451002</v>
      </c>
      <c r="BD44" s="35">
        <f>-BD$27*'операционные расходы 2 этап'!$P$18</f>
        <v>-958.42634134809782</v>
      </c>
      <c r="BE44" s="35">
        <f>-BE$27*'операционные расходы 2 этап'!$P$18</f>
        <v>-2746.3829918545252</v>
      </c>
      <c r="BF44" s="35">
        <f>-BF$27*'операционные расходы 2 этап'!$P$18</f>
        <v>-507.80064027851529</v>
      </c>
      <c r="BG44" s="35">
        <f>-BG$27*'операционные расходы 2 этап'!$P$18</f>
        <v>-746.01251241773548</v>
      </c>
      <c r="BH44" s="35">
        <f>-BH$27*'операционные расходы 2 этап'!$P$18</f>
        <v>-1006.3476584155027</v>
      </c>
      <c r="BI44" s="35">
        <f>-BI$27*'операционные расходы 2 этап'!$P$18</f>
        <v>-2883.7021414472524</v>
      </c>
      <c r="BJ44" s="35">
        <f>-BJ$27*'операционные расходы 2 этап'!$P$18</f>
        <v>-533.19067229244104</v>
      </c>
      <c r="BK44" s="35">
        <f>-BK$27*'операционные расходы 2 этап'!$P$18</f>
        <v>-783.31313803862224</v>
      </c>
      <c r="BL44" s="35">
        <f>-BL$27*'операционные расходы 2 этап'!$P$18</f>
        <v>-1056.6650413362779</v>
      </c>
      <c r="BM44" s="35">
        <f>-BM$27*'операционные расходы 2 этап'!$P$18</f>
        <v>-3027.8872485196148</v>
      </c>
      <c r="BN44" s="35">
        <f>-BN$27*'операционные расходы 2 этап'!$P$18</f>
        <v>-559.85020590706313</v>
      </c>
      <c r="BO44" s="35">
        <f>-BO$27*'операционные расходы 2 этап'!$P$18</f>
        <v>-822.47879494055348</v>
      </c>
      <c r="BP44" s="35">
        <f>-BP$27*'операционные расходы 2 этап'!$P$18</f>
        <v>-1109.4982934030918</v>
      </c>
      <c r="BQ44" s="35">
        <f>-BQ$27*'операционные расходы 2 этап'!$P$18</f>
        <v>-3179.2816109455962</v>
      </c>
      <c r="BR44" s="35">
        <f>-BR$27*'операционные расходы 2 этап'!$P$18</f>
        <v>-587.84271620241634</v>
      </c>
      <c r="BS44" s="35">
        <f>-BS$27*'операционные расходы 2 этап'!$P$18</f>
        <v>-863.60273468758123</v>
      </c>
      <c r="BT44" s="35">
        <f>-BT$27*'операционные расходы 2 этап'!$P$18</f>
        <v>-1164.9732080732463</v>
      </c>
      <c r="BU44" s="35">
        <f>-BU$27*'операционные расходы 2 этап'!$P$18</f>
        <v>-3338.2456914928753</v>
      </c>
      <c r="BV44" s="35">
        <f>-BV$27*'операционные расходы 2 этап'!$P$18</f>
        <v>-617.2348520125372</v>
      </c>
      <c r="BW44" s="35">
        <f>-BW$27*'операционные расходы 2 этап'!$P$18</f>
        <v>-906.78287142196029</v>
      </c>
      <c r="BX44" s="35">
        <f>-BX$27*'операционные расходы 2 этап'!$P$18</f>
        <v>-1223.2218684769086</v>
      </c>
      <c r="BY44" s="35">
        <f>-BY$27*'операционные расходы 2 этап'!$P$18</f>
        <v>-3505.1579760675204</v>
      </c>
      <c r="BZ44" s="35">
        <f>-BZ$27*'операционные расходы 2 этап'!$P$18</f>
        <v>-648.09659461316403</v>
      </c>
      <c r="CA44" s="35">
        <f>-CA$27*'операционные расходы 2 этап'!$P$18</f>
        <v>-952.12201499305843</v>
      </c>
      <c r="CB44" s="35">
        <f>-CB$27*'операционные расходы 2 этап'!$P$18</f>
        <v>-1284.3829619007543</v>
      </c>
      <c r="CC44" s="35">
        <f>-CC$27*'операционные расходы 2 этап'!$P$18</f>
        <v>-3680.4158748708955</v>
      </c>
      <c r="CD44" s="35">
        <f>-CD$27*'операционные расходы 2 этап'!$P$18</f>
        <v>-680.50142434382235</v>
      </c>
      <c r="CE44" s="35">
        <f>-CE$27*'операционные расходы 2 этап'!$P$18</f>
        <v>-999.72811574271122</v>
      </c>
      <c r="CF44" s="35">
        <f>-CF$27*'операционные расходы 2 этап'!$P$18</f>
        <v>-1348.602109995792</v>
      </c>
      <c r="CG44" s="35">
        <f>-CG$27*'операционные расходы 2 этап'!$P$18</f>
        <v>-3864.4366686144404</v>
      </c>
      <c r="CH44" s="35">
        <f>-CH$27*'операционные расходы 2 этап'!$P$18</f>
        <v>-714.52649556101346</v>
      </c>
      <c r="CI44" s="35">
        <f>-CI$27*'операционные расходы 2 этап'!$P$18</f>
        <v>-1049.7145215298469</v>
      </c>
      <c r="CJ44" s="35">
        <f>-CJ$27*'операционные расходы 2 этап'!$P$18</f>
        <v>-1416.0322154955816</v>
      </c>
      <c r="CK44" s="35">
        <f>-CK$27*'операционные расходы 2 этап'!$P$18</f>
        <v>-4057.6585020451635</v>
      </c>
      <c r="CL44" s="35">
        <f>-CL$27*'операционные расходы 2 этап'!$P$18</f>
        <v>-750.2528203390641</v>
      </c>
      <c r="CM44" s="35">
        <f>-CM$27*'операционные расходы 2 этап'!$P$18</f>
        <v>-1102.2002476063394</v>
      </c>
      <c r="CN44" s="35">
        <f>-CN$27*'операционные расходы 2 этап'!$P$18</f>
        <v>-1486.8338262703608</v>
      </c>
      <c r="CO44" s="35">
        <f>-CO$27*'операционные расходы 2 этап'!$P$18</f>
        <v>-4260.541427147421</v>
      </c>
    </row>
    <row r="45" spans="1:93" ht="12.75" customHeight="1" outlineLevel="2">
      <c r="A45" s="35"/>
      <c r="B45" s="63"/>
      <c r="C45" s="74">
        <f t="shared" si="33"/>
        <v>0</v>
      </c>
      <c r="D45" s="60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</row>
    <row r="46" spans="1:93" ht="12.75" customHeight="1" outlineLevel="2">
      <c r="A46" s="35"/>
      <c r="B46" s="63" t="s">
        <v>147</v>
      </c>
      <c r="C46" s="74">
        <f t="shared" si="33"/>
        <v>0</v>
      </c>
      <c r="D46" s="60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</row>
    <row r="47" spans="1:93" ht="12.75" customHeight="1" outlineLevel="2">
      <c r="A47" s="35"/>
      <c r="B47" s="63" t="s">
        <v>148</v>
      </c>
      <c r="C47" s="74">
        <f t="shared" si="33"/>
        <v>0</v>
      </c>
      <c r="D47" s="60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</row>
    <row r="48" spans="1:93" ht="12.75" customHeight="1" outlineLevel="2">
      <c r="A48" s="35"/>
      <c r="B48" s="63" t="s">
        <v>149</v>
      </c>
      <c r="C48" s="74">
        <f t="shared" si="33"/>
        <v>0</v>
      </c>
      <c r="D48" s="60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</row>
    <row r="49" spans="1:93" ht="12.75" customHeight="1" outlineLevel="2">
      <c r="A49" s="35"/>
      <c r="B49" s="63" t="s">
        <v>150</v>
      </c>
      <c r="C49" s="74">
        <f t="shared" si="33"/>
        <v>-29494.13050192114</v>
      </c>
      <c r="D49" s="60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>
        <f>-('операционные расходы 2 этап'!E19+'операционные расходы 2 этап'!F19+'операционные расходы 2 этап'!G19)/1000</f>
        <v>-270</v>
      </c>
      <c r="X49" s="5">
        <f>-SUM('операционные расходы 2 этап'!H19:J19)/1000</f>
        <v>-270</v>
      </c>
      <c r="Y49" s="5">
        <f>-SUM('операционные расходы 2 этап'!K19:M19)/1000</f>
        <v>-270</v>
      </c>
      <c r="Z49" s="5">
        <f>-SUM('операционные расходы 2 этап'!B19:D19)/1000*$Z$14</f>
        <v>-283.5</v>
      </c>
      <c r="AA49" s="5">
        <f>W49*AA$14</f>
        <v>-283.5</v>
      </c>
      <c r="AB49" s="5">
        <f t="shared" ref="AB49:CM50" si="34">X49*AB$14</f>
        <v>-283.5</v>
      </c>
      <c r="AC49" s="5">
        <f t="shared" si="34"/>
        <v>-283.5</v>
      </c>
      <c r="AD49" s="5">
        <f t="shared" si="34"/>
        <v>-297.67500000000001</v>
      </c>
      <c r="AE49" s="5">
        <f t="shared" si="34"/>
        <v>-297.67500000000001</v>
      </c>
      <c r="AF49" s="5">
        <f t="shared" si="34"/>
        <v>-297.67500000000001</v>
      </c>
      <c r="AG49" s="5">
        <f t="shared" si="34"/>
        <v>-297.67500000000001</v>
      </c>
      <c r="AH49" s="5">
        <f t="shared" si="34"/>
        <v>-312.55875000000003</v>
      </c>
      <c r="AI49" s="5">
        <f t="shared" si="34"/>
        <v>-312.55875000000003</v>
      </c>
      <c r="AJ49" s="5">
        <f t="shared" si="34"/>
        <v>-312.55875000000003</v>
      </c>
      <c r="AK49" s="5">
        <f t="shared" si="34"/>
        <v>-312.55875000000003</v>
      </c>
      <c r="AL49" s="5">
        <f t="shared" si="34"/>
        <v>-328.18668750000006</v>
      </c>
      <c r="AM49" s="5">
        <f t="shared" si="34"/>
        <v>-328.18668750000006</v>
      </c>
      <c r="AN49" s="5">
        <f t="shared" si="34"/>
        <v>-328.18668750000006</v>
      </c>
      <c r="AO49" s="5">
        <f t="shared" si="34"/>
        <v>-328.18668750000006</v>
      </c>
      <c r="AP49" s="5">
        <f t="shared" si="34"/>
        <v>-344.59602187500008</v>
      </c>
      <c r="AQ49" s="5">
        <f t="shared" si="34"/>
        <v>-344.59602187500008</v>
      </c>
      <c r="AR49" s="5">
        <f t="shared" si="34"/>
        <v>-344.59602187500008</v>
      </c>
      <c r="AS49" s="5">
        <f t="shared" si="34"/>
        <v>-344.59602187500008</v>
      </c>
      <c r="AT49" s="5">
        <f t="shared" si="34"/>
        <v>-361.82582296875012</v>
      </c>
      <c r="AU49" s="5">
        <f t="shared" si="34"/>
        <v>-361.82582296875012</v>
      </c>
      <c r="AV49" s="5">
        <f t="shared" si="34"/>
        <v>-361.82582296875012</v>
      </c>
      <c r="AW49" s="5">
        <f t="shared" si="34"/>
        <v>-361.82582296875012</v>
      </c>
      <c r="AX49" s="5">
        <f t="shared" si="34"/>
        <v>-379.91711411718762</v>
      </c>
      <c r="AY49" s="5">
        <f t="shared" si="34"/>
        <v>-379.91711411718762</v>
      </c>
      <c r="AZ49" s="5">
        <f t="shared" si="34"/>
        <v>-379.91711411718762</v>
      </c>
      <c r="BA49" s="5">
        <f t="shared" si="34"/>
        <v>-379.91711411718762</v>
      </c>
      <c r="BB49" s="5">
        <f t="shared" si="34"/>
        <v>-398.91296982304704</v>
      </c>
      <c r="BC49" s="5">
        <f t="shared" si="34"/>
        <v>-398.91296982304704</v>
      </c>
      <c r="BD49" s="5">
        <f t="shared" si="34"/>
        <v>-398.91296982304704</v>
      </c>
      <c r="BE49" s="5">
        <f t="shared" si="34"/>
        <v>-398.91296982304704</v>
      </c>
      <c r="BF49" s="5">
        <f t="shared" si="34"/>
        <v>-418.85861831419942</v>
      </c>
      <c r="BG49" s="5">
        <f t="shared" si="34"/>
        <v>-418.85861831419942</v>
      </c>
      <c r="BH49" s="5">
        <f t="shared" si="34"/>
        <v>-418.85861831419942</v>
      </c>
      <c r="BI49" s="5">
        <f t="shared" si="34"/>
        <v>-418.85861831419942</v>
      </c>
      <c r="BJ49" s="5">
        <f t="shared" si="34"/>
        <v>-439.80154922990943</v>
      </c>
      <c r="BK49" s="5">
        <f t="shared" si="34"/>
        <v>-439.80154922990943</v>
      </c>
      <c r="BL49" s="5">
        <f t="shared" si="34"/>
        <v>-439.80154922990943</v>
      </c>
      <c r="BM49" s="5">
        <f t="shared" si="34"/>
        <v>-439.80154922990943</v>
      </c>
      <c r="BN49" s="5">
        <f t="shared" si="34"/>
        <v>-461.79162669140493</v>
      </c>
      <c r="BO49" s="5">
        <f t="shared" si="34"/>
        <v>-461.79162669140493</v>
      </c>
      <c r="BP49" s="5">
        <f t="shared" si="34"/>
        <v>-461.79162669140493</v>
      </c>
      <c r="BQ49" s="5">
        <f t="shared" si="34"/>
        <v>-461.79162669140493</v>
      </c>
      <c r="BR49" s="5">
        <f t="shared" si="34"/>
        <v>-484.88120802597518</v>
      </c>
      <c r="BS49" s="5">
        <f t="shared" si="34"/>
        <v>-484.88120802597518</v>
      </c>
      <c r="BT49" s="5">
        <f t="shared" si="34"/>
        <v>-484.88120802597518</v>
      </c>
      <c r="BU49" s="5">
        <f t="shared" si="34"/>
        <v>-484.88120802597518</v>
      </c>
      <c r="BV49" s="5">
        <f t="shared" si="34"/>
        <v>-509.12526842727397</v>
      </c>
      <c r="BW49" s="5">
        <f t="shared" si="34"/>
        <v>-509.12526842727397</v>
      </c>
      <c r="BX49" s="5">
        <f t="shared" si="34"/>
        <v>-509.12526842727397</v>
      </c>
      <c r="BY49" s="5">
        <f t="shared" si="34"/>
        <v>-509.12526842727397</v>
      </c>
      <c r="BZ49" s="5">
        <f t="shared" si="34"/>
        <v>-534.58153184863772</v>
      </c>
      <c r="CA49" s="5">
        <f t="shared" si="34"/>
        <v>-534.58153184863772</v>
      </c>
      <c r="CB49" s="5">
        <f t="shared" si="34"/>
        <v>-534.58153184863772</v>
      </c>
      <c r="CC49" s="5">
        <f t="shared" si="34"/>
        <v>-534.58153184863772</v>
      </c>
      <c r="CD49" s="5">
        <f t="shared" si="34"/>
        <v>-561.31060844106969</v>
      </c>
      <c r="CE49" s="5">
        <f t="shared" si="34"/>
        <v>-561.31060844106969</v>
      </c>
      <c r="CF49" s="5">
        <f t="shared" si="34"/>
        <v>-561.31060844106969</v>
      </c>
      <c r="CG49" s="5">
        <f t="shared" si="34"/>
        <v>-561.31060844106969</v>
      </c>
      <c r="CH49" s="5">
        <f t="shared" si="34"/>
        <v>-589.37613886312317</v>
      </c>
      <c r="CI49" s="5">
        <f t="shared" si="34"/>
        <v>-589.37613886312317</v>
      </c>
      <c r="CJ49" s="5">
        <f t="shared" si="34"/>
        <v>-589.37613886312317</v>
      </c>
      <c r="CK49" s="5">
        <f t="shared" si="34"/>
        <v>-589.37613886312317</v>
      </c>
      <c r="CL49" s="5">
        <f t="shared" si="34"/>
        <v>-618.84494580627938</v>
      </c>
      <c r="CM49" s="5">
        <f t="shared" si="34"/>
        <v>-618.84494580627938</v>
      </c>
      <c r="CN49" s="5">
        <f t="shared" ref="CN49:CO56" si="35">CJ49*CN$14</f>
        <v>-618.84494580627938</v>
      </c>
      <c r="CO49" s="5">
        <f t="shared" si="35"/>
        <v>-618.84494580627938</v>
      </c>
    </row>
    <row r="50" spans="1:93" ht="12.75" customHeight="1" outlineLevel="2">
      <c r="A50" s="35"/>
      <c r="B50" s="63" t="s">
        <v>151</v>
      </c>
      <c r="C50" s="74">
        <f t="shared" si="33"/>
        <v>-100070.55636597272</v>
      </c>
      <c r="D50" s="60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>
        <f>-('операционные расходы 2 этап'!E20+'операционные расходы 2 этап'!F20+'операционные расходы 2 этап'!G20)/1000</f>
        <v>-890</v>
      </c>
      <c r="X50" s="5">
        <f>-SUM('операционные расходы 2 этап'!H20:J20)/1000</f>
        <v>-690</v>
      </c>
      <c r="Y50" s="5">
        <f>-SUM('операционные расходы 2 этап'!K20:M20)/1000</f>
        <v>-1050</v>
      </c>
      <c r="Z50" s="5">
        <f>-SUM('операционные расходы 2 этап'!B20:D20)/1000*$Z$14</f>
        <v>-1102.5</v>
      </c>
      <c r="AA50" s="5">
        <f t="shared" ref="AA50:AP56" si="36">W50*AA$14</f>
        <v>-934.5</v>
      </c>
      <c r="AB50" s="5">
        <f t="shared" si="34"/>
        <v>-724.5</v>
      </c>
      <c r="AC50" s="5">
        <f t="shared" si="34"/>
        <v>-1102.5</v>
      </c>
      <c r="AD50" s="5">
        <f t="shared" si="34"/>
        <v>-1157.625</v>
      </c>
      <c r="AE50" s="5">
        <f t="shared" si="34"/>
        <v>-981.22500000000002</v>
      </c>
      <c r="AF50" s="5">
        <f t="shared" si="34"/>
        <v>-760.72500000000002</v>
      </c>
      <c r="AG50" s="5">
        <f t="shared" si="34"/>
        <v>-1157.625</v>
      </c>
      <c r="AH50" s="5">
        <f t="shared" si="34"/>
        <v>-1215.5062500000001</v>
      </c>
      <c r="AI50" s="5">
        <f t="shared" si="34"/>
        <v>-1030.2862500000001</v>
      </c>
      <c r="AJ50" s="5">
        <f t="shared" si="34"/>
        <v>-798.76125000000002</v>
      </c>
      <c r="AK50" s="5">
        <f t="shared" si="34"/>
        <v>-1215.5062500000001</v>
      </c>
      <c r="AL50" s="5">
        <f t="shared" si="34"/>
        <v>-1276.2815625000003</v>
      </c>
      <c r="AM50" s="5">
        <f t="shared" si="34"/>
        <v>-1081.8005625000001</v>
      </c>
      <c r="AN50" s="5">
        <f t="shared" si="34"/>
        <v>-838.69931250000002</v>
      </c>
      <c r="AO50" s="5">
        <f t="shared" si="34"/>
        <v>-1276.2815625000003</v>
      </c>
      <c r="AP50" s="5">
        <f t="shared" si="34"/>
        <v>-1340.0956406250004</v>
      </c>
      <c r="AQ50" s="5">
        <f t="shared" si="34"/>
        <v>-1135.8905906250002</v>
      </c>
      <c r="AR50" s="5">
        <f t="shared" si="34"/>
        <v>-880.63427812500004</v>
      </c>
      <c r="AS50" s="5">
        <f t="shared" si="34"/>
        <v>-1340.0956406250004</v>
      </c>
      <c r="AT50" s="5">
        <f t="shared" si="34"/>
        <v>-1407.1004226562504</v>
      </c>
      <c r="AU50" s="5">
        <f t="shared" si="34"/>
        <v>-1192.6851201562502</v>
      </c>
      <c r="AV50" s="5">
        <f t="shared" si="34"/>
        <v>-924.66599203125008</v>
      </c>
      <c r="AW50" s="5">
        <f t="shared" si="34"/>
        <v>-1407.1004226562504</v>
      </c>
      <c r="AX50" s="5">
        <f t="shared" si="34"/>
        <v>-1477.4554437890631</v>
      </c>
      <c r="AY50" s="5">
        <f t="shared" si="34"/>
        <v>-1252.3193761640628</v>
      </c>
      <c r="AZ50" s="5">
        <f t="shared" si="34"/>
        <v>-970.89929163281261</v>
      </c>
      <c r="BA50" s="5">
        <f t="shared" si="34"/>
        <v>-1477.4554437890631</v>
      </c>
      <c r="BB50" s="5">
        <f t="shared" si="34"/>
        <v>-1551.3282159785163</v>
      </c>
      <c r="BC50" s="5">
        <f t="shared" si="34"/>
        <v>-1314.935344972266</v>
      </c>
      <c r="BD50" s="5">
        <f t="shared" si="34"/>
        <v>-1019.4442562144533</v>
      </c>
      <c r="BE50" s="5">
        <f t="shared" si="34"/>
        <v>-1551.3282159785163</v>
      </c>
      <c r="BF50" s="5">
        <f t="shared" si="34"/>
        <v>-1628.8946267774422</v>
      </c>
      <c r="BG50" s="5">
        <f t="shared" si="34"/>
        <v>-1380.6821122208794</v>
      </c>
      <c r="BH50" s="5">
        <f t="shared" si="34"/>
        <v>-1070.416469025176</v>
      </c>
      <c r="BI50" s="5">
        <f t="shared" si="34"/>
        <v>-1628.8946267774422</v>
      </c>
      <c r="BJ50" s="5">
        <f t="shared" si="34"/>
        <v>-1710.3393581163143</v>
      </c>
      <c r="BK50" s="5">
        <f t="shared" si="34"/>
        <v>-1449.7162178319234</v>
      </c>
      <c r="BL50" s="5">
        <f t="shared" si="34"/>
        <v>-1123.9372924764348</v>
      </c>
      <c r="BM50" s="5">
        <f t="shared" si="34"/>
        <v>-1710.3393581163143</v>
      </c>
      <c r="BN50" s="5">
        <f t="shared" si="34"/>
        <v>-1795.8563260221301</v>
      </c>
      <c r="BO50" s="5">
        <f t="shared" si="34"/>
        <v>-1522.2020287235196</v>
      </c>
      <c r="BP50" s="5">
        <f t="shared" si="34"/>
        <v>-1180.1341571002565</v>
      </c>
      <c r="BQ50" s="5">
        <f t="shared" si="34"/>
        <v>-1795.8563260221301</v>
      </c>
      <c r="BR50" s="5">
        <f t="shared" si="34"/>
        <v>-1885.6491423232367</v>
      </c>
      <c r="BS50" s="5">
        <f t="shared" si="34"/>
        <v>-1598.3121301596957</v>
      </c>
      <c r="BT50" s="5">
        <f t="shared" si="34"/>
        <v>-1239.1408649552693</v>
      </c>
      <c r="BU50" s="5">
        <f t="shared" si="34"/>
        <v>-1885.6491423232367</v>
      </c>
      <c r="BV50" s="5">
        <f t="shared" si="34"/>
        <v>-1979.9315994393985</v>
      </c>
      <c r="BW50" s="5">
        <f t="shared" si="34"/>
        <v>-1678.2277366676806</v>
      </c>
      <c r="BX50" s="5">
        <f t="shared" si="34"/>
        <v>-1301.0979082030328</v>
      </c>
      <c r="BY50" s="5">
        <f t="shared" si="34"/>
        <v>-1979.9315994393985</v>
      </c>
      <c r="BZ50" s="5">
        <f t="shared" si="34"/>
        <v>-2078.9281794113685</v>
      </c>
      <c r="CA50" s="5">
        <f t="shared" si="34"/>
        <v>-1762.1391235010647</v>
      </c>
      <c r="CB50" s="5">
        <f t="shared" si="34"/>
        <v>-1366.1528036131845</v>
      </c>
      <c r="CC50" s="5">
        <f t="shared" si="34"/>
        <v>-2078.9281794113685</v>
      </c>
      <c r="CD50" s="5">
        <f t="shared" si="34"/>
        <v>-2182.874588381937</v>
      </c>
      <c r="CE50" s="5">
        <f t="shared" si="34"/>
        <v>-1850.2460796761179</v>
      </c>
      <c r="CF50" s="5">
        <f t="shared" si="34"/>
        <v>-1434.4604437938438</v>
      </c>
      <c r="CG50" s="5">
        <f t="shared" si="34"/>
        <v>-2182.874588381937</v>
      </c>
      <c r="CH50" s="5">
        <f t="shared" si="34"/>
        <v>-2292.0183178010338</v>
      </c>
      <c r="CI50" s="5">
        <f t="shared" si="34"/>
        <v>-1942.758383659924</v>
      </c>
      <c r="CJ50" s="5">
        <f t="shared" si="34"/>
        <v>-1506.1834659835361</v>
      </c>
      <c r="CK50" s="5">
        <f t="shared" si="34"/>
        <v>-2292.0183178010338</v>
      </c>
      <c r="CL50" s="5">
        <f t="shared" si="34"/>
        <v>-2406.6192336910858</v>
      </c>
      <c r="CM50" s="5">
        <f t="shared" ref="CM50:CM56" si="37">CI50*CM$14</f>
        <v>-2039.8963028429202</v>
      </c>
      <c r="CN50" s="5">
        <f t="shared" si="35"/>
        <v>-1581.4926392827128</v>
      </c>
      <c r="CO50" s="5">
        <f t="shared" si="35"/>
        <v>-2406.6192336910858</v>
      </c>
    </row>
    <row r="51" spans="1:93" ht="12.75" customHeight="1" outlineLevel="2">
      <c r="A51" s="35"/>
      <c r="B51" s="63" t="s">
        <v>152</v>
      </c>
      <c r="C51" s="74">
        <f t="shared" si="33"/>
        <v>-289905.35545830108</v>
      </c>
      <c r="D51" s="60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>
        <f>-('операционные расходы 2 этап'!E21+'операционные расходы 2 этап'!F21+'операционные расходы 2 этап'!G21)/1000</f>
        <v>-2994.6654263900964</v>
      </c>
      <c r="X51" s="5">
        <f>-SUM('операционные расходы 2 этап'!H21:J21)/1000</f>
        <v>-3659.2591786384073</v>
      </c>
      <c r="Y51" s="5">
        <f>-SUM('операционные расходы 2 этап'!K21:M21)/1000</f>
        <v>-1394.0377839444459</v>
      </c>
      <c r="Z51" s="5">
        <f>-SUM('операционные расходы 2 этап'!B21:D21)/1000*$Z$14</f>
        <v>-2580.9286489560004</v>
      </c>
      <c r="AA51" s="5">
        <f t="shared" si="36"/>
        <v>-3144.3986977096015</v>
      </c>
      <c r="AB51" s="5">
        <f t="shared" si="36"/>
        <v>-3842.222137570328</v>
      </c>
      <c r="AC51" s="5">
        <f t="shared" si="36"/>
        <v>-1463.7396731416682</v>
      </c>
      <c r="AD51" s="5">
        <f t="shared" si="36"/>
        <v>-2709.9750814038007</v>
      </c>
      <c r="AE51" s="5">
        <f t="shared" si="36"/>
        <v>-3301.6186325950816</v>
      </c>
      <c r="AF51" s="5">
        <f t="shared" si="36"/>
        <v>-4034.3332444488447</v>
      </c>
      <c r="AG51" s="5">
        <f t="shared" si="36"/>
        <v>-1536.9266567987515</v>
      </c>
      <c r="AH51" s="5">
        <f t="shared" si="36"/>
        <v>-2845.4738354739907</v>
      </c>
      <c r="AI51" s="5">
        <f t="shared" si="36"/>
        <v>-3466.6995642248357</v>
      </c>
      <c r="AJ51" s="5">
        <f t="shared" si="36"/>
        <v>-4236.0499066712873</v>
      </c>
      <c r="AK51" s="5">
        <f t="shared" si="36"/>
        <v>-1613.7729896386891</v>
      </c>
      <c r="AL51" s="5">
        <f t="shared" si="36"/>
        <v>-2987.7475272476904</v>
      </c>
      <c r="AM51" s="5">
        <f t="shared" si="36"/>
        <v>-3640.0345424360776</v>
      </c>
      <c r="AN51" s="5">
        <f t="shared" si="36"/>
        <v>-4447.8524020048517</v>
      </c>
      <c r="AO51" s="5">
        <f t="shared" si="36"/>
        <v>-1694.4616391206237</v>
      </c>
      <c r="AP51" s="5">
        <f t="shared" si="36"/>
        <v>-3137.1349036100751</v>
      </c>
      <c r="AQ51" s="5">
        <f t="shared" ref="AQ51:BF56" si="38">AM51*AQ$14</f>
        <v>-3822.0362695578815</v>
      </c>
      <c r="AR51" s="5">
        <f t="shared" si="38"/>
        <v>-4670.2450221050949</v>
      </c>
      <c r="AS51" s="5">
        <f t="shared" si="38"/>
        <v>-1779.184721076655</v>
      </c>
      <c r="AT51" s="5">
        <f t="shared" si="38"/>
        <v>-3293.9916487905789</v>
      </c>
      <c r="AU51" s="5">
        <f t="shared" si="38"/>
        <v>-4013.1380830357757</v>
      </c>
      <c r="AV51" s="5">
        <f t="shared" si="38"/>
        <v>-4903.7572732103499</v>
      </c>
      <c r="AW51" s="5">
        <f t="shared" si="38"/>
        <v>-1868.1439571304879</v>
      </c>
      <c r="AX51" s="5">
        <f t="shared" si="38"/>
        <v>-3458.6912312301079</v>
      </c>
      <c r="AY51" s="5">
        <f t="shared" si="38"/>
        <v>-4213.7949871875644</v>
      </c>
      <c r="AZ51" s="5">
        <f t="shared" si="38"/>
        <v>-5148.9451368708678</v>
      </c>
      <c r="BA51" s="5">
        <f t="shared" si="38"/>
        <v>-1961.5511549870125</v>
      </c>
      <c r="BB51" s="5">
        <f t="shared" si="38"/>
        <v>-3631.6257927916135</v>
      </c>
      <c r="BC51" s="5">
        <f t="shared" si="38"/>
        <v>-4424.4847365469432</v>
      </c>
      <c r="BD51" s="5">
        <f t="shared" si="38"/>
        <v>-5406.3923937144118</v>
      </c>
      <c r="BE51" s="5">
        <f t="shared" si="38"/>
        <v>-2059.628712736363</v>
      </c>
      <c r="BF51" s="5">
        <f t="shared" si="38"/>
        <v>-3813.2070824311945</v>
      </c>
      <c r="BG51" s="5">
        <f t="shared" ref="BG51:BV56" si="39">BC51*BG$14</f>
        <v>-4645.7089733742905</v>
      </c>
      <c r="BH51" s="5">
        <f t="shared" si="39"/>
        <v>-5676.7120134001325</v>
      </c>
      <c r="BI51" s="5">
        <f t="shared" si="39"/>
        <v>-2162.6101483731813</v>
      </c>
      <c r="BJ51" s="5">
        <f t="shared" si="39"/>
        <v>-4003.8674365527545</v>
      </c>
      <c r="BK51" s="5">
        <f t="shared" si="39"/>
        <v>-4877.9944220430052</v>
      </c>
      <c r="BL51" s="5">
        <f t="shared" si="39"/>
        <v>-5960.5476140701394</v>
      </c>
      <c r="BM51" s="5">
        <f t="shared" si="39"/>
        <v>-2270.7406557918407</v>
      </c>
      <c r="BN51" s="5">
        <f t="shared" si="39"/>
        <v>-4204.0608083803927</v>
      </c>
      <c r="BO51" s="5">
        <f t="shared" si="39"/>
        <v>-5121.8941431451558</v>
      </c>
      <c r="BP51" s="5">
        <f t="shared" si="39"/>
        <v>-6258.5749947736467</v>
      </c>
      <c r="BQ51" s="5">
        <f t="shared" si="39"/>
        <v>-2384.2776885814328</v>
      </c>
      <c r="BR51" s="5">
        <f t="shared" si="39"/>
        <v>-4414.2638487994127</v>
      </c>
      <c r="BS51" s="5">
        <f t="shared" si="39"/>
        <v>-5377.988850302414</v>
      </c>
      <c r="BT51" s="5">
        <f t="shared" si="39"/>
        <v>-6571.5037445123289</v>
      </c>
      <c r="BU51" s="5">
        <f t="shared" si="39"/>
        <v>-2503.4915730105045</v>
      </c>
      <c r="BV51" s="5">
        <f t="shared" si="39"/>
        <v>-4634.9770412393837</v>
      </c>
      <c r="BW51" s="5">
        <f t="shared" ref="BW51:CL56" si="40">BS51*BW$14</f>
        <v>-5646.8882928175353</v>
      </c>
      <c r="BX51" s="5">
        <f t="shared" si="40"/>
        <v>-6900.0789317379458</v>
      </c>
      <c r="BY51" s="5">
        <f t="shared" si="40"/>
        <v>-2628.6661516610297</v>
      </c>
      <c r="BZ51" s="5">
        <f t="shared" si="40"/>
        <v>-4866.7258933013527</v>
      </c>
      <c r="CA51" s="5">
        <f t="shared" si="40"/>
        <v>-5929.2327074584127</v>
      </c>
      <c r="CB51" s="5">
        <f t="shared" si="40"/>
        <v>-7245.0828783248435</v>
      </c>
      <c r="CC51" s="5">
        <f t="shared" si="40"/>
        <v>-2760.0994592440816</v>
      </c>
      <c r="CD51" s="5">
        <f t="shared" si="40"/>
        <v>-5110.0621879664204</v>
      </c>
      <c r="CE51" s="5">
        <f t="shared" si="40"/>
        <v>-6225.6943428313334</v>
      </c>
      <c r="CF51" s="5">
        <f t="shared" si="40"/>
        <v>-7607.3370222410858</v>
      </c>
      <c r="CG51" s="5">
        <f t="shared" si="40"/>
        <v>-2898.1044322062858</v>
      </c>
      <c r="CH51" s="5">
        <f t="shared" si="40"/>
        <v>-5365.565297364742</v>
      </c>
      <c r="CI51" s="5">
        <f t="shared" si="40"/>
        <v>-6536.9790599729004</v>
      </c>
      <c r="CJ51" s="5">
        <f t="shared" si="40"/>
        <v>-7987.7038733531408</v>
      </c>
      <c r="CK51" s="5">
        <f t="shared" si="40"/>
        <v>-3043.0096538166003</v>
      </c>
      <c r="CL51" s="5">
        <f t="shared" si="40"/>
        <v>-5633.8435622329798</v>
      </c>
      <c r="CM51" s="5">
        <f t="shared" si="37"/>
        <v>-6863.8280129715458</v>
      </c>
      <c r="CN51" s="5">
        <f t="shared" si="35"/>
        <v>-8387.0890670207973</v>
      </c>
      <c r="CO51" s="5">
        <f t="shared" si="35"/>
        <v>-3195.1601365074307</v>
      </c>
    </row>
    <row r="52" spans="1:93" ht="12.75" customHeight="1" outlineLevel="2">
      <c r="A52" s="35"/>
      <c r="B52" s="63" t="s">
        <v>153</v>
      </c>
      <c r="C52" s="74">
        <f t="shared" si="33"/>
        <v>-93633.572454093766</v>
      </c>
      <c r="D52" s="60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>
        <f>-('операционные расходы 2 этап'!E22+'операционные расходы 2 этап'!F22+'операционные расходы 2 этап'!G22)/1000</f>
        <v>-947.94758068750002</v>
      </c>
      <c r="X52" s="5">
        <f>-SUM('операционные расходы 2 этап'!H22:J22)/1000</f>
        <v>-1280.6755328812501</v>
      </c>
      <c r="Y52" s="5">
        <f>-SUM('операционные расходы 2 этап'!K22:M22)/1000</f>
        <v>-522.74253635624996</v>
      </c>
      <c r="Z52" s="5">
        <f>-SUM('операционные расходы 2 этап'!B22:D22)/1000*$Z$14</f>
        <v>-674.49628386656241</v>
      </c>
      <c r="AA52" s="5">
        <f>W52*AA$14</f>
        <v>-995.34495972187506</v>
      </c>
      <c r="AB52" s="5">
        <f t="shared" si="36"/>
        <v>-1344.7093095253126</v>
      </c>
      <c r="AC52" s="5">
        <f t="shared" si="36"/>
        <v>-548.87966317406244</v>
      </c>
      <c r="AD52" s="5">
        <f t="shared" si="36"/>
        <v>-708.22109805989055</v>
      </c>
      <c r="AE52" s="5">
        <f t="shared" si="36"/>
        <v>-1045.1122077079688</v>
      </c>
      <c r="AF52" s="5">
        <f t="shared" si="36"/>
        <v>-1411.9447750015784</v>
      </c>
      <c r="AG52" s="5">
        <f t="shared" si="36"/>
        <v>-576.32364633276563</v>
      </c>
      <c r="AH52" s="5">
        <f t="shared" si="36"/>
        <v>-743.63215296288513</v>
      </c>
      <c r="AI52" s="5">
        <f t="shared" si="36"/>
        <v>-1097.3678180933673</v>
      </c>
      <c r="AJ52" s="5">
        <f t="shared" si="36"/>
        <v>-1482.5420137516574</v>
      </c>
      <c r="AK52" s="5">
        <f t="shared" si="36"/>
        <v>-605.13982864940397</v>
      </c>
      <c r="AL52" s="5">
        <f t="shared" si="36"/>
        <v>-780.81376061102947</v>
      </c>
      <c r="AM52" s="5">
        <f t="shared" si="36"/>
        <v>-1152.2362089980356</v>
      </c>
      <c r="AN52" s="5">
        <f t="shared" si="36"/>
        <v>-1556.6691144392403</v>
      </c>
      <c r="AO52" s="5">
        <f t="shared" si="36"/>
        <v>-635.39682008187424</v>
      </c>
      <c r="AP52" s="5">
        <f t="shared" si="36"/>
        <v>-819.85444864158103</v>
      </c>
      <c r="AQ52" s="5">
        <f t="shared" si="38"/>
        <v>-1209.8480194479375</v>
      </c>
      <c r="AR52" s="5">
        <f t="shared" si="38"/>
        <v>-1634.5025701612024</v>
      </c>
      <c r="AS52" s="5">
        <f t="shared" si="38"/>
        <v>-667.16666108596803</v>
      </c>
      <c r="AT52" s="5">
        <f t="shared" si="38"/>
        <v>-860.84717107366009</v>
      </c>
      <c r="AU52" s="5">
        <f t="shared" si="38"/>
        <v>-1270.3404204203346</v>
      </c>
      <c r="AV52" s="5">
        <f t="shared" si="38"/>
        <v>-1716.2276986692625</v>
      </c>
      <c r="AW52" s="5">
        <f t="shared" si="38"/>
        <v>-700.52499414026647</v>
      </c>
      <c r="AX52" s="5">
        <f t="shared" si="38"/>
        <v>-903.88952962734311</v>
      </c>
      <c r="AY52" s="5">
        <f t="shared" si="38"/>
        <v>-1333.8574414413513</v>
      </c>
      <c r="AZ52" s="5">
        <f t="shared" si="38"/>
        <v>-1802.0390836027257</v>
      </c>
      <c r="BA52" s="5">
        <f t="shared" si="38"/>
        <v>-735.55124384727981</v>
      </c>
      <c r="BB52" s="5">
        <f t="shared" si="38"/>
        <v>-949.08400610871035</v>
      </c>
      <c r="BC52" s="5">
        <f t="shared" si="38"/>
        <v>-1400.5503135134188</v>
      </c>
      <c r="BD52" s="5">
        <f t="shared" si="38"/>
        <v>-1892.141037782862</v>
      </c>
      <c r="BE52" s="5">
        <f t="shared" si="38"/>
        <v>-772.32880603964384</v>
      </c>
      <c r="BF52" s="5">
        <f t="shared" si="38"/>
        <v>-996.53820641414586</v>
      </c>
      <c r="BG52" s="5">
        <f t="shared" si="39"/>
        <v>-1470.5778291890899</v>
      </c>
      <c r="BH52" s="5">
        <f t="shared" si="39"/>
        <v>-1986.7480896720051</v>
      </c>
      <c r="BI52" s="5">
        <f t="shared" si="39"/>
        <v>-810.9452463416261</v>
      </c>
      <c r="BJ52" s="5">
        <f t="shared" si="39"/>
        <v>-1046.3651167348532</v>
      </c>
      <c r="BK52" s="5">
        <f t="shared" si="39"/>
        <v>-1544.1067206485445</v>
      </c>
      <c r="BL52" s="5">
        <f t="shared" si="39"/>
        <v>-2086.0854941556054</v>
      </c>
      <c r="BM52" s="5">
        <f t="shared" si="39"/>
        <v>-851.49250865870749</v>
      </c>
      <c r="BN52" s="5">
        <f t="shared" si="39"/>
        <v>-1098.683372571596</v>
      </c>
      <c r="BO52" s="5">
        <f t="shared" si="39"/>
        <v>-1621.3120566809719</v>
      </c>
      <c r="BP52" s="5">
        <f t="shared" si="39"/>
        <v>-2190.3897688633856</v>
      </c>
      <c r="BQ52" s="5">
        <f t="shared" si="39"/>
        <v>-894.06713409164286</v>
      </c>
      <c r="BR52" s="5">
        <f t="shared" si="39"/>
        <v>-1153.6175412001758</v>
      </c>
      <c r="BS52" s="5">
        <f t="shared" si="39"/>
        <v>-1702.3776595150205</v>
      </c>
      <c r="BT52" s="5">
        <f t="shared" si="39"/>
        <v>-2299.909257306555</v>
      </c>
      <c r="BU52" s="5">
        <f t="shared" si="39"/>
        <v>-938.77049079622509</v>
      </c>
      <c r="BV52" s="5">
        <f t="shared" si="39"/>
        <v>-1211.2984182601847</v>
      </c>
      <c r="BW52" s="5">
        <f t="shared" si="40"/>
        <v>-1787.4965424907716</v>
      </c>
      <c r="BX52" s="5">
        <f t="shared" si="40"/>
        <v>-2414.9047201718827</v>
      </c>
      <c r="BY52" s="5">
        <f t="shared" si="40"/>
        <v>-985.70901533603637</v>
      </c>
      <c r="BZ52" s="5">
        <f t="shared" si="40"/>
        <v>-1271.8633391731939</v>
      </c>
      <c r="CA52" s="5">
        <f t="shared" si="40"/>
        <v>-1876.8713696153102</v>
      </c>
      <c r="CB52" s="5">
        <f t="shared" si="40"/>
        <v>-2535.6499561804767</v>
      </c>
      <c r="CC52" s="5">
        <f t="shared" si="40"/>
        <v>-1034.9944661028383</v>
      </c>
      <c r="CD52" s="5">
        <f t="shared" si="40"/>
        <v>-1335.4565061318538</v>
      </c>
      <c r="CE52" s="5">
        <f t="shared" si="40"/>
        <v>-1970.7149380960757</v>
      </c>
      <c r="CF52" s="5">
        <f t="shared" si="40"/>
        <v>-2662.4324539895006</v>
      </c>
      <c r="CG52" s="5">
        <f t="shared" si="40"/>
        <v>-1086.7441894079802</v>
      </c>
      <c r="CH52" s="5">
        <f t="shared" si="40"/>
        <v>-1402.2293314384465</v>
      </c>
      <c r="CI52" s="5">
        <f t="shared" si="40"/>
        <v>-2069.2506850008795</v>
      </c>
      <c r="CJ52" s="5">
        <f t="shared" si="40"/>
        <v>-2795.5540766889758</v>
      </c>
      <c r="CK52" s="5">
        <f t="shared" si="40"/>
        <v>-1141.0813988783793</v>
      </c>
      <c r="CL52" s="5">
        <f t="shared" si="40"/>
        <v>-1472.3407980103689</v>
      </c>
      <c r="CM52" s="5">
        <f t="shared" si="37"/>
        <v>-2172.7132192509234</v>
      </c>
      <c r="CN52" s="5">
        <f t="shared" si="35"/>
        <v>-2935.3317805234246</v>
      </c>
      <c r="CO52" s="5">
        <f t="shared" si="35"/>
        <v>-1198.1354688222984</v>
      </c>
    </row>
    <row r="53" spans="1:93" ht="12.75" customHeight="1" outlineLevel="2">
      <c r="A53" s="35"/>
      <c r="B53" s="63" t="s">
        <v>154</v>
      </c>
      <c r="C53" s="74">
        <f t="shared" si="33"/>
        <v>-19738.138162528056</v>
      </c>
      <c r="D53" s="60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>
        <f>-('операционные расходы 2 этап'!E23+'операционные расходы 2 этап'!F23+'операционные расходы 2 этап'!G23)/1000</f>
        <v>-193.5</v>
      </c>
      <c r="X53" s="5">
        <f>-SUM('операционные расходы 2 этап'!H23:J23)/1000</f>
        <v>-207</v>
      </c>
      <c r="Y53" s="5">
        <f>-SUM('операционные расходы 2 этап'!K23:M23)/1000</f>
        <v>-153</v>
      </c>
      <c r="Z53" s="5">
        <f>-SUM('операционные расходы 2 этап'!B23:D23)/1000*$Z$14</f>
        <v>-174.82500000000002</v>
      </c>
      <c r="AA53" s="5">
        <f>W53*AA$14</f>
        <v>-203.17500000000001</v>
      </c>
      <c r="AB53" s="5">
        <f t="shared" ref="AB53:AB54" si="41">X53*AB$14</f>
        <v>-217.35000000000002</v>
      </c>
      <c r="AC53" s="5">
        <f t="shared" ref="AC53:AC54" si="42">Y53*AC$14</f>
        <v>-160.65</v>
      </c>
      <c r="AD53" s="5">
        <f t="shared" ref="AD53:AD54" si="43">Z53*AD$14</f>
        <v>-183.56625000000003</v>
      </c>
      <c r="AE53" s="5">
        <f t="shared" ref="AE53:AE54" si="44">AA53*AE$14</f>
        <v>-213.33375000000001</v>
      </c>
      <c r="AF53" s="5">
        <f t="shared" ref="AF53:AF54" si="45">AB53*AF$14</f>
        <v>-228.21750000000003</v>
      </c>
      <c r="AG53" s="5">
        <f t="shared" ref="AG53:AG54" si="46">AC53*AG$14</f>
        <v>-168.6825</v>
      </c>
      <c r="AH53" s="5">
        <f t="shared" ref="AH53:AH54" si="47">AD53*AH$14</f>
        <v>-192.74456250000003</v>
      </c>
      <c r="AI53" s="5">
        <f t="shared" ref="AI53:AI54" si="48">AE53*AI$14</f>
        <v>-224.00043750000003</v>
      </c>
      <c r="AJ53" s="5">
        <f t="shared" ref="AJ53:AJ54" si="49">AF53*AJ$14</f>
        <v>-239.62837500000003</v>
      </c>
      <c r="AK53" s="5">
        <f t="shared" ref="AK53:AK54" si="50">AG53*AK$14</f>
        <v>-177.116625</v>
      </c>
      <c r="AL53" s="5">
        <f t="shared" ref="AL53:AL54" si="51">AH53*AL$14</f>
        <v>-202.38179062500004</v>
      </c>
      <c r="AM53" s="5">
        <f t="shared" ref="AM53:AM54" si="52">AI53*AM$14</f>
        <v>-235.20045937500004</v>
      </c>
      <c r="AN53" s="5">
        <f t="shared" ref="AN53:AN54" si="53">AJ53*AN$14</f>
        <v>-251.60979375000005</v>
      </c>
      <c r="AO53" s="5">
        <f t="shared" ref="AO53:AO54" si="54">AK53*AO$14</f>
        <v>-185.97245624999999</v>
      </c>
      <c r="AP53" s="5">
        <f t="shared" ref="AP53:AP54" si="55">AL53*AP$14</f>
        <v>-212.50088015625005</v>
      </c>
      <c r="AQ53" s="5">
        <f t="shared" ref="AQ53:AQ54" si="56">AM53*AQ$14</f>
        <v>-246.96048234375004</v>
      </c>
      <c r="AR53" s="5">
        <f t="shared" ref="AR53:AR54" si="57">AN53*AR$14</f>
        <v>-264.19028343750006</v>
      </c>
      <c r="AS53" s="5">
        <f t="shared" ref="AS53:AS54" si="58">AO53*AS$14</f>
        <v>-195.27107906250001</v>
      </c>
      <c r="AT53" s="5">
        <f t="shared" ref="AT53:AT54" si="59">AP53*AT$14</f>
        <v>-223.12592416406255</v>
      </c>
      <c r="AU53" s="5">
        <f t="shared" ref="AU53:AU54" si="60">AQ53*AU$14</f>
        <v>-259.30850646093756</v>
      </c>
      <c r="AV53" s="5">
        <f t="shared" ref="AV53:AV54" si="61">AR53*AV$14</f>
        <v>-277.39979760937507</v>
      </c>
      <c r="AW53" s="5">
        <f t="shared" ref="AW53:AW54" si="62">AS53*AW$14</f>
        <v>-205.03463301562502</v>
      </c>
      <c r="AX53" s="5">
        <f t="shared" ref="AX53:AX54" si="63">AT53*AX$14</f>
        <v>-234.2822203722657</v>
      </c>
      <c r="AY53" s="5">
        <f t="shared" ref="AY53:AY54" si="64">AU53*AY$14</f>
        <v>-272.27393178398444</v>
      </c>
      <c r="AZ53" s="5">
        <f t="shared" ref="AZ53:AZ54" si="65">AV53*AZ$14</f>
        <v>-291.26978748984385</v>
      </c>
      <c r="BA53" s="5">
        <f t="shared" ref="BA53:BA54" si="66">AW53*BA$14</f>
        <v>-215.28636466640629</v>
      </c>
      <c r="BB53" s="5">
        <f t="shared" ref="BB53:BB54" si="67">AX53*BB$14</f>
        <v>-245.99633139087899</v>
      </c>
      <c r="BC53" s="5">
        <f t="shared" ref="BC53:BC54" si="68">AY53*BC$14</f>
        <v>-285.88762837318365</v>
      </c>
      <c r="BD53" s="5">
        <f t="shared" ref="BD53:BD54" si="69">AZ53*BD$14</f>
        <v>-305.83327686433603</v>
      </c>
      <c r="BE53" s="5">
        <f t="shared" ref="BE53:BE54" si="70">BA53*BE$14</f>
        <v>-226.05068289972661</v>
      </c>
      <c r="BF53" s="5">
        <f t="shared" ref="BF53:BF54" si="71">BB53*BF$14</f>
        <v>-258.29614796042296</v>
      </c>
      <c r="BG53" s="5">
        <f t="shared" ref="BG53:BG54" si="72">BC53*BG$14</f>
        <v>-300.18200979184286</v>
      </c>
      <c r="BH53" s="5">
        <f t="shared" ref="BH53:BH54" si="73">BD53*BH$14</f>
        <v>-321.12494070755287</v>
      </c>
      <c r="BI53" s="5">
        <f t="shared" ref="BI53:BI54" si="74">BE53*BI$14</f>
        <v>-237.35321704471295</v>
      </c>
      <c r="BJ53" s="5">
        <f t="shared" ref="BJ53:BJ54" si="75">BF53*BJ$14</f>
        <v>-271.2109553584441</v>
      </c>
      <c r="BK53" s="5">
        <f t="shared" ref="BK53:BK54" si="76">BG53*BK$14</f>
        <v>-315.19111028143499</v>
      </c>
      <c r="BL53" s="5">
        <f t="shared" ref="BL53:BL54" si="77">BH53*BL$14</f>
        <v>-337.18118774293055</v>
      </c>
      <c r="BM53" s="5">
        <f t="shared" ref="BM53:BM54" si="78">BI53*BM$14</f>
        <v>-249.22087789694859</v>
      </c>
      <c r="BN53" s="5">
        <f t="shared" ref="BN53:BN54" si="79">BJ53*BN$14</f>
        <v>-284.77150312636633</v>
      </c>
      <c r="BO53" s="5">
        <f t="shared" ref="BO53:BO54" si="80">BK53*BO$14</f>
        <v>-330.95066579550672</v>
      </c>
      <c r="BP53" s="5">
        <f t="shared" ref="BP53:BP54" si="81">BL53*BP$14</f>
        <v>-354.04024713007709</v>
      </c>
      <c r="BQ53" s="5">
        <f t="shared" ref="BQ53:BQ54" si="82">BM53*BQ$14</f>
        <v>-261.68192179179601</v>
      </c>
      <c r="BR53" s="5">
        <f t="shared" ref="BR53:BR54" si="83">BN53*BR$14</f>
        <v>-299.01007828268467</v>
      </c>
      <c r="BS53" s="5">
        <f t="shared" ref="BS53:BS54" si="84">BO53*BS$14</f>
        <v>-347.49819908528207</v>
      </c>
      <c r="BT53" s="5">
        <f t="shared" ref="BT53:BT54" si="85">BP53*BT$14</f>
        <v>-371.74225948658096</v>
      </c>
      <c r="BU53" s="5">
        <f t="shared" ref="BU53:BU54" si="86">BQ53*BU$14</f>
        <v>-274.76601788138584</v>
      </c>
      <c r="BV53" s="5">
        <f t="shared" ref="BV53:BV54" si="87">BR53*BV$14</f>
        <v>-313.9605821968189</v>
      </c>
      <c r="BW53" s="5">
        <f t="shared" ref="BW53:BW54" si="88">BS53*BW$14</f>
        <v>-364.87310903954619</v>
      </c>
      <c r="BX53" s="5">
        <f t="shared" ref="BX53:BX54" si="89">BT53*BX$14</f>
        <v>-390.32937246091001</v>
      </c>
      <c r="BY53" s="5">
        <f t="shared" ref="BY53:BY54" si="90">BU53*BY$14</f>
        <v>-288.50431877545515</v>
      </c>
      <c r="BZ53" s="5">
        <f t="shared" ref="BZ53:BZ54" si="91">BV53*BZ$14</f>
        <v>-329.65861130665985</v>
      </c>
      <c r="CA53" s="5">
        <f t="shared" ref="CA53:CA54" si="92">BW53*CA$14</f>
        <v>-383.1167644915235</v>
      </c>
      <c r="CB53" s="5">
        <f t="shared" ref="CB53:CB54" si="93">BX53*CB$14</f>
        <v>-409.84584108395552</v>
      </c>
      <c r="CC53" s="5">
        <f t="shared" ref="CC53:CC54" si="94">BY53*CC$14</f>
        <v>-302.92953471422794</v>
      </c>
      <c r="CD53" s="5">
        <f t="shared" ref="CD53:CD54" si="95">BZ53*CD$14</f>
        <v>-346.14154187199284</v>
      </c>
      <c r="CE53" s="5">
        <f t="shared" ref="CE53:CE54" si="96">CA53*CE$14</f>
        <v>-402.2726027160997</v>
      </c>
      <c r="CF53" s="5">
        <f t="shared" ref="CF53:CF54" si="97">CB53*CF$14</f>
        <v>-430.3381331381533</v>
      </c>
      <c r="CG53" s="5">
        <f t="shared" ref="CG53:CG54" si="98">CC53*CG$14</f>
        <v>-318.07601144993936</v>
      </c>
      <c r="CH53" s="5">
        <f t="shared" ref="CH53:CH54" si="99">CD53*CH$14</f>
        <v>-363.44861896559252</v>
      </c>
      <c r="CI53" s="5">
        <f t="shared" ref="CI53:CI54" si="100">CE53*CI$14</f>
        <v>-422.38623285190471</v>
      </c>
      <c r="CJ53" s="5">
        <f t="shared" ref="CJ53:CJ54" si="101">CF53*CJ$14</f>
        <v>-451.85503979506097</v>
      </c>
      <c r="CK53" s="5">
        <f t="shared" ref="CK53:CK54" si="102">CG53*CK$14</f>
        <v>-333.97981202243636</v>
      </c>
      <c r="CL53" s="5">
        <f t="shared" ref="CL53:CL54" si="103">CH53*CL$14</f>
        <v>-381.62104991387218</v>
      </c>
      <c r="CM53" s="5">
        <f t="shared" ref="CM53:CM54" si="104">CI53*CM$14</f>
        <v>-443.50554449449999</v>
      </c>
      <c r="CN53" s="5">
        <f t="shared" ref="CN53:CN54" si="105">CJ53*CN$14</f>
        <v>-474.44779178481406</v>
      </c>
      <c r="CO53" s="5">
        <f t="shared" ref="CO53:CO54" si="106">CK53*CO$14</f>
        <v>-350.67880262355817</v>
      </c>
    </row>
    <row r="54" spans="1:93" ht="12.75" customHeight="1" outlineLevel="2">
      <c r="A54" s="35"/>
      <c r="B54" s="63" t="s">
        <v>155</v>
      </c>
      <c r="C54" s="74">
        <f t="shared" si="33"/>
        <v>-11469.939639636006</v>
      </c>
      <c r="D54" s="60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>
        <f>-('операционные расходы 2 этап'!E24+'операционные расходы 2 этап'!F24+'операционные расходы 2 этап'!G24)/1000</f>
        <v>-105</v>
      </c>
      <c r="X54" s="5">
        <f>-SUM('операционные расходы 2 этап'!H24:J24)/1000</f>
        <v>-105</v>
      </c>
      <c r="Y54" s="5">
        <f>-SUM('операционные расходы 2 этап'!K24:M24)/1000</f>
        <v>-105</v>
      </c>
      <c r="Z54" s="5">
        <f>-SUM('операционные расходы 2 этап'!B24:D24)/1000*$Z$14</f>
        <v>-110.25</v>
      </c>
      <c r="AA54" s="5">
        <f>W54*AA$14</f>
        <v>-110.25</v>
      </c>
      <c r="AB54" s="5">
        <f t="shared" si="41"/>
        <v>-110.25</v>
      </c>
      <c r="AC54" s="5">
        <f t="shared" si="42"/>
        <v>-110.25</v>
      </c>
      <c r="AD54" s="5">
        <f t="shared" si="43"/>
        <v>-115.7625</v>
      </c>
      <c r="AE54" s="5">
        <f t="shared" si="44"/>
        <v>-115.7625</v>
      </c>
      <c r="AF54" s="5">
        <f t="shared" si="45"/>
        <v>-115.7625</v>
      </c>
      <c r="AG54" s="5">
        <f t="shared" si="46"/>
        <v>-115.7625</v>
      </c>
      <c r="AH54" s="5">
        <f t="shared" si="47"/>
        <v>-121.55062500000001</v>
      </c>
      <c r="AI54" s="5">
        <f t="shared" si="48"/>
        <v>-121.55062500000001</v>
      </c>
      <c r="AJ54" s="5">
        <f t="shared" si="49"/>
        <v>-121.55062500000001</v>
      </c>
      <c r="AK54" s="5">
        <f t="shared" si="50"/>
        <v>-121.55062500000001</v>
      </c>
      <c r="AL54" s="5">
        <f t="shared" si="51"/>
        <v>-127.62815625000002</v>
      </c>
      <c r="AM54" s="5">
        <f t="shared" si="52"/>
        <v>-127.62815625000002</v>
      </c>
      <c r="AN54" s="5">
        <f t="shared" si="53"/>
        <v>-127.62815625000002</v>
      </c>
      <c r="AO54" s="5">
        <f t="shared" si="54"/>
        <v>-127.62815625000002</v>
      </c>
      <c r="AP54" s="5">
        <f t="shared" si="55"/>
        <v>-134.00956406250003</v>
      </c>
      <c r="AQ54" s="5">
        <f t="shared" si="56"/>
        <v>-134.00956406250003</v>
      </c>
      <c r="AR54" s="5">
        <f t="shared" si="57"/>
        <v>-134.00956406250003</v>
      </c>
      <c r="AS54" s="5">
        <f t="shared" si="58"/>
        <v>-134.00956406250003</v>
      </c>
      <c r="AT54" s="5">
        <f t="shared" si="59"/>
        <v>-140.71004226562505</v>
      </c>
      <c r="AU54" s="5">
        <f t="shared" si="60"/>
        <v>-140.71004226562505</v>
      </c>
      <c r="AV54" s="5">
        <f t="shared" si="61"/>
        <v>-140.71004226562505</v>
      </c>
      <c r="AW54" s="5">
        <f t="shared" si="62"/>
        <v>-140.71004226562505</v>
      </c>
      <c r="AX54" s="5">
        <f t="shared" si="63"/>
        <v>-147.74554437890632</v>
      </c>
      <c r="AY54" s="5">
        <f t="shared" si="64"/>
        <v>-147.74554437890632</v>
      </c>
      <c r="AZ54" s="5">
        <f t="shared" si="65"/>
        <v>-147.74554437890632</v>
      </c>
      <c r="BA54" s="5">
        <f t="shared" si="66"/>
        <v>-147.74554437890632</v>
      </c>
      <c r="BB54" s="5">
        <f t="shared" si="67"/>
        <v>-155.13282159785163</v>
      </c>
      <c r="BC54" s="5">
        <f t="shared" si="68"/>
        <v>-155.13282159785163</v>
      </c>
      <c r="BD54" s="5">
        <f t="shared" si="69"/>
        <v>-155.13282159785163</v>
      </c>
      <c r="BE54" s="5">
        <f t="shared" si="70"/>
        <v>-155.13282159785163</v>
      </c>
      <c r="BF54" s="5">
        <f t="shared" si="71"/>
        <v>-162.88946267774421</v>
      </c>
      <c r="BG54" s="5">
        <f t="shared" si="72"/>
        <v>-162.88946267774421</v>
      </c>
      <c r="BH54" s="5">
        <f t="shared" si="73"/>
        <v>-162.88946267774421</v>
      </c>
      <c r="BI54" s="5">
        <f t="shared" si="74"/>
        <v>-162.88946267774421</v>
      </c>
      <c r="BJ54" s="5">
        <f t="shared" si="75"/>
        <v>-171.03393581163144</v>
      </c>
      <c r="BK54" s="5">
        <f t="shared" si="76"/>
        <v>-171.03393581163144</v>
      </c>
      <c r="BL54" s="5">
        <f t="shared" si="77"/>
        <v>-171.03393581163144</v>
      </c>
      <c r="BM54" s="5">
        <f t="shared" si="78"/>
        <v>-171.03393581163144</v>
      </c>
      <c r="BN54" s="5">
        <f t="shared" si="79"/>
        <v>-179.58563260221302</v>
      </c>
      <c r="BO54" s="5">
        <f t="shared" si="80"/>
        <v>-179.58563260221302</v>
      </c>
      <c r="BP54" s="5">
        <f t="shared" si="81"/>
        <v>-179.58563260221302</v>
      </c>
      <c r="BQ54" s="5">
        <f t="shared" si="82"/>
        <v>-179.58563260221302</v>
      </c>
      <c r="BR54" s="5">
        <f t="shared" si="83"/>
        <v>-188.56491423232367</v>
      </c>
      <c r="BS54" s="5">
        <f t="shared" si="84"/>
        <v>-188.56491423232367</v>
      </c>
      <c r="BT54" s="5">
        <f t="shared" si="85"/>
        <v>-188.56491423232367</v>
      </c>
      <c r="BU54" s="5">
        <f t="shared" si="86"/>
        <v>-188.56491423232367</v>
      </c>
      <c r="BV54" s="5">
        <f t="shared" si="87"/>
        <v>-197.99315994393987</v>
      </c>
      <c r="BW54" s="5">
        <f t="shared" si="88"/>
        <v>-197.99315994393987</v>
      </c>
      <c r="BX54" s="5">
        <f t="shared" si="89"/>
        <v>-197.99315994393987</v>
      </c>
      <c r="BY54" s="5">
        <f t="shared" si="90"/>
        <v>-197.99315994393987</v>
      </c>
      <c r="BZ54" s="5">
        <f t="shared" si="91"/>
        <v>-207.89281794113688</v>
      </c>
      <c r="CA54" s="5">
        <f t="shared" si="92"/>
        <v>-207.89281794113688</v>
      </c>
      <c r="CB54" s="5">
        <f t="shared" si="93"/>
        <v>-207.89281794113688</v>
      </c>
      <c r="CC54" s="5">
        <f t="shared" si="94"/>
        <v>-207.89281794113688</v>
      </c>
      <c r="CD54" s="5">
        <f t="shared" si="95"/>
        <v>-218.28745883819374</v>
      </c>
      <c r="CE54" s="5">
        <f t="shared" si="96"/>
        <v>-218.28745883819374</v>
      </c>
      <c r="CF54" s="5">
        <f t="shared" si="97"/>
        <v>-218.28745883819374</v>
      </c>
      <c r="CG54" s="5">
        <f t="shared" si="98"/>
        <v>-218.28745883819374</v>
      </c>
      <c r="CH54" s="5">
        <f t="shared" si="99"/>
        <v>-229.20183178010345</v>
      </c>
      <c r="CI54" s="5">
        <f t="shared" si="100"/>
        <v>-229.20183178010345</v>
      </c>
      <c r="CJ54" s="5">
        <f t="shared" si="101"/>
        <v>-229.20183178010345</v>
      </c>
      <c r="CK54" s="5">
        <f t="shared" si="102"/>
        <v>-229.20183178010345</v>
      </c>
      <c r="CL54" s="5">
        <f t="shared" si="103"/>
        <v>-240.66192336910862</v>
      </c>
      <c r="CM54" s="5">
        <f t="shared" si="104"/>
        <v>-240.66192336910862</v>
      </c>
      <c r="CN54" s="5">
        <f t="shared" si="105"/>
        <v>-240.66192336910862</v>
      </c>
      <c r="CO54" s="5">
        <f t="shared" si="106"/>
        <v>-240.66192336910862</v>
      </c>
    </row>
    <row r="55" spans="1:93" ht="12.75" customHeight="1" outlineLevel="2">
      <c r="A55" s="35"/>
      <c r="B55" s="63" t="s">
        <v>156</v>
      </c>
      <c r="C55" s="74">
        <f t="shared" si="33"/>
        <v>-93633.572454093766</v>
      </c>
      <c r="D55" s="60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>
        <f>-('операционные расходы 2 этап'!E25+'операционные расходы 2 этап'!F25+'операционные расходы 2 этап'!G25)/1000</f>
        <v>-947.94758068750002</v>
      </c>
      <c r="X55" s="5">
        <f>-SUM('операционные расходы 2 этап'!H25:J25)/1000</f>
        <v>-1280.6755328812501</v>
      </c>
      <c r="Y55" s="5">
        <f>-SUM('операционные расходы 2 этап'!K25:M25)/1000</f>
        <v>-522.74253635624996</v>
      </c>
      <c r="Z55" s="5">
        <f>-SUM('операционные расходы 2 этап'!B25:D25)/1000*$Z$14</f>
        <v>-674.49628386656241</v>
      </c>
      <c r="AA55" s="5">
        <f>W55*AA$14</f>
        <v>-995.34495972187506</v>
      </c>
      <c r="AB55" s="5">
        <f t="shared" ref="AB55" si="107">X55*AB$14</f>
        <v>-1344.7093095253126</v>
      </c>
      <c r="AC55" s="5">
        <f t="shared" ref="AC55" si="108">Y55*AC$14</f>
        <v>-548.87966317406244</v>
      </c>
      <c r="AD55" s="5">
        <f t="shared" ref="AD55" si="109">Z55*AD$14</f>
        <v>-708.22109805989055</v>
      </c>
      <c r="AE55" s="5">
        <f t="shared" ref="AE55" si="110">AA55*AE$14</f>
        <v>-1045.1122077079688</v>
      </c>
      <c r="AF55" s="5">
        <f t="shared" ref="AF55" si="111">AB55*AF$14</f>
        <v>-1411.9447750015784</v>
      </c>
      <c r="AG55" s="5">
        <f t="shared" ref="AG55" si="112">AC55*AG$14</f>
        <v>-576.32364633276563</v>
      </c>
      <c r="AH55" s="5">
        <f t="shared" ref="AH55" si="113">AD55*AH$14</f>
        <v>-743.63215296288513</v>
      </c>
      <c r="AI55" s="5">
        <f t="shared" ref="AI55" si="114">AE55*AI$14</f>
        <v>-1097.3678180933673</v>
      </c>
      <c r="AJ55" s="5">
        <f t="shared" ref="AJ55" si="115">AF55*AJ$14</f>
        <v>-1482.5420137516574</v>
      </c>
      <c r="AK55" s="5">
        <f t="shared" ref="AK55" si="116">AG55*AK$14</f>
        <v>-605.13982864940397</v>
      </c>
      <c r="AL55" s="5">
        <f t="shared" ref="AL55" si="117">AH55*AL$14</f>
        <v>-780.81376061102947</v>
      </c>
      <c r="AM55" s="5">
        <f t="shared" ref="AM55" si="118">AI55*AM$14</f>
        <v>-1152.2362089980356</v>
      </c>
      <c r="AN55" s="5">
        <f t="shared" ref="AN55" si="119">AJ55*AN$14</f>
        <v>-1556.6691144392403</v>
      </c>
      <c r="AO55" s="5">
        <f t="shared" ref="AO55" si="120">AK55*AO$14</f>
        <v>-635.39682008187424</v>
      </c>
      <c r="AP55" s="5">
        <f t="shared" ref="AP55" si="121">AL55*AP$14</f>
        <v>-819.85444864158103</v>
      </c>
      <c r="AQ55" s="5">
        <f t="shared" ref="AQ55" si="122">AM55*AQ$14</f>
        <v>-1209.8480194479375</v>
      </c>
      <c r="AR55" s="5">
        <f t="shared" ref="AR55" si="123">AN55*AR$14</f>
        <v>-1634.5025701612024</v>
      </c>
      <c r="AS55" s="5">
        <f t="shared" ref="AS55" si="124">AO55*AS$14</f>
        <v>-667.16666108596803</v>
      </c>
      <c r="AT55" s="5">
        <f t="shared" ref="AT55" si="125">AP55*AT$14</f>
        <v>-860.84717107366009</v>
      </c>
      <c r="AU55" s="5">
        <f t="shared" ref="AU55" si="126">AQ55*AU$14</f>
        <v>-1270.3404204203346</v>
      </c>
      <c r="AV55" s="5">
        <f t="shared" ref="AV55" si="127">AR55*AV$14</f>
        <v>-1716.2276986692625</v>
      </c>
      <c r="AW55" s="5">
        <f t="shared" ref="AW55" si="128">AS55*AW$14</f>
        <v>-700.52499414026647</v>
      </c>
      <c r="AX55" s="5">
        <f t="shared" ref="AX55" si="129">AT55*AX$14</f>
        <v>-903.88952962734311</v>
      </c>
      <c r="AY55" s="5">
        <f t="shared" ref="AY55" si="130">AU55*AY$14</f>
        <v>-1333.8574414413513</v>
      </c>
      <c r="AZ55" s="5">
        <f t="shared" ref="AZ55" si="131">AV55*AZ$14</f>
        <v>-1802.0390836027257</v>
      </c>
      <c r="BA55" s="5">
        <f t="shared" ref="BA55" si="132">AW55*BA$14</f>
        <v>-735.55124384727981</v>
      </c>
      <c r="BB55" s="5">
        <f t="shared" ref="BB55" si="133">AX55*BB$14</f>
        <v>-949.08400610871035</v>
      </c>
      <c r="BC55" s="5">
        <f t="shared" ref="BC55" si="134">AY55*BC$14</f>
        <v>-1400.5503135134188</v>
      </c>
      <c r="BD55" s="5">
        <f t="shared" ref="BD55" si="135">AZ55*BD$14</f>
        <v>-1892.141037782862</v>
      </c>
      <c r="BE55" s="5">
        <f t="shared" ref="BE55" si="136">BA55*BE$14</f>
        <v>-772.32880603964384</v>
      </c>
      <c r="BF55" s="5">
        <f t="shared" ref="BF55" si="137">BB55*BF$14</f>
        <v>-996.53820641414586</v>
      </c>
      <c r="BG55" s="5">
        <f t="shared" ref="BG55" si="138">BC55*BG$14</f>
        <v>-1470.5778291890899</v>
      </c>
      <c r="BH55" s="5">
        <f t="shared" ref="BH55" si="139">BD55*BH$14</f>
        <v>-1986.7480896720051</v>
      </c>
      <c r="BI55" s="5">
        <f t="shared" ref="BI55" si="140">BE55*BI$14</f>
        <v>-810.9452463416261</v>
      </c>
      <c r="BJ55" s="5">
        <f t="shared" ref="BJ55" si="141">BF55*BJ$14</f>
        <v>-1046.3651167348532</v>
      </c>
      <c r="BK55" s="5">
        <f t="shared" ref="BK55" si="142">BG55*BK$14</f>
        <v>-1544.1067206485445</v>
      </c>
      <c r="BL55" s="5">
        <f t="shared" ref="BL55" si="143">BH55*BL$14</f>
        <v>-2086.0854941556054</v>
      </c>
      <c r="BM55" s="5">
        <f t="shared" ref="BM55" si="144">BI55*BM$14</f>
        <v>-851.49250865870749</v>
      </c>
      <c r="BN55" s="5">
        <f t="shared" ref="BN55" si="145">BJ55*BN$14</f>
        <v>-1098.683372571596</v>
      </c>
      <c r="BO55" s="5">
        <f t="shared" ref="BO55" si="146">BK55*BO$14</f>
        <v>-1621.3120566809719</v>
      </c>
      <c r="BP55" s="5">
        <f t="shared" ref="BP55" si="147">BL55*BP$14</f>
        <v>-2190.3897688633856</v>
      </c>
      <c r="BQ55" s="5">
        <f t="shared" ref="BQ55" si="148">BM55*BQ$14</f>
        <v>-894.06713409164286</v>
      </c>
      <c r="BR55" s="5">
        <f t="shared" ref="BR55" si="149">BN55*BR$14</f>
        <v>-1153.6175412001758</v>
      </c>
      <c r="BS55" s="5">
        <f t="shared" ref="BS55" si="150">BO55*BS$14</f>
        <v>-1702.3776595150205</v>
      </c>
      <c r="BT55" s="5">
        <f t="shared" ref="BT55" si="151">BP55*BT$14</f>
        <v>-2299.909257306555</v>
      </c>
      <c r="BU55" s="5">
        <f t="shared" ref="BU55" si="152">BQ55*BU$14</f>
        <v>-938.77049079622509</v>
      </c>
      <c r="BV55" s="5">
        <f t="shared" ref="BV55" si="153">BR55*BV$14</f>
        <v>-1211.2984182601847</v>
      </c>
      <c r="BW55" s="5">
        <f t="shared" ref="BW55" si="154">BS55*BW$14</f>
        <v>-1787.4965424907716</v>
      </c>
      <c r="BX55" s="5">
        <f t="shared" ref="BX55" si="155">BT55*BX$14</f>
        <v>-2414.9047201718827</v>
      </c>
      <c r="BY55" s="5">
        <f t="shared" ref="BY55" si="156">BU55*BY$14</f>
        <v>-985.70901533603637</v>
      </c>
      <c r="BZ55" s="5">
        <f t="shared" ref="BZ55" si="157">BV55*BZ$14</f>
        <v>-1271.8633391731939</v>
      </c>
      <c r="CA55" s="5">
        <f t="shared" ref="CA55" si="158">BW55*CA$14</f>
        <v>-1876.8713696153102</v>
      </c>
      <c r="CB55" s="5">
        <f t="shared" ref="CB55" si="159">BX55*CB$14</f>
        <v>-2535.6499561804767</v>
      </c>
      <c r="CC55" s="5">
        <f t="shared" ref="CC55" si="160">BY55*CC$14</f>
        <v>-1034.9944661028383</v>
      </c>
      <c r="CD55" s="5">
        <f t="shared" ref="CD55" si="161">BZ55*CD$14</f>
        <v>-1335.4565061318538</v>
      </c>
      <c r="CE55" s="5">
        <f t="shared" ref="CE55" si="162">CA55*CE$14</f>
        <v>-1970.7149380960757</v>
      </c>
      <c r="CF55" s="5">
        <f t="shared" ref="CF55" si="163">CB55*CF$14</f>
        <v>-2662.4324539895006</v>
      </c>
      <c r="CG55" s="5">
        <f t="shared" ref="CG55" si="164">CC55*CG$14</f>
        <v>-1086.7441894079802</v>
      </c>
      <c r="CH55" s="5">
        <f t="shared" ref="CH55" si="165">CD55*CH$14</f>
        <v>-1402.2293314384465</v>
      </c>
      <c r="CI55" s="5">
        <f t="shared" ref="CI55" si="166">CE55*CI$14</f>
        <v>-2069.2506850008795</v>
      </c>
      <c r="CJ55" s="5">
        <f t="shared" ref="CJ55" si="167">CF55*CJ$14</f>
        <v>-2795.5540766889758</v>
      </c>
      <c r="CK55" s="5">
        <f t="shared" ref="CK55" si="168">CG55*CK$14</f>
        <v>-1141.0813988783793</v>
      </c>
      <c r="CL55" s="5">
        <f t="shared" ref="CL55" si="169">CH55*CL$14</f>
        <v>-1472.3407980103689</v>
      </c>
      <c r="CM55" s="5">
        <f t="shared" ref="CM55" si="170">CI55*CM$14</f>
        <v>-2172.7132192509234</v>
      </c>
      <c r="CN55" s="5">
        <f t="shared" ref="CN55" si="171">CJ55*CN$14</f>
        <v>-2935.3317805234246</v>
      </c>
      <c r="CO55" s="5">
        <f t="shared" ref="CO55" si="172">CK55*CO$14</f>
        <v>-1198.1354688222984</v>
      </c>
    </row>
    <row r="56" spans="1:93" ht="12.75" customHeight="1" outlineLevel="2">
      <c r="A56" s="35"/>
      <c r="B56" s="63" t="s">
        <v>157</v>
      </c>
      <c r="C56" s="74">
        <f t="shared" si="33"/>
        <v>-46816.786227046883</v>
      </c>
      <c r="D56" s="60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>
        <f>-('операционные расходы 2 этап'!E28+'операционные расходы 2 этап'!F28+'операционные расходы 2 этап'!G28)/1000</f>
        <v>-473.97379034375001</v>
      </c>
      <c r="X56" s="5">
        <f>-SUM('операционные расходы 2 этап'!H28:J28)/1000</f>
        <v>-640.33776644062505</v>
      </c>
      <c r="Y56" s="5">
        <f>-SUM('операционные расходы 2 этап'!K28:M28)/1000</f>
        <v>-261.37126817812498</v>
      </c>
      <c r="Z56" s="5">
        <f>-SUM('операционные расходы 2 этап'!B28:D28)/1000*$Z$14</f>
        <v>-337.2481419332812</v>
      </c>
      <c r="AA56" s="5">
        <f>W56*AA$14</f>
        <v>-497.67247986093753</v>
      </c>
      <c r="AB56" s="5">
        <f t="shared" si="36"/>
        <v>-672.35465476265631</v>
      </c>
      <c r="AC56" s="5">
        <f t="shared" si="36"/>
        <v>-274.43983158703122</v>
      </c>
      <c r="AD56" s="5">
        <f t="shared" si="36"/>
        <v>-354.11054902994528</v>
      </c>
      <c r="AE56" s="5">
        <f t="shared" si="36"/>
        <v>-522.55610385398438</v>
      </c>
      <c r="AF56" s="5">
        <f t="shared" si="36"/>
        <v>-705.97238750078918</v>
      </c>
      <c r="AG56" s="5">
        <f t="shared" si="36"/>
        <v>-288.16182316638282</v>
      </c>
      <c r="AH56" s="5">
        <f t="shared" si="36"/>
        <v>-371.81607648144256</v>
      </c>
      <c r="AI56" s="5">
        <f t="shared" si="36"/>
        <v>-548.68390904668365</v>
      </c>
      <c r="AJ56" s="5">
        <f t="shared" si="36"/>
        <v>-741.27100687582868</v>
      </c>
      <c r="AK56" s="5">
        <f t="shared" si="36"/>
        <v>-302.56991432470198</v>
      </c>
      <c r="AL56" s="5">
        <f t="shared" si="36"/>
        <v>-390.40688030551473</v>
      </c>
      <c r="AM56" s="5">
        <f t="shared" si="36"/>
        <v>-576.11810449901782</v>
      </c>
      <c r="AN56" s="5">
        <f t="shared" si="36"/>
        <v>-778.33455721962014</v>
      </c>
      <c r="AO56" s="5">
        <f t="shared" si="36"/>
        <v>-317.69841004093712</v>
      </c>
      <c r="AP56" s="5">
        <f t="shared" si="36"/>
        <v>-409.92722432079051</v>
      </c>
      <c r="AQ56" s="5">
        <f t="shared" si="38"/>
        <v>-604.92400972396877</v>
      </c>
      <c r="AR56" s="5">
        <f t="shared" si="38"/>
        <v>-817.25128508060118</v>
      </c>
      <c r="AS56" s="5">
        <f t="shared" si="38"/>
        <v>-333.58333054298402</v>
      </c>
      <c r="AT56" s="5">
        <f t="shared" si="38"/>
        <v>-430.42358553683005</v>
      </c>
      <c r="AU56" s="5">
        <f t="shared" si="38"/>
        <v>-635.17021021016728</v>
      </c>
      <c r="AV56" s="5">
        <f t="shared" si="38"/>
        <v>-858.11384933463125</v>
      </c>
      <c r="AW56" s="5">
        <f t="shared" si="38"/>
        <v>-350.26249707013324</v>
      </c>
      <c r="AX56" s="5">
        <f t="shared" si="38"/>
        <v>-451.94476481367155</v>
      </c>
      <c r="AY56" s="5">
        <f t="shared" si="38"/>
        <v>-666.92872072067564</v>
      </c>
      <c r="AZ56" s="5">
        <f t="shared" si="38"/>
        <v>-901.01954180136283</v>
      </c>
      <c r="BA56" s="5">
        <f t="shared" si="38"/>
        <v>-367.7756219236399</v>
      </c>
      <c r="BB56" s="5">
        <f t="shared" si="38"/>
        <v>-474.54200305435518</v>
      </c>
      <c r="BC56" s="5">
        <f t="shared" si="38"/>
        <v>-700.27515675670941</v>
      </c>
      <c r="BD56" s="5">
        <f t="shared" si="38"/>
        <v>-946.07051889143099</v>
      </c>
      <c r="BE56" s="5">
        <f t="shared" si="38"/>
        <v>-386.16440301982192</v>
      </c>
      <c r="BF56" s="5">
        <f t="shared" si="38"/>
        <v>-498.26910320707293</v>
      </c>
      <c r="BG56" s="5">
        <f t="shared" si="39"/>
        <v>-735.28891459454496</v>
      </c>
      <c r="BH56" s="5">
        <f t="shared" si="39"/>
        <v>-993.37404483600255</v>
      </c>
      <c r="BI56" s="5">
        <f t="shared" si="39"/>
        <v>-405.47262317081305</v>
      </c>
      <c r="BJ56" s="5">
        <f t="shared" si="39"/>
        <v>-523.18255836742662</v>
      </c>
      <c r="BK56" s="5">
        <f t="shared" si="39"/>
        <v>-772.05336032427226</v>
      </c>
      <c r="BL56" s="5">
        <f t="shared" si="39"/>
        <v>-1043.0427470778027</v>
      </c>
      <c r="BM56" s="5">
        <f t="shared" si="39"/>
        <v>-425.74625432935375</v>
      </c>
      <c r="BN56" s="5">
        <f t="shared" si="39"/>
        <v>-549.341686285798</v>
      </c>
      <c r="BO56" s="5">
        <f t="shared" si="39"/>
        <v>-810.65602834048593</v>
      </c>
      <c r="BP56" s="5">
        <f t="shared" si="39"/>
        <v>-1095.1948844316928</v>
      </c>
      <c r="BQ56" s="5">
        <f t="shared" si="39"/>
        <v>-447.03356704582143</v>
      </c>
      <c r="BR56" s="5">
        <f t="shared" si="39"/>
        <v>-576.80877060008788</v>
      </c>
      <c r="BS56" s="5">
        <f t="shared" si="39"/>
        <v>-851.18882975751023</v>
      </c>
      <c r="BT56" s="5">
        <f t="shared" si="39"/>
        <v>-1149.9546286532775</v>
      </c>
      <c r="BU56" s="5">
        <f t="shared" si="39"/>
        <v>-469.38524539811254</v>
      </c>
      <c r="BV56" s="5">
        <f t="shared" si="39"/>
        <v>-605.64920913009234</v>
      </c>
      <c r="BW56" s="5">
        <f t="shared" si="40"/>
        <v>-893.74827124538581</v>
      </c>
      <c r="BX56" s="5">
        <f t="shared" si="40"/>
        <v>-1207.4523600859413</v>
      </c>
      <c r="BY56" s="5">
        <f t="shared" si="40"/>
        <v>-492.85450766801819</v>
      </c>
      <c r="BZ56" s="5">
        <f t="shared" si="40"/>
        <v>-635.93166958659697</v>
      </c>
      <c r="CA56" s="5">
        <f t="shared" si="40"/>
        <v>-938.43568480765509</v>
      </c>
      <c r="CB56" s="5">
        <f t="shared" si="40"/>
        <v>-1267.8249780902383</v>
      </c>
      <c r="CC56" s="5">
        <f t="shared" si="40"/>
        <v>-517.49723305141913</v>
      </c>
      <c r="CD56" s="5">
        <f t="shared" si="40"/>
        <v>-667.72825306592688</v>
      </c>
      <c r="CE56" s="5">
        <f t="shared" si="40"/>
        <v>-985.35746904803784</v>
      </c>
      <c r="CF56" s="5">
        <f t="shared" si="40"/>
        <v>-1331.2162269947503</v>
      </c>
      <c r="CG56" s="5">
        <f t="shared" si="40"/>
        <v>-543.37209470399011</v>
      </c>
      <c r="CH56" s="5">
        <f t="shared" si="40"/>
        <v>-701.11466571922324</v>
      </c>
      <c r="CI56" s="5">
        <f t="shared" si="40"/>
        <v>-1034.6253425004397</v>
      </c>
      <c r="CJ56" s="5">
        <f t="shared" si="40"/>
        <v>-1397.7770383444879</v>
      </c>
      <c r="CK56" s="5">
        <f t="shared" si="40"/>
        <v>-570.54069943918967</v>
      </c>
      <c r="CL56" s="5">
        <f t="shared" si="40"/>
        <v>-736.17039900518444</v>
      </c>
      <c r="CM56" s="5">
        <f t="shared" si="37"/>
        <v>-1086.3566096254617</v>
      </c>
      <c r="CN56" s="5">
        <f t="shared" si="35"/>
        <v>-1467.6658902617123</v>
      </c>
      <c r="CO56" s="5">
        <f t="shared" si="35"/>
        <v>-599.06773441114922</v>
      </c>
    </row>
    <row r="57" spans="1:93" ht="12.75" customHeight="1" outlineLevel="2">
      <c r="A57" s="35"/>
      <c r="B57" s="63" t="s">
        <v>86</v>
      </c>
      <c r="C57" s="74">
        <f t="shared" si="33"/>
        <v>-55316.999722359353</v>
      </c>
      <c r="D57" s="60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5">
        <f>-('операционные расходы 2 этап'!E29+'операционные расходы 2 этап'!F29+'операционные расходы 2 этап'!G29)/1000</f>
        <v>-780.76216968750009</v>
      </c>
      <c r="X57" s="5">
        <f>-SUM('операционные расходы 2 этап'!H29:J29)/1000</f>
        <v>-780.76216968750009</v>
      </c>
      <c r="Y57" s="5">
        <f>-SUM('операционные расходы 2 этап'!K29:M29)/1000</f>
        <v>-780.76216968750009</v>
      </c>
      <c r="Z57" s="5">
        <f>-SUM('операционные расходы 2 этап'!B29:D29)/1000*$Z$14</f>
        <v>-819.80027817187511</v>
      </c>
      <c r="AA57" s="35">
        <f>W57</f>
        <v>-780.76216968750009</v>
      </c>
      <c r="AB57" s="35">
        <f t="shared" ref="AB57:CM57" si="173">X57</f>
        <v>-780.76216968750009</v>
      </c>
      <c r="AC57" s="35">
        <f t="shared" si="173"/>
        <v>-780.76216968750009</v>
      </c>
      <c r="AD57" s="35">
        <f t="shared" si="173"/>
        <v>-819.80027817187511</v>
      </c>
      <c r="AE57" s="35">
        <f t="shared" si="173"/>
        <v>-780.76216968750009</v>
      </c>
      <c r="AF57" s="35">
        <f t="shared" si="173"/>
        <v>-780.76216968750009</v>
      </c>
      <c r="AG57" s="35">
        <f t="shared" si="173"/>
        <v>-780.76216968750009</v>
      </c>
      <c r="AH57" s="35">
        <f t="shared" si="173"/>
        <v>-819.80027817187511</v>
      </c>
      <c r="AI57" s="35">
        <f t="shared" si="173"/>
        <v>-780.76216968750009</v>
      </c>
      <c r="AJ57" s="35">
        <f t="shared" si="173"/>
        <v>-780.76216968750009</v>
      </c>
      <c r="AK57" s="35">
        <f t="shared" si="173"/>
        <v>-780.76216968750009</v>
      </c>
      <c r="AL57" s="35">
        <f t="shared" si="173"/>
        <v>-819.80027817187511</v>
      </c>
      <c r="AM57" s="35">
        <f t="shared" si="173"/>
        <v>-780.76216968750009</v>
      </c>
      <c r="AN57" s="35">
        <f t="shared" si="173"/>
        <v>-780.76216968750009</v>
      </c>
      <c r="AO57" s="35">
        <f t="shared" si="173"/>
        <v>-780.76216968750009</v>
      </c>
      <c r="AP57" s="35">
        <f t="shared" si="173"/>
        <v>-819.80027817187511</v>
      </c>
      <c r="AQ57" s="35">
        <f t="shared" si="173"/>
        <v>-780.76216968750009</v>
      </c>
      <c r="AR57" s="35">
        <f t="shared" si="173"/>
        <v>-780.76216968750009</v>
      </c>
      <c r="AS57" s="35">
        <f t="shared" si="173"/>
        <v>-780.76216968750009</v>
      </c>
      <c r="AT57" s="35">
        <f t="shared" si="173"/>
        <v>-819.80027817187511</v>
      </c>
      <c r="AU57" s="35">
        <f t="shared" si="173"/>
        <v>-780.76216968750009</v>
      </c>
      <c r="AV57" s="35">
        <f t="shared" si="173"/>
        <v>-780.76216968750009</v>
      </c>
      <c r="AW57" s="35">
        <f t="shared" si="173"/>
        <v>-780.76216968750009</v>
      </c>
      <c r="AX57" s="35">
        <f t="shared" si="173"/>
        <v>-819.80027817187511</v>
      </c>
      <c r="AY57" s="35">
        <f t="shared" si="173"/>
        <v>-780.76216968750009</v>
      </c>
      <c r="AZ57" s="35">
        <f t="shared" si="173"/>
        <v>-780.76216968750009</v>
      </c>
      <c r="BA57" s="35">
        <f t="shared" si="173"/>
        <v>-780.76216968750009</v>
      </c>
      <c r="BB57" s="35">
        <f t="shared" si="173"/>
        <v>-819.80027817187511</v>
      </c>
      <c r="BC57" s="35">
        <f t="shared" si="173"/>
        <v>-780.76216968750009</v>
      </c>
      <c r="BD57" s="35">
        <f t="shared" si="173"/>
        <v>-780.76216968750009</v>
      </c>
      <c r="BE57" s="35">
        <f t="shared" si="173"/>
        <v>-780.76216968750009</v>
      </c>
      <c r="BF57" s="35">
        <f t="shared" si="173"/>
        <v>-819.80027817187511</v>
      </c>
      <c r="BG57" s="35">
        <f t="shared" si="173"/>
        <v>-780.76216968750009</v>
      </c>
      <c r="BH57" s="35">
        <f t="shared" si="173"/>
        <v>-780.76216968750009</v>
      </c>
      <c r="BI57" s="35">
        <f t="shared" si="173"/>
        <v>-780.76216968750009</v>
      </c>
      <c r="BJ57" s="35">
        <f t="shared" si="173"/>
        <v>-819.80027817187511</v>
      </c>
      <c r="BK57" s="35">
        <f t="shared" si="173"/>
        <v>-780.76216968750009</v>
      </c>
      <c r="BL57" s="35">
        <f t="shared" si="173"/>
        <v>-780.76216968750009</v>
      </c>
      <c r="BM57" s="35">
        <f t="shared" si="173"/>
        <v>-780.76216968750009</v>
      </c>
      <c r="BN57" s="35">
        <f t="shared" si="173"/>
        <v>-819.80027817187511</v>
      </c>
      <c r="BO57" s="35">
        <f t="shared" si="173"/>
        <v>-780.76216968750009</v>
      </c>
      <c r="BP57" s="35">
        <f t="shared" si="173"/>
        <v>-780.76216968750009</v>
      </c>
      <c r="BQ57" s="35">
        <f t="shared" si="173"/>
        <v>-780.76216968750009</v>
      </c>
      <c r="BR57" s="35">
        <f t="shared" si="173"/>
        <v>-819.80027817187511</v>
      </c>
      <c r="BS57" s="35">
        <f t="shared" si="173"/>
        <v>-780.76216968750009</v>
      </c>
      <c r="BT57" s="35">
        <f t="shared" si="173"/>
        <v>-780.76216968750009</v>
      </c>
      <c r="BU57" s="35">
        <f t="shared" si="173"/>
        <v>-780.76216968750009</v>
      </c>
      <c r="BV57" s="35">
        <f t="shared" si="173"/>
        <v>-819.80027817187511</v>
      </c>
      <c r="BW57" s="35">
        <f t="shared" si="173"/>
        <v>-780.76216968750009</v>
      </c>
      <c r="BX57" s="35">
        <f t="shared" si="173"/>
        <v>-780.76216968750009</v>
      </c>
      <c r="BY57" s="35">
        <f t="shared" si="173"/>
        <v>-780.76216968750009</v>
      </c>
      <c r="BZ57" s="35">
        <f t="shared" si="173"/>
        <v>-819.80027817187511</v>
      </c>
      <c r="CA57" s="35">
        <f t="shared" si="173"/>
        <v>-780.76216968750009</v>
      </c>
      <c r="CB57" s="35">
        <f t="shared" si="173"/>
        <v>-780.76216968750009</v>
      </c>
      <c r="CC57" s="35">
        <f t="shared" si="173"/>
        <v>-780.76216968750009</v>
      </c>
      <c r="CD57" s="35">
        <f t="shared" si="173"/>
        <v>-819.80027817187511</v>
      </c>
      <c r="CE57" s="35">
        <f t="shared" si="173"/>
        <v>-780.76216968750009</v>
      </c>
      <c r="CF57" s="35">
        <f t="shared" si="173"/>
        <v>-780.76216968750009</v>
      </c>
      <c r="CG57" s="35">
        <f t="shared" si="173"/>
        <v>-780.76216968750009</v>
      </c>
      <c r="CH57" s="35">
        <f t="shared" si="173"/>
        <v>-819.80027817187511</v>
      </c>
      <c r="CI57" s="35">
        <f t="shared" si="173"/>
        <v>-780.76216968750009</v>
      </c>
      <c r="CJ57" s="35">
        <f t="shared" si="173"/>
        <v>-780.76216968750009</v>
      </c>
      <c r="CK57" s="35">
        <f t="shared" si="173"/>
        <v>-780.76216968750009</v>
      </c>
      <c r="CL57" s="35">
        <f t="shared" si="173"/>
        <v>-819.80027817187511</v>
      </c>
      <c r="CM57" s="35">
        <f t="shared" si="173"/>
        <v>-780.76216968750009</v>
      </c>
      <c r="CN57" s="35">
        <f t="shared" ref="CN57:CO57" si="174">CJ57</f>
        <v>-780.76216968750009</v>
      </c>
      <c r="CO57" s="35">
        <f t="shared" si="174"/>
        <v>-780.76216968750009</v>
      </c>
    </row>
    <row r="58" spans="1:93" ht="12.75" customHeight="1" outlineLevel="2">
      <c r="A58" s="35"/>
      <c r="B58" s="63" t="s">
        <v>158</v>
      </c>
      <c r="C58" s="74">
        <f t="shared" si="33"/>
        <v>-26400</v>
      </c>
      <c r="D58" s="60"/>
      <c r="E58" s="35">
        <f>-'операционные расходы 2 этап'!$B$33</f>
        <v>-300</v>
      </c>
      <c r="F58" s="35">
        <f>-'операционные расходы 2 этап'!$B$33</f>
        <v>-300</v>
      </c>
      <c r="G58" s="35">
        <f>-'операционные расходы 2 этап'!$B$33</f>
        <v>-300</v>
      </c>
      <c r="H58" s="35">
        <f>-'операционные расходы 2 этап'!$B$33</f>
        <v>-300</v>
      </c>
      <c r="I58" s="35">
        <f>-'операционные расходы 2 этап'!$B$33</f>
        <v>-300</v>
      </c>
      <c r="J58" s="35">
        <f>-'операционные расходы 2 этап'!$B$33</f>
        <v>-300</v>
      </c>
      <c r="K58" s="35">
        <f>-'операционные расходы 2 этап'!$B$33</f>
        <v>-300</v>
      </c>
      <c r="L58" s="35">
        <f>-'операционные расходы 2 этап'!$B$33</f>
        <v>-300</v>
      </c>
      <c r="M58" s="35">
        <f>-'операционные расходы 2 этап'!$B$33</f>
        <v>-300</v>
      </c>
      <c r="N58" s="35">
        <f>-'операционные расходы 2 этап'!$B$33</f>
        <v>-300</v>
      </c>
      <c r="O58" s="35">
        <f>-'операционные расходы 2 этап'!$B$33</f>
        <v>-300</v>
      </c>
      <c r="P58" s="35">
        <f>-'операционные расходы 2 этап'!$B$33</f>
        <v>-300</v>
      </c>
      <c r="Q58" s="35">
        <f>-'операционные расходы 2 этап'!$B$33</f>
        <v>-300</v>
      </c>
      <c r="R58" s="35">
        <f>-'операционные расходы 2 этап'!$B$33</f>
        <v>-300</v>
      </c>
      <c r="S58" s="35">
        <f>-'операционные расходы 2 этап'!$B$33</f>
        <v>-300</v>
      </c>
      <c r="T58" s="35">
        <f>-'операционные расходы 2 этап'!$B$33</f>
        <v>-300</v>
      </c>
      <c r="U58" s="35">
        <f>-'операционные расходы 2 этап'!$B$33</f>
        <v>-300</v>
      </c>
      <c r="V58" s="35">
        <f>-'операционные расходы 2 этап'!$B$33</f>
        <v>-300</v>
      </c>
      <c r="W58" s="35">
        <f>-'операционные расходы 2 этап'!$B$33</f>
        <v>-300</v>
      </c>
      <c r="X58" s="35">
        <f>W58</f>
        <v>-300</v>
      </c>
      <c r="Y58" s="35">
        <f t="shared" ref="Y58:CJ58" si="175">X58</f>
        <v>-300</v>
      </c>
      <c r="Z58" s="35">
        <f t="shared" si="175"/>
        <v>-300</v>
      </c>
      <c r="AA58" s="35">
        <f t="shared" si="175"/>
        <v>-300</v>
      </c>
      <c r="AB58" s="35">
        <f t="shared" si="175"/>
        <v>-300</v>
      </c>
      <c r="AC58" s="35">
        <f t="shared" si="175"/>
        <v>-300</v>
      </c>
      <c r="AD58" s="35">
        <f t="shared" si="175"/>
        <v>-300</v>
      </c>
      <c r="AE58" s="35">
        <f t="shared" si="175"/>
        <v>-300</v>
      </c>
      <c r="AF58" s="35">
        <f t="shared" si="175"/>
        <v>-300</v>
      </c>
      <c r="AG58" s="35">
        <f t="shared" si="175"/>
        <v>-300</v>
      </c>
      <c r="AH58" s="35">
        <f t="shared" si="175"/>
        <v>-300</v>
      </c>
      <c r="AI58" s="35">
        <f t="shared" si="175"/>
        <v>-300</v>
      </c>
      <c r="AJ58" s="35">
        <f t="shared" si="175"/>
        <v>-300</v>
      </c>
      <c r="AK58" s="35">
        <f t="shared" si="175"/>
        <v>-300</v>
      </c>
      <c r="AL58" s="35">
        <f t="shared" si="175"/>
        <v>-300</v>
      </c>
      <c r="AM58" s="35">
        <f t="shared" si="175"/>
        <v>-300</v>
      </c>
      <c r="AN58" s="35">
        <f t="shared" si="175"/>
        <v>-300</v>
      </c>
      <c r="AO58" s="35">
        <f t="shared" si="175"/>
        <v>-300</v>
      </c>
      <c r="AP58" s="35">
        <f t="shared" si="175"/>
        <v>-300</v>
      </c>
      <c r="AQ58" s="35">
        <f t="shared" si="175"/>
        <v>-300</v>
      </c>
      <c r="AR58" s="35">
        <f t="shared" si="175"/>
        <v>-300</v>
      </c>
      <c r="AS58" s="35">
        <f t="shared" si="175"/>
        <v>-300</v>
      </c>
      <c r="AT58" s="35">
        <f t="shared" si="175"/>
        <v>-300</v>
      </c>
      <c r="AU58" s="35">
        <f t="shared" si="175"/>
        <v>-300</v>
      </c>
      <c r="AV58" s="35">
        <f t="shared" si="175"/>
        <v>-300</v>
      </c>
      <c r="AW58" s="35">
        <f t="shared" si="175"/>
        <v>-300</v>
      </c>
      <c r="AX58" s="35">
        <f t="shared" si="175"/>
        <v>-300</v>
      </c>
      <c r="AY58" s="35">
        <f t="shared" si="175"/>
        <v>-300</v>
      </c>
      <c r="AZ58" s="35">
        <f t="shared" si="175"/>
        <v>-300</v>
      </c>
      <c r="BA58" s="35">
        <f t="shared" si="175"/>
        <v>-300</v>
      </c>
      <c r="BB58" s="35">
        <f t="shared" si="175"/>
        <v>-300</v>
      </c>
      <c r="BC58" s="35">
        <f t="shared" si="175"/>
        <v>-300</v>
      </c>
      <c r="BD58" s="35">
        <f t="shared" si="175"/>
        <v>-300</v>
      </c>
      <c r="BE58" s="35">
        <f t="shared" si="175"/>
        <v>-300</v>
      </c>
      <c r="BF58" s="35">
        <f t="shared" si="175"/>
        <v>-300</v>
      </c>
      <c r="BG58" s="35">
        <f t="shared" si="175"/>
        <v>-300</v>
      </c>
      <c r="BH58" s="35">
        <f t="shared" si="175"/>
        <v>-300</v>
      </c>
      <c r="BI58" s="35">
        <f t="shared" si="175"/>
        <v>-300</v>
      </c>
      <c r="BJ58" s="35">
        <f t="shared" si="175"/>
        <v>-300</v>
      </c>
      <c r="BK58" s="35">
        <f t="shared" si="175"/>
        <v>-300</v>
      </c>
      <c r="BL58" s="35">
        <f t="shared" si="175"/>
        <v>-300</v>
      </c>
      <c r="BM58" s="35">
        <f t="shared" si="175"/>
        <v>-300</v>
      </c>
      <c r="BN58" s="35">
        <f t="shared" si="175"/>
        <v>-300</v>
      </c>
      <c r="BO58" s="35">
        <f t="shared" si="175"/>
        <v>-300</v>
      </c>
      <c r="BP58" s="35">
        <f t="shared" si="175"/>
        <v>-300</v>
      </c>
      <c r="BQ58" s="35">
        <f t="shared" si="175"/>
        <v>-300</v>
      </c>
      <c r="BR58" s="35">
        <f t="shared" si="175"/>
        <v>-300</v>
      </c>
      <c r="BS58" s="35">
        <f t="shared" si="175"/>
        <v>-300</v>
      </c>
      <c r="BT58" s="35">
        <f t="shared" si="175"/>
        <v>-300</v>
      </c>
      <c r="BU58" s="35">
        <f t="shared" si="175"/>
        <v>-300</v>
      </c>
      <c r="BV58" s="35">
        <f t="shared" si="175"/>
        <v>-300</v>
      </c>
      <c r="BW58" s="35">
        <f t="shared" si="175"/>
        <v>-300</v>
      </c>
      <c r="BX58" s="35">
        <f t="shared" si="175"/>
        <v>-300</v>
      </c>
      <c r="BY58" s="35">
        <f t="shared" si="175"/>
        <v>-300</v>
      </c>
      <c r="BZ58" s="35">
        <f t="shared" si="175"/>
        <v>-300</v>
      </c>
      <c r="CA58" s="35">
        <f t="shared" si="175"/>
        <v>-300</v>
      </c>
      <c r="CB58" s="35">
        <f t="shared" si="175"/>
        <v>-300</v>
      </c>
      <c r="CC58" s="35">
        <f t="shared" si="175"/>
        <v>-300</v>
      </c>
      <c r="CD58" s="35">
        <f t="shared" si="175"/>
        <v>-300</v>
      </c>
      <c r="CE58" s="35">
        <f t="shared" si="175"/>
        <v>-300</v>
      </c>
      <c r="CF58" s="35">
        <f t="shared" si="175"/>
        <v>-300</v>
      </c>
      <c r="CG58" s="35">
        <f t="shared" si="175"/>
        <v>-300</v>
      </c>
      <c r="CH58" s="35">
        <f t="shared" si="175"/>
        <v>-300</v>
      </c>
      <c r="CI58" s="35">
        <f t="shared" si="175"/>
        <v>-300</v>
      </c>
      <c r="CJ58" s="35">
        <f t="shared" si="175"/>
        <v>-300</v>
      </c>
      <c r="CK58" s="35">
        <f t="shared" ref="CK58:CO58" si="176">CJ58</f>
        <v>-300</v>
      </c>
      <c r="CL58" s="35">
        <f t="shared" si="176"/>
        <v>-300</v>
      </c>
      <c r="CM58" s="35">
        <f t="shared" si="176"/>
        <v>-300</v>
      </c>
      <c r="CN58" s="35">
        <f t="shared" si="176"/>
        <v>-300</v>
      </c>
      <c r="CO58" s="35">
        <f t="shared" si="176"/>
        <v>-300</v>
      </c>
    </row>
    <row r="59" spans="1:93" ht="12.75" customHeight="1" outlineLevel="1">
      <c r="A59" s="37"/>
      <c r="B59" s="70" t="s">
        <v>159</v>
      </c>
      <c r="C59" s="70">
        <f t="shared" si="33"/>
        <v>-4729148.6896122899</v>
      </c>
      <c r="D59" s="71">
        <f t="shared" ref="D59:CO59" si="177">SUM(D29:D58)</f>
        <v>0</v>
      </c>
      <c r="E59" s="70">
        <f t="shared" si="177"/>
        <v>-300</v>
      </c>
      <c r="F59" s="70">
        <f t="shared" si="177"/>
        <v>-300</v>
      </c>
      <c r="G59" s="70">
        <f t="shared" si="177"/>
        <v>-300</v>
      </c>
      <c r="H59" s="70">
        <f t="shared" si="177"/>
        <v>-300</v>
      </c>
      <c r="I59" s="70">
        <f t="shared" si="177"/>
        <v>-300</v>
      </c>
      <c r="J59" s="70">
        <f t="shared" si="177"/>
        <v>-300</v>
      </c>
      <c r="K59" s="70">
        <f t="shared" si="177"/>
        <v>-300</v>
      </c>
      <c r="L59" s="70">
        <f t="shared" si="177"/>
        <v>-300</v>
      </c>
      <c r="M59" s="70">
        <f t="shared" si="177"/>
        <v>-300</v>
      </c>
      <c r="N59" s="70">
        <f t="shared" si="177"/>
        <v>-300</v>
      </c>
      <c r="O59" s="70">
        <f t="shared" si="177"/>
        <v>-300</v>
      </c>
      <c r="P59" s="70">
        <f t="shared" si="177"/>
        <v>-300</v>
      </c>
      <c r="Q59" s="70">
        <f t="shared" si="177"/>
        <v>-300</v>
      </c>
      <c r="R59" s="70">
        <f t="shared" si="177"/>
        <v>-300</v>
      </c>
      <c r="S59" s="70">
        <f t="shared" si="177"/>
        <v>-300</v>
      </c>
      <c r="T59" s="70">
        <f t="shared" si="177"/>
        <v>-300</v>
      </c>
      <c r="U59" s="70">
        <f t="shared" si="177"/>
        <v>-300</v>
      </c>
      <c r="V59" s="70">
        <f t="shared" si="177"/>
        <v>-300</v>
      </c>
      <c r="W59" s="70">
        <f t="shared" si="177"/>
        <v>-31053.313162827184</v>
      </c>
      <c r="X59" s="70">
        <f t="shared" si="177"/>
        <v>-39092.284576262682</v>
      </c>
      <c r="Y59" s="70">
        <f t="shared" si="177"/>
        <v>-84749.501733719764</v>
      </c>
      <c r="Z59" s="70">
        <f t="shared" si="177"/>
        <v>-25202.491104286029</v>
      </c>
      <c r="AA59" s="70">
        <f t="shared" si="177"/>
        <v>-32997.185953123546</v>
      </c>
      <c r="AB59" s="70">
        <f t="shared" si="177"/>
        <v>-41601.504806448036</v>
      </c>
      <c r="AC59" s="70">
        <f t="shared" si="177"/>
        <v>-91215.98844731471</v>
      </c>
      <c r="AD59" s="70">
        <f t="shared" si="177"/>
        <v>-26194.937542522042</v>
      </c>
      <c r="AE59" s="70">
        <f t="shared" si="177"/>
        <v>-34356.478233639908</v>
      </c>
      <c r="AF59" s="70">
        <f t="shared" si="177"/>
        <v>-43366.222513594585</v>
      </c>
      <c r="AG59" s="70">
        <f t="shared" si="177"/>
        <v>-95333.382819188962</v>
      </c>
      <c r="AH59" s="70">
        <f t="shared" si="177"/>
        <v>-27270.164071739142</v>
      </c>
      <c r="AI59" s="70">
        <f t="shared" si="177"/>
        <v>-35841.733702837126</v>
      </c>
      <c r="AJ59" s="70">
        <f t="shared" si="177"/>
        <v>-45301.965196789533</v>
      </c>
      <c r="AK59" s="70">
        <f t="shared" si="177"/>
        <v>-99867.483517663626</v>
      </c>
      <c r="AL59" s="70">
        <f t="shared" si="177"/>
        <v>-28399.151927417104</v>
      </c>
      <c r="AM59" s="70">
        <f t="shared" si="177"/>
        <v>-37401.251945494201</v>
      </c>
      <c r="AN59" s="70">
        <f t="shared" si="177"/>
        <v>-47334.495014144217</v>
      </c>
      <c r="AO59" s="70">
        <f t="shared" si="177"/>
        <v>-104628.289251062</v>
      </c>
      <c r="AP59" s="70">
        <f t="shared" si="177"/>
        <v>-29584.589175878955</v>
      </c>
      <c r="AQ59" s="70">
        <f t="shared" si="177"/>
        <v>-39038.746100284108</v>
      </c>
      <c r="AR59" s="70">
        <f t="shared" si="177"/>
        <v>-49468.651322366655</v>
      </c>
      <c r="AS59" s="70">
        <f t="shared" si="177"/>
        <v>-109627.13527113035</v>
      </c>
      <c r="AT59" s="70">
        <f t="shared" si="177"/>
        <v>-30829.298286763897</v>
      </c>
      <c r="AU59" s="70">
        <f t="shared" si="177"/>
        <v>-40758.114962813539</v>
      </c>
      <c r="AV59" s="70">
        <f t="shared" si="177"/>
        <v>-51709.515446000187</v>
      </c>
      <c r="AW59" s="70">
        <f t="shared" si="177"/>
        <v>-114875.92359220209</v>
      </c>
      <c r="AX59" s="70">
        <f t="shared" si="177"/>
        <v>-32136.242853193082</v>
      </c>
      <c r="AY59" s="70">
        <f t="shared" si="177"/>
        <v>-42563.452268469431</v>
      </c>
      <c r="AZ59" s="70">
        <f t="shared" si="177"/>
        <v>-54062.422775815423</v>
      </c>
      <c r="BA59" s="70">
        <f t="shared" si="177"/>
        <v>-120387.15132932739</v>
      </c>
      <c r="BB59" s="70">
        <f t="shared" si="177"/>
        <v>-33508.534647943728</v>
      </c>
      <c r="BC59" s="70">
        <f t="shared" si="177"/>
        <v>-44459.056439408116</v>
      </c>
      <c r="BD59" s="70">
        <f t="shared" si="177"/>
        <v>-56532.975472121405</v>
      </c>
      <c r="BE59" s="70">
        <f t="shared" si="177"/>
        <v>-126173.94045330898</v>
      </c>
      <c r="BF59" s="70">
        <f t="shared" si="177"/>
        <v>-34949.441032431911</v>
      </c>
      <c r="BG59" s="70">
        <f t="shared" si="177"/>
        <v>-46449.44081889373</v>
      </c>
      <c r="BH59" s="70">
        <f t="shared" si="177"/>
        <v>-59127.055803242692</v>
      </c>
      <c r="BI59" s="70">
        <f t="shared" si="177"/>
        <v>-132250.06903348968</v>
      </c>
      <c r="BJ59" s="70">
        <f t="shared" si="177"/>
        <v>-36462.392736144502</v>
      </c>
      <c r="BK59" s="70">
        <f t="shared" si="177"/>
        <v>-48539.344417353641</v>
      </c>
      <c r="BL59" s="70">
        <f t="shared" si="177"/>
        <v>-61850.840150920027</v>
      </c>
      <c r="BM59" s="70">
        <f t="shared" si="177"/>
        <v>-138630.00404267936</v>
      </c>
      <c r="BN59" s="70">
        <f t="shared" si="177"/>
        <v>-38050.992025042731</v>
      </c>
      <c r="BO59" s="70">
        <f t="shared" si="177"/>
        <v>-50733.743195736526</v>
      </c>
      <c r="BP59" s="70">
        <f t="shared" si="177"/>
        <v>-64710.813715981254</v>
      </c>
      <c r="BQ59" s="70">
        <f t="shared" si="177"/>
        <v>-145328.93580232855</v>
      </c>
      <c r="BR59" s="70">
        <f t="shared" si="177"/>
        <v>-39719.021278385859</v>
      </c>
      <c r="BS59" s="70">
        <f t="shared" si="177"/>
        <v>-53037.861913038578</v>
      </c>
      <c r="BT59" s="70">
        <f t="shared" si="177"/>
        <v>-67713.785959295521</v>
      </c>
      <c r="BU59" s="70">
        <f t="shared" si="177"/>
        <v>-152362.81414996021</v>
      </c>
      <c r="BV59" s="70">
        <f t="shared" si="177"/>
        <v>-41470.45199439615</v>
      </c>
      <c r="BW59" s="70">
        <f t="shared" si="177"/>
        <v>-55457.18656620571</v>
      </c>
      <c r="BX59" s="70">
        <f t="shared" si="177"/>
        <v>-70866.906814775532</v>
      </c>
      <c r="BY59" s="70">
        <f t="shared" si="177"/>
        <v>-159748.38641497344</v>
      </c>
      <c r="BZ59" s="70">
        <f t="shared" si="177"/>
        <v>-43309.454246206958</v>
      </c>
      <c r="CA59" s="70">
        <f t="shared" si="177"/>
        <v>-57997.477452031235</v>
      </c>
      <c r="CB59" s="70">
        <f t="shared" si="177"/>
        <v>-74177.683713029517</v>
      </c>
      <c r="CC59" s="70">
        <f t="shared" si="177"/>
        <v>-167503.23729323733</v>
      </c>
      <c r="CD59" s="70">
        <f t="shared" si="177"/>
        <v>-45240.406610608305</v>
      </c>
      <c r="CE59" s="70">
        <f t="shared" si="177"/>
        <v>-60664.782882147985</v>
      </c>
      <c r="CF59" s="70">
        <f t="shared" si="177"/>
        <v>-77653.999456196208</v>
      </c>
      <c r="CG59" s="70">
        <f t="shared" si="177"/>
        <v>-175645.83071541437</v>
      </c>
      <c r="CH59" s="70">
        <f t="shared" si="177"/>
        <v>-47267.906593229709</v>
      </c>
      <c r="CI59" s="70">
        <f t="shared" si="177"/>
        <v>-63465.453583770606</v>
      </c>
      <c r="CJ59" s="70">
        <f t="shared" si="177"/>
        <v>-81304.13098652121</v>
      </c>
      <c r="CK59" s="70">
        <f t="shared" si="177"/>
        <v>-184195.55380870038</v>
      </c>
      <c r="CL59" s="70">
        <f t="shared" si="177"/>
        <v>-49396.781574982175</v>
      </c>
      <c r="CM59" s="70">
        <f t="shared" si="177"/>
        <v>-66406.157820474371</v>
      </c>
      <c r="CN59" s="70">
        <f t="shared" si="177"/>
        <v>-85136.769093362498</v>
      </c>
      <c r="CO59" s="72">
        <f t="shared" si="177"/>
        <v>-193172.76305665055</v>
      </c>
    </row>
    <row r="60" spans="1:93" ht="12.75" customHeight="1">
      <c r="A60" s="37"/>
      <c r="B60" s="75" t="s">
        <v>160</v>
      </c>
      <c r="C60" s="70">
        <f t="shared" si="33"/>
        <v>4136856.9415455265</v>
      </c>
      <c r="D60" s="76">
        <f t="shared" ref="D60:CO60" si="178">SUM(D27,D59)</f>
        <v>0</v>
      </c>
      <c r="E60" s="75">
        <f t="shared" si="178"/>
        <v>-300</v>
      </c>
      <c r="F60" s="75">
        <f t="shared" si="178"/>
        <v>-300</v>
      </c>
      <c r="G60" s="75">
        <f t="shared" si="178"/>
        <v>-300</v>
      </c>
      <c r="H60" s="75">
        <f t="shared" si="178"/>
        <v>-300</v>
      </c>
      <c r="I60" s="75">
        <f t="shared" si="178"/>
        <v>-300</v>
      </c>
      <c r="J60" s="75">
        <f t="shared" si="178"/>
        <v>-300</v>
      </c>
      <c r="K60" s="75">
        <f t="shared" si="178"/>
        <v>-300</v>
      </c>
      <c r="L60" s="75">
        <f t="shared" si="178"/>
        <v>-300</v>
      </c>
      <c r="M60" s="75">
        <f t="shared" si="178"/>
        <v>-300</v>
      </c>
      <c r="N60" s="75">
        <f t="shared" si="178"/>
        <v>-300</v>
      </c>
      <c r="O60" s="75">
        <f t="shared" si="178"/>
        <v>-300</v>
      </c>
      <c r="P60" s="75">
        <f t="shared" si="178"/>
        <v>-300</v>
      </c>
      <c r="Q60" s="75">
        <f t="shared" si="178"/>
        <v>-300</v>
      </c>
      <c r="R60" s="75">
        <f t="shared" si="178"/>
        <v>-300</v>
      </c>
      <c r="S60" s="75">
        <f t="shared" si="178"/>
        <v>-300</v>
      </c>
      <c r="T60" s="75">
        <f t="shared" si="178"/>
        <v>-300</v>
      </c>
      <c r="U60" s="75">
        <f t="shared" si="178"/>
        <v>-300</v>
      </c>
      <c r="V60" s="75">
        <f t="shared" si="178"/>
        <v>-300</v>
      </c>
      <c r="W60" s="75">
        <f t="shared" si="178"/>
        <v>16344.065871547817</v>
      </c>
      <c r="X60" s="75">
        <f t="shared" si="178"/>
        <v>24941.492067799816</v>
      </c>
      <c r="Y60" s="75">
        <f t="shared" si="178"/>
        <v>98340.908726592708</v>
      </c>
      <c r="Z60" s="75">
        <f t="shared" si="178"/>
        <v>9256.7793584639694</v>
      </c>
      <c r="AA60" s="75">
        <f t="shared" si="178"/>
        <v>17652.12076812645</v>
      </c>
      <c r="AB60" s="75">
        <f t="shared" si="178"/>
        <v>26735.09295380197</v>
      </c>
      <c r="AC60" s="75">
        <f t="shared" si="178"/>
        <v>104532.29974293528</v>
      </c>
      <c r="AD60" s="75">
        <f t="shared" si="178"/>
        <v>9893.5059048842013</v>
      </c>
      <c r="AE60" s="75">
        <f t="shared" si="178"/>
        <v>18661.238228235088</v>
      </c>
      <c r="AF60" s="75">
        <f t="shared" si="178"/>
        <v>28153.026732011676</v>
      </c>
      <c r="AG60" s="75">
        <f t="shared" si="178"/>
        <v>109605.94453909231</v>
      </c>
      <c r="AH60" s="75">
        <f t="shared" si="178"/>
        <v>10622.701548037425</v>
      </c>
      <c r="AI60" s="75">
        <f t="shared" si="178"/>
        <v>19826.868582131625</v>
      </c>
      <c r="AJ60" s="75">
        <f t="shared" si="178"/>
        <v>29793.246511097037</v>
      </c>
      <c r="AK60" s="75">
        <f t="shared" si="178"/>
        <v>115318.81020853172</v>
      </c>
      <c r="AL60" s="75">
        <f t="shared" si="178"/>
        <v>11388.356973348284</v>
      </c>
      <c r="AM60" s="75">
        <f t="shared" si="178"/>
        <v>21050.780453722989</v>
      </c>
      <c r="AN60" s="75">
        <f t="shared" si="178"/>
        <v>31515.477279136692</v>
      </c>
      <c r="AO60" s="75">
        <f t="shared" si="178"/>
        <v>121317.31916144307</v>
      </c>
      <c r="AP60" s="75">
        <f t="shared" si="178"/>
        <v>12192.29516992471</v>
      </c>
      <c r="AQ60" s="75">
        <f t="shared" si="178"/>
        <v>22335.887918893946</v>
      </c>
      <c r="AR60" s="75">
        <f t="shared" si="178"/>
        <v>33323.819585578298</v>
      </c>
      <c r="AS60" s="75">
        <f t="shared" si="178"/>
        <v>127615.75356200001</v>
      </c>
      <c r="AT60" s="75">
        <f t="shared" si="178"/>
        <v>13036.43027632996</v>
      </c>
      <c r="AU60" s="75">
        <f t="shared" si="178"/>
        <v>23685.250757323418</v>
      </c>
      <c r="AV60" s="75">
        <f t="shared" si="178"/>
        <v>35222.579007342014</v>
      </c>
      <c r="AW60" s="75">
        <f t="shared" si="178"/>
        <v>134229.10968258482</v>
      </c>
      <c r="AX60" s="75">
        <f t="shared" si="178"/>
        <v>13922.772138055469</v>
      </c>
      <c r="AY60" s="75">
        <f t="shared" si="178"/>
        <v>25102.081737674373</v>
      </c>
      <c r="AZ60" s="75">
        <f t="shared" si="178"/>
        <v>37216.276400193885</v>
      </c>
      <c r="BA60" s="75">
        <f t="shared" si="178"/>
        <v>141173.13360919885</v>
      </c>
      <c r="BB60" s="75">
        <f t="shared" si="178"/>
        <v>14853.431092867249</v>
      </c>
      <c r="BC60" s="75">
        <f t="shared" si="178"/>
        <v>26589.754267042881</v>
      </c>
      <c r="BD60" s="75">
        <f t="shared" si="178"/>
        <v>39309.658662688373</v>
      </c>
      <c r="BE60" s="75">
        <f t="shared" si="178"/>
        <v>148464.35873214353</v>
      </c>
      <c r="BF60" s="75">
        <f t="shared" si="178"/>
        <v>15830.622995419617</v>
      </c>
      <c r="BG60" s="75">
        <f t="shared" si="178"/>
        <v>28151.810422879811</v>
      </c>
      <c r="BH60" s="75">
        <f t="shared" si="178"/>
        <v>41507.710038307574</v>
      </c>
      <c r="BI60" s="75">
        <f t="shared" si="178"/>
        <v>156120.14511123556</v>
      </c>
      <c r="BJ60" s="75">
        <f t="shared" si="178"/>
        <v>16856.674493099599</v>
      </c>
      <c r="BK60" s="75">
        <f t="shared" si="178"/>
        <v>29791.969386508586</v>
      </c>
      <c r="BL60" s="75">
        <f t="shared" si="178"/>
        <v>43815.663982707752</v>
      </c>
      <c r="BM60" s="75">
        <f t="shared" si="178"/>
        <v>164158.72080928212</v>
      </c>
      <c r="BN60" s="75">
        <f t="shared" si="178"/>
        <v>17934.028565663582</v>
      </c>
      <c r="BO60" s="75">
        <f t="shared" si="178"/>
        <v>31514.136298318823</v>
      </c>
      <c r="BP60" s="75">
        <f t="shared" si="178"/>
        <v>46239.015624327927</v>
      </c>
      <c r="BQ60" s="75">
        <f t="shared" si="178"/>
        <v>172599.22529223104</v>
      </c>
      <c r="BR60" s="75">
        <f t="shared" si="178"/>
        <v>19065.250341855775</v>
      </c>
      <c r="BS60" s="75">
        <f t="shared" si="178"/>
        <v>33322.411555719547</v>
      </c>
      <c r="BT60" s="75">
        <f t="shared" si="178"/>
        <v>48783.534848029114</v>
      </c>
      <c r="BU60" s="75">
        <f t="shared" si="178"/>
        <v>181461.75499932733</v>
      </c>
      <c r="BV60" s="75">
        <f t="shared" si="178"/>
        <v>20253.033206857566</v>
      </c>
      <c r="BW60" s="75">
        <f t="shared" si="178"/>
        <v>35221.10057599032</v>
      </c>
      <c r="BX60" s="75">
        <f t="shared" si="178"/>
        <v>51455.28003291534</v>
      </c>
      <c r="BY60" s="75">
        <f t="shared" si="178"/>
        <v>190767.41119177858</v>
      </c>
      <c r="BZ60" s="75">
        <f t="shared" si="178"/>
        <v>21500.205215109447</v>
      </c>
      <c r="CA60" s="75">
        <f t="shared" si="178"/>
        <v>37214.724047274605</v>
      </c>
      <c r="CB60" s="75">
        <f t="shared" si="178"/>
        <v>54260.612477045914</v>
      </c>
      <c r="CC60" s="75">
        <f t="shared" si="178"/>
        <v>200538.35019385224</v>
      </c>
      <c r="CD60" s="75">
        <f t="shared" si="178"/>
        <v>22809.735823773924</v>
      </c>
      <c r="CE60" s="75">
        <f t="shared" si="178"/>
        <v>39308.028692123138</v>
      </c>
      <c r="CF60" s="75">
        <f t="shared" si="178"/>
        <v>57206.211543382989</v>
      </c>
      <c r="CG60" s="75">
        <f t="shared" si="178"/>
        <v>210797.83614602964</v>
      </c>
      <c r="CH60" s="75">
        <f t="shared" si="178"/>
        <v>24184.742962871635</v>
      </c>
      <c r="CI60" s="75">
        <f t="shared" si="178"/>
        <v>41505.998569214076</v>
      </c>
      <c r="CJ60" s="75">
        <f t="shared" si="178"/>
        <v>60299.090563036953</v>
      </c>
      <c r="CK60" s="75">
        <f t="shared" si="178"/>
        <v>221570.29639581594</v>
      </c>
      <c r="CL60" s="75">
        <f t="shared" si="178"/>
        <v>25628.500458924231</v>
      </c>
      <c r="CM60" s="75">
        <f t="shared" si="178"/>
        <v>43813.866940159569</v>
      </c>
      <c r="CN60" s="75">
        <f t="shared" si="178"/>
        <v>63546.613533673575</v>
      </c>
      <c r="CO60" s="77">
        <f t="shared" si="178"/>
        <v>232881.37965809155</v>
      </c>
    </row>
    <row r="61" spans="1:93" ht="12.75" customHeight="1">
      <c r="A61" s="35"/>
      <c r="B61" s="78" t="s">
        <v>161</v>
      </c>
      <c r="C61" s="427">
        <f t="shared" ref="C61:CO61" si="179">IF(ISERROR(C60/C27),0,C60/C27)</f>
        <v>0.46659759914965143</v>
      </c>
      <c r="D61" s="79">
        <f t="shared" si="179"/>
        <v>0</v>
      </c>
      <c r="E61" s="80">
        <f t="shared" si="179"/>
        <v>0</v>
      </c>
      <c r="F61" s="80">
        <f t="shared" si="179"/>
        <v>0</v>
      </c>
      <c r="G61" s="80">
        <f t="shared" si="179"/>
        <v>0</v>
      </c>
      <c r="H61" s="80">
        <f t="shared" si="179"/>
        <v>0</v>
      </c>
      <c r="I61" s="80">
        <f t="shared" si="179"/>
        <v>0</v>
      </c>
      <c r="J61" s="80">
        <f t="shared" si="179"/>
        <v>0</v>
      </c>
      <c r="K61" s="80">
        <f t="shared" si="179"/>
        <v>0</v>
      </c>
      <c r="L61" s="80">
        <f t="shared" si="179"/>
        <v>0</v>
      </c>
      <c r="M61" s="80">
        <f t="shared" si="179"/>
        <v>0</v>
      </c>
      <c r="N61" s="80">
        <f t="shared" si="179"/>
        <v>0</v>
      </c>
      <c r="O61" s="80">
        <f t="shared" si="179"/>
        <v>0</v>
      </c>
      <c r="P61" s="80">
        <f t="shared" si="179"/>
        <v>0</v>
      </c>
      <c r="Q61" s="80">
        <f t="shared" si="179"/>
        <v>0</v>
      </c>
      <c r="R61" s="80">
        <f t="shared" si="179"/>
        <v>0</v>
      </c>
      <c r="S61" s="80">
        <f t="shared" si="179"/>
        <v>0</v>
      </c>
      <c r="T61" s="80">
        <f t="shared" si="179"/>
        <v>0</v>
      </c>
      <c r="U61" s="80">
        <f t="shared" si="179"/>
        <v>0</v>
      </c>
      <c r="V61" s="80">
        <f t="shared" si="179"/>
        <v>0</v>
      </c>
      <c r="W61" s="80">
        <f t="shared" si="179"/>
        <v>0.34483058355809643</v>
      </c>
      <c r="X61" s="80">
        <f t="shared" si="179"/>
        <v>0.38950524824483401</v>
      </c>
      <c r="Y61" s="80">
        <f t="shared" si="179"/>
        <v>0.53711665444056411</v>
      </c>
      <c r="Z61" s="80">
        <f t="shared" si="179"/>
        <v>0.26862958020165928</v>
      </c>
      <c r="AA61" s="80">
        <f t="shared" si="179"/>
        <v>0.34851653281801931</v>
      </c>
      <c r="AB61" s="80">
        <f t="shared" si="179"/>
        <v>0.39122657302311914</v>
      </c>
      <c r="AC61" s="80">
        <f t="shared" si="179"/>
        <v>0.53401386397483663</v>
      </c>
      <c r="AD61" s="80">
        <f t="shared" si="179"/>
        <v>0.2741460966390134</v>
      </c>
      <c r="AE61" s="80">
        <f t="shared" si="179"/>
        <v>0.35198117673842805</v>
      </c>
      <c r="AF61" s="80">
        <f t="shared" si="179"/>
        <v>0.39364264906264013</v>
      </c>
      <c r="AG61" s="80">
        <f t="shared" si="179"/>
        <v>0.53482143204010724</v>
      </c>
      <c r="AH61" s="80">
        <f t="shared" si="179"/>
        <v>0.28033513365358564</v>
      </c>
      <c r="AI61" s="80">
        <f t="shared" si="179"/>
        <v>0.35615890768439751</v>
      </c>
      <c r="AJ61" s="80">
        <f t="shared" si="179"/>
        <v>0.39673963004445623</v>
      </c>
      <c r="AK61" s="80">
        <f t="shared" si="179"/>
        <v>0.53590220925159959</v>
      </c>
      <c r="AL61" s="80">
        <f t="shared" si="179"/>
        <v>0.28622945461984445</v>
      </c>
      <c r="AM61" s="80">
        <f t="shared" si="179"/>
        <v>0.36013769906151133</v>
      </c>
      <c r="AN61" s="80">
        <f t="shared" si="179"/>
        <v>0.39968913574142423</v>
      </c>
      <c r="AO61" s="80">
        <f t="shared" si="179"/>
        <v>0.53693152088159246</v>
      </c>
      <c r="AP61" s="80">
        <f t="shared" si="179"/>
        <v>0.29184309363532951</v>
      </c>
      <c r="AQ61" s="80">
        <f t="shared" si="179"/>
        <v>0.36392702418257245</v>
      </c>
      <c r="AR61" s="80">
        <f t="shared" si="179"/>
        <v>0.40249818878615529</v>
      </c>
      <c r="AS61" s="80">
        <f t="shared" si="179"/>
        <v>0.53791181767206164</v>
      </c>
      <c r="AT61" s="80">
        <f t="shared" si="179"/>
        <v>0.29718941650722008</v>
      </c>
      <c r="AU61" s="80">
        <f t="shared" si="179"/>
        <v>0.36753590525024926</v>
      </c>
      <c r="AV61" s="80">
        <f t="shared" si="179"/>
        <v>0.40517347740018522</v>
      </c>
      <c r="AW61" s="80">
        <f t="shared" si="179"/>
        <v>0.53884543366298487</v>
      </c>
      <c r="AX61" s="80">
        <f t="shared" si="179"/>
        <v>0.30228115257568722</v>
      </c>
      <c r="AY61" s="80">
        <f t="shared" si="179"/>
        <v>0.37097293483851301</v>
      </c>
      <c r="AZ61" s="80">
        <f t="shared" si="179"/>
        <v>0.40772137131830866</v>
      </c>
      <c r="BA61" s="80">
        <f t="shared" si="179"/>
        <v>0.53973459174957839</v>
      </c>
      <c r="BB61" s="80">
        <f t="shared" si="179"/>
        <v>0.3071304250218464</v>
      </c>
      <c r="BC61" s="80">
        <f t="shared" si="179"/>
        <v>0.37424629635114526</v>
      </c>
      <c r="BD61" s="80">
        <f t="shared" si="179"/>
        <v>0.41014793695461688</v>
      </c>
      <c r="BE61" s="80">
        <f t="shared" si="179"/>
        <v>0.54058140897490536</v>
      </c>
      <c r="BF61" s="80">
        <f t="shared" si="179"/>
        <v>0.31174877973247411</v>
      </c>
      <c r="BG61" s="80">
        <f t="shared" si="179"/>
        <v>0.37736378350603306</v>
      </c>
      <c r="BH61" s="80">
        <f t="shared" si="179"/>
        <v>0.41245895184633891</v>
      </c>
      <c r="BI61" s="80">
        <f t="shared" si="179"/>
        <v>0.54138790157045502</v>
      </c>
      <c r="BJ61" s="80">
        <f t="shared" si="179"/>
        <v>0.31614721279021474</v>
      </c>
      <c r="BK61" s="80">
        <f t="shared" si="179"/>
        <v>0.38033281889164045</v>
      </c>
      <c r="BL61" s="80">
        <f t="shared" si="179"/>
        <v>0.41465991840988387</v>
      </c>
      <c r="BM61" s="80">
        <f t="shared" si="179"/>
        <v>0.54215598975669288</v>
      </c>
      <c r="BN61" s="80">
        <f t="shared" si="179"/>
        <v>0.32033619665472957</v>
      </c>
      <c r="BO61" s="80">
        <f t="shared" si="179"/>
        <v>0.38316047163983818</v>
      </c>
      <c r="BP61" s="80">
        <f t="shared" si="179"/>
        <v>0.41675607704183132</v>
      </c>
      <c r="BQ61" s="80">
        <f t="shared" si="179"/>
        <v>0.54288750231501459</v>
      </c>
      <c r="BR61" s="80">
        <f t="shared" si="179"/>
        <v>0.32432570509712488</v>
      </c>
      <c r="BS61" s="80">
        <f t="shared" si="179"/>
        <v>0.38585347425716909</v>
      </c>
      <c r="BT61" s="80">
        <f t="shared" si="179"/>
        <v>0.41875241859606704</v>
      </c>
      <c r="BU61" s="80">
        <f t="shared" si="179"/>
        <v>0.54358418094198746</v>
      </c>
      <c r="BV61" s="80">
        <f t="shared" si="179"/>
        <v>0.328125236947025</v>
      </c>
      <c r="BW61" s="80">
        <f t="shared" si="179"/>
        <v>0.38841823865462732</v>
      </c>
      <c r="BX61" s="80">
        <f t="shared" si="179"/>
        <v>0.42065369626676752</v>
      </c>
      <c r="BY61" s="80">
        <f t="shared" si="179"/>
        <v>0.5442476843962476</v>
      </c>
      <c r="BZ61" s="80">
        <f t="shared" si="179"/>
        <v>0.33174383870883462</v>
      </c>
      <c r="CA61" s="80">
        <f t="shared" si="179"/>
        <v>0.39086087141411097</v>
      </c>
      <c r="CB61" s="80">
        <f t="shared" si="179"/>
        <v>0.42246443690553015</v>
      </c>
      <c r="CC61" s="80">
        <f t="shared" si="179"/>
        <v>0.54487959244792372</v>
      </c>
      <c r="CD61" s="80">
        <f t="shared" si="179"/>
        <v>0.33519012610103432</v>
      </c>
      <c r="CE61" s="80">
        <f t="shared" si="179"/>
        <v>0.39318718832790539</v>
      </c>
      <c r="CF61" s="80">
        <f t="shared" si="179"/>
        <v>0.42418895179958965</v>
      </c>
      <c r="CG61" s="80">
        <f t="shared" si="179"/>
        <v>0.54548140963999636</v>
      </c>
      <c r="CH61" s="80">
        <f t="shared" si="179"/>
        <v>0.33847230456979605</v>
      </c>
      <c r="CI61" s="80">
        <f t="shared" si="179"/>
        <v>0.39540272824580452</v>
      </c>
      <c r="CJ61" s="80">
        <f t="shared" si="179"/>
        <v>0.42583134693678937</v>
      </c>
      <c r="CK61" s="80">
        <f t="shared" si="179"/>
        <v>0.5460545688705416</v>
      </c>
      <c r="CL61" s="80">
        <f t="shared" si="179"/>
        <v>0.3415981888257596</v>
      </c>
      <c r="CM61" s="80">
        <f t="shared" si="179"/>
        <v>0.39751276626285137</v>
      </c>
      <c r="CN61" s="80">
        <f t="shared" si="179"/>
        <v>0.42739553278174125</v>
      </c>
      <c r="CO61" s="81">
        <f t="shared" si="179"/>
        <v>0.54660043480439446</v>
      </c>
    </row>
    <row r="62" spans="1:93" ht="12" customHeight="1" outlineLevel="2">
      <c r="A62" s="35"/>
      <c r="B62" s="63" t="s">
        <v>55</v>
      </c>
      <c r="C62" s="35">
        <f t="shared" ref="C62:C64" si="180">SUM(D62:CN62)</f>
        <v>-21000</v>
      </c>
      <c r="D62" s="82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>
        <f>-'операционные расходы 2 этап'!B33</f>
        <v>-300</v>
      </c>
      <c r="X62" s="83">
        <f>W62</f>
        <v>-300</v>
      </c>
      <c r="Y62" s="83">
        <f t="shared" ref="Y62:CJ62" si="181">X62</f>
        <v>-300</v>
      </c>
      <c r="Z62" s="83">
        <f t="shared" si="181"/>
        <v>-300</v>
      </c>
      <c r="AA62" s="83">
        <f t="shared" si="181"/>
        <v>-300</v>
      </c>
      <c r="AB62" s="83">
        <f t="shared" si="181"/>
        <v>-300</v>
      </c>
      <c r="AC62" s="83">
        <f t="shared" si="181"/>
        <v>-300</v>
      </c>
      <c r="AD62" s="83">
        <f t="shared" si="181"/>
        <v>-300</v>
      </c>
      <c r="AE62" s="83">
        <f t="shared" si="181"/>
        <v>-300</v>
      </c>
      <c r="AF62" s="83">
        <f t="shared" si="181"/>
        <v>-300</v>
      </c>
      <c r="AG62" s="83">
        <f t="shared" si="181"/>
        <v>-300</v>
      </c>
      <c r="AH62" s="83">
        <f t="shared" si="181"/>
        <v>-300</v>
      </c>
      <c r="AI62" s="83">
        <f t="shared" si="181"/>
        <v>-300</v>
      </c>
      <c r="AJ62" s="83">
        <f t="shared" si="181"/>
        <v>-300</v>
      </c>
      <c r="AK62" s="83">
        <f t="shared" si="181"/>
        <v>-300</v>
      </c>
      <c r="AL62" s="83">
        <f t="shared" si="181"/>
        <v>-300</v>
      </c>
      <c r="AM62" s="83">
        <f t="shared" si="181"/>
        <v>-300</v>
      </c>
      <c r="AN62" s="83">
        <f t="shared" si="181"/>
        <v>-300</v>
      </c>
      <c r="AO62" s="83">
        <f t="shared" si="181"/>
        <v>-300</v>
      </c>
      <c r="AP62" s="83">
        <f t="shared" si="181"/>
        <v>-300</v>
      </c>
      <c r="AQ62" s="83">
        <f t="shared" si="181"/>
        <v>-300</v>
      </c>
      <c r="AR62" s="83">
        <f t="shared" si="181"/>
        <v>-300</v>
      </c>
      <c r="AS62" s="83">
        <f t="shared" si="181"/>
        <v>-300</v>
      </c>
      <c r="AT62" s="83">
        <f t="shared" si="181"/>
        <v>-300</v>
      </c>
      <c r="AU62" s="83">
        <f t="shared" si="181"/>
        <v>-300</v>
      </c>
      <c r="AV62" s="83">
        <f t="shared" si="181"/>
        <v>-300</v>
      </c>
      <c r="AW62" s="83">
        <f t="shared" si="181"/>
        <v>-300</v>
      </c>
      <c r="AX62" s="83">
        <f t="shared" si="181"/>
        <v>-300</v>
      </c>
      <c r="AY62" s="83">
        <f t="shared" si="181"/>
        <v>-300</v>
      </c>
      <c r="AZ62" s="83">
        <f t="shared" si="181"/>
        <v>-300</v>
      </c>
      <c r="BA62" s="83">
        <f t="shared" si="181"/>
        <v>-300</v>
      </c>
      <c r="BB62" s="83">
        <f t="shared" si="181"/>
        <v>-300</v>
      </c>
      <c r="BC62" s="83">
        <f t="shared" si="181"/>
        <v>-300</v>
      </c>
      <c r="BD62" s="83">
        <f t="shared" si="181"/>
        <v>-300</v>
      </c>
      <c r="BE62" s="83">
        <f t="shared" si="181"/>
        <v>-300</v>
      </c>
      <c r="BF62" s="83">
        <f t="shared" si="181"/>
        <v>-300</v>
      </c>
      <c r="BG62" s="83">
        <f t="shared" si="181"/>
        <v>-300</v>
      </c>
      <c r="BH62" s="83">
        <f t="shared" si="181"/>
        <v>-300</v>
      </c>
      <c r="BI62" s="83">
        <f t="shared" si="181"/>
        <v>-300</v>
      </c>
      <c r="BJ62" s="83">
        <f t="shared" si="181"/>
        <v>-300</v>
      </c>
      <c r="BK62" s="83">
        <f t="shared" si="181"/>
        <v>-300</v>
      </c>
      <c r="BL62" s="83">
        <f t="shared" si="181"/>
        <v>-300</v>
      </c>
      <c r="BM62" s="83">
        <f t="shared" si="181"/>
        <v>-300</v>
      </c>
      <c r="BN62" s="83">
        <f t="shared" si="181"/>
        <v>-300</v>
      </c>
      <c r="BO62" s="83">
        <f t="shared" si="181"/>
        <v>-300</v>
      </c>
      <c r="BP62" s="83">
        <f t="shared" si="181"/>
        <v>-300</v>
      </c>
      <c r="BQ62" s="83">
        <f t="shared" si="181"/>
        <v>-300</v>
      </c>
      <c r="BR62" s="83">
        <f t="shared" si="181"/>
        <v>-300</v>
      </c>
      <c r="BS62" s="83">
        <f t="shared" si="181"/>
        <v>-300</v>
      </c>
      <c r="BT62" s="83">
        <f t="shared" si="181"/>
        <v>-300</v>
      </c>
      <c r="BU62" s="83">
        <f t="shared" si="181"/>
        <v>-300</v>
      </c>
      <c r="BV62" s="83">
        <f t="shared" si="181"/>
        <v>-300</v>
      </c>
      <c r="BW62" s="83">
        <f t="shared" si="181"/>
        <v>-300</v>
      </c>
      <c r="BX62" s="83">
        <f t="shared" si="181"/>
        <v>-300</v>
      </c>
      <c r="BY62" s="83">
        <f t="shared" si="181"/>
        <v>-300</v>
      </c>
      <c r="BZ62" s="83">
        <f t="shared" si="181"/>
        <v>-300</v>
      </c>
      <c r="CA62" s="83">
        <f t="shared" si="181"/>
        <v>-300</v>
      </c>
      <c r="CB62" s="83">
        <f t="shared" si="181"/>
        <v>-300</v>
      </c>
      <c r="CC62" s="83">
        <f t="shared" si="181"/>
        <v>-300</v>
      </c>
      <c r="CD62" s="83">
        <f t="shared" si="181"/>
        <v>-300</v>
      </c>
      <c r="CE62" s="83">
        <f t="shared" si="181"/>
        <v>-300</v>
      </c>
      <c r="CF62" s="83">
        <f t="shared" si="181"/>
        <v>-300</v>
      </c>
      <c r="CG62" s="83">
        <f t="shared" si="181"/>
        <v>-300</v>
      </c>
      <c r="CH62" s="83">
        <f t="shared" si="181"/>
        <v>-300</v>
      </c>
      <c r="CI62" s="83">
        <f t="shared" si="181"/>
        <v>-300</v>
      </c>
      <c r="CJ62" s="83">
        <f t="shared" si="181"/>
        <v>-300</v>
      </c>
      <c r="CK62" s="83">
        <f t="shared" ref="CK62:CO62" si="182">CJ62</f>
        <v>-300</v>
      </c>
      <c r="CL62" s="83">
        <f t="shared" si="182"/>
        <v>-300</v>
      </c>
      <c r="CM62" s="83">
        <f t="shared" si="182"/>
        <v>-300</v>
      </c>
      <c r="CN62" s="83">
        <f t="shared" si="182"/>
        <v>-300</v>
      </c>
      <c r="CO62" s="83">
        <f t="shared" si="182"/>
        <v>-300</v>
      </c>
    </row>
    <row r="63" spans="1:93" ht="12" customHeight="1" outlineLevel="2">
      <c r="A63" s="35"/>
      <c r="B63" s="63" t="s">
        <v>162</v>
      </c>
      <c r="C63" s="35">
        <f t="shared" si="180"/>
        <v>-188173.39816270935</v>
      </c>
      <c r="D63" s="82">
        <f t="shared" ref="D63:CO63" si="183">D165</f>
        <v>0</v>
      </c>
      <c r="E63" s="83">
        <f t="shared" si="183"/>
        <v>0</v>
      </c>
      <c r="F63" s="83">
        <f t="shared" si="183"/>
        <v>0</v>
      </c>
      <c r="G63" s="83">
        <f t="shared" si="183"/>
        <v>0</v>
      </c>
      <c r="H63" s="83">
        <f t="shared" si="183"/>
        <v>0</v>
      </c>
      <c r="I63" s="83">
        <f t="shared" si="183"/>
        <v>0</v>
      </c>
      <c r="J63" s="83">
        <f t="shared" si="183"/>
        <v>0</v>
      </c>
      <c r="K63" s="83">
        <f t="shared" si="183"/>
        <v>0</v>
      </c>
      <c r="L63" s="83">
        <f t="shared" si="183"/>
        <v>0</v>
      </c>
      <c r="M63" s="83">
        <f t="shared" si="183"/>
        <v>0</v>
      </c>
      <c r="N63" s="83">
        <f t="shared" si="183"/>
        <v>0</v>
      </c>
      <c r="O63" s="83">
        <f t="shared" si="183"/>
        <v>-398.11590820312523</v>
      </c>
      <c r="P63" s="83">
        <f t="shared" si="183"/>
        <v>-1399.0930488281253</v>
      </c>
      <c r="Q63" s="83">
        <f t="shared" si="183"/>
        <v>-2400.0701894531253</v>
      </c>
      <c r="R63" s="83">
        <f t="shared" si="183"/>
        <v>-3844.6621992187502</v>
      </c>
      <c r="S63" s="83">
        <f t="shared" si="183"/>
        <v>-5186.8815468749999</v>
      </c>
      <c r="T63" s="83">
        <f t="shared" si="183"/>
        <v>-7846.2958136718753</v>
      </c>
      <c r="U63" s="83">
        <f t="shared" si="183"/>
        <v>-10608.082742578126</v>
      </c>
      <c r="V63" s="83">
        <f t="shared" si="183"/>
        <v>-10919.750625000002</v>
      </c>
      <c r="W63" s="83">
        <f t="shared" si="183"/>
        <v>-10919.750625000002</v>
      </c>
      <c r="X63" s="83">
        <f t="shared" si="183"/>
        <v>-10832.08196265408</v>
      </c>
      <c r="Y63" s="83">
        <f t="shared" si="183"/>
        <v>-10613.794829963748</v>
      </c>
      <c r="Z63" s="83">
        <f t="shared" si="183"/>
        <v>-9396.0979034611446</v>
      </c>
      <c r="AA63" s="83">
        <f t="shared" si="183"/>
        <v>-9396.0979034611446</v>
      </c>
      <c r="AB63" s="83">
        <f t="shared" si="183"/>
        <v>-9304.6448281978683</v>
      </c>
      <c r="AC63" s="83">
        <f t="shared" si="183"/>
        <v>-9070.5197333726901</v>
      </c>
      <c r="AD63" s="83">
        <f t="shared" si="183"/>
        <v>-7812.6730654671619</v>
      </c>
      <c r="AE63" s="83">
        <f t="shared" si="183"/>
        <v>-7812.6730654671619</v>
      </c>
      <c r="AF63" s="83">
        <f t="shared" si="183"/>
        <v>-7682.6582091416649</v>
      </c>
      <c r="AG63" s="83">
        <f t="shared" si="183"/>
        <v>-7401.8585307778721</v>
      </c>
      <c r="AH63" s="83">
        <f t="shared" si="183"/>
        <v>-6048.4882382767</v>
      </c>
      <c r="AI63" s="83">
        <f t="shared" si="183"/>
        <v>-6048.4882382767</v>
      </c>
      <c r="AJ63" s="83">
        <f t="shared" si="183"/>
        <v>-5873.7541915414231</v>
      </c>
      <c r="AK63" s="83">
        <f t="shared" si="183"/>
        <v>-5540.0720460763241</v>
      </c>
      <c r="AL63" s="83">
        <f t="shared" si="183"/>
        <v>-4079.6604059862639</v>
      </c>
      <c r="AM63" s="83">
        <f t="shared" si="183"/>
        <v>-4070.1447743890376</v>
      </c>
      <c r="AN63" s="83">
        <f t="shared" si="183"/>
        <v>-3846.818067901424</v>
      </c>
      <c r="AO63" s="83">
        <f t="shared" si="183"/>
        <v>-3455.5260770441396</v>
      </c>
      <c r="AP63" s="83">
        <f t="shared" si="183"/>
        <v>-1880.39080736591</v>
      </c>
      <c r="AQ63" s="83">
        <f t="shared" si="183"/>
        <v>-1831.4715326944518</v>
      </c>
      <c r="AR63" s="83">
        <f t="shared" si="183"/>
        <v>-1553.6280026024003</v>
      </c>
      <c r="AS63" s="83">
        <f t="shared" si="183"/>
        <v>-1099.1530497618621</v>
      </c>
      <c r="AT63" s="83">
        <f t="shared" si="183"/>
        <v>0</v>
      </c>
      <c r="AU63" s="83">
        <f t="shared" si="183"/>
        <v>0</v>
      </c>
      <c r="AV63" s="83">
        <f t="shared" si="183"/>
        <v>0</v>
      </c>
      <c r="AW63" s="83">
        <f t="shared" si="183"/>
        <v>0</v>
      </c>
      <c r="AX63" s="83">
        <f t="shared" si="183"/>
        <v>0</v>
      </c>
      <c r="AY63" s="83">
        <f t="shared" si="183"/>
        <v>0</v>
      </c>
      <c r="AZ63" s="83">
        <f t="shared" si="183"/>
        <v>0</v>
      </c>
      <c r="BA63" s="83">
        <f t="shared" si="183"/>
        <v>0</v>
      </c>
      <c r="BB63" s="83">
        <f t="shared" si="183"/>
        <v>0</v>
      </c>
      <c r="BC63" s="83">
        <f t="shared" si="183"/>
        <v>0</v>
      </c>
      <c r="BD63" s="83">
        <f t="shared" si="183"/>
        <v>0</v>
      </c>
      <c r="BE63" s="83">
        <f t="shared" si="183"/>
        <v>0</v>
      </c>
      <c r="BF63" s="83">
        <f t="shared" si="183"/>
        <v>0</v>
      </c>
      <c r="BG63" s="83">
        <f t="shared" si="183"/>
        <v>0</v>
      </c>
      <c r="BH63" s="83">
        <f t="shared" si="183"/>
        <v>0</v>
      </c>
      <c r="BI63" s="83">
        <f t="shared" si="183"/>
        <v>0</v>
      </c>
      <c r="BJ63" s="83">
        <f t="shared" si="183"/>
        <v>0</v>
      </c>
      <c r="BK63" s="83">
        <f t="shared" si="183"/>
        <v>0</v>
      </c>
      <c r="BL63" s="83">
        <f t="shared" si="183"/>
        <v>0</v>
      </c>
      <c r="BM63" s="83">
        <f t="shared" si="183"/>
        <v>0</v>
      </c>
      <c r="BN63" s="83">
        <f t="shared" si="183"/>
        <v>0</v>
      </c>
      <c r="BO63" s="83">
        <f t="shared" si="183"/>
        <v>0</v>
      </c>
      <c r="BP63" s="83">
        <f t="shared" si="183"/>
        <v>0</v>
      </c>
      <c r="BQ63" s="83">
        <f t="shared" si="183"/>
        <v>0</v>
      </c>
      <c r="BR63" s="83">
        <f t="shared" si="183"/>
        <v>0</v>
      </c>
      <c r="BS63" s="83">
        <f t="shared" si="183"/>
        <v>0</v>
      </c>
      <c r="BT63" s="83">
        <f t="shared" si="183"/>
        <v>0</v>
      </c>
      <c r="BU63" s="83">
        <f t="shared" si="183"/>
        <v>0</v>
      </c>
      <c r="BV63" s="83">
        <f t="shared" si="183"/>
        <v>0</v>
      </c>
      <c r="BW63" s="83">
        <f t="shared" si="183"/>
        <v>0</v>
      </c>
      <c r="BX63" s="83">
        <f t="shared" si="183"/>
        <v>0</v>
      </c>
      <c r="BY63" s="83">
        <f t="shared" si="183"/>
        <v>0</v>
      </c>
      <c r="BZ63" s="83">
        <f t="shared" si="183"/>
        <v>0</v>
      </c>
      <c r="CA63" s="83">
        <f t="shared" si="183"/>
        <v>0</v>
      </c>
      <c r="CB63" s="83">
        <f t="shared" si="183"/>
        <v>0</v>
      </c>
      <c r="CC63" s="83">
        <f t="shared" si="183"/>
        <v>0</v>
      </c>
      <c r="CD63" s="83">
        <f t="shared" si="183"/>
        <v>0</v>
      </c>
      <c r="CE63" s="83">
        <f t="shared" si="183"/>
        <v>0</v>
      </c>
      <c r="CF63" s="83">
        <f t="shared" si="183"/>
        <v>0</v>
      </c>
      <c r="CG63" s="83">
        <f t="shared" si="183"/>
        <v>0</v>
      </c>
      <c r="CH63" s="83">
        <f t="shared" si="183"/>
        <v>0</v>
      </c>
      <c r="CI63" s="83">
        <f t="shared" si="183"/>
        <v>0</v>
      </c>
      <c r="CJ63" s="83">
        <f t="shared" si="183"/>
        <v>0</v>
      </c>
      <c r="CK63" s="83">
        <f t="shared" si="183"/>
        <v>0</v>
      </c>
      <c r="CL63" s="83">
        <f t="shared" si="183"/>
        <v>0</v>
      </c>
      <c r="CM63" s="83">
        <f t="shared" si="183"/>
        <v>0</v>
      </c>
      <c r="CN63" s="83">
        <f t="shared" si="183"/>
        <v>0</v>
      </c>
      <c r="CO63" s="84">
        <f t="shared" si="183"/>
        <v>0</v>
      </c>
    </row>
    <row r="64" spans="1:93" ht="12.75" customHeight="1">
      <c r="A64" s="37"/>
      <c r="B64" s="70" t="s">
        <v>163</v>
      </c>
      <c r="C64" s="70">
        <f t="shared" si="180"/>
        <v>3927683.5433828169</v>
      </c>
      <c r="D64" s="71">
        <f t="shared" ref="D64:CO64" si="184">SUM(D60,D62:D63)</f>
        <v>0</v>
      </c>
      <c r="E64" s="70">
        <f t="shared" si="184"/>
        <v>-300</v>
      </c>
      <c r="F64" s="70">
        <f t="shared" si="184"/>
        <v>-300</v>
      </c>
      <c r="G64" s="70">
        <f t="shared" si="184"/>
        <v>-300</v>
      </c>
      <c r="H64" s="70">
        <f t="shared" si="184"/>
        <v>-300</v>
      </c>
      <c r="I64" s="70">
        <f t="shared" si="184"/>
        <v>-300</v>
      </c>
      <c r="J64" s="70">
        <f t="shared" si="184"/>
        <v>-300</v>
      </c>
      <c r="K64" s="70">
        <f t="shared" si="184"/>
        <v>-300</v>
      </c>
      <c r="L64" s="70">
        <f t="shared" si="184"/>
        <v>-300</v>
      </c>
      <c r="M64" s="70">
        <f t="shared" si="184"/>
        <v>-300</v>
      </c>
      <c r="N64" s="70">
        <f t="shared" si="184"/>
        <v>-300</v>
      </c>
      <c r="O64" s="70">
        <f t="shared" si="184"/>
        <v>-698.11590820312517</v>
      </c>
      <c r="P64" s="70">
        <f t="shared" si="184"/>
        <v>-1699.0930488281253</v>
      </c>
      <c r="Q64" s="70">
        <f t="shared" si="184"/>
        <v>-2700.0701894531253</v>
      </c>
      <c r="R64" s="70">
        <f t="shared" si="184"/>
        <v>-4144.6621992187502</v>
      </c>
      <c r="S64" s="70">
        <f t="shared" si="184"/>
        <v>-5486.8815468749999</v>
      </c>
      <c r="T64" s="70">
        <f t="shared" si="184"/>
        <v>-8146.2958136718753</v>
      </c>
      <c r="U64" s="70">
        <f t="shared" si="184"/>
        <v>-10908.082742578126</v>
      </c>
      <c r="V64" s="70">
        <f t="shared" si="184"/>
        <v>-11219.750625000002</v>
      </c>
      <c r="W64" s="70">
        <f t="shared" si="184"/>
        <v>5124.3152465478142</v>
      </c>
      <c r="X64" s="70">
        <f t="shared" si="184"/>
        <v>13809.410105145736</v>
      </c>
      <c r="Y64" s="70">
        <f t="shared" si="184"/>
        <v>87427.113896628958</v>
      </c>
      <c r="Z64" s="70">
        <f t="shared" si="184"/>
        <v>-439.3185449971752</v>
      </c>
      <c r="AA64" s="70">
        <f t="shared" si="184"/>
        <v>7956.022864665305</v>
      </c>
      <c r="AB64" s="70">
        <f t="shared" si="184"/>
        <v>17130.448125604104</v>
      </c>
      <c r="AC64" s="70">
        <f t="shared" si="184"/>
        <v>95161.780009562586</v>
      </c>
      <c r="AD64" s="70">
        <f t="shared" si="184"/>
        <v>1780.8328394170394</v>
      </c>
      <c r="AE64" s="70">
        <f t="shared" si="184"/>
        <v>10548.565162767925</v>
      </c>
      <c r="AF64" s="70">
        <f t="shared" si="184"/>
        <v>20170.368522870012</v>
      </c>
      <c r="AG64" s="70">
        <f t="shared" si="184"/>
        <v>101904.08600831444</v>
      </c>
      <c r="AH64" s="70">
        <f t="shared" si="184"/>
        <v>4274.2133097607248</v>
      </c>
      <c r="AI64" s="70">
        <f t="shared" si="184"/>
        <v>13478.380343854926</v>
      </c>
      <c r="AJ64" s="70">
        <f t="shared" si="184"/>
        <v>23619.492319555615</v>
      </c>
      <c r="AK64" s="70">
        <f t="shared" si="184"/>
        <v>109478.7381624554</v>
      </c>
      <c r="AL64" s="70">
        <f t="shared" si="184"/>
        <v>7008.6965673620198</v>
      </c>
      <c r="AM64" s="70">
        <f t="shared" si="184"/>
        <v>16680.635679333951</v>
      </c>
      <c r="AN64" s="70">
        <f t="shared" si="184"/>
        <v>27368.659211235266</v>
      </c>
      <c r="AO64" s="70">
        <f t="shared" si="184"/>
        <v>117561.79308439893</v>
      </c>
      <c r="AP64" s="70">
        <f t="shared" si="184"/>
        <v>10011.9043625588</v>
      </c>
      <c r="AQ64" s="70">
        <f t="shared" si="184"/>
        <v>20204.416386199493</v>
      </c>
      <c r="AR64" s="70">
        <f t="shared" si="184"/>
        <v>31470.191582975898</v>
      </c>
      <c r="AS64" s="70">
        <f t="shared" si="184"/>
        <v>126216.60051223815</v>
      </c>
      <c r="AT64" s="70">
        <f t="shared" si="184"/>
        <v>12736.43027632996</v>
      </c>
      <c r="AU64" s="70">
        <f t="shared" si="184"/>
        <v>23385.250757323418</v>
      </c>
      <c r="AV64" s="70">
        <f t="shared" si="184"/>
        <v>34922.579007342014</v>
      </c>
      <c r="AW64" s="70">
        <f t="shared" si="184"/>
        <v>133929.10968258482</v>
      </c>
      <c r="AX64" s="70">
        <f t="shared" si="184"/>
        <v>13622.772138055469</v>
      </c>
      <c r="AY64" s="70">
        <f t="shared" si="184"/>
        <v>24802.081737674373</v>
      </c>
      <c r="AZ64" s="70">
        <f t="shared" si="184"/>
        <v>36916.276400193885</v>
      </c>
      <c r="BA64" s="70">
        <f t="shared" si="184"/>
        <v>140873.13360919885</v>
      </c>
      <c r="BB64" s="70">
        <f t="shared" si="184"/>
        <v>14553.431092867249</v>
      </c>
      <c r="BC64" s="70">
        <f t="shared" si="184"/>
        <v>26289.754267042881</v>
      </c>
      <c r="BD64" s="70">
        <f t="shared" si="184"/>
        <v>39009.658662688373</v>
      </c>
      <c r="BE64" s="70">
        <f t="shared" si="184"/>
        <v>148164.35873214353</v>
      </c>
      <c r="BF64" s="70">
        <f t="shared" si="184"/>
        <v>15530.622995419617</v>
      </c>
      <c r="BG64" s="70">
        <f t="shared" si="184"/>
        <v>27851.810422879811</v>
      </c>
      <c r="BH64" s="70">
        <f t="shared" si="184"/>
        <v>41207.710038307574</v>
      </c>
      <c r="BI64" s="70">
        <f t="shared" si="184"/>
        <v>155820.14511123556</v>
      </c>
      <c r="BJ64" s="70">
        <f t="shared" si="184"/>
        <v>16556.674493099599</v>
      </c>
      <c r="BK64" s="70">
        <f t="shared" si="184"/>
        <v>29491.969386508586</v>
      </c>
      <c r="BL64" s="70">
        <f t="shared" si="184"/>
        <v>43515.663982707752</v>
      </c>
      <c r="BM64" s="70">
        <f t="shared" si="184"/>
        <v>163858.72080928212</v>
      </c>
      <c r="BN64" s="70">
        <f t="shared" si="184"/>
        <v>17634.028565663582</v>
      </c>
      <c r="BO64" s="70">
        <f t="shared" si="184"/>
        <v>31214.136298318823</v>
      </c>
      <c r="BP64" s="70">
        <f t="shared" si="184"/>
        <v>45939.015624327927</v>
      </c>
      <c r="BQ64" s="70">
        <f t="shared" si="184"/>
        <v>172299.22529223104</v>
      </c>
      <c r="BR64" s="70">
        <f t="shared" si="184"/>
        <v>18765.250341855775</v>
      </c>
      <c r="BS64" s="70">
        <f t="shared" si="184"/>
        <v>33022.411555719547</v>
      </c>
      <c r="BT64" s="70">
        <f t="shared" si="184"/>
        <v>48483.534848029114</v>
      </c>
      <c r="BU64" s="70">
        <f t="shared" si="184"/>
        <v>181161.75499932733</v>
      </c>
      <c r="BV64" s="70">
        <f t="shared" si="184"/>
        <v>19953.033206857566</v>
      </c>
      <c r="BW64" s="70">
        <f t="shared" si="184"/>
        <v>34921.10057599032</v>
      </c>
      <c r="BX64" s="70">
        <f t="shared" si="184"/>
        <v>51155.28003291534</v>
      </c>
      <c r="BY64" s="70">
        <f t="shared" si="184"/>
        <v>190467.41119177858</v>
      </c>
      <c r="BZ64" s="70">
        <f t="shared" si="184"/>
        <v>21200.205215109447</v>
      </c>
      <c r="CA64" s="70">
        <f t="shared" si="184"/>
        <v>36914.724047274605</v>
      </c>
      <c r="CB64" s="70">
        <f t="shared" si="184"/>
        <v>53960.612477045914</v>
      </c>
      <c r="CC64" s="70">
        <f t="shared" si="184"/>
        <v>200238.35019385224</v>
      </c>
      <c r="CD64" s="70">
        <f t="shared" si="184"/>
        <v>22509.735823773924</v>
      </c>
      <c r="CE64" s="70">
        <f t="shared" si="184"/>
        <v>39008.028692123138</v>
      </c>
      <c r="CF64" s="70">
        <f t="shared" si="184"/>
        <v>56906.211543382989</v>
      </c>
      <c r="CG64" s="70">
        <f t="shared" si="184"/>
        <v>210497.83614602964</v>
      </c>
      <c r="CH64" s="70">
        <f t="shared" si="184"/>
        <v>23884.742962871635</v>
      </c>
      <c r="CI64" s="70">
        <f t="shared" si="184"/>
        <v>41205.998569214076</v>
      </c>
      <c r="CJ64" s="70">
        <f t="shared" si="184"/>
        <v>59999.090563036953</v>
      </c>
      <c r="CK64" s="70">
        <f t="shared" si="184"/>
        <v>221270.29639581594</v>
      </c>
      <c r="CL64" s="70">
        <f t="shared" si="184"/>
        <v>25328.500458924231</v>
      </c>
      <c r="CM64" s="70">
        <f t="shared" si="184"/>
        <v>43513.866940159569</v>
      </c>
      <c r="CN64" s="70">
        <f t="shared" si="184"/>
        <v>63246.613533673575</v>
      </c>
      <c r="CO64" s="72">
        <f t="shared" si="184"/>
        <v>232581.37965809155</v>
      </c>
    </row>
    <row r="65" spans="1:93" ht="12.75" customHeight="1">
      <c r="A65" s="35"/>
      <c r="B65" s="63" t="s">
        <v>164</v>
      </c>
      <c r="C65" s="74">
        <f>SUM(X65:CN65)</f>
        <v>-729685.76744836313</v>
      </c>
      <c r="D65" s="60">
        <f t="shared" ref="D65:CO65" si="185">D139</f>
        <v>0</v>
      </c>
      <c r="E65" s="35">
        <f t="shared" si="185"/>
        <v>0</v>
      </c>
      <c r="F65" s="35">
        <f t="shared" si="185"/>
        <v>0</v>
      </c>
      <c r="G65" s="35">
        <f t="shared" si="185"/>
        <v>0</v>
      </c>
      <c r="H65" s="35">
        <f t="shared" si="185"/>
        <v>0</v>
      </c>
      <c r="I65" s="35">
        <f t="shared" si="185"/>
        <v>0</v>
      </c>
      <c r="J65" s="35">
        <f t="shared" si="185"/>
        <v>0</v>
      </c>
      <c r="K65" s="35">
        <f t="shared" si="185"/>
        <v>0</v>
      </c>
      <c r="L65" s="35">
        <f t="shared" si="185"/>
        <v>0</v>
      </c>
      <c r="M65" s="35">
        <f t="shared" si="185"/>
        <v>0</v>
      </c>
      <c r="N65" s="35">
        <f t="shared" si="185"/>
        <v>0</v>
      </c>
      <c r="O65" s="35">
        <f t="shared" si="185"/>
        <v>0</v>
      </c>
      <c r="P65" s="35">
        <f t="shared" si="185"/>
        <v>0</v>
      </c>
      <c r="Q65" s="35">
        <f t="shared" si="185"/>
        <v>0</v>
      </c>
      <c r="R65" s="35">
        <f t="shared" si="185"/>
        <v>0</v>
      </c>
      <c r="S65" s="35">
        <f t="shared" si="185"/>
        <v>0</v>
      </c>
      <c r="T65" s="35">
        <f t="shared" si="185"/>
        <v>0</v>
      </c>
      <c r="U65" s="35">
        <f t="shared" si="185"/>
        <v>0</v>
      </c>
      <c r="V65" s="35">
        <f t="shared" si="185"/>
        <v>0</v>
      </c>
      <c r="W65" s="35">
        <f t="shared" si="185"/>
        <v>0</v>
      </c>
      <c r="X65" s="35">
        <f t="shared" si="185"/>
        <v>0</v>
      </c>
      <c r="Y65" s="35">
        <f t="shared" si="185"/>
        <v>-9045.4725120466283</v>
      </c>
      <c r="Z65" s="35">
        <f t="shared" si="185"/>
        <v>0</v>
      </c>
      <c r="AA65" s="35">
        <f t="shared" si="185"/>
        <v>-1165.08916954856</v>
      </c>
      <c r="AB65" s="35">
        <f t="shared" si="185"/>
        <v>-2655.2194594686362</v>
      </c>
      <c r="AC65" s="35">
        <f t="shared" si="185"/>
        <v>-14750.075901482202</v>
      </c>
      <c r="AD65" s="35">
        <f t="shared" si="185"/>
        <v>-276.02909010964112</v>
      </c>
      <c r="AE65" s="35">
        <f t="shared" si="185"/>
        <v>-1635.0276002290284</v>
      </c>
      <c r="AF65" s="35">
        <f t="shared" si="185"/>
        <v>-3126.4071210448519</v>
      </c>
      <c r="AG65" s="35">
        <f t="shared" si="185"/>
        <v>-15795.133331288738</v>
      </c>
      <c r="AH65" s="35">
        <f t="shared" si="185"/>
        <v>-662.50306301291232</v>
      </c>
      <c r="AI65" s="35">
        <f t="shared" si="185"/>
        <v>-2089.1489532975133</v>
      </c>
      <c r="AJ65" s="35">
        <f t="shared" si="185"/>
        <v>-3661.0213095311201</v>
      </c>
      <c r="AK65" s="35">
        <f t="shared" si="185"/>
        <v>-16969.204415180586</v>
      </c>
      <c r="AL65" s="35">
        <f t="shared" si="185"/>
        <v>-1086.347967941113</v>
      </c>
      <c r="AM65" s="35">
        <f t="shared" si="185"/>
        <v>-2585.4985302967625</v>
      </c>
      <c r="AN65" s="35">
        <f t="shared" si="185"/>
        <v>-4242.1421777414662</v>
      </c>
      <c r="AO65" s="35">
        <f t="shared" si="185"/>
        <v>-18222.077928081835</v>
      </c>
      <c r="AP65" s="35">
        <f t="shared" si="185"/>
        <v>-1551.8451761966139</v>
      </c>
      <c r="AQ65" s="35">
        <f t="shared" si="185"/>
        <v>-3131.6845398609212</v>
      </c>
      <c r="AR65" s="35">
        <f t="shared" si="185"/>
        <v>-4877.8796953612646</v>
      </c>
      <c r="AS65" s="35">
        <f t="shared" si="185"/>
        <v>-19563.573079396912</v>
      </c>
      <c r="AT65" s="35">
        <f t="shared" si="185"/>
        <v>-1974.1466928311438</v>
      </c>
      <c r="AU65" s="35">
        <f t="shared" si="185"/>
        <v>-3624.7138673851296</v>
      </c>
      <c r="AV65" s="35">
        <f t="shared" si="185"/>
        <v>-5412.9997461380117</v>
      </c>
      <c r="AW65" s="35">
        <f t="shared" si="185"/>
        <v>-20759.012000800649</v>
      </c>
      <c r="AX65" s="35">
        <f t="shared" si="185"/>
        <v>-2111.5296813985974</v>
      </c>
      <c r="AY65" s="35">
        <f t="shared" si="185"/>
        <v>-3844.3226693395277</v>
      </c>
      <c r="AZ65" s="35">
        <f t="shared" si="185"/>
        <v>-5722.0228420300518</v>
      </c>
      <c r="BA65" s="35">
        <f t="shared" si="185"/>
        <v>-21835.335709425821</v>
      </c>
      <c r="BB65" s="35">
        <f t="shared" si="185"/>
        <v>-2910.6862185734499</v>
      </c>
      <c r="BC65" s="35">
        <f t="shared" si="185"/>
        <v>-5257.9508534085762</v>
      </c>
      <c r="BD65" s="35">
        <f t="shared" si="185"/>
        <v>-7801.9317325376751</v>
      </c>
      <c r="BE65" s="35">
        <f t="shared" si="185"/>
        <v>-29632.871746428707</v>
      </c>
      <c r="BF65" s="35">
        <f t="shared" si="185"/>
        <v>-3106.1245990839234</v>
      </c>
      <c r="BG65" s="35">
        <f t="shared" si="185"/>
        <v>-5570.3620845759624</v>
      </c>
      <c r="BH65" s="35">
        <f t="shared" si="185"/>
        <v>-8241.5420076615155</v>
      </c>
      <c r="BI65" s="35">
        <f t="shared" si="185"/>
        <v>-31164.029022247112</v>
      </c>
      <c r="BJ65" s="35">
        <f t="shared" si="185"/>
        <v>-3311.3348986199198</v>
      </c>
      <c r="BK65" s="35">
        <f t="shared" si="185"/>
        <v>-5898.393877301718</v>
      </c>
      <c r="BL65" s="35">
        <f t="shared" si="185"/>
        <v>-8703.1327965415512</v>
      </c>
      <c r="BM65" s="35">
        <f t="shared" si="185"/>
        <v>-32771.744161856426</v>
      </c>
      <c r="BN65" s="35">
        <f t="shared" si="185"/>
        <v>-3526.8057131327168</v>
      </c>
      <c r="BO65" s="35">
        <f t="shared" si="185"/>
        <v>-6242.8272596637653</v>
      </c>
      <c r="BP65" s="35">
        <f t="shared" si="185"/>
        <v>-9187.8031248655861</v>
      </c>
      <c r="BQ65" s="35">
        <f t="shared" si="185"/>
        <v>-34459.845058446212</v>
      </c>
      <c r="BR65" s="35">
        <f t="shared" si="185"/>
        <v>-3753.0500683711552</v>
      </c>
      <c r="BS65" s="35">
        <f t="shared" si="185"/>
        <v>-6604.48231114391</v>
      </c>
      <c r="BT65" s="35">
        <f t="shared" si="185"/>
        <v>-9696.7069696058225</v>
      </c>
      <c r="BU65" s="35">
        <f t="shared" si="185"/>
        <v>-36232.35099986547</v>
      </c>
      <c r="BV65" s="35">
        <f t="shared" si="185"/>
        <v>-3990.6066413715134</v>
      </c>
      <c r="BW65" s="35">
        <f t="shared" si="185"/>
        <v>-6984.2201151980644</v>
      </c>
      <c r="BX65" s="35">
        <f t="shared" si="185"/>
        <v>-10231.056006583069</v>
      </c>
      <c r="BY65" s="35">
        <f t="shared" si="185"/>
        <v>-38093.482238355718</v>
      </c>
      <c r="BZ65" s="35">
        <f t="shared" si="185"/>
        <v>-4240.0410430218899</v>
      </c>
      <c r="CA65" s="35">
        <f t="shared" si="185"/>
        <v>-7382.9448094549216</v>
      </c>
      <c r="CB65" s="35">
        <f t="shared" si="185"/>
        <v>-10792.122495409183</v>
      </c>
      <c r="CC65" s="35">
        <f t="shared" si="185"/>
        <v>-40047.670038770448</v>
      </c>
      <c r="CD65" s="35">
        <f t="shared" si="185"/>
        <v>-4501.9471647547853</v>
      </c>
      <c r="CE65" s="35">
        <f t="shared" si="185"/>
        <v>-7801.6057384246278</v>
      </c>
      <c r="CF65" s="35">
        <f t="shared" si="185"/>
        <v>-11381.242308676599</v>
      </c>
      <c r="CG65" s="35">
        <f t="shared" si="185"/>
        <v>-42099.567229205932</v>
      </c>
      <c r="CH65" s="35">
        <f t="shared" si="185"/>
        <v>-4776.9485925743274</v>
      </c>
      <c r="CI65" s="35">
        <f t="shared" si="185"/>
        <v>-8241.199713842816</v>
      </c>
      <c r="CJ65" s="35">
        <f t="shared" si="185"/>
        <v>-11999.818112607391</v>
      </c>
      <c r="CK65" s="35">
        <f t="shared" si="185"/>
        <v>-44254.059279163193</v>
      </c>
      <c r="CL65" s="35">
        <f t="shared" si="185"/>
        <v>-5065.7000917848463</v>
      </c>
      <c r="CM65" s="35">
        <f t="shared" si="185"/>
        <v>-8702.7733880319138</v>
      </c>
      <c r="CN65" s="35">
        <f t="shared" si="185"/>
        <v>-12649.322706734716</v>
      </c>
      <c r="CO65" s="5">
        <f t="shared" si="185"/>
        <v>0</v>
      </c>
    </row>
    <row r="66" spans="1:93" ht="12.75" customHeight="1">
      <c r="A66" s="37"/>
      <c r="B66" s="70" t="s">
        <v>165</v>
      </c>
      <c r="C66" s="70">
        <f>SUM(D66:CN66)</f>
        <v>3197997.7759344522</v>
      </c>
      <c r="D66" s="71">
        <f t="shared" ref="D66:CO66" si="186">SUM(D64:D65)</f>
        <v>0</v>
      </c>
      <c r="E66" s="70">
        <f t="shared" si="186"/>
        <v>-300</v>
      </c>
      <c r="F66" s="70">
        <f t="shared" si="186"/>
        <v>-300</v>
      </c>
      <c r="G66" s="70">
        <f t="shared" si="186"/>
        <v>-300</v>
      </c>
      <c r="H66" s="70">
        <f t="shared" si="186"/>
        <v>-300</v>
      </c>
      <c r="I66" s="70">
        <f t="shared" si="186"/>
        <v>-300</v>
      </c>
      <c r="J66" s="70">
        <f t="shared" si="186"/>
        <v>-300</v>
      </c>
      <c r="K66" s="70">
        <f t="shared" si="186"/>
        <v>-300</v>
      </c>
      <c r="L66" s="70">
        <f t="shared" si="186"/>
        <v>-300</v>
      </c>
      <c r="M66" s="70">
        <f t="shared" si="186"/>
        <v>-300</v>
      </c>
      <c r="N66" s="70">
        <f t="shared" si="186"/>
        <v>-300</v>
      </c>
      <c r="O66" s="70">
        <f t="shared" si="186"/>
        <v>-698.11590820312517</v>
      </c>
      <c r="P66" s="70">
        <f t="shared" si="186"/>
        <v>-1699.0930488281253</v>
      </c>
      <c r="Q66" s="70">
        <f t="shared" si="186"/>
        <v>-2700.0701894531253</v>
      </c>
      <c r="R66" s="70">
        <f t="shared" si="186"/>
        <v>-4144.6621992187502</v>
      </c>
      <c r="S66" s="70">
        <f t="shared" si="186"/>
        <v>-5486.8815468749999</v>
      </c>
      <c r="T66" s="70">
        <f t="shared" si="186"/>
        <v>-8146.2958136718753</v>
      </c>
      <c r="U66" s="70">
        <f t="shared" si="186"/>
        <v>-10908.082742578126</v>
      </c>
      <c r="V66" s="70">
        <f t="shared" si="186"/>
        <v>-11219.750625000002</v>
      </c>
      <c r="W66" s="70">
        <f t="shared" si="186"/>
        <v>5124.3152465478142</v>
      </c>
      <c r="X66" s="70">
        <f t="shared" si="186"/>
        <v>13809.410105145736</v>
      </c>
      <c r="Y66" s="70">
        <f t="shared" si="186"/>
        <v>78381.641384582326</v>
      </c>
      <c r="Z66" s="70">
        <f t="shared" si="186"/>
        <v>-439.3185449971752</v>
      </c>
      <c r="AA66" s="70">
        <f t="shared" si="186"/>
        <v>6790.9336951167452</v>
      </c>
      <c r="AB66" s="70">
        <f t="shared" si="186"/>
        <v>14475.228666135466</v>
      </c>
      <c r="AC66" s="70">
        <f t="shared" si="186"/>
        <v>80411.70410808039</v>
      </c>
      <c r="AD66" s="70">
        <f t="shared" si="186"/>
        <v>1504.8037493073982</v>
      </c>
      <c r="AE66" s="70">
        <f t="shared" si="186"/>
        <v>8913.537562538897</v>
      </c>
      <c r="AF66" s="70">
        <f t="shared" si="186"/>
        <v>17043.96140182516</v>
      </c>
      <c r="AG66" s="70">
        <f t="shared" si="186"/>
        <v>86108.952677025693</v>
      </c>
      <c r="AH66" s="70">
        <f t="shared" si="186"/>
        <v>3611.7102467478126</v>
      </c>
      <c r="AI66" s="70">
        <f t="shared" si="186"/>
        <v>11389.231390557412</v>
      </c>
      <c r="AJ66" s="70">
        <f t="shared" si="186"/>
        <v>19958.471010024496</v>
      </c>
      <c r="AK66" s="70">
        <f t="shared" si="186"/>
        <v>92509.533747274807</v>
      </c>
      <c r="AL66" s="70">
        <f t="shared" si="186"/>
        <v>5922.3485994209068</v>
      </c>
      <c r="AM66" s="70">
        <f t="shared" si="186"/>
        <v>14095.137149037189</v>
      </c>
      <c r="AN66" s="70">
        <f t="shared" si="186"/>
        <v>23126.517033493801</v>
      </c>
      <c r="AO66" s="70">
        <f t="shared" si="186"/>
        <v>99339.715156317092</v>
      </c>
      <c r="AP66" s="70">
        <f t="shared" si="186"/>
        <v>8460.0591863621867</v>
      </c>
      <c r="AQ66" s="70">
        <f t="shared" si="186"/>
        <v>17072.731846338571</v>
      </c>
      <c r="AR66" s="70">
        <f t="shared" si="186"/>
        <v>26592.311887614633</v>
      </c>
      <c r="AS66" s="70">
        <f t="shared" si="186"/>
        <v>106653.02743284123</v>
      </c>
      <c r="AT66" s="70">
        <f t="shared" si="186"/>
        <v>10762.283583498816</v>
      </c>
      <c r="AU66" s="70">
        <f t="shared" si="186"/>
        <v>19760.536889938288</v>
      </c>
      <c r="AV66" s="70">
        <f t="shared" si="186"/>
        <v>29509.579261204002</v>
      </c>
      <c r="AW66" s="70">
        <f t="shared" si="186"/>
        <v>113170.09768178417</v>
      </c>
      <c r="AX66" s="70">
        <f t="shared" si="186"/>
        <v>11511.242456656872</v>
      </c>
      <c r="AY66" s="70">
        <f t="shared" si="186"/>
        <v>20957.759068334846</v>
      </c>
      <c r="AZ66" s="70">
        <f t="shared" si="186"/>
        <v>31194.253558163833</v>
      </c>
      <c r="BA66" s="70">
        <f t="shared" si="186"/>
        <v>119037.79789977302</v>
      </c>
      <c r="BB66" s="70">
        <f t="shared" si="186"/>
        <v>11642.7448742938</v>
      </c>
      <c r="BC66" s="70">
        <f t="shared" si="186"/>
        <v>21031.803413634305</v>
      </c>
      <c r="BD66" s="70">
        <f t="shared" si="186"/>
        <v>31207.726930150697</v>
      </c>
      <c r="BE66" s="70">
        <f t="shared" si="186"/>
        <v>118531.48698571483</v>
      </c>
      <c r="BF66" s="70">
        <f t="shared" si="186"/>
        <v>12424.498396335694</v>
      </c>
      <c r="BG66" s="70">
        <f t="shared" si="186"/>
        <v>22281.44833830385</v>
      </c>
      <c r="BH66" s="70">
        <f t="shared" si="186"/>
        <v>32966.168030646062</v>
      </c>
      <c r="BI66" s="70">
        <f t="shared" si="186"/>
        <v>124656.11608898845</v>
      </c>
      <c r="BJ66" s="70">
        <f t="shared" si="186"/>
        <v>13245.339594479679</v>
      </c>
      <c r="BK66" s="70">
        <f t="shared" si="186"/>
        <v>23593.575509206868</v>
      </c>
      <c r="BL66" s="70">
        <f t="shared" si="186"/>
        <v>34812.531186166205</v>
      </c>
      <c r="BM66" s="70">
        <f t="shared" si="186"/>
        <v>131086.9766474257</v>
      </c>
      <c r="BN66" s="70">
        <f t="shared" si="186"/>
        <v>14107.222852530866</v>
      </c>
      <c r="BO66" s="70">
        <f t="shared" si="186"/>
        <v>24971.309038655058</v>
      </c>
      <c r="BP66" s="70">
        <f t="shared" si="186"/>
        <v>36751.212499462345</v>
      </c>
      <c r="BQ66" s="70">
        <f t="shared" si="186"/>
        <v>137839.38023378485</v>
      </c>
      <c r="BR66" s="70">
        <f t="shared" si="186"/>
        <v>15012.200273484621</v>
      </c>
      <c r="BS66" s="70">
        <f t="shared" si="186"/>
        <v>26417.929244575636</v>
      </c>
      <c r="BT66" s="70">
        <f t="shared" si="186"/>
        <v>38786.82787842329</v>
      </c>
      <c r="BU66" s="70">
        <f t="shared" si="186"/>
        <v>144929.40399946185</v>
      </c>
      <c r="BV66" s="70">
        <f t="shared" si="186"/>
        <v>15962.426565486054</v>
      </c>
      <c r="BW66" s="70">
        <f t="shared" si="186"/>
        <v>27936.880460792258</v>
      </c>
      <c r="BX66" s="70">
        <f t="shared" si="186"/>
        <v>40924.224026332275</v>
      </c>
      <c r="BY66" s="70">
        <f t="shared" si="186"/>
        <v>152373.92895342287</v>
      </c>
      <c r="BZ66" s="70">
        <f t="shared" si="186"/>
        <v>16960.164172087556</v>
      </c>
      <c r="CA66" s="70">
        <f t="shared" si="186"/>
        <v>29531.779237819683</v>
      </c>
      <c r="CB66" s="70">
        <f t="shared" si="186"/>
        <v>43168.489981636732</v>
      </c>
      <c r="CC66" s="70">
        <f t="shared" si="186"/>
        <v>160190.68015508179</v>
      </c>
      <c r="CD66" s="70">
        <f t="shared" si="186"/>
        <v>18007.788659019141</v>
      </c>
      <c r="CE66" s="70">
        <f t="shared" si="186"/>
        <v>31206.422953698511</v>
      </c>
      <c r="CF66" s="70">
        <f t="shared" si="186"/>
        <v>45524.96923470639</v>
      </c>
      <c r="CG66" s="70">
        <f t="shared" si="186"/>
        <v>168398.26891682373</v>
      </c>
      <c r="CH66" s="70">
        <f t="shared" si="186"/>
        <v>19107.794370297306</v>
      </c>
      <c r="CI66" s="70">
        <f t="shared" si="186"/>
        <v>32964.798855371264</v>
      </c>
      <c r="CJ66" s="70">
        <f t="shared" si="186"/>
        <v>47999.272450429562</v>
      </c>
      <c r="CK66" s="70">
        <f t="shared" si="186"/>
        <v>177016.23711665274</v>
      </c>
      <c r="CL66" s="70">
        <f t="shared" si="186"/>
        <v>20262.800367139385</v>
      </c>
      <c r="CM66" s="70">
        <f t="shared" si="186"/>
        <v>34811.093552127655</v>
      </c>
      <c r="CN66" s="70">
        <f t="shared" si="186"/>
        <v>50597.290826938857</v>
      </c>
      <c r="CO66" s="72">
        <f t="shared" si="186"/>
        <v>232581.37965809155</v>
      </c>
    </row>
    <row r="67" spans="1:93" ht="12.75" customHeight="1">
      <c r="A67" s="35"/>
      <c r="B67" s="35"/>
      <c r="C67" s="35"/>
      <c r="D67" s="60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</row>
    <row r="68" spans="1:93" ht="12.75" customHeight="1">
      <c r="A68" s="35"/>
      <c r="B68" s="35"/>
      <c r="C68" s="35"/>
      <c r="D68" s="60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</row>
    <row r="69" spans="1:93" ht="12.75" customHeight="1">
      <c r="A69" s="35"/>
      <c r="B69" s="67" t="s">
        <v>166</v>
      </c>
      <c r="C69" s="68"/>
      <c r="D69" s="44" t="str">
        <f>D6</f>
        <v>0 период</v>
      </c>
      <c r="E69" s="45">
        <f>E6</f>
        <v>45200</v>
      </c>
      <c r="F69" s="45">
        <f>EOMONTH(E69,2)+1</f>
        <v>45292</v>
      </c>
      <c r="G69" s="45">
        <f t="shared" ref="G69:BR69" si="187">EOMONTH(F69,2)+1</f>
        <v>45383</v>
      </c>
      <c r="H69" s="45">
        <f t="shared" si="187"/>
        <v>45474</v>
      </c>
      <c r="I69" s="45">
        <f t="shared" si="187"/>
        <v>45566</v>
      </c>
      <c r="J69" s="45">
        <f t="shared" si="187"/>
        <v>45658</v>
      </c>
      <c r="K69" s="45">
        <f t="shared" si="187"/>
        <v>45748</v>
      </c>
      <c r="L69" s="45">
        <f t="shared" si="187"/>
        <v>45839</v>
      </c>
      <c r="M69" s="45">
        <f t="shared" si="187"/>
        <v>45931</v>
      </c>
      <c r="N69" s="45">
        <f t="shared" si="187"/>
        <v>46023</v>
      </c>
      <c r="O69" s="45">
        <f t="shared" si="187"/>
        <v>46113</v>
      </c>
      <c r="P69" s="45">
        <f t="shared" si="187"/>
        <v>46204</v>
      </c>
      <c r="Q69" s="45">
        <f t="shared" si="187"/>
        <v>46296</v>
      </c>
      <c r="R69" s="45">
        <f t="shared" si="187"/>
        <v>46388</v>
      </c>
      <c r="S69" s="45">
        <f t="shared" si="187"/>
        <v>46478</v>
      </c>
      <c r="T69" s="45">
        <f t="shared" si="187"/>
        <v>46569</v>
      </c>
      <c r="U69" s="45">
        <f t="shared" si="187"/>
        <v>46661</v>
      </c>
      <c r="V69" s="45">
        <f t="shared" si="187"/>
        <v>46753</v>
      </c>
      <c r="W69" s="45">
        <f t="shared" si="187"/>
        <v>46844</v>
      </c>
      <c r="X69" s="45">
        <f t="shared" si="187"/>
        <v>46935</v>
      </c>
      <c r="Y69" s="45">
        <f t="shared" si="187"/>
        <v>47027</v>
      </c>
      <c r="Z69" s="45">
        <f t="shared" si="187"/>
        <v>47119</v>
      </c>
      <c r="AA69" s="45">
        <f t="shared" si="187"/>
        <v>47209</v>
      </c>
      <c r="AB69" s="45">
        <f t="shared" si="187"/>
        <v>47300</v>
      </c>
      <c r="AC69" s="45">
        <f t="shared" si="187"/>
        <v>47392</v>
      </c>
      <c r="AD69" s="45">
        <f t="shared" si="187"/>
        <v>47484</v>
      </c>
      <c r="AE69" s="45">
        <f t="shared" si="187"/>
        <v>47574</v>
      </c>
      <c r="AF69" s="45">
        <f t="shared" si="187"/>
        <v>47665</v>
      </c>
      <c r="AG69" s="45">
        <f t="shared" si="187"/>
        <v>47757</v>
      </c>
      <c r="AH69" s="45">
        <f t="shared" si="187"/>
        <v>47849</v>
      </c>
      <c r="AI69" s="45">
        <f t="shared" si="187"/>
        <v>47939</v>
      </c>
      <c r="AJ69" s="45">
        <f t="shared" si="187"/>
        <v>48030</v>
      </c>
      <c r="AK69" s="45">
        <f t="shared" si="187"/>
        <v>48122</v>
      </c>
      <c r="AL69" s="45">
        <f t="shared" si="187"/>
        <v>48214</v>
      </c>
      <c r="AM69" s="45">
        <f t="shared" si="187"/>
        <v>48305</v>
      </c>
      <c r="AN69" s="45">
        <f t="shared" si="187"/>
        <v>48396</v>
      </c>
      <c r="AO69" s="45">
        <f t="shared" si="187"/>
        <v>48488</v>
      </c>
      <c r="AP69" s="45">
        <f t="shared" si="187"/>
        <v>48580</v>
      </c>
      <c r="AQ69" s="45">
        <f t="shared" si="187"/>
        <v>48670</v>
      </c>
      <c r="AR69" s="45">
        <f t="shared" si="187"/>
        <v>48761</v>
      </c>
      <c r="AS69" s="45">
        <f t="shared" si="187"/>
        <v>48853</v>
      </c>
      <c r="AT69" s="45">
        <f t="shared" si="187"/>
        <v>48945</v>
      </c>
      <c r="AU69" s="45">
        <f t="shared" si="187"/>
        <v>49035</v>
      </c>
      <c r="AV69" s="45">
        <f t="shared" si="187"/>
        <v>49126</v>
      </c>
      <c r="AW69" s="45">
        <f t="shared" si="187"/>
        <v>49218</v>
      </c>
      <c r="AX69" s="45">
        <f t="shared" si="187"/>
        <v>49310</v>
      </c>
      <c r="AY69" s="45">
        <f t="shared" si="187"/>
        <v>49400</v>
      </c>
      <c r="AZ69" s="45">
        <f t="shared" si="187"/>
        <v>49491</v>
      </c>
      <c r="BA69" s="45">
        <f t="shared" si="187"/>
        <v>49583</v>
      </c>
      <c r="BB69" s="45">
        <f t="shared" si="187"/>
        <v>49675</v>
      </c>
      <c r="BC69" s="45">
        <f t="shared" si="187"/>
        <v>49766</v>
      </c>
      <c r="BD69" s="45">
        <f t="shared" si="187"/>
        <v>49857</v>
      </c>
      <c r="BE69" s="45">
        <f t="shared" si="187"/>
        <v>49949</v>
      </c>
      <c r="BF69" s="45">
        <f t="shared" si="187"/>
        <v>50041</v>
      </c>
      <c r="BG69" s="45">
        <f t="shared" si="187"/>
        <v>50131</v>
      </c>
      <c r="BH69" s="45">
        <f t="shared" si="187"/>
        <v>50222</v>
      </c>
      <c r="BI69" s="45">
        <f t="shared" si="187"/>
        <v>50314</v>
      </c>
      <c r="BJ69" s="45">
        <f t="shared" si="187"/>
        <v>50406</v>
      </c>
      <c r="BK69" s="45">
        <f t="shared" si="187"/>
        <v>50496</v>
      </c>
      <c r="BL69" s="45">
        <f t="shared" si="187"/>
        <v>50587</v>
      </c>
      <c r="BM69" s="45">
        <f t="shared" si="187"/>
        <v>50679</v>
      </c>
      <c r="BN69" s="45">
        <f t="shared" si="187"/>
        <v>50771</v>
      </c>
      <c r="BO69" s="45">
        <f t="shared" si="187"/>
        <v>50861</v>
      </c>
      <c r="BP69" s="45">
        <f t="shared" si="187"/>
        <v>50952</v>
      </c>
      <c r="BQ69" s="45">
        <f t="shared" si="187"/>
        <v>51044</v>
      </c>
      <c r="BR69" s="45">
        <f t="shared" si="187"/>
        <v>51136</v>
      </c>
      <c r="BS69" s="45">
        <f t="shared" ref="BS69:CN69" si="188">EOMONTH(BR69,2)+1</f>
        <v>51227</v>
      </c>
      <c r="BT69" s="45">
        <f t="shared" si="188"/>
        <v>51318</v>
      </c>
      <c r="BU69" s="45">
        <f t="shared" si="188"/>
        <v>51410</v>
      </c>
      <c r="BV69" s="45">
        <f t="shared" si="188"/>
        <v>51502</v>
      </c>
      <c r="BW69" s="45">
        <f t="shared" si="188"/>
        <v>51592</v>
      </c>
      <c r="BX69" s="45">
        <f t="shared" si="188"/>
        <v>51683</v>
      </c>
      <c r="BY69" s="45">
        <f t="shared" si="188"/>
        <v>51775</v>
      </c>
      <c r="BZ69" s="45">
        <f t="shared" si="188"/>
        <v>51867</v>
      </c>
      <c r="CA69" s="45">
        <f t="shared" si="188"/>
        <v>51957</v>
      </c>
      <c r="CB69" s="45">
        <f t="shared" si="188"/>
        <v>52048</v>
      </c>
      <c r="CC69" s="45">
        <f t="shared" si="188"/>
        <v>52140</v>
      </c>
      <c r="CD69" s="45">
        <f t="shared" si="188"/>
        <v>52232</v>
      </c>
      <c r="CE69" s="45">
        <f t="shared" si="188"/>
        <v>52322</v>
      </c>
      <c r="CF69" s="45">
        <f t="shared" si="188"/>
        <v>52413</v>
      </c>
      <c r="CG69" s="45">
        <f t="shared" si="188"/>
        <v>52505</v>
      </c>
      <c r="CH69" s="45">
        <f t="shared" si="188"/>
        <v>52597</v>
      </c>
      <c r="CI69" s="45">
        <f t="shared" si="188"/>
        <v>52688</v>
      </c>
      <c r="CJ69" s="45">
        <f t="shared" si="188"/>
        <v>52779</v>
      </c>
      <c r="CK69" s="45">
        <f t="shared" si="188"/>
        <v>52871</v>
      </c>
      <c r="CL69" s="45">
        <f t="shared" si="188"/>
        <v>52963</v>
      </c>
      <c r="CM69" s="45">
        <f t="shared" si="188"/>
        <v>53053</v>
      </c>
      <c r="CN69" s="45">
        <f t="shared" si="188"/>
        <v>53144</v>
      </c>
      <c r="CO69" s="35"/>
    </row>
    <row r="70" spans="1:93" ht="12.75" customHeight="1">
      <c r="A70" s="35"/>
      <c r="B70" s="37" t="s">
        <v>167</v>
      </c>
      <c r="C70" s="35"/>
      <c r="D70" s="85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  <c r="BA70" s="86"/>
      <c r="BB70" s="86"/>
      <c r="BC70" s="86"/>
      <c r="BD70" s="86"/>
      <c r="BE70" s="86"/>
      <c r="BF70" s="86"/>
      <c r="BG70" s="86"/>
      <c r="BH70" s="86"/>
      <c r="BI70" s="86"/>
      <c r="BJ70" s="86"/>
      <c r="BK70" s="86"/>
      <c r="BL70" s="86"/>
      <c r="BM70" s="86"/>
      <c r="BN70" s="86"/>
      <c r="BO70" s="86"/>
      <c r="BP70" s="86"/>
      <c r="BQ70" s="86"/>
      <c r="BR70" s="86"/>
      <c r="BS70" s="86"/>
      <c r="BT70" s="86"/>
      <c r="BU70" s="86"/>
      <c r="BV70" s="86"/>
      <c r="BW70" s="86"/>
      <c r="BX70" s="86"/>
      <c r="BY70" s="86"/>
      <c r="BZ70" s="86"/>
      <c r="CA70" s="86"/>
      <c r="CB70" s="86"/>
      <c r="CC70" s="86"/>
      <c r="CD70" s="86"/>
      <c r="CE70" s="86"/>
      <c r="CF70" s="86"/>
      <c r="CG70" s="86"/>
      <c r="CH70" s="86"/>
      <c r="CI70" s="86"/>
      <c r="CJ70" s="86"/>
      <c r="CK70" s="86"/>
      <c r="CL70" s="86"/>
      <c r="CM70" s="86"/>
      <c r="CN70" s="86"/>
      <c r="CO70" s="35"/>
    </row>
    <row r="71" spans="1:93" ht="12.75" customHeight="1">
      <c r="A71" s="35"/>
      <c r="B71" s="63" t="s">
        <v>160</v>
      </c>
      <c r="C71" s="35">
        <f t="shared" ref="C71:C81" si="189">SUM(D71:CN71)</f>
        <v>4136856.9415455265</v>
      </c>
      <c r="D71" s="60">
        <f t="shared" ref="D71:CN71" si="190">D60</f>
        <v>0</v>
      </c>
      <c r="E71" s="35">
        <f t="shared" si="190"/>
        <v>-300</v>
      </c>
      <c r="F71" s="35">
        <f t="shared" si="190"/>
        <v>-300</v>
      </c>
      <c r="G71" s="35">
        <f t="shared" si="190"/>
        <v>-300</v>
      </c>
      <c r="H71" s="35">
        <f t="shared" si="190"/>
        <v>-300</v>
      </c>
      <c r="I71" s="35">
        <f t="shared" si="190"/>
        <v>-300</v>
      </c>
      <c r="J71" s="35">
        <f t="shared" si="190"/>
        <v>-300</v>
      </c>
      <c r="K71" s="35">
        <f t="shared" si="190"/>
        <v>-300</v>
      </c>
      <c r="L71" s="35">
        <f t="shared" si="190"/>
        <v>-300</v>
      </c>
      <c r="M71" s="35">
        <f t="shared" si="190"/>
        <v>-300</v>
      </c>
      <c r="N71" s="35">
        <f t="shared" si="190"/>
        <v>-300</v>
      </c>
      <c r="O71" s="35">
        <f t="shared" si="190"/>
        <v>-300</v>
      </c>
      <c r="P71" s="35">
        <f t="shared" si="190"/>
        <v>-300</v>
      </c>
      <c r="Q71" s="35">
        <f t="shared" si="190"/>
        <v>-300</v>
      </c>
      <c r="R71" s="35">
        <f t="shared" si="190"/>
        <v>-300</v>
      </c>
      <c r="S71" s="35">
        <f t="shared" si="190"/>
        <v>-300</v>
      </c>
      <c r="T71" s="35">
        <f t="shared" si="190"/>
        <v>-300</v>
      </c>
      <c r="U71" s="35">
        <f t="shared" si="190"/>
        <v>-300</v>
      </c>
      <c r="V71" s="35">
        <f t="shared" si="190"/>
        <v>-300</v>
      </c>
      <c r="W71" s="35">
        <f t="shared" si="190"/>
        <v>16344.065871547817</v>
      </c>
      <c r="X71" s="35">
        <f t="shared" si="190"/>
        <v>24941.492067799816</v>
      </c>
      <c r="Y71" s="35">
        <f t="shared" si="190"/>
        <v>98340.908726592708</v>
      </c>
      <c r="Z71" s="35">
        <f t="shared" si="190"/>
        <v>9256.7793584639694</v>
      </c>
      <c r="AA71" s="35">
        <f t="shared" si="190"/>
        <v>17652.12076812645</v>
      </c>
      <c r="AB71" s="35">
        <f t="shared" si="190"/>
        <v>26735.09295380197</v>
      </c>
      <c r="AC71" s="35">
        <f t="shared" si="190"/>
        <v>104532.29974293528</v>
      </c>
      <c r="AD71" s="35">
        <f t="shared" si="190"/>
        <v>9893.5059048842013</v>
      </c>
      <c r="AE71" s="35">
        <f t="shared" si="190"/>
        <v>18661.238228235088</v>
      </c>
      <c r="AF71" s="35">
        <f t="shared" si="190"/>
        <v>28153.026732011676</v>
      </c>
      <c r="AG71" s="35">
        <f t="shared" si="190"/>
        <v>109605.94453909231</v>
      </c>
      <c r="AH71" s="35">
        <f t="shared" si="190"/>
        <v>10622.701548037425</v>
      </c>
      <c r="AI71" s="35">
        <f t="shared" si="190"/>
        <v>19826.868582131625</v>
      </c>
      <c r="AJ71" s="35">
        <f t="shared" si="190"/>
        <v>29793.246511097037</v>
      </c>
      <c r="AK71" s="35">
        <f t="shared" si="190"/>
        <v>115318.81020853172</v>
      </c>
      <c r="AL71" s="35">
        <f t="shared" si="190"/>
        <v>11388.356973348284</v>
      </c>
      <c r="AM71" s="35">
        <f t="shared" si="190"/>
        <v>21050.780453722989</v>
      </c>
      <c r="AN71" s="35">
        <f t="shared" si="190"/>
        <v>31515.477279136692</v>
      </c>
      <c r="AO71" s="35">
        <f t="shared" si="190"/>
        <v>121317.31916144307</v>
      </c>
      <c r="AP71" s="35">
        <f t="shared" si="190"/>
        <v>12192.29516992471</v>
      </c>
      <c r="AQ71" s="35">
        <f t="shared" si="190"/>
        <v>22335.887918893946</v>
      </c>
      <c r="AR71" s="35">
        <f t="shared" si="190"/>
        <v>33323.819585578298</v>
      </c>
      <c r="AS71" s="35">
        <f t="shared" si="190"/>
        <v>127615.75356200001</v>
      </c>
      <c r="AT71" s="35">
        <f t="shared" si="190"/>
        <v>13036.43027632996</v>
      </c>
      <c r="AU71" s="35">
        <f t="shared" si="190"/>
        <v>23685.250757323418</v>
      </c>
      <c r="AV71" s="35">
        <f t="shared" si="190"/>
        <v>35222.579007342014</v>
      </c>
      <c r="AW71" s="35">
        <f t="shared" si="190"/>
        <v>134229.10968258482</v>
      </c>
      <c r="AX71" s="35">
        <f t="shared" si="190"/>
        <v>13922.772138055469</v>
      </c>
      <c r="AY71" s="35">
        <f t="shared" si="190"/>
        <v>25102.081737674373</v>
      </c>
      <c r="AZ71" s="35">
        <f t="shared" si="190"/>
        <v>37216.276400193885</v>
      </c>
      <c r="BA71" s="35">
        <f t="shared" si="190"/>
        <v>141173.13360919885</v>
      </c>
      <c r="BB71" s="35">
        <f t="shared" si="190"/>
        <v>14853.431092867249</v>
      </c>
      <c r="BC71" s="35">
        <f t="shared" si="190"/>
        <v>26589.754267042881</v>
      </c>
      <c r="BD71" s="35">
        <f t="shared" si="190"/>
        <v>39309.658662688373</v>
      </c>
      <c r="BE71" s="35">
        <f t="shared" si="190"/>
        <v>148464.35873214353</v>
      </c>
      <c r="BF71" s="35">
        <f t="shared" si="190"/>
        <v>15830.622995419617</v>
      </c>
      <c r="BG71" s="35">
        <f t="shared" si="190"/>
        <v>28151.810422879811</v>
      </c>
      <c r="BH71" s="35">
        <f t="shared" si="190"/>
        <v>41507.710038307574</v>
      </c>
      <c r="BI71" s="35">
        <f t="shared" si="190"/>
        <v>156120.14511123556</v>
      </c>
      <c r="BJ71" s="35">
        <f t="shared" si="190"/>
        <v>16856.674493099599</v>
      </c>
      <c r="BK71" s="35">
        <f t="shared" si="190"/>
        <v>29791.969386508586</v>
      </c>
      <c r="BL71" s="35">
        <f t="shared" si="190"/>
        <v>43815.663982707752</v>
      </c>
      <c r="BM71" s="35">
        <f t="shared" si="190"/>
        <v>164158.72080928212</v>
      </c>
      <c r="BN71" s="35">
        <f t="shared" si="190"/>
        <v>17934.028565663582</v>
      </c>
      <c r="BO71" s="35">
        <f t="shared" si="190"/>
        <v>31514.136298318823</v>
      </c>
      <c r="BP71" s="35">
        <f t="shared" si="190"/>
        <v>46239.015624327927</v>
      </c>
      <c r="BQ71" s="35">
        <f t="shared" si="190"/>
        <v>172599.22529223104</v>
      </c>
      <c r="BR71" s="35">
        <f t="shared" si="190"/>
        <v>19065.250341855775</v>
      </c>
      <c r="BS71" s="35">
        <f t="shared" si="190"/>
        <v>33322.411555719547</v>
      </c>
      <c r="BT71" s="35">
        <f t="shared" si="190"/>
        <v>48783.534848029114</v>
      </c>
      <c r="BU71" s="35">
        <f t="shared" si="190"/>
        <v>181461.75499932733</v>
      </c>
      <c r="BV71" s="35">
        <f t="shared" si="190"/>
        <v>20253.033206857566</v>
      </c>
      <c r="BW71" s="35">
        <f t="shared" si="190"/>
        <v>35221.10057599032</v>
      </c>
      <c r="BX71" s="35">
        <f t="shared" si="190"/>
        <v>51455.28003291534</v>
      </c>
      <c r="BY71" s="35">
        <f t="shared" si="190"/>
        <v>190767.41119177858</v>
      </c>
      <c r="BZ71" s="35">
        <f t="shared" si="190"/>
        <v>21500.205215109447</v>
      </c>
      <c r="CA71" s="35">
        <f t="shared" si="190"/>
        <v>37214.724047274605</v>
      </c>
      <c r="CB71" s="35">
        <f t="shared" si="190"/>
        <v>54260.612477045914</v>
      </c>
      <c r="CC71" s="35">
        <f t="shared" si="190"/>
        <v>200538.35019385224</v>
      </c>
      <c r="CD71" s="35">
        <f t="shared" si="190"/>
        <v>22809.735823773924</v>
      </c>
      <c r="CE71" s="35">
        <f t="shared" si="190"/>
        <v>39308.028692123138</v>
      </c>
      <c r="CF71" s="35">
        <f t="shared" si="190"/>
        <v>57206.211543382989</v>
      </c>
      <c r="CG71" s="35">
        <f t="shared" si="190"/>
        <v>210797.83614602964</v>
      </c>
      <c r="CH71" s="35">
        <f t="shared" si="190"/>
        <v>24184.742962871635</v>
      </c>
      <c r="CI71" s="35">
        <f t="shared" si="190"/>
        <v>41505.998569214076</v>
      </c>
      <c r="CJ71" s="35">
        <f t="shared" si="190"/>
        <v>60299.090563036953</v>
      </c>
      <c r="CK71" s="35">
        <f t="shared" si="190"/>
        <v>221570.29639581594</v>
      </c>
      <c r="CL71" s="35">
        <f t="shared" si="190"/>
        <v>25628.500458924231</v>
      </c>
      <c r="CM71" s="35">
        <f t="shared" si="190"/>
        <v>43813.866940159569</v>
      </c>
      <c r="CN71" s="35">
        <f t="shared" si="190"/>
        <v>63546.613533673575</v>
      </c>
      <c r="CO71" s="35"/>
    </row>
    <row r="72" spans="1:93" ht="12.75" customHeight="1">
      <c r="A72" s="35"/>
      <c r="B72" s="87" t="s">
        <v>168</v>
      </c>
      <c r="C72" s="35">
        <f t="shared" si="189"/>
        <v>-2359.8128780294455</v>
      </c>
      <c r="D72" s="60"/>
      <c r="E72" s="35">
        <f>(SUM(F32:F35,F37:F40,F43:F55)/F13*Assump!$E$57*Assump!$D$57-SUM(E32:E35,E37:E40,E43:E55)/E13*Assump!$E$57*Assump!$D$57)*(1+Assump!$D$25)</f>
        <v>0</v>
      </c>
      <c r="F72" s="35">
        <f>(SUM(G32:G35,G37:G40,G43:G55)/G13*Assump!$E$57*Assump!$D$57-SUM(F32:F35,F37:F40,F43:F55)/F13*Assump!$E$57*Assump!$D$57)*(1+Assump!$D$25)</f>
        <v>0</v>
      </c>
      <c r="G72" s="35">
        <f>(SUM(H32:H35,H37:H40,H43:H55)/H13*Assump!$E$57*Assump!$D$57-SUM(G32:G35,G37:G40,G43:G55)/G13*Assump!$E$57*Assump!$D$57)*(1+Assump!$D$25)</f>
        <v>0</v>
      </c>
      <c r="H72" s="35">
        <f>(SUM(I32:I35,I37:I40,I43:I55)/I13*Assump!$E$57*Assump!$D$57-SUM(H32:H35,H37:H40,H43:H55)/H13*Assump!$E$57*Assump!$D$57)*(1+Assump!$D$25)</f>
        <v>0</v>
      </c>
      <c r="I72" s="35">
        <f>(SUM(J32:J35,J37:J40,J43:J55)/J13*Assump!$E$57*Assump!$D$57-SUM(I32:I35,I37:I40,I43:I55)/I13*Assump!$E$57*Assump!$D$57)*(1+Assump!$D$25)</f>
        <v>0</v>
      </c>
      <c r="J72" s="35">
        <f>(SUM(K32:K35,K37:K40,K43:K55)/K13*Assump!$E$57*Assump!$D$57-SUM(J32:J35,J37:J40,J43:J55)/J13*Assump!$E$57*Assump!$D$57)*(1+Assump!$D$25)</f>
        <v>0</v>
      </c>
      <c r="K72" s="35">
        <f>(SUM(L32:L35,L37:L40,L43:L55)/L13*Assump!$E$57*Assump!$D$57-SUM(K32:K35,K37:K40,K43:K55)/K13*Assump!$E$57*Assump!$D$57)*(1+Assump!$D$25)</f>
        <v>0</v>
      </c>
      <c r="L72" s="35">
        <f>(SUM(M32:M35,M37:M40,M43:M55)/M13*Assump!$E$57*Assump!$D$57-SUM(L32:L35,L37:L40,L43:L55)/L13*Assump!$E$57*Assump!$D$57)*(1+Assump!$D$25)</f>
        <v>0</v>
      </c>
      <c r="M72" s="35">
        <f>(SUM(N32:N35,N37:N40,N43:N55)/N13*Assump!$E$57*Assump!$D$57-SUM(M32:M35,M37:M40,M43:M55)/M13*Assump!$E$57*Assump!$D$57)*(1+Assump!$D$25)</f>
        <v>0</v>
      </c>
      <c r="N72" s="35">
        <f>(SUM(O32:O35,O37:O40,O43:O55)/O13*Assump!$E$57*Assump!$D$57-SUM(N32:N35,N37:N40,N43:N55)/N13*Assump!$E$57*Assump!$D$57)*(1+Assump!$D$25)</f>
        <v>0</v>
      </c>
      <c r="O72" s="35">
        <f>(SUM(P32:P35,P37:P40,P43:P55)/P13*Assump!$E$57*Assump!$D$57-SUM(O32:O35,O37:O40,O43:O55)/O13*Assump!$E$57*Assump!$D$57)*(1+Assump!$D$25)</f>
        <v>0</v>
      </c>
      <c r="P72" s="35">
        <f>(SUM(Q32:Q35,Q37:Q40,Q43:Q55)/Q13*Assump!$E$57*Assump!$D$57-SUM(P32:P35,P37:P40,P43:P55)/P13*Assump!$E$57*Assump!$D$57)*(1+Assump!$D$25)</f>
        <v>0</v>
      </c>
      <c r="Q72" s="35">
        <f>(SUM(R32:R35,R37:R40,R43:R55)/R13*Assump!$E$57*Assump!$D$57-SUM(Q32:Q35,Q37:Q40,Q43:Q55)/Q13*Assump!$E$57*Assump!$D$57)*(1+Assump!$D$25)</f>
        <v>0</v>
      </c>
      <c r="R72" s="35">
        <f>(SUM(S32:S35,S37:S40,S43:S55)/S13*Assump!$E$57*Assump!$D$57-SUM(R32:R35,R37:R40,R43:R55)/R13*Assump!$E$57*Assump!$D$57)*(1+Assump!$D$25)</f>
        <v>0</v>
      </c>
      <c r="S72" s="35">
        <f>(SUM(T32:T35,T37:T40,T43:T55)/T13*Assump!$E$57*Assump!$D$57-SUM(S32:S35,S37:S40,S43:S55)/S13*Assump!$E$57*Assump!$D$57)*(1+Assump!$D$25)</f>
        <v>0</v>
      </c>
      <c r="T72" s="35">
        <f>(SUM(U32:U35,U37:U40,U43:U55)/U13*Assump!$E$57*Assump!$D$57-SUM(T32:T35,T37:T40,T43:T55)/T13*Assump!$E$57*Assump!$D$57)*(1+Assump!$D$25)</f>
        <v>0</v>
      </c>
      <c r="U72" s="35">
        <f>(SUM(V32:V35,V37:V40,V43:V55)/V13*Assump!$E$57*Assump!$D$57-SUM(U32:U35,U37:U40,U43:U55)/U13*Assump!$E$57*Assump!$D$57)*(1+Assump!$D$25)</f>
        <v>0</v>
      </c>
      <c r="V72" s="35">
        <f>(SUM(W32:W35,W37:W40,W43:W55)/W13*Assump!$E$57*Assump!$D$57-SUM(V32:V35,V37:V40,V43:V55)/V13*Assump!$E$57*Assump!$D$57)*(1+Assump!$D$25)</f>
        <v>-464.08484494765764</v>
      </c>
      <c r="W72" s="35">
        <f>(SUM(X32:X35,X37:X40,X43:X55)/X13*Assump!$E$57*Assump!$D$57-SUM(W32:W35,W37:W40,W43:W55)/W13*Assump!$E$57*Assump!$D$57)*(1+Assump!$D$25)</f>
        <v>-108.02327495396212</v>
      </c>
      <c r="X72" s="35">
        <f>(SUM(Y32:Y35,Y37:Y40,Y43:Y55)/Y13*Assump!$E$57*Assump!$D$57-SUM(X32:X35,X37:X40,X43:X55)/X13*Assump!$E$57*Assump!$D$57)*(1+Assump!$D$25)</f>
        <v>-405.98413547236527</v>
      </c>
      <c r="Y72" s="35">
        <f>(SUM(Z32:Z35,Z37:Z40,Z43:Z55)/Z13*Assump!$E$57*Assump!$D$57-SUM(Y32:Y35,Y37:Y40,Y43:Y55)/Y13*Assump!$E$57*Assump!$D$57)*(1+Assump!$D$25)</f>
        <v>583.96222647537991</v>
      </c>
      <c r="Z72" s="35">
        <f>(SUM(AA32:AA35,AA37:AA40,AA43:AA55)/AA13*Assump!$E$57*Assump!$D$57-SUM(Z32:Z35,Z37:Z40,Z43:Z55)/Z13*Assump!$E$57*Assump!$D$57)*(1+Assump!$D$25)</f>
        <v>-107.38390530868136</v>
      </c>
      <c r="AA72" s="35">
        <f>(SUM(AB32:AB35,AB37:AB40,AB43:AB55)/AB13*Assump!$E$57*Assump!$D$57-SUM(AA32:AA35,AA37:AA40,AA43:AA55)/AA13*Assump!$E$57*Assump!$D$57)*(1+Assump!$D$25)</f>
        <v>-117.09598567861603</v>
      </c>
      <c r="AB72" s="35">
        <f>(SUM(AC32:AC35,AC37:AC40,AC43:AC55)/AC13*Assump!$E$57*Assump!$D$57-SUM(AB32:AB35,AB37:AB40,AB43:AB55)/AB13*Assump!$E$57*Assump!$D$57)*(1+Assump!$D$25)</f>
        <v>-463.64771072130276</v>
      </c>
      <c r="AC72" s="35">
        <f>(SUM(AD32:AD35,AD37:AD40,AD43:AD55)/AD13*Assump!$E$57*Assump!$D$57-SUM(AC32:AC35,AC37:AC40,AC43:AC55)/AC13*Assump!$E$57*Assump!$D$57)*(1+Assump!$D$25)</f>
        <v>668.62368782678948</v>
      </c>
      <c r="AD72" s="35">
        <f>(SUM(AE32:AE35,AE37:AE40,AE43:AE55)/AE13*Assump!$E$57*Assump!$D$57-SUM(AD32:AD35,AD37:AD40,AD43:AD55)/AD13*Assump!$E$57*Assump!$D$57)*(1+Assump!$D$25)</f>
        <v>-112.60522211797074</v>
      </c>
      <c r="AE72" s="35">
        <f>(SUM(AF32:AF35,AF37:AF40,AF43:AF55)/AF13*Assump!$E$57*Assump!$D$57-SUM(AE32:AE35,AE37:AE40,AE43:AE55)/AE13*Assump!$E$57*Assump!$D$57)*(1+Assump!$D$25)</f>
        <v>-122.80642183532882</v>
      </c>
      <c r="AF72" s="35">
        <f>(SUM(AG32:AG35,AG37:AG40,AG43:AG55)/AG13*Assump!$E$57*Assump!$D$57-SUM(AF32:AF35,AF37:AF40,AF43:AF55)/AF13*Assump!$E$57*Assump!$D$57)*(1+Assump!$D$25)</f>
        <v>-486.0647558937091</v>
      </c>
      <c r="AG72" s="35">
        <f>(SUM(AH32:AH35,AH37:AH40,AH43:AH55)/AH13*Assump!$E$57*Assump!$D$57-SUM(AG32:AG35,AG37:AG40,AG43:AG55)/AG13*Assump!$E$57*Assump!$D$57)*(1+Assump!$D$25)</f>
        <v>700.79470270798777</v>
      </c>
      <c r="AH72" s="35">
        <f>(SUM(AI32:AI35,AI37:AI40,AI43:AI55)/AI13*Assump!$E$57*Assump!$D$57-SUM(AH32:AH35,AH37:AH40,AH43:AH55)/AH13*Assump!$E$57*Assump!$D$57)*(1+Assump!$D$25)</f>
        <v>-118.23548322386922</v>
      </c>
      <c r="AI72" s="35">
        <f>(SUM(AJ32:AJ35,AJ37:AJ40,AJ43:AJ55)/AJ13*Assump!$E$57*Assump!$D$57-SUM(AI32:AI35,AI37:AI40,AI43:AI55)/AI13*Assump!$E$57*Assump!$D$57)*(1+Assump!$D$25)</f>
        <v>-128.94674292709524</v>
      </c>
      <c r="AJ72" s="35">
        <f>(SUM(AK32:AK35,AK37:AK40,AK43:AK55)/AK13*Assump!$E$57*Assump!$D$57-SUM(AJ32:AJ35,AJ37:AJ40,AJ43:AJ55)/AJ13*Assump!$E$57*Assump!$D$57)*(1+Assump!$D$25)</f>
        <v>-510.36799368839434</v>
      </c>
      <c r="AK72" s="35">
        <f>(SUM(AL32:AL35,AL37:AL40,AL43:AL55)/AL13*Assump!$E$57*Assump!$D$57-SUM(AK32:AK35,AK37:AK40,AK43:AK55)/AK13*Assump!$E$57*Assump!$D$57)*(1+Assump!$D$25)</f>
        <v>740.84577215014986</v>
      </c>
      <c r="AL72" s="35">
        <f>(SUM(AM32:AM35,AM37:AM40,AM43:AM55)/AM13*Assump!$E$57*Assump!$D$57-SUM(AL32:AL35,AL37:AL40,AL43:AL55)/AL13*Assump!$E$57*Assump!$D$57)*(1+Assump!$D$25)</f>
        <v>-129.15859169182542</v>
      </c>
      <c r="AM72" s="35">
        <f>(SUM(AN32:AN35,AN37:AN40,AN43:AN55)/AN13*Assump!$E$57*Assump!$D$57-SUM(AM32:AM35,AM37:AM40,AM43:AM55)/AM13*Assump!$E$57*Assump!$D$57)*(1+Assump!$D$25)</f>
        <v>-135.39408007345008</v>
      </c>
      <c r="AN72" s="35">
        <f>(SUM(AO32:AO35,AO37:AO40,AO43:AO55)/AO13*Assump!$E$57*Assump!$D$57-SUM(AN32:AN35,AN37:AN40,AN43:AN55)/AN13*Assump!$E$57*Assump!$D$57)*(1+Assump!$D$25)</f>
        <v>-535.88639337281415</v>
      </c>
      <c r="AO72" s="35">
        <f>(SUM(AP32:AP35,AP37:AP40,AP43:AP55)/AP13*Assump!$E$57*Assump!$D$57-SUM(AO32:AO35,AO37:AO40,AO43:AO55)/AO13*Assump!$E$57*Assump!$D$57)*(1+Assump!$D$25)</f>
        <v>772.6261597355566</v>
      </c>
      <c r="AP72" s="35">
        <f>(SUM(AQ32:AQ35,AQ37:AQ40,AQ43:AQ55)/AQ13*Assump!$E$57*Assump!$D$57-SUM(AP32:AP35,AP37:AP40,AP43:AP55)/AP13*Assump!$E$57*Assump!$D$57)*(1+Assump!$D$25)</f>
        <v>-130.35462025431573</v>
      </c>
      <c r="AQ72" s="35">
        <f>(SUM(AR32:AR35,AR37:AR40,AR43:AR55)/AR13*Assump!$E$57*Assump!$D$57-SUM(AQ32:AQ35,AQ37:AQ40,AQ43:AQ55)/AQ13*Assump!$E$57*Assump!$D$57)*(1+Assump!$D$25)</f>
        <v>-142.16378407712267</v>
      </c>
      <c r="AR72" s="35">
        <f>(SUM(AS32:AS35,AS37:AS40,AS43:AS55)/AS13*Assump!$E$57*Assump!$D$57-SUM(AR32:AR35,AR37:AR40,AR43:AR55)/AR13*Assump!$E$57*Assump!$D$57)*(1+Assump!$D$25)</f>
        <v>-562.68071304145531</v>
      </c>
      <c r="AS72" s="35">
        <f>(SUM(AT32:AT35,AT37:AT40,AT43:AT55)/AT13*Assump!$E$57*Assump!$D$57-SUM(AS32:AS35,AS37:AS40,AS43:AS55)/AS13*Assump!$E$57*Assump!$D$57)*(1+Assump!$D$25)</f>
        <v>811.25746772233481</v>
      </c>
      <c r="AT72" s="35">
        <f>(SUM(AU32:AU35,AU37:AU40,AU43:AU55)/AU13*Assump!$E$57*Assump!$D$57-SUM(AT32:AT35,AT37:AT40,AT43:AT55)/AT13*Assump!$E$57*Assump!$D$57)*(1+Assump!$D$25)</f>
        <v>-136.87235126703155</v>
      </c>
      <c r="AU72" s="35">
        <f>(SUM(AV32:AV35,AV37:AV40,AV43:AV55)/AV13*Assump!$E$57*Assump!$D$57-SUM(AU32:AU35,AU37:AU40,AU43:AU55)/AU13*Assump!$E$57*Assump!$D$57)*(1+Assump!$D$25)</f>
        <v>-149.27197328097898</v>
      </c>
      <c r="AV72" s="35">
        <f>(SUM(AW32:AW35,AW37:AW40,AW43:AW55)/AW13*Assump!$E$57*Assump!$D$57-SUM(AV32:AV35,AV37:AV40,AV43:AV55)/AV13*Assump!$E$57*Assump!$D$57)*(1+Assump!$D$25)</f>
        <v>-590.81474869352758</v>
      </c>
      <c r="AW72" s="35">
        <f>(SUM(AX32:AX35,AX37:AX40,AX43:AX55)/AX13*Assump!$E$57*Assump!$D$57-SUM(AW32:AW35,AW37:AW40,AW43:AW55)/AW13*Assump!$E$57*Assump!$D$57)*(1+Assump!$D$25)</f>
        <v>851.82034110845109</v>
      </c>
      <c r="AX72" s="35">
        <f>(SUM(AY32:AY35,AY37:AY40,AY43:AY55)/AY13*Assump!$E$57*Assump!$D$57-SUM(AX32:AX35,AX37:AX40,AX43:AX55)/AX13*Assump!$E$57*Assump!$D$57)*(1+Assump!$D$25)</f>
        <v>-143.71596883038296</v>
      </c>
      <c r="AY72" s="35">
        <f>(SUM(AZ32:AZ35,AZ37:AZ40,AZ43:AZ55)/AZ13*Assump!$E$57*Assump!$D$57-SUM(AY32:AY35,AY37:AY40,AY43:AY55)/AY13*Assump!$E$57*Assump!$D$57)*(1+Assump!$D$25)</f>
        <v>-156.73557194502786</v>
      </c>
      <c r="AZ72" s="35">
        <f>(SUM(BA32:BA35,BA37:BA40,BA43:BA55)/BA13*Assump!$E$57*Assump!$D$57-SUM(AZ32:AZ35,AZ37:AZ40,AZ43:AZ55)/AZ13*Assump!$E$57*Assump!$D$57)*(1+Assump!$D$25)</f>
        <v>-620.35548612820389</v>
      </c>
      <c r="BA72" s="35">
        <f>(SUM(BB32:BB35,BB37:BB40,BB43:BB55)/BB13*Assump!$E$57*Assump!$D$57-SUM(BA32:BA35,BA37:BA40,BA43:BA55)/BA13*Assump!$E$57*Assump!$D$57)*(1+Assump!$D$25)</f>
        <v>900.50266633458307</v>
      </c>
      <c r="BB72" s="35">
        <f>(SUM(BC32:BC35,BC37:BC40,BC43:BC55)/BC13*Assump!$E$57*Assump!$D$57-SUM(BB32:BB35,BB37:BB40,BB43:BB55)/BB13*Assump!$E$57*Assump!$D$57)*(1+Assump!$D$25)</f>
        <v>-156.99307544261174</v>
      </c>
      <c r="BC72" s="35">
        <f>(SUM(BD32:BD35,BD37:BD40,BD43:BD55)/BD13*Assump!$E$57*Assump!$D$57-SUM(BC32:BC35,BC37:BC40,BC43:BC55)/BC13*Assump!$E$57*Assump!$D$57)*(1+Assump!$D$25)</f>
        <v>-164.57235054227917</v>
      </c>
      <c r="BD72" s="35">
        <f>(SUM(BE32:BE35,BE37:BE40,BE43:BE55)/BE13*Assump!$E$57*Assump!$D$57-SUM(BD32:BD35,BD37:BD40,BD43:BD55)/BD13*Assump!$E$57*Assump!$D$57)*(1+Assump!$D$25)</f>
        <v>-651.37326043461405</v>
      </c>
      <c r="BE72" s="35">
        <f>(SUM(BF32:BF35,BF37:BF40,BF43:BF55)/BF13*Assump!$E$57*Assump!$D$57-SUM(BE32:BE35,BE37:BE40,BE43:BE55)/BE13*Assump!$E$57*Assump!$D$57)*(1+Assump!$D$25)</f>
        <v>939.13192607206736</v>
      </c>
      <c r="BF72" s="35">
        <f>(SUM(BG32:BG35,BG37:BG40,BG43:BG55)/BG13*Assump!$E$57*Assump!$D$57-SUM(BF32:BF35,BF37:BF40,BF43:BF55)/BF13*Assump!$E$57*Assump!$D$57)*(1+Assump!$D$25)</f>
        <v>-158.44685563549734</v>
      </c>
      <c r="BG72" s="35">
        <f>(SUM(BH32:BH35,BH37:BH40,BH43:BH55)/BH13*Assump!$E$57*Assump!$D$57-SUM(BG32:BG35,BG37:BG40,BG43:BG55)/BG13*Assump!$E$57*Assump!$D$57)*(1+Assump!$D$25)</f>
        <v>-172.80096806939312</v>
      </c>
      <c r="BH72" s="35">
        <f>(SUM(BI32:BI35,BI37:BI40,BI43:BI55)/BI13*Assump!$E$57*Assump!$D$57-SUM(BH32:BH35,BH37:BH40,BH43:BH55)/BH13*Assump!$E$57*Assump!$D$57)*(1+Assump!$D$25)</f>
        <v>-683.94192345634553</v>
      </c>
      <c r="BI72" s="35">
        <f>(SUM(BJ32:BJ35,BJ37:BJ40,BJ43:BJ55)/BJ13*Assump!$E$57*Assump!$D$57-SUM(BI32:BI35,BI37:BI40,BI43:BI55)/BI13*Assump!$E$57*Assump!$D$57)*(1+Assump!$D$25)</f>
        <v>986.08852237567146</v>
      </c>
      <c r="BJ72" s="35">
        <f>(SUM(BK32:BK35,BK37:BK40,BK43:BK55)/BK13*Assump!$E$57*Assump!$D$57-SUM(BJ32:BJ35,BJ37:BJ40,BJ43:BJ55)/BJ13*Assump!$E$57*Assump!$D$57)*(1+Assump!$D$25)</f>
        <v>-166.36919841727254</v>
      </c>
      <c r="BK72" s="35">
        <f>(SUM(BL32:BL35,BL37:BL40,BL43:BL55)/BL13*Assump!$E$57*Assump!$D$57-SUM(BK32:BK35,BK37:BK40,BK43:BK55)/BK13*Assump!$E$57*Assump!$D$57)*(1+Assump!$D$25)</f>
        <v>-181.44101647286274</v>
      </c>
      <c r="BL72" s="35">
        <f>(SUM(BM32:BM35,BM37:BM40,BM43:BM55)/BM13*Assump!$E$57*Assump!$D$57-SUM(BL32:BL35,BL37:BL40,BL43:BL55)/BL13*Assump!$E$57*Assump!$D$57)*(1+Assump!$D$25)</f>
        <v>-718.13901962916282</v>
      </c>
      <c r="BM72" s="35">
        <f>(SUM(BN32:BN35,BN37:BN40,BN43:BN55)/BN13*Assump!$E$57*Assump!$D$57-SUM(BM32:BM35,BM37:BM40,BM43:BM55)/BM13*Assump!$E$57*Assump!$D$57)*(1+Assump!$D$25)</f>
        <v>1035.3929484944547</v>
      </c>
      <c r="BN72" s="35">
        <f>(SUM(BO32:BO35,BO37:BO40,BO43:BO55)/BO13*Assump!$E$57*Assump!$D$57-SUM(BN32:BN35,BN37:BN40,BN43:BN55)/BN13*Assump!$E$57*Assump!$D$57)*(1+Assump!$D$25)</f>
        <v>-174.68765833813566</v>
      </c>
      <c r="BO72" s="35">
        <f>(SUM(BP32:BP35,BP37:BP40,BP43:BP55)/BP13*Assump!$E$57*Assump!$D$57-SUM(BO32:BO35,BO37:BO40,BO43:BO55)/BO13*Assump!$E$57*Assump!$D$57)*(1+Assump!$D$25)</f>
        <v>-190.51306729650597</v>
      </c>
      <c r="BP72" s="35">
        <f>(SUM(BQ32:BQ35,BQ37:BQ40,BQ43:BQ55)/BQ13*Assump!$E$57*Assump!$D$57-SUM(BP32:BP35,BP37:BP40,BP43:BP55)/BP13*Assump!$E$57*Assump!$D$57)*(1+Assump!$D$25)</f>
        <v>-754.04597061062077</v>
      </c>
      <c r="BQ72" s="35">
        <f>(SUM(BR32:BR35,BR37:BR40,BR43:BR55)/BR13*Assump!$E$57*Assump!$D$57-SUM(BQ32:BQ35,BQ37:BQ40,BQ43:BQ55)/BQ13*Assump!$E$57*Assump!$D$57)*(1+Assump!$D$25)</f>
        <v>1094.5666190713507</v>
      </c>
      <c r="BR72" s="35">
        <f>(SUM(BS32:BS35,BS37:BS40,BS43:BS55)/BS13*Assump!$E$57*Assump!$D$57-SUM(BR32:BR35,BR37:BR40,BR43:BR55)/BR13*Assump!$E$57*Assump!$D$57)*(1+Assump!$D$25)</f>
        <v>-190.82606440721597</v>
      </c>
      <c r="BS72" s="35">
        <f>(SUM(BT32:BT35,BT37:BT40,BT43:BT55)/BT13*Assump!$E$57*Assump!$D$57-SUM(BS32:BS35,BS37:BS40,BS43:BS55)/BS13*Assump!$E$57*Assump!$D$57)*(1+Assump!$D$25)</f>
        <v>-200.03872066133121</v>
      </c>
      <c r="BT72" s="35">
        <f>(SUM(BU32:BU35,BU37:BU40,BU43:BU55)/BU13*Assump!$E$57*Assump!$D$57-SUM(BT32:BT35,BT37:BT40,BT43:BT55)/BT13*Assump!$E$57*Assump!$D$57)*(1+Assump!$D$25)</f>
        <v>-791.74826914115158</v>
      </c>
      <c r="BU72" s="35">
        <f>(SUM(BV32:BV35,BV37:BV40,BV43:BV55)/BV13*Assump!$E$57*Assump!$D$57-SUM(BU32:BU35,BU37:BU40,BU43:BU55)/BU13*Assump!$E$57*Assump!$D$57)*(1+Assump!$D$25)</f>
        <v>1141.520725715136</v>
      </c>
      <c r="BV72" s="35">
        <f>(SUM(BW32:BW35,BW37:BW40,BW43:BW55)/BW13*Assump!$E$57*Assump!$D$57-SUM(BV32:BV35,BV37:BV40,BV43:BV55)/BV13*Assump!$E$57*Assump!$D$57)*(1+Assump!$D$25)</f>
        <v>-192.59314331779478</v>
      </c>
      <c r="BW72" s="35">
        <f>(SUM(BX32:BX35,BX37:BX40,BX43:BX55)/BX13*Assump!$E$57*Assump!$D$57-SUM(BW32:BW35,BW37:BW40,BW43:BW55)/BW13*Assump!$E$57*Assump!$D$57)*(1+Assump!$D$25)</f>
        <v>-210.04065669439765</v>
      </c>
      <c r="BX72" s="35">
        <f>(SUM(BY32:BY35,BY37:BY40,BY43:BY55)/BY13*Assump!$E$57*Assump!$D$57-SUM(BX32:BX35,BX37:BX40,BX43:BX55)/BX13*Assump!$E$57*Assump!$D$57)*(1+Assump!$D$25)</f>
        <v>-831.33568259820981</v>
      </c>
      <c r="BY72" s="35">
        <f>(SUM(BZ32:BZ35,BZ37:BZ40,BZ43:BZ55)/BZ13*Assump!$E$57*Assump!$D$57-SUM(BY32:BY35,BY37:BY40,BY43:BY55)/BY13*Assump!$E$57*Assump!$D$57)*(1+Assump!$D$25)</f>
        <v>1198.5967620008935</v>
      </c>
      <c r="BZ72" s="35">
        <f>(SUM(CA32:CA35,CA37:CA40,CA43:CA55)/CA13*Assump!$E$57*Assump!$D$57-SUM(BZ32:BZ35,BZ37:BZ40,BZ43:BZ55)/BZ13*Assump!$E$57*Assump!$D$57)*(1+Assump!$D$25)</f>
        <v>-202.22280048368492</v>
      </c>
      <c r="CA72" s="35">
        <f>(SUM(CB32:CB35,CB37:CB40,CB43:CB55)/CB13*Assump!$E$57*Assump!$D$57-SUM(CA32:CA35,CA37:CA40,CA43:CA55)/CA13*Assump!$E$57*Assump!$D$57)*(1+Assump!$D$25)</f>
        <v>-220.54268952911738</v>
      </c>
      <c r="CB72" s="35">
        <f>(SUM(CC32:CC35,CC37:CC40,CC43:CC55)/CC13*Assump!$E$57*Assump!$D$57-SUM(CB32:CB35,CB37:CB40,CB43:CB55)/CB13*Assump!$E$57*Assump!$D$57)*(1+Assump!$D$25)</f>
        <v>-872.90246672812009</v>
      </c>
      <c r="CC72" s="35">
        <f>(SUM(CD32:CD35,CD37:CD40,CD43:CD55)/CD13*Assump!$E$57*Assump!$D$57-SUM(CC32:CC35,CC37:CC40,CC43:CC55)/CC13*Assump!$E$57*Assump!$D$57)*(1+Assump!$D$25)</f>
        <v>1258.5266001009379</v>
      </c>
      <c r="CD72" s="35">
        <f>(SUM(CE32:CE35,CE37:CE40,CE43:CE55)/CE13*Assump!$E$57*Assump!$D$57-SUM(CD32:CD35,CD37:CD40,CD43:CD55)/CD13*Assump!$E$57*Assump!$D$57)*(1+Assump!$D$25)</f>
        <v>-212.33394050786919</v>
      </c>
      <c r="CE72" s="35">
        <f>(SUM(CF32:CF35,CF37:CF40,CF43:CF55)/CF13*Assump!$E$57*Assump!$D$57-SUM(CE32:CE35,CE37:CE40,CE43:CE55)/CE13*Assump!$E$57*Assump!$D$57)*(1+Assump!$D$25)</f>
        <v>-231.56982400557297</v>
      </c>
      <c r="CF72" s="35">
        <f>(SUM(CG32:CG35,CG37:CG40,CG43:CG55)/CG13*Assump!$E$57*Assump!$D$57-SUM(CF32:CF35,CF37:CF40,CF43:CF55)/CF13*Assump!$E$57*Assump!$D$57)*(1+Assump!$D$25)</f>
        <v>-916.54759006452707</v>
      </c>
      <c r="CG72" s="35">
        <f>(SUM(CH32:CH35,CH37:CH40,CH43:CH55)/CH13*Assump!$E$57*Assump!$D$57-SUM(CG32:CG35,CG37:CG40,CG43:CG55)/CG13*Assump!$E$57*Assump!$D$57)*(1+Assump!$D$25)</f>
        <v>1330.452566522597</v>
      </c>
      <c r="CH72" s="35">
        <f>(SUM(CI32:CI35,CI37:CI40,CI43:CI55)/CI13*Assump!$E$57*Assump!$D$57-SUM(CH32:CH35,CH37:CH40,CH43:CH55)/CH13*Assump!$E$57*Assump!$D$57)*(1+Assump!$D$25)</f>
        <v>-231.95027394987414</v>
      </c>
      <c r="CI72" s="35">
        <f>(SUM(CJ32:CJ35,CJ37:CJ40,CJ43:CJ55)/CJ13*Assump!$E$57*Assump!$D$57-SUM(CI32:CI35,CI37:CI40,CI43:CI55)/CI13*Assump!$E$57*Assump!$D$57)*(1+Assump!$D$25)</f>
        <v>-243.14831520585221</v>
      </c>
      <c r="CJ72" s="35">
        <f>(SUM(CK32:CK35,CK37:CK40,CK43:CK55)/CK13*Assump!$E$57*Assump!$D$57-SUM(CJ32:CJ35,CJ37:CJ40,CJ43:CJ55)/CJ13*Assump!$E$57*Assump!$D$57)*(1+Assump!$D$25)</f>
        <v>-962.37496956775192</v>
      </c>
      <c r="CK72" s="35">
        <f>(SUM(CL32:CL35,CL37:CL40,CL43:CL55)/CL13*Assump!$E$57*Assump!$D$57-SUM(CK32:CK35,CK37:CK40,CK43:CK55)/CK13*Assump!$E$57*Assump!$D$57)*(1+Assump!$D$25)</f>
        <v>1387.5255766112839</v>
      </c>
      <c r="CL72" s="35">
        <f>(SUM(CM32:CM35,CM37:CM40,CM43:CM55)/CM13*Assump!$E$57*Assump!$D$57-SUM(CL32:CL35,CL37:CL40,CL43:CL55)/CL13*Assump!$E$57*Assump!$D$57)*(1+Assump!$D$25)</f>
        <v>-234.09816940992522</v>
      </c>
      <c r="CM72" s="35">
        <f>(SUM(CN32:CN35,CN37:CN40,CN43:CN55)/CN13*Assump!$E$57*Assump!$D$57-SUM(CM32:CM35,CM37:CM40,CM43:CM55)/CM13*Assump!$E$57*Assump!$D$57)*(1+Assump!$D$25)</f>
        <v>-255.30573096614447</v>
      </c>
      <c r="CN72" s="35">
        <f>(SUM(CO32:CO35,CO37:CO40,CO43:CO55)/CO13*Assump!$E$57*Assump!$D$57-SUM(CN32:CN35,CN37:CN40,CN43:CN55)/CN13*Assump!$E$57*Assump!$D$57)*(1+Assump!$D$25)</f>
        <v>-1010.4937180461403</v>
      </c>
      <c r="CO72" s="35"/>
    </row>
    <row r="73" spans="1:93" ht="12.75" customHeight="1">
      <c r="A73" s="35"/>
      <c r="B73" s="87" t="s">
        <v>169</v>
      </c>
      <c r="C73" s="35">
        <f t="shared" si="189"/>
        <v>11114.455896906318</v>
      </c>
      <c r="D73" s="60"/>
      <c r="E73" s="35">
        <f>(F$27/F$13*Assump!$D$59*Assump!$E$59-E$27/E$13*Assump!$D$59*Assump!$E$59)*(1+Assump!$D$25)</f>
        <v>0</v>
      </c>
      <c r="F73" s="35">
        <f>(G$27/G$13*Assump!$D$59*Assump!$E$59-F$27/F$13*Assump!$D$59*Assump!$E$59)*(1+Assump!$D$25)</f>
        <v>0</v>
      </c>
      <c r="G73" s="35">
        <f>(H$27/H$13*Assump!$D$59*Assump!$E$59-G$27/G$13*Assump!$D$59*Assump!$E$59)*(1+Assump!$D$25)</f>
        <v>0</v>
      </c>
      <c r="H73" s="35">
        <f>(I$27/I$13*Assump!$D$59*Assump!$E$59-H$27/H$13*Assump!$D$59*Assump!$E$59)*(1+Assump!$D$25)</f>
        <v>0</v>
      </c>
      <c r="I73" s="35">
        <f>(J$27/J$13*Assump!$D$59*Assump!$E$59-I$27/I$13*Assump!$D$59*Assump!$E$59)*(1+Assump!$D$25)</f>
        <v>0</v>
      </c>
      <c r="J73" s="35">
        <f>(K$27/K$13*Assump!$D$59*Assump!$E$59-J$27/J$13*Assump!$D$59*Assump!$E$59)*(1+Assump!$D$25)</f>
        <v>0</v>
      </c>
      <c r="K73" s="35">
        <f>(L$27/L$13*Assump!$D$59*Assump!$E$59-K$27/K$13*Assump!$D$59*Assump!$E$59)*(1+Assump!$D$25)</f>
        <v>0</v>
      </c>
      <c r="L73" s="35">
        <f>(M$27/M$13*Assump!$D$59*Assump!$E$59-L$27/L$13*Assump!$D$59*Assump!$E$59)*(1+Assump!$D$25)</f>
        <v>0</v>
      </c>
      <c r="M73" s="35">
        <f>(N$27/N$13*Assump!$D$59*Assump!$E$59-M$27/M$13*Assump!$D$59*Assump!$E$59)*(1+Assump!$D$25)</f>
        <v>0</v>
      </c>
      <c r="N73" s="35">
        <f>(O$27/O$13*Assump!$D$59*Assump!$E$59-N$27/N$13*Assump!$D$59*Assump!$E$59)*(1+Assump!$D$25)</f>
        <v>0</v>
      </c>
      <c r="O73" s="35">
        <f>(P$27/P$13*Assump!$D$59*Assump!$E$59-O$27/O$13*Assump!$D$59*Assump!$E$59)*(1+Assump!$D$25)</f>
        <v>0</v>
      </c>
      <c r="P73" s="35">
        <f>(Q$27/Q$13*Assump!$D$59*Assump!$E$59-P$27/P$13*Assump!$D$59*Assump!$E$59)*(1+Assump!$D$25)</f>
        <v>0</v>
      </c>
      <c r="Q73" s="35">
        <f>(R$27/R$13*Assump!$D$59*Assump!$E$59-Q$27/Q$13*Assump!$D$59*Assump!$E$59)*(1+Assump!$D$25)</f>
        <v>0</v>
      </c>
      <c r="R73" s="35">
        <f>(S$27/S$13*Assump!$D$59*Assump!$E$59-R$27/R$13*Assump!$D$59*Assump!$E$59)*(1+Assump!$D$25)</f>
        <v>0</v>
      </c>
      <c r="S73" s="35">
        <f>(T$27/T$13*Assump!$D$59*Assump!$E$59-S$27/S$13*Assump!$D$59*Assump!$E$59)*(1+Assump!$D$25)</f>
        <v>0</v>
      </c>
      <c r="T73" s="35">
        <f>(U$27/U$13*Assump!$D$59*Assump!$E$59-T$27/T$13*Assump!$D$59*Assump!$E$59)*(1+Assump!$D$25)</f>
        <v>0</v>
      </c>
      <c r="U73" s="35">
        <f>(V$27/V$13*Assump!$D$59*Assump!$E$59-U$27/U$13*Assump!$D$59*Assump!$E$59)*(1+Assump!$D$25)</f>
        <v>0</v>
      </c>
      <c r="V73" s="35">
        <f>(W$27/W$13*Assump!$D$59*Assump!$E$59-V$27/V$13*Assump!$D$59*Assump!$E$59)*(1+Assump!$D$25)</f>
        <v>1250.0407657417582</v>
      </c>
      <c r="W73" s="35">
        <f>(X$27/X$13*Assump!$D$59*Assump!$E$59-W$27/W$13*Assump!$D$59*Assump!$E$59)*(1+Assump!$D$25)</f>
        <v>420.40558149465488</v>
      </c>
      <c r="X73" s="35">
        <f>(Y$27/Y$13*Assump!$D$59*Assump!$E$59-X$27/X$13*Assump!$D$59*Assump!$E$59)*(1+Assump!$D$25)</f>
        <v>3105.8252299891296</v>
      </c>
      <c r="Y73" s="35">
        <f>(Z$27/Z$13*Assump!$D$59*Assump!$E$59-Y$27/Y$13*Assump!$D$59*Assump!$E$59)*(1+Assump!$D$25)</f>
        <v>-3857.3576982188761</v>
      </c>
      <c r="Z73" s="35">
        <f>(AA$27/AA$13*Assump!$D$59*Assump!$E$59-Z$27/Z$13*Assump!$D$59*Assump!$E$59)*(1+Assump!$D$25)</f>
        <v>416.89201254278396</v>
      </c>
      <c r="AA73" s="35">
        <f>(AB$27/AB$13*Assump!$D$59*Assump!$E$59-AA$27/AA$13*Assump!$D$59*Assump!$E$59)*(1+Assump!$D$25)</f>
        <v>446.88796306576694</v>
      </c>
      <c r="AB73" s="35">
        <f>(AC$27/AC$13*Assump!$D$59*Assump!$E$59-AB$27/AB$13*Assump!$D$59*Assump!$E$59)*(1+Assump!$D$25)</f>
        <v>3323.7832286086955</v>
      </c>
      <c r="AC73" s="35">
        <f>(AD$27/AD$13*Assump!$D$59*Assump!$E$59-AC$27/AC$13*Assump!$D$59*Assump!$E$59)*(1+Assump!$D$25)</f>
        <v>-4144.1185912930796</v>
      </c>
      <c r="AD73" s="35">
        <f>(AE$27/AE$13*Assump!$D$59*Assump!$E$59-AD$27/AD$13*Assump!$D$59*Assump!$E$59)*(1+Assump!$D$25)</f>
        <v>435.91095321751828</v>
      </c>
      <c r="AE73" s="35">
        <f>(AF$27/AF$13*Assump!$D$59*Assump!$E$59-AE$27/AE$13*Assump!$D$59*Assump!$E$59)*(1+Assump!$D$25)</f>
        <v>467.45010038920304</v>
      </c>
      <c r="AF73" s="35">
        <f>(AG$27/AG$13*Assump!$D$59*Assump!$E$59-AF$27/AF$13*Assump!$D$59*Assump!$E$59)*(1+Assump!$D$25)</f>
        <v>3480.523776852393</v>
      </c>
      <c r="AG73" s="35">
        <f>(AH$27/AH$13*Assump!$D$59*Assump!$E$59-AG$27/AG$13*Assump!$D$59*Assump!$E$59)*(1+Assump!$D$25)</f>
        <v>-4335.7669058625725</v>
      </c>
      <c r="AH73" s="35">
        <f>(AI$27/AI$13*Assump!$D$59*Assump!$E$59-AH$27/AH$13*Assump!$D$59*Assump!$E$59)*(1+Assump!$D$25)</f>
        <v>457.70650087839414</v>
      </c>
      <c r="AI73" s="35">
        <f>(AJ$27/AJ$13*Assump!$D$59*Assump!$E$59-AI$27/AI$13*Assump!$D$59*Assump!$E$59)*(1+Assump!$D$25)</f>
        <v>490.82260540866309</v>
      </c>
      <c r="AJ73" s="35">
        <f>(AK$27/AK$13*Assump!$D$59*Assump!$E$59-AJ$27/AJ$13*Assump!$D$59*Assump!$E$59)*(1+Assump!$D$25)</f>
        <v>3654.549965695011</v>
      </c>
      <c r="AK73" s="35">
        <f>(AL$27/AL$13*Assump!$D$59*Assump!$E$59-AK$27/AK$13*Assump!$D$59*Assump!$E$59)*(1+Assump!$D$25)</f>
        <v>-4564.2145944233234</v>
      </c>
      <c r="AL73" s="35">
        <f>(AM$27/AM$13*Assump!$D$59*Assump!$E$59-AL$27/AL$13*Assump!$D$59*Assump!$E$59)*(1+Assump!$D$25)</f>
        <v>492.25116918993757</v>
      </c>
      <c r="AM73" s="35">
        <f>(AN$27/AN$13*Assump!$D$59*Assump!$E$59-AM$27/AM$13*Assump!$D$59*Assump!$E$59)*(1+Assump!$D$25)</f>
        <v>515.36373567909652</v>
      </c>
      <c r="AN73" s="35">
        <f>(AO$27/AO$13*Assump!$D$59*Assump!$E$59-AN$27/AN$13*Assump!$D$59*Assump!$E$59)*(1+Assump!$D$25)</f>
        <v>3837.2774639797617</v>
      </c>
      <c r="AO73" s="35">
        <f>(AP$27/AP$13*Assump!$D$59*Assump!$E$59-AO$27/AO$13*Assump!$D$59*Assump!$E$59)*(1+Assump!$D$25)</f>
        <v>-4780.1830137134848</v>
      </c>
      <c r="AP73" s="35">
        <f>(AQ$27/AQ$13*Assump!$D$59*Assump!$E$59-AP$27/AP$13*Assump!$D$59*Assump!$E$59)*(1+Assump!$D$25)</f>
        <v>504.62141721843</v>
      </c>
      <c r="AQ73" s="35">
        <f>(AR$27/AR$13*Assump!$D$59*Assump!$E$59-AQ$27/AQ$13*Assump!$D$59*Assump!$E$59)*(1+Assump!$D$25)</f>
        <v>541.13192246305084</v>
      </c>
      <c r="AR73" s="35">
        <f>(AS$27/AS$13*Assump!$D$59*Assump!$E$59-AR$27/AR$13*Assump!$D$59*Assump!$E$59)*(1+Assump!$D$25)</f>
        <v>4029.1413371787494</v>
      </c>
      <c r="AS73" s="35">
        <f>(AT$27/AT$13*Assump!$D$59*Assump!$E$59-AS$27/AS$13*Assump!$D$59*Assump!$E$59)*(1+Assump!$D$25)</f>
        <v>-5019.1921643991582</v>
      </c>
      <c r="AT73" s="35">
        <f>(AU$27/AU$13*Assump!$D$59*Assump!$E$59-AT$27/AT$13*Assump!$D$59*Assump!$E$59)*(1+Assump!$D$25)</f>
        <v>529.85248807935079</v>
      </c>
      <c r="AU73" s="35">
        <f>(AV$27/AV$13*Assump!$D$59*Assump!$E$59-AU$27/AU$13*Assump!$D$59*Assump!$E$59)*(1+Assump!$D$25)</f>
        <v>568.18851858620383</v>
      </c>
      <c r="AV73" s="35">
        <f>(AW$27/AW$13*Assump!$D$59*Assump!$E$59-AV$27/AV$13*Assump!$D$59*Assump!$E$59)*(1+Assump!$D$25)</f>
        <v>4230.598404037687</v>
      </c>
      <c r="AW73" s="35">
        <f>(AX$27/AX$13*Assump!$D$59*Assump!$E$59-AW$27/AW$13*Assump!$D$59*Assump!$E$59)*(1+Assump!$D$25)</f>
        <v>-5270.1517726191169</v>
      </c>
      <c r="AX73" s="35">
        <f>(AY$27/AY$13*Assump!$D$59*Assump!$E$59-AX$27/AX$13*Assump!$D$59*Assump!$E$59)*(1+Assump!$D$25)</f>
        <v>556.34511248331864</v>
      </c>
      <c r="AY73" s="35">
        <f>(AZ$27/AZ$13*Assump!$D$59*Assump!$E$59-AY$27/AY$13*Assump!$D$59*Assump!$E$59)*(1+Assump!$D$25)</f>
        <v>596.59794451551363</v>
      </c>
      <c r="AZ73" s="35">
        <f>(BA$27/BA$13*Assump!$D$59*Assump!$E$59-AZ$27/AZ$13*Assump!$D$59*Assump!$E$59)*(1+Assump!$D$25)</f>
        <v>4442.1283242395721</v>
      </c>
      <c r="BA73" s="35">
        <f>(BB$27/BB$13*Assump!$D$59*Assump!$E$59-BA$27/BA$13*Assump!$D$59*Assump!$E$59)*(1+Assump!$D$25)</f>
        <v>-5547.831365862764</v>
      </c>
      <c r="BB73" s="35">
        <f>(BC$27/BC$13*Assump!$D$59*Assump!$E$59-BB$27/BB$13*Assump!$D$59*Assump!$E$59)*(1+Assump!$D$25)</f>
        <v>598.33437272017648</v>
      </c>
      <c r="BC73" s="35">
        <f>(BD$27/BD$13*Assump!$D$59*Assump!$E$59-BC$27/BC$13*Assump!$D$59*Assump!$E$59)*(1+Assump!$D$25)</f>
        <v>626.42784174128917</v>
      </c>
      <c r="BD73" s="35">
        <f>(BE$27/BE$13*Assump!$D$59*Assump!$E$59-BD$27/BD$13*Assump!$D$59*Assump!$E$59)*(1+Assump!$D$25)</f>
        <v>4664.2347404515494</v>
      </c>
      <c r="BE73" s="35">
        <f>(BF$27/BF$13*Assump!$D$59*Assump!$E$59-BE$27/BE$13*Assump!$D$59*Assump!$E$59)*(1+Assump!$D$25)</f>
        <v>-5810.3423293125761</v>
      </c>
      <c r="BF73" s="35">
        <f>(BG$27/BG$13*Assump!$D$59*Assump!$E$59-BF$27/BF$13*Assump!$D$59*Assump!$E$59)*(1+Assump!$D$25)</f>
        <v>613.37048651285863</v>
      </c>
      <c r="BG73" s="35">
        <f>(BH$27/BH$13*Assump!$D$59*Assump!$E$59-BG$27/BG$13*Assump!$D$59*Assump!$E$59)*(1+Assump!$D$25)</f>
        <v>657.74923382835391</v>
      </c>
      <c r="BH73" s="35">
        <f>(BI$27/BI$13*Assump!$D$59*Assump!$E$59-BH$27/BH$13*Assump!$D$59*Assump!$E$59)*(1+Assump!$D$25)</f>
        <v>4897.4464774741309</v>
      </c>
      <c r="BI73" s="35">
        <f>(BJ$27/BJ$13*Assump!$D$59*Assump!$E$59-BI$27/BI$13*Assump!$D$59*Assump!$E$59)*(1+Assump!$D$25)</f>
        <v>-6100.8594457782083</v>
      </c>
      <c r="BJ73" s="35">
        <f>(BK$27/BK$13*Assump!$D$59*Assump!$E$59-BJ$27/BJ$13*Assump!$D$59*Assump!$E$59)*(1+Assump!$D$25)</f>
        <v>644.03901083850155</v>
      </c>
      <c r="BK73" s="35">
        <f>(BL$27/BL$13*Assump!$D$59*Assump!$E$59-BK$27/BK$13*Assump!$D$59*Assump!$E$59)*(1+Assump!$D$25)</f>
        <v>690.63669551977159</v>
      </c>
      <c r="BL73" s="35">
        <f>(BM$27/BM$13*Assump!$D$59*Assump!$E$59-BL$27/BL$13*Assump!$D$59*Assump!$E$59)*(1+Assump!$D$25)</f>
        <v>5142.3188013478357</v>
      </c>
      <c r="BM73" s="35">
        <f>(BN$27/BN$13*Assump!$D$59*Assump!$E$59-BM$27/BM$13*Assump!$D$59*Assump!$E$59)*(1+Assump!$D$25)</f>
        <v>-6405.9024180671158</v>
      </c>
      <c r="BN73" s="35">
        <f>(BO$27/BO$13*Assump!$D$59*Assump!$E$59-BN$27/BN$13*Assump!$D$59*Assump!$E$59)*(1+Assump!$D$25)</f>
        <v>676.24096138042682</v>
      </c>
      <c r="BO73" s="35">
        <f>(BP$27/BP$13*Assump!$D$59*Assump!$E$59-BO$27/BO$13*Assump!$D$59*Assump!$E$59)*(1+Assump!$D$25)</f>
        <v>725.16853029576009</v>
      </c>
      <c r="BP73" s="35">
        <f>(BQ$27/BQ$13*Assump!$D$59*Assump!$E$59-BP$27/BP$13*Assump!$D$59*Assump!$E$59)*(1+Assump!$D$25)</f>
        <v>5399.4347414152298</v>
      </c>
      <c r="BQ73" s="35">
        <f>(BR$27/BR$13*Assump!$D$59*Assump!$E$59-BQ$27/BQ$13*Assump!$D$59*Assump!$E$59)*(1+Assump!$D$25)</f>
        <v>-6743.4236991522293</v>
      </c>
      <c r="BR73" s="35">
        <f>(BS$27/BS$13*Assump!$D$59*Assump!$E$59-BR$27/BR$13*Assump!$D$59*Assump!$E$59)*(1+Assump!$D$25)</f>
        <v>727.27916963120413</v>
      </c>
      <c r="BS73" s="35">
        <f>(BT$27/BT$13*Assump!$D$59*Assump!$E$59-BS$27/BS$13*Assump!$D$59*Assump!$E$59)*(1+Assump!$D$25)</f>
        <v>761.42695681054761</v>
      </c>
      <c r="BT73" s="35">
        <f>(BU$27/BU$13*Assump!$D$59*Assump!$E$59-BT$27/BT$13*Assump!$D$59*Assump!$E$59)*(1+Assump!$D$25)</f>
        <v>5669.4064784859884</v>
      </c>
      <c r="BU73" s="35">
        <f>(BV$27/BV$13*Assump!$D$59*Assump!$E$59-BU$27/BU$13*Assump!$D$59*Assump!$E$59)*(1+Assump!$D$25)</f>
        <v>-7062.5074159189962</v>
      </c>
      <c r="BV73" s="35">
        <f>(BW$27/BW$13*Assump!$D$59*Assump!$E$59-BV$27/BV$13*Assump!$D$59*Assump!$E$59)*(1+Assump!$D$25)</f>
        <v>745.55565992192089</v>
      </c>
      <c r="BW73" s="35">
        <f>(BX$27/BX$13*Assump!$D$59*Assump!$E$59-BW$27/BW$13*Assump!$D$59*Assump!$E$59)*(1+Assump!$D$25)</f>
        <v>799.49830465107539</v>
      </c>
      <c r="BX73" s="35">
        <f>(BY$27/BY$13*Assump!$D$59*Assump!$E$59-BX$27/BX$13*Assump!$D$59*Assump!$E$59)*(1+Assump!$D$25)</f>
        <v>5952.876802410291</v>
      </c>
      <c r="BY73" s="35">
        <f>(BZ$27/BZ$13*Assump!$D$59*Assump!$E$59-BY$27/BY$13*Assump!$D$59*Assump!$E$59)*(1+Assump!$D$25)</f>
        <v>-7415.6327867149485</v>
      </c>
      <c r="BZ73" s="35">
        <f>(CA$27/CA$13*Assump!$D$59*Assump!$E$59-BZ$27/BZ$13*Assump!$D$59*Assump!$E$59)*(1+Assump!$D$25)</f>
        <v>782.83344291801689</v>
      </c>
      <c r="CA73" s="35">
        <f>(CB$27/CB$13*Assump!$D$59*Assump!$E$59-CA$27/CA$13*Assump!$D$59*Assump!$E$59)*(1+Assump!$D$25)</f>
        <v>839.47321988362887</v>
      </c>
      <c r="CB73" s="35">
        <f>(CC$27/CC$13*Assump!$D$59*Assump!$E$59-CB$27/CB$13*Assump!$D$59*Assump!$E$59)*(1+Assump!$D$25)</f>
        <v>6250.5206425308033</v>
      </c>
      <c r="CC73" s="35">
        <f>(CD$27/CD$13*Assump!$D$59*Assump!$E$59-CC$27/CC$13*Assump!$D$59*Assump!$E$59)*(1+Assump!$D$25)</f>
        <v>-7786.4144260506937</v>
      </c>
      <c r="CD73" s="35">
        <f>(CE$27/CE$13*Assump!$D$59*Assump!$E$59-CD$27/CD$13*Assump!$D$59*Assump!$E$59)*(1+Assump!$D$25)</f>
        <v>821.97511506391743</v>
      </c>
      <c r="CE73" s="35">
        <f>(CF$27/CF$13*Assump!$D$59*Assump!$E$59-CE$27/CE$13*Assump!$D$59*Assump!$E$59)*(1+Assump!$D$25)</f>
        <v>881.44688087781071</v>
      </c>
      <c r="CF73" s="35">
        <f>(CG$27/CG$13*Assump!$D$59*Assump!$E$59-CF$27/CF$13*Assump!$D$59*Assump!$E$59)*(1+Assump!$D$25)</f>
        <v>6563.0466746573429</v>
      </c>
      <c r="CG73" s="35">
        <f>(CH$27/CH$13*Assump!$D$59*Assump!$E$59-CG$27/CG$13*Assump!$D$59*Assump!$E$59)*(1+Assump!$D$25)</f>
        <v>-8196.6736527176527</v>
      </c>
      <c r="CH73" s="35">
        <f>(CI$27/CI$13*Assump!$D$59*Assump!$E$59-CH$27/CH$13*Assump!$D$59*Assump!$E$59)*(1+Assump!$D$25)</f>
        <v>884.01237618153823</v>
      </c>
      <c r="CI73" s="35">
        <f>(CJ$27/CJ$13*Assump!$D$59*Assump!$E$59-CI$27/CI$13*Assump!$D$59*Assump!$E$59)*(1+Assump!$D$25)</f>
        <v>925.51922492170206</v>
      </c>
      <c r="CJ73" s="35">
        <f>(CK$27/CK$13*Assump!$D$59*Assump!$E$59-CJ$27/CJ$13*Assump!$D$59*Assump!$E$59)*(1+Assump!$D$25)</f>
        <v>6891.1990083902119</v>
      </c>
      <c r="CK73" s="35">
        <f>(CL$27/CL$13*Assump!$D$59*Assump!$E$59-CK$27/CK$13*Assump!$D$59*Assump!$E$59)*(1+Assump!$D$25)</f>
        <v>-8584.5219047208921</v>
      </c>
      <c r="CL73" s="35">
        <f>(CM$27/CM$13*Assump!$D$59*Assump!$E$59-CL$27/CL$13*Assump!$D$59*Assump!$E$59)*(1+Assump!$D$25)</f>
        <v>906.2275643579693</v>
      </c>
      <c r="CM73" s="35">
        <f>(CN$27/CN$13*Assump!$D$59*Assump!$E$59-CM$27/CM$13*Assump!$D$59*Assump!$E$59)*(1+Assump!$D$25)</f>
        <v>971.79518616778637</v>
      </c>
      <c r="CN73" s="35">
        <f>(CO$27/CO$13*Assump!$D$59*Assump!$E$59-CN$27/CN$13*Assump!$D$59*Assump!$E$59)*(1+Assump!$D$25)</f>
        <v>7235.7589588097244</v>
      </c>
      <c r="CO73" s="35"/>
    </row>
    <row r="74" spans="1:93" ht="12.75" customHeight="1">
      <c r="A74" s="35"/>
      <c r="B74" s="87" t="s">
        <v>170</v>
      </c>
      <c r="C74" s="35">
        <f t="shared" si="189"/>
        <v>-8921.0029576221623</v>
      </c>
      <c r="D74" s="60"/>
      <c r="E74" s="35">
        <f>IF(D13=0,0,(D$27/D$13*Assump!$D$60*Assump!$E$60+D$27/D$13*Assump!$D$61*Assump!$E$61-(E$27/E$13*Assump!$D$60*Assump!$E$60+E$27/E$13*Assump!$D$61*Assump!$E$61))*(1+Assump!$D$25))</f>
        <v>0</v>
      </c>
      <c r="F74" s="35">
        <f>IF(E13=0,0,(E$27/E$13*Assump!$D$60*Assump!$E$60+E$27/E$13*Assump!$D$61*Assump!$E$61-(F$27/F$13*Assump!$D$60*Assump!$E$60+F$27/F$13*Assump!$D$61*Assump!$E$61))*(1+Assump!$D$25))</f>
        <v>0</v>
      </c>
      <c r="G74" s="35">
        <f>IF(F13=0,0,(F$27/F$13*Assump!$D$60*Assump!$E$60+F$27/F$13*Assump!$D$61*Assump!$E$61-(G$27/G$13*Assump!$D$60*Assump!$E$60+G$27/G$13*Assump!$D$61*Assump!$E$61))*(1+Assump!$D$25))</f>
        <v>0</v>
      </c>
      <c r="H74" s="35">
        <f>IF(G13=0,0,(G$27/G$13*Assump!$D$60*Assump!$E$60+G$27/G$13*Assump!$D$61*Assump!$E$61-(H$27/H$13*Assump!$D$60*Assump!$E$60+H$27/H$13*Assump!$D$61*Assump!$E$61))*(1+Assump!$D$25))</f>
        <v>0</v>
      </c>
      <c r="I74" s="35">
        <f>IF(H13=0,0,(H$27/H$13*Assump!$D$60*Assump!$E$60+H$27/H$13*Assump!$D$61*Assump!$E$61-(I$27/I$13*Assump!$D$60*Assump!$E$60+I$27/I$13*Assump!$D$61*Assump!$E$61))*(1+Assump!$D$25))</f>
        <v>0</v>
      </c>
      <c r="J74" s="35">
        <f>IF(I13=0,0,(I$27/I$13*Assump!$D$60*Assump!$E$60+I$27/I$13*Assump!$D$61*Assump!$E$61-(J$27/J$13*Assump!$D$60*Assump!$E$60+J$27/J$13*Assump!$D$61*Assump!$E$61))*(1+Assump!$D$25))</f>
        <v>0</v>
      </c>
      <c r="K74" s="35">
        <f>IF(J13=0,0,(J$27/J$13*Assump!$D$60*Assump!$E$60+J$27/J$13*Assump!$D$61*Assump!$E$61-(K$27/K$13*Assump!$D$60*Assump!$E$60+K$27/K$13*Assump!$D$61*Assump!$E$61))*(1+Assump!$D$25))</f>
        <v>0</v>
      </c>
      <c r="L74" s="35">
        <f>IF(K13=0,0,(K$27/K$13*Assump!$D$60*Assump!$E$60+K$27/K$13*Assump!$D$61*Assump!$E$61-(L$27/L$13*Assump!$D$60*Assump!$E$60+L$27/L$13*Assump!$D$61*Assump!$E$61))*(1+Assump!$D$25))</f>
        <v>0</v>
      </c>
      <c r="M74" s="35">
        <f>IF(L13=0,0,(L$27/L$13*Assump!$D$60*Assump!$E$60+L$27/L$13*Assump!$D$61*Assump!$E$61-(M$27/M$13*Assump!$D$60*Assump!$E$60+M$27/M$13*Assump!$D$61*Assump!$E$61))*(1+Assump!$D$25))</f>
        <v>0</v>
      </c>
      <c r="N74" s="35">
        <f>IF(M13=0,0,(M$27/M$13*Assump!$D$60*Assump!$E$60+M$27/M$13*Assump!$D$61*Assump!$E$61-(N$27/N$13*Assump!$D$60*Assump!$E$60+N$27/N$13*Assump!$D$61*Assump!$E$61))*(1+Assump!$D$25))</f>
        <v>0</v>
      </c>
      <c r="O74" s="35">
        <f>IF(N13=0,0,(N$27/N$13*Assump!$D$60*Assump!$E$60+N$27/N$13*Assump!$D$61*Assump!$E$61-(O$27/O$13*Assump!$D$60*Assump!$E$60+O$27/O$13*Assump!$D$61*Assump!$E$61))*(1+Assump!$D$25))</f>
        <v>0</v>
      </c>
      <c r="P74" s="35">
        <f>IF(O13=0,0,(O$27/O$13*Assump!$D$60*Assump!$E$60+O$27/O$13*Assump!$D$61*Assump!$E$61-(P$27/P$13*Assump!$D$60*Assump!$E$60+P$27/P$13*Assump!$D$61*Assump!$E$61))*(1+Assump!$D$25))</f>
        <v>0</v>
      </c>
      <c r="Q74" s="35">
        <f>IF(P13=0,0,(P$27/P$13*Assump!$D$60*Assump!$E$60+P$27/P$13*Assump!$D$61*Assump!$E$61-(Q$27/Q$13*Assump!$D$60*Assump!$E$60+Q$27/Q$13*Assump!$D$61*Assump!$E$61))*(1+Assump!$D$25))</f>
        <v>0</v>
      </c>
      <c r="R74" s="35">
        <f>IF(Q13=0,0,(Q$27/Q$13*Assump!$D$60*Assump!$E$60+Q$27/Q$13*Assump!$D$61*Assump!$E$61-(R$27/R$13*Assump!$D$60*Assump!$E$60+R$27/R$13*Assump!$D$61*Assump!$E$61))*(1+Assump!$D$25))</f>
        <v>0</v>
      </c>
      <c r="S74" s="35">
        <f>IF(R13=0,0,(R$27/R$13*Assump!$D$60*Assump!$E$60+R$27/R$13*Assump!$D$61*Assump!$E$61-(S$27/S$13*Assump!$D$60*Assump!$E$60+S$27/S$13*Assump!$D$61*Assump!$E$61))*(1+Assump!$D$25))</f>
        <v>0</v>
      </c>
      <c r="T74" s="35">
        <f>IF(S13=0,0,(S$27/S$13*Assump!$D$60*Assump!$E$60+S$27/S$13*Assump!$D$61*Assump!$E$61-(T$27/T$13*Assump!$D$60*Assump!$E$60+T$27/T$13*Assump!$D$61*Assump!$E$61))*(1+Assump!$D$25))</f>
        <v>0</v>
      </c>
      <c r="U74" s="35">
        <f>IF(T13=0,0,(T$27/T$13*Assump!$D$60*Assump!$E$60+T$27/T$13*Assump!$D$61*Assump!$E$61-(U$27/U$13*Assump!$D$60*Assump!$E$60+U$27/U$13*Assump!$D$61*Assump!$E$61))*(1+Assump!$D$25))</f>
        <v>0</v>
      </c>
      <c r="V74" s="35">
        <f>IF(U13=0,0,(U$27/U$13*Assump!$D$60*Assump!$E$60+U$27/U$13*Assump!$D$61*Assump!$E$61-(V$27/V$13*Assump!$D$60*Assump!$E$60+V$27/V$13*Assump!$D$61*Assump!$E$61))*(1+Assump!$D$25))</f>
        <v>0</v>
      </c>
      <c r="W74" s="35">
        <f>IF(V13=0,0,(V$27/V$13*Assump!$D$60*Assump!$E$60+V$27/V$13*Assump!$D$61*Assump!$E$61-(W$27/W$13*Assump!$D$60*Assump!$E$60+W$27/W$13*Assump!$D$61*Assump!$E$61))*(1+Assump!$D$25))</f>
        <v>-2875.0937612060443</v>
      </c>
      <c r="X74" s="35">
        <f>IF(W13=0,0,(W$27/W$13*Assump!$D$60*Assump!$E$60+W$27/W$13*Assump!$D$61*Assump!$E$61-(X$27/X$13*Assump!$D$60*Assump!$E$60+X$27/X$13*Assump!$D$61*Assump!$E$61))*(1+Assump!$D$25))</f>
        <v>-966.93283743770564</v>
      </c>
      <c r="Y74" s="35">
        <f>IF(X13=0,0,(X$27/X$13*Assump!$D$60*Assump!$E$60+X$27/X$13*Assump!$D$61*Assump!$E$61-(Y$27/Y$13*Assump!$D$60*Assump!$E$60+Y$27/Y$13*Assump!$D$61*Assump!$E$61))*(1+Assump!$D$25))</f>
        <v>-7143.3980289749998</v>
      </c>
      <c r="Z74" s="35">
        <f>IF(Y13=0,0,(Y$27/Y$13*Assump!$D$60*Assump!$E$60+Y$27/Y$13*Assump!$D$61*Assump!$E$61-(Z$27/Z$13*Assump!$D$60*Assump!$E$60+Z$27/Z$13*Assump!$D$61*Assump!$E$61))*(1+Assump!$D$25))</f>
        <v>8871.9227059034165</v>
      </c>
      <c r="AA74" s="35">
        <f>IF(Z13=0,0,(Z$27/Z$13*Assump!$D$60*Assump!$E$60+Z$27/Z$13*Assump!$D$61*Assump!$E$61-(AA$27/AA$13*Assump!$D$60*Assump!$E$60+AA$27/AA$13*Assump!$D$61*Assump!$E$61))*(1+Assump!$D$25))</f>
        <v>-958.85162884840338</v>
      </c>
      <c r="AB74" s="35">
        <f>IF(AA13=0,0,(AA$27/AA$13*Assump!$D$60*Assump!$E$60+AA$27/AA$13*Assump!$D$61*Assump!$E$61-(AB$27/AB$13*Assump!$D$60*Assump!$E$60+AB$27/AB$13*Assump!$D$61*Assump!$E$61))*(1+Assump!$D$25))</f>
        <v>-1027.8423150512638</v>
      </c>
      <c r="AC74" s="35">
        <f>IF(AB13=0,0,(AB$27/AB$13*Assump!$D$60*Assump!$E$60+AB$27/AB$13*Assump!$D$61*Assump!$E$61-(AC$27/AC$13*Assump!$D$60*Assump!$E$60+AC$27/AC$13*Assump!$D$61*Assump!$E$61))*(1+Assump!$D$25))</f>
        <v>-7644.7014258000027</v>
      </c>
      <c r="AD74" s="35">
        <f>IF(AC13=0,0,(AC$27/AC$13*Assump!$D$60*Assump!$E$60+AC$27/AC$13*Assump!$D$61*Assump!$E$61-(AD$27/AD$13*Assump!$D$60*Assump!$E$60+AD$27/AD$13*Assump!$D$61*Assump!$E$61))*(1+Assump!$D$25))</f>
        <v>9531.4727599740872</v>
      </c>
      <c r="AE74" s="35">
        <f>IF(AD13=0,0,(AD$27/AD$13*Assump!$D$60*Assump!$E$60+AD$27/AD$13*Assump!$D$61*Assump!$E$61-(AE$27/AE$13*Assump!$D$60*Assump!$E$60+AE$27/AE$13*Assump!$D$61*Assump!$E$61))*(1+Assump!$D$25))</f>
        <v>-1002.5951924002921</v>
      </c>
      <c r="AF74" s="35">
        <f>IF(AE13=0,0,(AE$27/AE$13*Assump!$D$60*Assump!$E$60+AE$27/AE$13*Assump!$D$61*Assump!$E$61-(AF$27/AF$13*Assump!$D$60*Assump!$E$60+AF$27/AF$13*Assump!$D$61*Assump!$E$61))*(1+Assump!$D$25))</f>
        <v>-1075.1352308951673</v>
      </c>
      <c r="AG74" s="35">
        <f>IF(AF13=0,0,(AF$27/AF$13*Assump!$D$60*Assump!$E$60+AF$27/AF$13*Assump!$D$61*Assump!$E$61-(AG$27/AG$13*Assump!$D$60*Assump!$E$60+AG$27/AG$13*Assump!$D$61*Assump!$E$61))*(1+Assump!$D$25))</f>
        <v>-8005.2046867605022</v>
      </c>
      <c r="AH74" s="35">
        <f>IF(AG13=0,0,(AG$27/AG$13*Assump!$D$60*Assump!$E$60+AG$27/AG$13*Assump!$D$61*Assump!$E$61-(AH$27/AH$13*Assump!$D$60*Assump!$E$60+AH$27/AH$13*Assump!$D$61*Assump!$E$61))*(1+Assump!$D$25))</f>
        <v>9972.2638834839145</v>
      </c>
      <c r="AI74" s="35">
        <f>IF(AH13=0,0,(AH$27/AH$13*Assump!$D$60*Assump!$E$60+AH$27/AH$13*Assump!$D$61*Assump!$E$61-(AI$27/AI$13*Assump!$D$60*Assump!$E$60+AI$27/AI$13*Assump!$D$61*Assump!$E$61))*(1+Assump!$D$25))</f>
        <v>-1052.7249520203059</v>
      </c>
      <c r="AJ74" s="35">
        <f>IF(AI13=0,0,(AI$27/AI$13*Assump!$D$60*Assump!$E$60+AI$27/AI$13*Assump!$D$61*Assump!$E$61-(AJ$27/AJ$13*Assump!$D$60*Assump!$E$60+AJ$27/AJ$13*Assump!$D$61*Assump!$E$61))*(1+Assump!$D$25))</f>
        <v>-1128.8919924399254</v>
      </c>
      <c r="AK74" s="35">
        <f>IF(AJ13=0,0,(AJ$27/AJ$13*Assump!$D$60*Assump!$E$60+AJ$27/AJ$13*Assump!$D$61*Assump!$E$61-(AK$27/AK$13*Assump!$D$60*Assump!$E$60+AK$27/AK$13*Assump!$D$61*Assump!$E$61))*(1+Assump!$D$25))</f>
        <v>-8405.4649210985262</v>
      </c>
      <c r="AL74" s="35">
        <f>IF(AK13=0,0,(AK$27/AK$13*Assump!$D$60*Assump!$E$60+AK$27/AK$13*Assump!$D$61*Assump!$E$61-(AL$27/AL$13*Assump!$D$60*Assump!$E$60+AL$27/AL$13*Assump!$D$61*Assump!$E$61))*(1+Assump!$D$25))</f>
        <v>10497.693567173646</v>
      </c>
      <c r="AM74" s="35">
        <f>IF(AL13=0,0,(AL$27/AL$13*Assump!$D$60*Assump!$E$60+AL$27/AL$13*Assump!$D$61*Assump!$E$61-(AM$27/AM$13*Assump!$D$60*Assump!$E$60+AM$27/AM$13*Assump!$D$61*Assump!$E$61))*(1+Assump!$D$25))</f>
        <v>-1132.177689136857</v>
      </c>
      <c r="AN74" s="35">
        <f>IF(AM13=0,0,(AM$27/AM$13*Assump!$D$60*Assump!$E$60+AM$27/AM$13*Assump!$D$61*Assump!$E$61-(AN$27/AN$13*Assump!$D$60*Assump!$E$60+AN$27/AN$13*Assump!$D$61*Assump!$E$61))*(1+Assump!$D$25))</f>
        <v>-1185.336592061921</v>
      </c>
      <c r="AO74" s="35">
        <f>IF(AN13=0,0,(AN$27/AN$13*Assump!$D$60*Assump!$E$60+AN$27/AN$13*Assump!$D$61*Assump!$E$61-(AO$27/AO$13*Assump!$D$60*Assump!$E$60+AO$27/AO$13*Assump!$D$61*Assump!$E$61))*(1+Assump!$D$25))</f>
        <v>-8825.7381671534476</v>
      </c>
      <c r="AP74" s="35">
        <f>IF(AO13=0,0,(AO$27/AO$13*Assump!$D$60*Assump!$E$60+AO$27/AO$13*Assump!$D$61*Assump!$E$61-(AP$27/AP$13*Assump!$D$60*Assump!$E$60+AP$27/AP$13*Assump!$D$61*Assump!$E$61))*(1+Assump!$D$25))</f>
        <v>10994.420931541013</v>
      </c>
      <c r="AQ74" s="35">
        <f>IF(AP13=0,0,(AP$27/AP$13*Assump!$D$60*Assump!$E$60+AP$27/AP$13*Assump!$D$61*Assump!$E$61-(AQ$27/AQ$13*Assump!$D$60*Assump!$E$60+AQ$27/AQ$13*Assump!$D$61*Assump!$E$61))*(1+Assump!$D$25))</f>
        <v>-1160.6292596023882</v>
      </c>
      <c r="AR74" s="35">
        <f>IF(AQ13=0,0,(AQ$27/AQ$13*Assump!$D$60*Assump!$E$60+AQ$27/AQ$13*Assump!$D$61*Assump!$E$61-(AR$27/AR$13*Assump!$D$60*Assump!$E$60+AR$27/AR$13*Assump!$D$61*Assump!$E$61))*(1+Assump!$D$25))</f>
        <v>-1244.6034216650171</v>
      </c>
      <c r="AS74" s="35">
        <f>IF(AR13=0,0,(AR$27/AR$13*Assump!$D$60*Assump!$E$60+AR$27/AR$13*Assump!$D$61*Assump!$E$61-(AS$27/AS$13*Assump!$D$60*Assump!$E$60+AS$27/AS$13*Assump!$D$61*Assump!$E$61))*(1+Assump!$D$25))</f>
        <v>-9267.0250755111247</v>
      </c>
      <c r="AT74" s="35">
        <f>IF(AS13=0,0,(AS$27/AS$13*Assump!$D$60*Assump!$E$60+AS$27/AS$13*Assump!$D$61*Assump!$E$61-(AT$27/AT$13*Assump!$D$60*Assump!$E$60+AT$27/AT$13*Assump!$D$61*Assump!$E$61))*(1+Assump!$D$25))</f>
        <v>11544.141978118067</v>
      </c>
      <c r="AU74" s="35">
        <f>IF(AT13=0,0,(AT$27/AT$13*Assump!$D$60*Assump!$E$60+AT$27/AT$13*Assump!$D$61*Assump!$E$61-(AU$27/AU$13*Assump!$D$60*Assump!$E$60+AU$27/AU$13*Assump!$D$61*Assump!$E$61))*(1+Assump!$D$25))</f>
        <v>-1218.6607225825069</v>
      </c>
      <c r="AV74" s="35">
        <f>IF(AU13=0,0,(AU$27/AU$13*Assump!$D$60*Assump!$E$60+AU$27/AU$13*Assump!$D$61*Assump!$E$61-(AV$27/AV$13*Assump!$D$60*Assump!$E$60+AV$27/AV$13*Assump!$D$61*Assump!$E$61))*(1+Assump!$D$25))</f>
        <v>-1306.833592748269</v>
      </c>
      <c r="AW74" s="35">
        <f>IF(AV13=0,0,(AV$27/AV$13*Assump!$D$60*Assump!$E$60+AV$27/AV$13*Assump!$D$61*Assump!$E$61-(AW$27/AW$13*Assump!$D$60*Assump!$E$60+AW$27/AW$13*Assump!$D$61*Assump!$E$61))*(1+Assump!$D$25))</f>
        <v>-9730.3763292866788</v>
      </c>
      <c r="AX74" s="35">
        <f>IF(AW13=0,0,(AW$27/AW$13*Assump!$D$60*Assump!$E$60+AW$27/AW$13*Assump!$D$61*Assump!$E$61-(AX$27/AX$13*Assump!$D$60*Assump!$E$60+AX$27/AX$13*Assump!$D$61*Assump!$E$61))*(1+Assump!$D$25))</f>
        <v>12121.349077023968</v>
      </c>
      <c r="AY74" s="35">
        <f>IF(AX13=0,0,(AX$27/AX$13*Assump!$D$60*Assump!$E$60+AX$27/AX$13*Assump!$D$61*Assump!$E$61-(AY$27/AY$13*Assump!$D$60*Assump!$E$60+AY$27/AY$13*Assump!$D$61*Assump!$E$61))*(1+Assump!$D$25))</f>
        <v>-1279.5937587116323</v>
      </c>
      <c r="AZ74" s="35">
        <f>IF(AY13=0,0,(AY$27/AY$13*Assump!$D$60*Assump!$E$60+AY$27/AY$13*Assump!$D$61*Assump!$E$61-(AZ$27/AZ$13*Assump!$D$60*Assump!$E$60+AZ$27/AZ$13*Assump!$D$61*Assump!$E$61))*(1+Assump!$D$25))</f>
        <v>-1372.1752723856823</v>
      </c>
      <c r="BA74" s="35">
        <f>IF(AZ13=0,0,(AZ$27/AZ$13*Assump!$D$60*Assump!$E$60+AZ$27/AZ$13*Assump!$D$61*Assump!$E$61-(BA$27/BA$13*Assump!$D$60*Assump!$E$60+BA$27/BA$13*Assump!$D$61*Assump!$E$61))*(1+Assump!$D$25))</f>
        <v>-10216.895145751017</v>
      </c>
      <c r="BB74" s="35">
        <f>IF(BA13=0,0,(BA$27/BA$13*Assump!$D$60*Assump!$E$60+BA$27/BA$13*Assump!$D$61*Assump!$E$61-(BB$27/BB$13*Assump!$D$60*Assump!$E$60+BB$27/BB$13*Assump!$D$61*Assump!$E$61))*(1+Assump!$D$25))</f>
        <v>12760.012141484362</v>
      </c>
      <c r="BC74" s="35">
        <f>IF(BB13=0,0,(BB$27/BB$13*Assump!$D$60*Assump!$E$60+BB$27/BB$13*Assump!$D$61*Assump!$E$61-(BC$27/BC$13*Assump!$D$60*Assump!$E$60+BC$27/BC$13*Assump!$D$61*Assump!$E$61))*(1+Assump!$D$25))</f>
        <v>-1376.169057256405</v>
      </c>
      <c r="BD74" s="35">
        <f>IF(BC13=0,0,(BC$27/BC$13*Assump!$D$60*Assump!$E$60+BC$27/BC$13*Assump!$D$61*Assump!$E$61-(BD$27/BD$13*Assump!$D$60*Assump!$E$60+BD$27/BD$13*Assump!$D$61*Assump!$E$61))*(1+Assump!$D$25))</f>
        <v>-1440.7840360049659</v>
      </c>
      <c r="BE74" s="35">
        <f>IF(BD13=0,0,(BD$27/BD$13*Assump!$D$60*Assump!$E$60+BD$27/BD$13*Assump!$D$61*Assump!$E$61-(BE$27/BE$13*Assump!$D$60*Assump!$E$60+BE$27/BE$13*Assump!$D$61*Assump!$E$61))*(1+Assump!$D$25))</f>
        <v>-10727.739903038564</v>
      </c>
      <c r="BF74" s="35">
        <f>IF(BE13=0,0,(BE$27/BE$13*Assump!$D$60*Assump!$E$60+BE$27/BE$13*Assump!$D$61*Assump!$E$61-(BF$27/BF$13*Assump!$D$60*Assump!$E$60+BF$27/BF$13*Assump!$D$61*Assump!$E$61))*(1+Assump!$D$25))</f>
        <v>13363.787357418923</v>
      </c>
      <c r="BG74" s="35">
        <f>IF(BF13=0,0,(BF$27/BF$13*Assump!$D$60*Assump!$E$60+BF$27/BF$13*Assump!$D$61*Assump!$E$61-(BG$27/BG$13*Assump!$D$60*Assump!$E$60+BG$27/BG$13*Assump!$D$61*Assump!$E$61))*(1+Assump!$D$25))</f>
        <v>-1410.7521189795748</v>
      </c>
      <c r="BH74" s="35">
        <f>IF(BG13=0,0,(BG$27/BG$13*Assump!$D$60*Assump!$E$60+BG$27/BG$13*Assump!$D$61*Assump!$E$61-(BH$27/BH$13*Assump!$D$60*Assump!$E$60+BH$27/BH$13*Assump!$D$61*Assump!$E$61))*(1+Assump!$D$25))</f>
        <v>-1512.8232378052128</v>
      </c>
      <c r="BI74" s="35">
        <f>IF(BH13=0,0,(BH$27/BH$13*Assump!$D$60*Assump!$E$60+BH$27/BH$13*Assump!$D$61*Assump!$E$61-(BI$27/BI$13*Assump!$D$60*Assump!$E$60+BI$27/BI$13*Assump!$D$61*Assump!$E$61))*(1+Assump!$D$25))</f>
        <v>-11264.1268981905</v>
      </c>
      <c r="BJ74" s="35">
        <f>IF(BI13=0,0,(BI$27/BI$13*Assump!$D$60*Assump!$E$60+BI$27/BI$13*Assump!$D$61*Assump!$E$61-(BJ$27/BJ$13*Assump!$D$60*Assump!$E$60+BJ$27/BJ$13*Assump!$D$61*Assump!$E$61))*(1+Assump!$D$25))</f>
        <v>14031.976725289876</v>
      </c>
      <c r="BK74" s="35">
        <f>IF(BJ13=0,0,(BJ$27/BJ$13*Assump!$D$60*Assump!$E$60+BJ$27/BJ$13*Assump!$D$61*Assump!$E$61-(BK$27/BK$13*Assump!$D$60*Assump!$E$60+BK$27/BK$13*Assump!$D$61*Assump!$E$61))*(1+Assump!$D$25))</f>
        <v>-1481.2897249285536</v>
      </c>
      <c r="BL74" s="35">
        <f>IF(BK13=0,0,(BK$27/BK$13*Assump!$D$60*Assump!$E$60+BK$27/BK$13*Assump!$D$61*Assump!$E$61-(BL$27/BL$13*Assump!$D$60*Assump!$E$60+BL$27/BL$13*Assump!$D$61*Assump!$E$61))*(1+Assump!$D$25))</f>
        <v>-1588.4643996954749</v>
      </c>
      <c r="BM74" s="35">
        <f>IF(BL13=0,0,(BL$27/BL$13*Assump!$D$60*Assump!$E$60+BL$27/BL$13*Assump!$D$61*Assump!$E$61-(BM$27/BM$13*Assump!$D$60*Assump!$E$60+BM$27/BM$13*Assump!$D$61*Assump!$E$61))*(1+Assump!$D$25))</f>
        <v>-11827.33324310002</v>
      </c>
      <c r="BN74" s="35">
        <f>IF(BM13=0,0,(BM$27/BM$13*Assump!$D$60*Assump!$E$60+BM$27/BM$13*Assump!$D$61*Assump!$E$61-(BN$27/BN$13*Assump!$D$60*Assump!$E$60+BN$27/BN$13*Assump!$D$61*Assump!$E$61))*(1+Assump!$D$25))</f>
        <v>14733.575561554366</v>
      </c>
      <c r="BO74" s="35">
        <f>IF(BN13=0,0,(BN$27/BN$13*Assump!$D$60*Assump!$E$60+BN$27/BN$13*Assump!$D$61*Assump!$E$61-(BO$27/BO$13*Assump!$D$60*Assump!$E$60+BO$27/BO$13*Assump!$D$61*Assump!$E$61))*(1+Assump!$D$25))</f>
        <v>-1555.3542111749823</v>
      </c>
      <c r="BP74" s="35">
        <f>IF(BO13=0,0,(BO$27/BO$13*Assump!$D$60*Assump!$E$60+BO$27/BO$13*Assump!$D$61*Assump!$E$61-(BP$27/BP$13*Assump!$D$60*Assump!$E$60+BP$27/BP$13*Assump!$D$61*Assump!$E$61))*(1+Assump!$D$25))</f>
        <v>-1667.887619680248</v>
      </c>
      <c r="BQ74" s="35">
        <f>IF(BP13=0,0,(BP$27/BP$13*Assump!$D$60*Assump!$E$60+BP$27/BP$13*Assump!$D$61*Assump!$E$61-(BQ$27/BQ$13*Assump!$D$60*Assump!$E$60+BQ$27/BQ$13*Assump!$D$61*Assump!$E$61))*(1+Assump!$D$25))</f>
        <v>-12418.699905255025</v>
      </c>
      <c r="BR74" s="35">
        <f>IF(BQ13=0,0,(BQ$27/BQ$13*Assump!$D$60*Assump!$E$60+BQ$27/BQ$13*Assump!$D$61*Assump!$E$61-(BR$27/BR$13*Assump!$D$60*Assump!$E$60+BR$27/BR$13*Assump!$D$61*Assump!$E$61))*(1+Assump!$D$25))</f>
        <v>15509.874508050127</v>
      </c>
      <c r="BS74" s="35">
        <f>IF(BR13=0,0,(BR$27/BR$13*Assump!$D$60*Assump!$E$60+BR$27/BR$13*Assump!$D$61*Assump!$E$61-(BS$27/BS$13*Assump!$D$60*Assump!$E$60+BS$27/BS$13*Assump!$D$61*Assump!$E$61))*(1+Assump!$D$25))</f>
        <v>-1672.7420901517703</v>
      </c>
      <c r="BT74" s="35">
        <f>IF(BS13=0,0,(BS$27/BS$13*Assump!$D$60*Assump!$E$60+BS$27/BS$13*Assump!$D$61*Assump!$E$61-(BT$27/BT$13*Assump!$D$60*Assump!$E$60+BT$27/BT$13*Assump!$D$61*Assump!$E$61))*(1+Assump!$D$25))</f>
        <v>-1751.2820006642592</v>
      </c>
      <c r="BU74" s="35">
        <f>IF(BT13=0,0,(BT$27/BT$13*Assump!$D$60*Assump!$E$60+BT$27/BT$13*Assump!$D$61*Assump!$E$61-(BU$27/BU$13*Assump!$D$60*Assump!$E$60+BU$27/BU$13*Assump!$D$61*Assump!$E$61))*(1+Assump!$D$25))</f>
        <v>-13039.634900517774</v>
      </c>
      <c r="BV74" s="35">
        <f>IF(BU13=0,0,(BU$27/BU$13*Assump!$D$60*Assump!$E$60+BU$27/BU$13*Assump!$D$61*Assump!$E$61-(BV$27/BV$13*Assump!$D$60*Assump!$E$60+BV$27/BV$13*Assump!$D$61*Assump!$E$61))*(1+Assump!$D$25))</f>
        <v>16243.767056613691</v>
      </c>
      <c r="BW74" s="35">
        <f>IF(BV13=0,0,(BV$27/BV$13*Assump!$D$60*Assump!$E$60+BV$27/BV$13*Assump!$D$61*Assump!$E$61-(BW$27/BW$13*Assump!$D$60*Assump!$E$60+BW$27/BW$13*Assump!$D$61*Assump!$E$61))*(1+Assump!$D$25))</f>
        <v>-1714.7780178204177</v>
      </c>
      <c r="BX74" s="35">
        <f>IF(BW13=0,0,(BW$27/BW$13*Assump!$D$60*Assump!$E$60+BW$27/BW$13*Assump!$D$61*Assump!$E$61-(BX$27/BX$13*Assump!$D$60*Assump!$E$60+BX$27/BX$13*Assump!$D$61*Assump!$E$61))*(1+Assump!$D$25))</f>
        <v>-1838.8461006974728</v>
      </c>
      <c r="BY74" s="35">
        <f>IF(BX13=0,0,(BX$27/BX$13*Assump!$D$60*Assump!$E$60+BX$27/BX$13*Assump!$D$61*Assump!$E$61-(BY$27/BY$13*Assump!$D$60*Assump!$E$60+BY$27/BY$13*Assump!$D$61*Assump!$E$61))*(1+Assump!$D$25))</f>
        <v>-13691.616645543669</v>
      </c>
      <c r="BZ74" s="35">
        <f>IF(BY13=0,0,(BY$27/BY$13*Assump!$D$60*Assump!$E$60+BY$27/BY$13*Assump!$D$61*Assump!$E$61-(BZ$27/BZ$13*Assump!$D$60*Assump!$E$60+BZ$27/BZ$13*Assump!$D$61*Assump!$E$61))*(1+Assump!$D$25))</f>
        <v>17055.955409444381</v>
      </c>
      <c r="CA74" s="35">
        <f>IF(BZ13=0,0,(BZ$27/BZ$13*Assump!$D$60*Assump!$E$60+BZ$27/BZ$13*Assump!$D$61*Assump!$E$61-(CA$27/CA$13*Assump!$D$60*Assump!$E$60+CA$27/CA$13*Assump!$D$61*Assump!$E$61))*(1+Assump!$D$25))</f>
        <v>-1800.5169187114386</v>
      </c>
      <c r="CB74" s="35">
        <f>IF(CA13=0,0,(CA$27/CA$13*Assump!$D$60*Assump!$E$60+CA$27/CA$13*Assump!$D$61*Assump!$E$61-(CB$27/CB$13*Assump!$D$60*Assump!$E$60+CB$27/CB$13*Assump!$D$61*Assump!$E$61))*(1+Assump!$D$25))</f>
        <v>-1930.7884057323463</v>
      </c>
      <c r="CC74" s="35">
        <f>IF(CB13=0,0,(CB$27/CB$13*Assump!$D$60*Assump!$E$60+CB$27/CB$13*Assump!$D$61*Assump!$E$61-(CC$27/CC$13*Assump!$D$60*Assump!$E$60+CC$27/CC$13*Assump!$D$61*Assump!$E$61))*(1+Assump!$D$25))</f>
        <v>-14376.197477820848</v>
      </c>
      <c r="CD74" s="35">
        <f>IF(CC13=0,0,(CC$27/CC$13*Assump!$D$60*Assump!$E$60+CC$27/CC$13*Assump!$D$61*Assump!$E$61-(CD$27/CD$13*Assump!$D$60*Assump!$E$60+CD$27/CD$13*Assump!$D$61*Assump!$E$61))*(1+Assump!$D$25))</f>
        <v>17908.753179916595</v>
      </c>
      <c r="CE74" s="35">
        <f>IF(CD13=0,0,(CD$27/CD$13*Assump!$D$60*Assump!$E$60+CD$27/CD$13*Assump!$D$61*Assump!$E$61-(CE$27/CE$13*Assump!$D$60*Assump!$E$60+CE$27/CE$13*Assump!$D$61*Assump!$E$61))*(1+Assump!$D$25))</f>
        <v>-1890.5427646470105</v>
      </c>
      <c r="CF74" s="35">
        <f>IF(CE13=0,0,(CE$27/CE$13*Assump!$D$60*Assump!$E$60+CE$27/CE$13*Assump!$D$61*Assump!$E$61-(CF$27/CF$13*Assump!$D$60*Assump!$E$60+CF$27/CF$13*Assump!$D$61*Assump!$E$61))*(1+Assump!$D$25))</f>
        <v>-2027.3278260189657</v>
      </c>
      <c r="CG74" s="35">
        <f>IF(CF13=0,0,(CF$27/CF$13*Assump!$D$60*Assump!$E$60+CF$27/CF$13*Assump!$D$61*Assump!$E$61-(CG$27/CG$13*Assump!$D$60*Assump!$E$60+CG$27/CG$13*Assump!$D$61*Assump!$E$61))*(1+Assump!$D$25))</f>
        <v>-15095.007351711891</v>
      </c>
      <c r="CH74" s="35">
        <f>IF(CG13=0,0,(CG$27/CG$13*Assump!$D$60*Assump!$E$60+CG$27/CG$13*Assump!$D$61*Assump!$E$61-(CH$27/CH$13*Assump!$D$60*Assump!$E$60+CH$27/CH$13*Assump!$D$61*Assump!$E$61))*(1+Assump!$D$25))</f>
        <v>18852.349401250605</v>
      </c>
      <c r="CI74" s="35">
        <f>IF(CH13=0,0,(CH$27/CH$13*Assump!$D$60*Assump!$E$60+CH$27/CH$13*Assump!$D$61*Assump!$E$61-(CI$27/CI$13*Assump!$D$60*Assump!$E$60+CI$27/CI$13*Assump!$D$61*Assump!$E$61))*(1+Assump!$D$25))</f>
        <v>-2033.2284652175376</v>
      </c>
      <c r="CJ74" s="35">
        <f>IF(CI13=0,0,(CI$27/CI$13*Assump!$D$60*Assump!$E$60+CI$27/CI$13*Assump!$D$61*Assump!$E$61-(CJ$27/CJ$13*Assump!$D$60*Assump!$E$60+CJ$27/CJ$13*Assump!$D$61*Assump!$E$61))*(1+Assump!$D$25))</f>
        <v>-2128.6942173199141</v>
      </c>
      <c r="CK74" s="35">
        <f>IF(CJ13=0,0,(CJ$27/CJ$13*Assump!$D$60*Assump!$E$60+CJ$27/CJ$13*Assump!$D$61*Assump!$E$61-(CK$27/CK$13*Assump!$D$60*Assump!$E$60+CK$27/CK$13*Assump!$D$61*Assump!$E$61))*(1+Assump!$D$25))</f>
        <v>-15849.75771929749</v>
      </c>
      <c r="CL74" s="35">
        <f>IF(CK13=0,0,(CK$27/CK$13*Assump!$D$60*Assump!$E$60+CK$27/CK$13*Assump!$D$61*Assump!$E$61-(CL$27/CL$13*Assump!$D$60*Assump!$E$60+CL$27/CL$13*Assump!$D$61*Assump!$E$61))*(1+Assump!$D$25))</f>
        <v>19744.400380858053</v>
      </c>
      <c r="CM74" s="35">
        <f>IF(CL13=0,0,(CL$27/CL$13*Assump!$D$60*Assump!$E$60+CL$27/CL$13*Assump!$D$61*Assump!$E$61-(CM$27/CM$13*Assump!$D$60*Assump!$E$60+CM$27/CM$13*Assump!$D$61*Assump!$E$61))*(1+Assump!$D$25))</f>
        <v>-2084.3233980233308</v>
      </c>
      <c r="CN74" s="35">
        <f>IF(CM13=0,0,(CM$27/CM$13*Assump!$D$60*Assump!$E$60+CM$27/CM$13*Assump!$D$61*Assump!$E$61-(CN$27/CN$13*Assump!$D$60*Assump!$E$60+CN$27/CN$13*Assump!$D$61*Assump!$E$61))*(1+Assump!$D$25))</f>
        <v>-2235.1289281859085</v>
      </c>
      <c r="CO74" s="35"/>
    </row>
    <row r="75" spans="1:93" ht="12.75" customHeight="1">
      <c r="A75" s="35"/>
      <c r="B75" s="87" t="s">
        <v>171</v>
      </c>
      <c r="C75" s="35">
        <f t="shared" si="189"/>
        <v>-4300.3064413974789</v>
      </c>
      <c r="D75" s="60"/>
      <c r="E75" s="35">
        <f>((F32+F33+F34+F35+F38+F39+F40)*Assump!$D$62-(E32+E33+E34+E35+E38+E39+E40)*Assump!$D$62)</f>
        <v>0</v>
      </c>
      <c r="F75" s="35">
        <f>((G32+G33+G34+G35+G38+G39+G40)*Assump!$D$62-(F32+F33+F34+F35+F38+F39+F40)*Assump!$D$62)</f>
        <v>0</v>
      </c>
      <c r="G75" s="35">
        <f>((H32+H33+H34+H35+H38+H39+H40)*Assump!$D$62-(G32+G33+G34+G35+G38+G39+G40)*Assump!$D$62)</f>
        <v>0</v>
      </c>
      <c r="H75" s="35">
        <f>((I32+I33+I34+I35+I38+I39+I40)*Assump!$D$62-(H32+H33+H34+H35+H38+H39+H40)*Assump!$D$62)</f>
        <v>0</v>
      </c>
      <c r="I75" s="35">
        <f>((J32+J33+J34+J35+J38+J39+J40)*Assump!$D$62-(I32+I33+I34+I35+I38+I39+I40)*Assump!$D$62)</f>
        <v>0</v>
      </c>
      <c r="J75" s="35">
        <f>((K32+K33+K34+K35+K38+K39+K40)*Assump!$D$62-(J32+J33+J34+J35+J38+J39+J40)*Assump!$D$62)</f>
        <v>0</v>
      </c>
      <c r="K75" s="35">
        <f>((L32+L33+L34+L35+L38+L39+L40)*Assump!$D$62-(K32+K33+K34+K35+K38+K39+K40)*Assump!$D$62)</f>
        <v>0</v>
      </c>
      <c r="L75" s="35">
        <f>((M32+M33+M34+M35+M38+M39+M40)*Assump!$D$62-(L32+L33+L34+L35+L38+L39+L40)*Assump!$D$62)</f>
        <v>0</v>
      </c>
      <c r="M75" s="35">
        <f>((N32+N33+N34+N35+N38+N39+N40)*Assump!$D$62-(M32+M33+M34+M35+M38+M39+M40)*Assump!$D$62)</f>
        <v>0</v>
      </c>
      <c r="N75" s="35">
        <f>((O32+O33+O34+O35+O38+O39+O40)*Assump!$D$62-(N32+N33+N34+N35+N38+N39+N40)*Assump!$D$62)</f>
        <v>0</v>
      </c>
      <c r="O75" s="35">
        <f>((P32+P33+P34+P35+P38+P39+P40)*Assump!$D$62-(O32+O33+O34+O35+O38+O39+O40)*Assump!$D$62)</f>
        <v>0</v>
      </c>
      <c r="P75" s="35">
        <f>((Q32+Q33+Q34+Q35+Q38+Q39+Q40)*Assump!$D$62-(P32+P33+P34+P35+P38+P39+P40)*Assump!$D$62)</f>
        <v>0</v>
      </c>
      <c r="Q75" s="35">
        <f>((R32+R33+R34+R35+R38+R39+R40)*Assump!$D$62-(Q32+Q33+Q34+Q35+Q38+Q39+Q40)*Assump!$D$62)</f>
        <v>0</v>
      </c>
      <c r="R75" s="35">
        <f>((S32+S33+S34+S35+S38+S39+S40)*Assump!$D$62-(R32+R33+R34+R35+R38+R39+R40)*Assump!$D$62)</f>
        <v>0</v>
      </c>
      <c r="S75" s="35">
        <f>((T32+T33+T34+T35+T38+T39+T40)*Assump!$D$62-(S32+S33+S34+S35+S38+S39+S40)*Assump!$D$62)</f>
        <v>0</v>
      </c>
      <c r="T75" s="35">
        <f>((U32+U33+U34+U35+U38+U39+U40)*Assump!$D$62-(T32+T33+T34+T35+T38+T39+T40)*Assump!$D$62)</f>
        <v>0</v>
      </c>
      <c r="U75" s="35">
        <f>((V32+V33+V34+V35+V38+V39+V40)*Assump!$D$62-(U32+U33+U34+U35+U38+U39+U40)*Assump!$D$62)</f>
        <v>0</v>
      </c>
      <c r="V75" s="35">
        <f>((W32+W33+W34+W35+W38+W39+W40)*Assump!$D$62-(V32+V33+V34+V35+V38+V39+V40)*Assump!$D$62)</f>
        <v>-448.14227912031259</v>
      </c>
      <c r="W75" s="35">
        <f>((X32+X33+X34+X35+X38+X39+X40)*Assump!$D$62-(W32+W33+W34+W35+W38+W39+W40)*Assump!$D$62)</f>
        <v>-142.98660500890622</v>
      </c>
      <c r="X75" s="35">
        <f>((Y32+Y33+Y34+Y35+Y38+Y39+Y40)*Assump!$D$62-(X32+X33+X34+X35+X38+X39+X40)*Assump!$D$62)</f>
        <v>-1158.8161473973437</v>
      </c>
      <c r="Y75" s="35">
        <f>((Z32+Z33+Z34+Z35+Z38+Z39+Z40)*Assump!$D$62-(Y32+Y33+Y34+Y35+Y38+Y39+Y40)*Assump!$D$62)</f>
        <v>1390.1921948281877</v>
      </c>
      <c r="Z75" s="35">
        <f>((AA32+AA33+AA34+AA35+AA38+AA39+AA40)*Assump!$D$62-(Z32+Z33+Z34+Z35+Z38+Z39+Z40)*Assump!$D$62)</f>
        <v>-145.0778969509999</v>
      </c>
      <c r="AA75" s="35">
        <f>((AB32+AB33+AB34+AB35+AB38+AB39+AB40)*Assump!$D$62-(AA32+AA33+AA34+AA35+AA38+AA39+AA40)*Assump!$D$62)</f>
        <v>-159.49767243025008</v>
      </c>
      <c r="AB75" s="35">
        <f>((AC32+AC33+AC34+AC35+AC38+AC39+AC40)*Assump!$D$62-(AB32+AB33+AB34+AB35+AB38+AB39+AB40)*Assump!$D$62)</f>
        <v>-1307.679446850557</v>
      </c>
      <c r="AC75" s="35">
        <f>((AD32+AD33+AD34+AD35+AD38+AD39+AD40)*Assump!$D$62-(AC32+AC33+AC34+AC35+AC38+AC39+AC40)*Assump!$D$62)</f>
        <v>1594.5956412815726</v>
      </c>
      <c r="AD75" s="35">
        <f>((AE32+AE33+AE34+AE35+AE38+AE39+AE40)*Assump!$D$62-(AD32+AD33+AD34+AD35+AD38+AD39+AD40)*Assump!$D$62)</f>
        <v>-152.08586409920304</v>
      </c>
      <c r="AE75" s="35">
        <f>((AF32+AF33+AF34+AF35+AF38+AF39+AF40)*Assump!$D$62-(AE32+AE33+AE34+AE35+AE38+AE39+AE40)*Assump!$D$62)</f>
        <v>-167.22712622649703</v>
      </c>
      <c r="AF75" s="35">
        <f>((AG32+AG33+AG34+AG35+AG38+AG39+AG40)*Assump!$D$62-(AF32+AF33+AF34+AF35+AF38+AF39+AF40)*Assump!$D$62)</f>
        <v>-1371.795723368612</v>
      </c>
      <c r="AG75" s="35">
        <f>((AH32+AH33+AH34+AH35+AH38+AH39+AH40)*Assump!$D$62-(AG32+AG33+AG34+AG35+AG38+AG39+AG40)*Assump!$D$62)</f>
        <v>1672.2381031118816</v>
      </c>
      <c r="AH75" s="35">
        <f>((AI32+AI33+AI34+AI35+AI38+AI39+AI40)*Assump!$D$62-(AH32+AH33+AH34+AH35+AH38+AH39+AH40)*Assump!$D$62)</f>
        <v>-159.69015730416317</v>
      </c>
      <c r="AI75" s="35">
        <f>((AJ32+AJ33+AJ34+AJ35+AJ38+AJ39+AJ40)*Assump!$D$62-(AI32+AI33+AI34+AI35+AI38+AI39+AI40)*Assump!$D$62)</f>
        <v>-175.58848253782173</v>
      </c>
      <c r="AJ75" s="35">
        <f>((AK32+AK33+AK34+AK35+AK38+AK39+AK40)*Assump!$D$62-(AJ32+AJ33+AJ34+AJ35+AJ38+AJ39+AJ40)*Assump!$D$62)</f>
        <v>-1440.3855095370436</v>
      </c>
      <c r="AK75" s="35">
        <f>((AL32+AL33+AL34+AL35+AL38+AL39+AL40)*Assump!$D$62-(AK32+AK33+AK34+AK35+AK38+AK39+AK40)*Assump!$D$62)</f>
        <v>1755.8500082674766</v>
      </c>
      <c r="AL75" s="35">
        <f>((AM32+AM33+AM34+AM35+AM38+AM39+AM40)*Assump!$D$62-(AL32+AL33+AL34+AL35+AL38+AL39+AL40)*Assump!$D$62)</f>
        <v>-167.67466516937134</v>
      </c>
      <c r="AM75" s="35">
        <f>((AN32+AN33+AN34+AN35+AN38+AN39+AN40)*Assump!$D$62-(AM32+AM33+AM34+AM35+AM38+AM39+AM40)*Assump!$D$62)</f>
        <v>-184.3679066647129</v>
      </c>
      <c r="AN75" s="35">
        <f>((AO32+AO33+AO34+AO35+AO38+AO39+AO40)*Assump!$D$62-(AN32+AN33+AN34+AN35+AN38+AN39+AN40)*Assump!$D$62)</f>
        <v>-1512.4047850138954</v>
      </c>
      <c r="AO75" s="35">
        <f>((AP32+AP33+AP34+AP35+AP38+AP39+AP40)*Assump!$D$62-(AO32+AO33+AO34+AO35+AO38+AO39+AO40)*Assump!$D$62)</f>
        <v>1843.6425086808499</v>
      </c>
      <c r="AP75" s="35">
        <f>((AQ32+AQ33+AQ34+AQ35+AQ38+AQ39+AQ40)*Assump!$D$62-(AP32+AP33+AP34+AP35+AP38+AP39+AP40)*Assump!$D$62)</f>
        <v>-176.05839842784002</v>
      </c>
      <c r="AQ75" s="35">
        <f>((AR32+AR33+AR34+AR35+AR38+AR39+AR40)*Assump!$D$62-(AQ32+AQ33+AQ34+AQ35+AQ38+AQ39+AQ40)*Assump!$D$62)</f>
        <v>-193.58630199794845</v>
      </c>
      <c r="AR75" s="35">
        <f>((AS32+AS33+AS34+AS35+AS38+AS39+AS40)*Assump!$D$62-(AR32+AR33+AR34+AR35+AR38+AR39+AR40)*Assump!$D$62)</f>
        <v>-1588.0250242645907</v>
      </c>
      <c r="AS75" s="35">
        <f>((AT32+AT33+AT34+AT35+AT38+AT39+AT40)*Assump!$D$62-(AS32+AS33+AS34+AS35+AS38+AS39+AS40)*Assump!$D$62)</f>
        <v>1935.8246341148929</v>
      </c>
      <c r="AT75" s="35">
        <f>((AU32+AU33+AU34+AU35+AU38+AU39+AU40)*Assump!$D$62-(AT32+AT33+AT34+AT35+AT38+AT39+AT40)*Assump!$D$62)</f>
        <v>-184.86131834923179</v>
      </c>
      <c r="AU75" s="35">
        <f>((AV32+AV33+AV34+AV35+AV38+AV39+AV40)*Assump!$D$62-(AU32+AU33+AU34+AU35+AU38+AU39+AU40)*Assump!$D$62)</f>
        <v>-203.26561709784608</v>
      </c>
      <c r="AV75" s="35">
        <f>((AW32+AW33+AW34+AW35+AW38+AW39+AW40)*Assump!$D$62-(AV32+AV33+AV34+AV35+AV38+AV39+AV40)*Assump!$D$62)</f>
        <v>-1667.4262754778201</v>
      </c>
      <c r="AW75" s="35">
        <f>((AX32+AX33+AX34+AX35+AX38+AX39+AX40)*Assump!$D$62-(AW32+AW33+AW34+AW35+AW38+AW39+AW40)*Assump!$D$62)</f>
        <v>2032.6158658206377</v>
      </c>
      <c r="AX75" s="35">
        <f>((AY32+AY33+AY34+AY35+AY38+AY39+AY40)*Assump!$D$62-(AX32+AX33+AX34+AX35+AX38+AX39+AX40)*Assump!$D$62)</f>
        <v>-194.10438426669361</v>
      </c>
      <c r="AY75" s="35">
        <f>((AZ32+AZ33+AZ34+AZ35+AZ38+AZ39+AZ40)*Assump!$D$62-(AY32+AY33+AY34+AY35+AY38+AY39+AY40)*Assump!$D$62)</f>
        <v>-213.42889795273834</v>
      </c>
      <c r="AZ75" s="35">
        <f>((BA32+BA33+BA34+BA35+BA38+BA39+BA40)*Assump!$D$62-(AZ32+AZ33+AZ34+AZ35+AZ38+AZ39+AZ40)*Assump!$D$62)</f>
        <v>-1750.7975892517111</v>
      </c>
      <c r="BA75" s="35">
        <f>((BB32+BB33+BB34+BB35+BB38+BB39+BB40)*Assump!$D$62-(BA32+BA33+BA34+BA35+BA38+BA39+BA40)*Assump!$D$62)</f>
        <v>2134.2466591116695</v>
      </c>
      <c r="BB75" s="35">
        <f>((BC32+BC33+BC34+BC35+BC38+BC39+BC40)*Assump!$D$62-(BB32+BB33+BB34+BB35+BB38+BB39+BB40)*Assump!$D$62)</f>
        <v>-203.80960348002816</v>
      </c>
      <c r="BC75" s="35">
        <f>((BD32+BD33+BD34+BD35+BD38+BD39+BD40)*Assump!$D$62-(BC32+BC33+BC34+BC35+BC38+BC39+BC40)*Assump!$D$62)</f>
        <v>-224.10034285037523</v>
      </c>
      <c r="BD75" s="35">
        <f>((BE32+BE33+BE34+BE35+BE38+BE39+BE40)*Assump!$D$62-(BD32+BD33+BD34+BD35+BD38+BD39+BD40)*Assump!$D$62)</f>
        <v>-1838.3374687142966</v>
      </c>
      <c r="BE75" s="35">
        <f>((BF32+BF33+BF34+BF35+BF38+BF39+BF40)*Assump!$D$62-(BE32+BE33+BE34+BE35+BE38+BE39+BE40)*Assump!$D$62)</f>
        <v>2240.9589920672529</v>
      </c>
      <c r="BF75" s="35">
        <f>((BG32+BG33+BG34+BG35+BG38+BG39+BG40)*Assump!$D$62-(BF32+BF33+BF34+BF35+BF38+BF39+BF40)*Assump!$D$62)</f>
        <v>-214.00008365402971</v>
      </c>
      <c r="BG75" s="35">
        <f>((BH32+BH33+BH34+BH35+BH38+BH39+BH40)*Assump!$D$62-(BG32+BG33+BG34+BG35+BG38+BG39+BG40)*Assump!$D$62)</f>
        <v>-235.30535999289395</v>
      </c>
      <c r="BH75" s="35">
        <f>((BI32+BI33+BI34+BI35+BI38+BI39+BI40)*Assump!$D$62-(BH32+BH33+BH34+BH35+BH38+BH39+BH40)*Assump!$D$62)</f>
        <v>-1930.254342150012</v>
      </c>
      <c r="BI75" s="35">
        <f>((BJ32+BJ33+BJ34+BJ35+BJ38+BJ39+BJ40)*Assump!$D$62-(BI32+BI33+BI34+BI35+BI38+BI39+BI40)*Assump!$D$62)</f>
        <v>2353.0069416706165</v>
      </c>
      <c r="BJ75" s="35">
        <f>((BK32+BK33+BK34+BK35+BK38+BK39+BK40)*Assump!$D$62-(BJ32+BJ33+BJ34+BJ35+BJ38+BJ39+BJ40)*Assump!$D$62)</f>
        <v>-224.70008783673109</v>
      </c>
      <c r="BK75" s="35">
        <f>((BL32+BL33+BL34+BL35+BL38+BL39+BL40)*Assump!$D$62-(BK32+BK33+BK34+BK35+BK38+BK39+BK40)*Assump!$D$62)</f>
        <v>-247.07062799253879</v>
      </c>
      <c r="BL75" s="35">
        <f>((BM32+BM33+BM34+BM35+BM38+BM39+BM40)*Assump!$D$62-(BL32+BL33+BL34+BL35+BL38+BL39+BL40)*Assump!$D$62)</f>
        <v>-2026.7670592575118</v>
      </c>
      <c r="BM75" s="35">
        <f>((BN32+BN33+BN34+BN35+BN38+BN39+BN40)*Assump!$D$62-(BM32+BM33+BM34+BM35+BM38+BM39+BM40)*Assump!$D$62)</f>
        <v>2470.6572887541461</v>
      </c>
      <c r="BN75" s="35">
        <f>((BO32+BO33+BO34+BO35+BO38+BO39+BO40)*Assump!$D$62-(BN32+BN33+BN34+BN35+BN38+BN39+BN40)*Assump!$D$62)</f>
        <v>-235.93509222856767</v>
      </c>
      <c r="BO75" s="35">
        <f>((BP32+BP33+BP34+BP35+BP38+BP39+BP40)*Assump!$D$62-(BO32+BO33+BO34+BO35+BO38+BO39+BO40)*Assump!$D$62)</f>
        <v>-259.42415939216585</v>
      </c>
      <c r="BP75" s="35">
        <f>((BQ32+BQ33+BQ34+BQ35+BQ38+BQ39+BQ40)*Assump!$D$62-(BP32+BP33+BP34+BP35+BP38+BP39+BP40)*Assump!$D$62)</f>
        <v>-2128.1054122203877</v>
      </c>
      <c r="BQ75" s="35">
        <f>((BR32+BR33+BR34+BR35+BR38+BR39+BR40)*Assump!$D$62-(BQ32+BQ33+BQ34+BQ35+BQ38+BQ39+BQ40)*Assump!$D$62)</f>
        <v>2594.1901531918543</v>
      </c>
      <c r="BR75" s="35">
        <f>((BS32+BS33+BS34+BS35+BS38+BS39+BS40)*Assump!$D$62-(BR32+BR33+BR34+BR35+BR38+BR39+BR40)*Assump!$D$62)</f>
        <v>-247.73184683999602</v>
      </c>
      <c r="BS75" s="35">
        <f>((BT32+BT33+BT34+BT35+BT38+BT39+BT40)*Assump!$D$62-(BS32+BS33+BS34+BS35+BS38+BS39+BS40)*Assump!$D$62)</f>
        <v>-272.39536736177388</v>
      </c>
      <c r="BT75" s="35">
        <f>((BU32+BU33+BU34+BU35+BU38+BU39+BU40)*Assump!$D$62-(BT32+BT33+BT34+BT35+BT38+BT39+BT40)*Assump!$D$62)</f>
        <v>-2234.5106828314074</v>
      </c>
      <c r="BU75" s="35">
        <f>((BV32+BV33+BV34+BV35+BV38+BV39+BV40)*Assump!$D$62-(BU32+BU33+BU34+BU35+BU38+BU39+BU40)*Assump!$D$62)</f>
        <v>2723.8996608514467</v>
      </c>
      <c r="BV75" s="35">
        <f>((BW32+BW33+BW34+BW35+BW38+BW39+BW40)*Assump!$D$62-(BV32+BV33+BV34+BV35+BV38+BV39+BV40)*Assump!$D$62)</f>
        <v>-260.11843918199588</v>
      </c>
      <c r="BW75" s="35">
        <f>((BX32+BX33+BX34+BX35+BX38+BX39+BX40)*Assump!$D$62-(BW32+BW33+BW34+BW35+BW38+BW39+BW40)*Assump!$D$62)</f>
        <v>-286.01513572986244</v>
      </c>
      <c r="BX75" s="35">
        <f>((BY32+BY33+BY34+BY35+BY38+BY39+BY40)*Assump!$D$62-(BX32+BX33+BX34+BX35+BX38+BX39+BX40)*Assump!$D$62)</f>
        <v>-2346.2362169729786</v>
      </c>
      <c r="BY75" s="35">
        <f>((BZ32+BZ33+BZ34+BZ35+BZ38+BZ39+BZ40)*Assump!$D$62-(BY32+BY33+BY34+BY35+BY38+BY39+BY40)*Assump!$D$62)</f>
        <v>2860.09464389402</v>
      </c>
      <c r="BZ75" s="35">
        <f>((CA32+CA33+CA34+CA35+CA38+CA39+CA40)*Assump!$D$62-(BZ32+BZ33+BZ34+BZ35+BZ38+BZ39+BZ40)*Assump!$D$62)</f>
        <v>-273.12436114109573</v>
      </c>
      <c r="CA75" s="35">
        <f>((CB32+CB33+CB34+CB35+CB38+CB39+CB40)*Assump!$D$62-(CA32+CA33+CA34+CA35+CA38+CA39+CA40)*Assump!$D$62)</f>
        <v>-300.31589251635569</v>
      </c>
      <c r="CB75" s="35">
        <f>((CC32+CC33+CC34+CC35+CC38+CC39+CC40)*Assump!$D$62-(CB32+CB33+CB34+CB35+CB38+CB39+CB40)*Assump!$D$62)</f>
        <v>-2463.5480278216278</v>
      </c>
      <c r="CC75" s="35">
        <f>((CD32+CD33+CD34+CD35+CD38+CD39+CD40)*Assump!$D$62-(CC32+CC33+CC34+CC35+CC38+CC39+CC40)*Assump!$D$62)</f>
        <v>3003.0993760887213</v>
      </c>
      <c r="CD75" s="35">
        <f>((CE32+CE33+CE34+CE35+CE38+CE39+CE40)*Assump!$D$62-(CD32+CD33+CD34+CD35+CD38+CD39+CD40)*Assump!$D$62)</f>
        <v>-286.78057919815058</v>
      </c>
      <c r="CE75" s="35">
        <f>((CF32+CF33+CF34+CF35+CF38+CF39+CF40)*Assump!$D$62-(CE32+CE33+CE34+CE35+CE38+CE39+CE40)*Assump!$D$62)</f>
        <v>-315.33168714217334</v>
      </c>
      <c r="CF75" s="35">
        <f>((CG32+CG33+CG34+CG35+CG38+CG39+CG40)*Assump!$D$62-(CF32+CF33+CF34+CF35+CF38+CF39+CF40)*Assump!$D$62)</f>
        <v>-2586.7254292127091</v>
      </c>
      <c r="CG75" s="35">
        <f>((CH32+CH33+CH34+CH35+CH38+CH39+CH40)*Assump!$D$62-(CG32+CG33+CG34+CG35+CG38+CG39+CG40)*Assump!$D$62)</f>
        <v>3153.2543448931574</v>
      </c>
      <c r="CH75" s="35">
        <f>((CI32+CI33+CI34+CI35+CI38+CI39+CI40)*Assump!$D$62-(CH32+CH33+CH34+CH35+CH38+CH39+CH40)*Assump!$D$62)</f>
        <v>-301.1196081580581</v>
      </c>
      <c r="CI75" s="35">
        <f>((CJ32+CJ33+CJ34+CJ35+CJ38+CJ39+CJ40)*Assump!$D$62-(CI32+CI33+CI34+CI35+CI38+CI39+CI40)*Assump!$D$62)</f>
        <v>-331.09827149928219</v>
      </c>
      <c r="CJ75" s="35">
        <f>((CK32+CK33+CK34+CK35+CK38+CK39+CK40)*Assump!$D$62-(CJ32+CJ33+CJ34+CJ35+CJ38+CJ39+CJ40)*Assump!$D$62)</f>
        <v>-2716.0617006733437</v>
      </c>
      <c r="CK75" s="35">
        <f>((CL32+CL33+CL34+CL35+CL38+CL39+CL40)*Assump!$D$62-(CK32+CK33+CK34+CK35+CK38+CK39+CK40)*Assump!$D$62)</f>
        <v>3310.9170621378144</v>
      </c>
      <c r="CL75" s="35">
        <f>((CM32+CM33+CM34+CM35+CM38+CM39+CM40)*Assump!$D$62-(CL32+CL33+CL34+CL35+CL38+CL39+CL40)*Assump!$D$62)</f>
        <v>-316.17558856596088</v>
      </c>
      <c r="CM75" s="35">
        <f>((CN32+CN33+CN34+CN35+CN38+CN39+CN40)*Assump!$D$62-(CM32+CM33+CM34+CM35+CM38+CM39+CM40)*Assump!$D$62)</f>
        <v>-347.65318507424627</v>
      </c>
      <c r="CN75" s="35">
        <f>((CO32+CO33+CO34+CO35+CO38+CO39+CO40)*Assump!$D$62-(CN32+CN33+CN34+CN35+CN38+CN39+CN40)*Assump!$D$62)</f>
        <v>-2851.8647857070109</v>
      </c>
      <c r="CO75" s="35"/>
    </row>
    <row r="76" spans="1:93" ht="12.75" customHeight="1">
      <c r="A76" s="35"/>
      <c r="B76" s="87" t="s">
        <v>172</v>
      </c>
      <c r="C76" s="35">
        <f t="shared" si="189"/>
        <v>5946.6574948868983</v>
      </c>
      <c r="D76" s="60"/>
      <c r="E76" s="35">
        <f>(D29+D31/(1+Assump!$D$24)+D42/(1-'ФОТ 2 этап'!I62))/E13*Assump!$E$63*Assump!$D$63-(E29+E31/(1+Assump!$D$24)+E42/(1-'ФОТ 2 этап'!I62))/E13*Assump!$E$63*Assump!$D$63</f>
        <v>0</v>
      </c>
      <c r="F76" s="35">
        <f>(E29+E31/(1+Assump!$D$24)+E42/(1-'ФОТ 2 этап'!I62))/F13*Assump!$E$63*Assump!$D$63-(F29+F31/(1+Assump!$D$24)+F42/(1-'ФОТ 2 этап'!I62))/F13*Assump!$E$63*Assump!$D$63</f>
        <v>0</v>
      </c>
      <c r="G76" s="35">
        <f>(F29+F31/(1+Assump!$D$24)+F42/(1-'ФОТ 2 этап'!I62))/G13*Assump!$E$63*Assump!$D$63-(G29+G31/(1+Assump!$D$24)+G42/(1-'ФОТ 2 этап'!I62))/G13*Assump!$E$63*Assump!$D$63</f>
        <v>0</v>
      </c>
      <c r="H76" s="35">
        <f>(G29+G31/(1+Assump!$D$24)+G42/(1-'ФОТ 2 этап'!I62))/H13*Assump!$E$63*Assump!$D$63-(H29+H31/(1+Assump!$D$24)+H42/(1-'ФОТ 2 этап'!I62))/H13*Assump!$E$63*Assump!$D$63</f>
        <v>0</v>
      </c>
      <c r="I76" s="35">
        <f>(H29+H31/(1+Assump!$D$24)+H42/(1-'ФОТ 2 этап'!I62))/I13*Assump!$E$63*Assump!$D$63-(I29+I31/(1+Assump!$D$24)+I42/(1-'ФОТ 2 этап'!I62))/I13*Assump!$E$63*Assump!$D$63</f>
        <v>0</v>
      </c>
      <c r="J76" s="35">
        <f>(I29+I31/(1+Assump!$D$24)+I42/(1-'ФОТ 2 этап'!I62))/J13*Assump!$E$63*Assump!$D$63-(J29+J31/(1+Assump!$D$24)+J42/(1-'ФОТ 2 этап'!I62))/J13*Assump!$E$63*Assump!$D$63</f>
        <v>0</v>
      </c>
      <c r="K76" s="35">
        <f>(J29+J31/(1+Assump!$D$24)+J42/(1-'ФОТ 2 этап'!I62))/K13*Assump!$E$63*Assump!$D$63-(K29+K31/(1+Assump!$D$24)+K42/(1-'ФОТ 2 этап'!I62))/K13*Assump!$E$63*Assump!$D$63</f>
        <v>0</v>
      </c>
      <c r="L76" s="35">
        <f>(K29+K31/(1+Assump!$D$24)+K42/(1-'ФОТ 2 этап'!I62))/L13*Assump!$E$63*Assump!$D$63-(L29+L31/(1+Assump!$D$24)+L42/(1-'ФОТ 2 этап'!I62))/L13*Assump!$E$63*Assump!$D$63</f>
        <v>0</v>
      </c>
      <c r="M76" s="35">
        <f>(L29+L31/(1+Assump!$D$24)+L42/(1-'ФОТ 2 этап'!I62))/M13*Assump!$E$63*Assump!$D$63-(M29+M31/(1+Assump!$D$24)+M42/(1-'ФОТ 2 этап'!I62))/M13*Assump!$E$63*Assump!$D$63</f>
        <v>0</v>
      </c>
      <c r="N76" s="35">
        <f>(M29+M31/(1+Assump!$D$24)+M42/(1-'ФОТ 2 этап'!I62))/N13*Assump!$E$63*Assump!$D$63-(N29+N31/(1+Assump!$D$24)+N42/(1-'ФОТ 2 этап'!I62))/N13*Assump!$E$63*Assump!$D$63</f>
        <v>0</v>
      </c>
      <c r="O76" s="35">
        <f>(N29+N31/(1+Assump!$D$24)+N42/(1-'ФОТ 2 этап'!I62))/O13*Assump!$E$63*Assump!$D$63-(O29+O31/(1+Assump!$D$24)+O42/(1-'ФОТ 2 этап'!I62))/O13*Assump!$E$63*Assump!$D$63</f>
        <v>0</v>
      </c>
      <c r="P76" s="35">
        <f>(O29+O31/(1+Assump!$D$24)+O42/(1-'ФОТ 2 этап'!I62))/P13*Assump!$E$63*Assump!$D$63-(P29+P31/(1+Assump!$D$24)+P42/(1-'ФОТ 2 этап'!I62))/P13*Assump!$E$63*Assump!$D$63</f>
        <v>0</v>
      </c>
      <c r="Q76" s="35">
        <f>(P29+P31/(1+Assump!$D$24)+P42/(1-'ФОТ 2 этап'!I62))/Q13*Assump!$E$63*Assump!$D$63-(Q29+Q31/(1+Assump!$D$24)+Q42/(1-'ФОТ 2 этап'!I62))/Q13*Assump!$E$63*Assump!$D$63</f>
        <v>0</v>
      </c>
      <c r="R76" s="35">
        <f>(Q29+Q31/(1+Assump!$D$24)+Q42/(1-'ФОТ 2 этап'!I62))/R13*Assump!$E$63*Assump!$D$63-(R29+R31/(1+Assump!$D$24)+R42/(1-'ФОТ 2 этап'!I62))/R13*Assump!$E$63*Assump!$D$63</f>
        <v>0</v>
      </c>
      <c r="S76" s="35">
        <f>(R29+R31/(1+Assump!$D$24)+R42/(1-'ФОТ 2 этап'!I62))/S13*Assump!$E$63*Assump!$D$63-(S29+S31/(1+Assump!$D$24)+S42/(1-'ФОТ 2 этап'!I62))/S13*Assump!$E$63*Assump!$D$63</f>
        <v>0</v>
      </c>
      <c r="T76" s="35">
        <f>(S29+S31/(1+Assump!$D$24)+S42/(1-'ФОТ 2 этап'!I62))/T13*Assump!$E$63*Assump!$D$63-(T29+T31/(1+Assump!$D$24)+T42/(1-'ФОТ 2 этап'!I62))/T13*Assump!$E$63*Assump!$D$63</f>
        <v>0</v>
      </c>
      <c r="U76" s="35">
        <f>(T29+T31/(1+Assump!$D$24)+T42/(1-'ФОТ 2 этап'!I62))/U13*Assump!$E$63*Assump!$D$63-(U29+U31/(1+Assump!$D$24)+U42/(1-'ФОТ 2 этап'!I62))/U13*Assump!$E$63*Assump!$D$63</f>
        <v>0</v>
      </c>
      <c r="V76" s="35">
        <f>(U29+U31/(1+Assump!$D$24)+U42/(1-'ФОТ 2 этап'!I62))/V13*Assump!$E$63*Assump!$D$63-(V29+V31/(1+Assump!$D$24)+V42/(1-'ФОТ 2 этап'!I62))/V13*Assump!$E$63*Assump!$D$63</f>
        <v>0</v>
      </c>
      <c r="W76" s="35">
        <f>(V29+V31/(1+Assump!$D$24)+V42/(1-'ФОТ 2 этап'!I62))/W13*Assump!$E$63*Assump!$D$63-(W29+W31/(1+Assump!$D$24)+W42/(1-'ФОТ 2 этап'!I62))/W13*Assump!$E$63*Assump!$D$63</f>
        <v>3877.6645140480732</v>
      </c>
      <c r="X76" s="35">
        <f>(W29+W31/(1+Assump!$D$24)+W42/(1-'ФОТ 2 этап'!I62))/X13*Assump!$E$63*Assump!$D$63-(X29+X31/(1+Assump!$D$24)+X42/(1-'ФОТ 2 этап'!I62))/X13*Assump!$E$63*Assump!$D$63</f>
        <v>1157.9289356472568</v>
      </c>
      <c r="Y76" s="35">
        <f>(X29+X31/(1+Assump!$D$24)+X42/(1-'ФОТ 2 этап'!I62))/Y13*Assump!$E$63*Assump!$D$63-(Y29+Y31/(1+Assump!$D$24)+Y42/(1-'ФОТ 2 этап'!I62))/Y13*Assump!$E$63*Assump!$D$63</f>
        <v>8286.5969250650232</v>
      </c>
      <c r="Z76" s="35">
        <f>(Y29+Y31/(1+Assump!$D$24)+Y42/(1-'ФОТ 2 этап'!I62))/Z13*Assump!$E$63*Assump!$D$63-(Z29+Z31/(1+Assump!$D$24)+Z42/(1-'ФОТ 2 этап'!I62))/Z13*Assump!$E$63*Assump!$D$63</f>
        <v>-10574.935861642338</v>
      </c>
      <c r="AA76" s="35">
        <f>(Z29+Z31/(1+Assump!$D$24)+Z42/(1-'ФОТ 2 этап'!I62))/AA13*Assump!$E$63*Assump!$D$63-(AA29+AA31/(1+Assump!$D$24)+AA42/(1-'ФОТ 2 этап'!I62))/AA13*Assump!$E$63*Assump!$D$63</f>
        <v>1139.2443192043474</v>
      </c>
      <c r="AB76" s="35">
        <f>(AA29+AA31/(1+Assump!$D$24)+AA42/(1-'ФОТ 2 этап'!I62))/AB13*Assump!$E$63*Assump!$D$63-(AB29+AB31/(1+Assump!$D$24)+AB42/(1-'ФОТ 2 этап'!I62))/AB13*Assump!$E$63*Assump!$D$63</f>
        <v>1231.0733710371601</v>
      </c>
      <c r="AC76" s="35">
        <f>(AB29+AB31/(1+Assump!$D$24)+AB42/(1-'ФОТ 2 этап'!I62))/AC13*Assump!$E$63*Assump!$D$63-(AC29+AC31/(1+Assump!$D$24)+AC42/(1-'ФОТ 2 этап'!I62))/AC13*Assump!$E$63*Assump!$D$63</f>
        <v>8868.1267753974389</v>
      </c>
      <c r="AD76" s="35">
        <f>(AC29+AC31/(1+Assump!$D$24)+AC42/(1-'ФОТ 2 этап'!I62))/AD13*Assump!$E$63*Assump!$D$63-(AD29+AD31/(1+Assump!$D$24)+AD42/(1-'ФОТ 2 этап'!I62))/AD13*Assump!$E$63*Assump!$D$63</f>
        <v>-11359.615608566517</v>
      </c>
      <c r="AE76" s="35">
        <f>(AD29+AD31/(1+Assump!$D$24)+AD42/(1-'ФОТ 2 этап'!I62))/AE13*Assump!$E$63*Assump!$D$63-(AE29+AE31/(1+Assump!$D$24)+AE42/(1-'ФОТ 2 этап'!I62))/AE13*Assump!$E$63*Assump!$D$63</f>
        <v>1191.2621937376616</v>
      </c>
      <c r="AF76" s="35">
        <f>(AE29+AE31/(1+Assump!$D$24)+AE42/(1-'ФОТ 2 этап'!I62))/AF13*Assump!$E$63*Assump!$D$63-(AF29+AF31/(1+Assump!$D$24)+AF42/(1-'ФОТ 2 этап'!I62))/AF13*Assump!$E$63*Assump!$D$63</f>
        <v>1287.7463418903699</v>
      </c>
      <c r="AG76" s="35">
        <f>(AF29+AF31/(1+Assump!$D$24)+AF42/(1-'ФОТ 2 этап'!I62))/AG13*Assump!$E$63*Assump!$D$63-(AG29+AG31/(1+Assump!$D$24)+AG42/(1-'ФОТ 2 этап'!I62))/AG13*Assump!$E$63*Assump!$D$63</f>
        <v>9286.3234377749177</v>
      </c>
      <c r="AH76" s="35">
        <f>(AG29+AG31/(1+Assump!$D$24)+AG42/(1-'ФОТ 2 этап'!I62))/AH13*Assump!$E$63*Assump!$D$63-(AH29+AH31/(1+Assump!$D$24)+AH42/(1-'ФОТ 2 этап'!I62))/AH13*Assump!$E$63*Assump!$D$63</f>
        <v>-11885.164971673825</v>
      </c>
      <c r="AI76" s="35">
        <f>(AH29+AH31/(1+Assump!$D$24)+AH42/(1-'ФОТ 2 этап'!I62))/AI13*Assump!$E$63*Assump!$D$63-(AI29+AI31/(1+Assump!$D$24)+AI42/(1-'ФОТ 2 этап'!I62))/AI13*Assump!$E$63*Assump!$D$63</f>
        <v>1250.8253034245449</v>
      </c>
      <c r="AJ76" s="35">
        <f>(AI29+AI31/(1+Assump!$D$24)+AI42/(1-'ФОТ 2 этап'!I62))/AJ13*Assump!$E$63*Assump!$D$63-(AJ29+AJ31/(1+Assump!$D$24)+AJ42/(1-'ФОТ 2 этап'!I62))/AJ13*Assump!$E$63*Assump!$D$63</f>
        <v>1352.1336589848879</v>
      </c>
      <c r="AK76" s="35">
        <f>(AJ29+AJ31/(1+Assump!$D$24)+AJ42/(1-'ФОТ 2 этап'!I62))/AK13*Assump!$E$63*Assump!$D$63-(AK29+AK31/(1+Assump!$D$24)+AK42/(1-'ФОТ 2 этап'!I62))/AK13*Assump!$E$63*Assump!$D$63</f>
        <v>9750.6396096636599</v>
      </c>
      <c r="AL76" s="35">
        <f>(AK29+AK31/(1+Assump!$D$24)+AK42/(1-'ФОТ 2 этап'!I62))/AL13*Assump!$E$63*Assump!$D$63-(AL29+AL31/(1+Assump!$D$24)+AL42/(1-'ФОТ 2 этап'!I62))/AL13*Assump!$E$63*Assump!$D$63</f>
        <v>-12342.286701353585</v>
      </c>
      <c r="AM76" s="35">
        <f>(AL29+AL31/(1+Assump!$D$24)+AL42/(1-'ФОТ 2 этап'!I62))/AM13*Assump!$E$63*Assump!$D$63-(AM29+AM31/(1+Assump!$D$24)+AM42/(1-'ФОТ 2 этап'!I62))/AM13*Assump!$E$63*Assump!$D$63</f>
        <v>1313.3665685957735</v>
      </c>
      <c r="AN76" s="35">
        <f>(AM29+AM31/(1+Assump!$D$24)+AM42/(1-'ФОТ 2 этап'!I62))/AN13*Assump!$E$63*Assump!$D$63-(AN29+AN31/(1+Assump!$D$24)+AN42/(1-'ФОТ 2 этап'!I62))/AN13*Assump!$E$63*Assump!$D$63</f>
        <v>1419.7403419341326</v>
      </c>
      <c r="AO76" s="35">
        <f>(AN29+AN31/(1+Assump!$D$24)+AN42/(1-'ФОТ 2 этап'!I62))/AO13*Assump!$E$63*Assump!$D$63-(AO29+AO31/(1+Assump!$D$24)+AO42/(1-'ФОТ 2 этап'!I62))/AO13*Assump!$E$63*Assump!$D$63</f>
        <v>10238.171590146841</v>
      </c>
      <c r="AP76" s="35">
        <f>(AO29+AO31/(1+Assump!$D$24)+AO42/(1-'ФОТ 2 этап'!I62))/AP13*Assump!$E$63*Assump!$D$63-(AP29+AP31/(1+Assump!$D$24)+AP42/(1-'ФОТ 2 этап'!I62))/AP13*Assump!$E$63*Assump!$D$63</f>
        <v>-13103.394381270387</v>
      </c>
      <c r="AQ76" s="35">
        <f>(AP29+AP31/(1+Assump!$D$24)+AP42/(1-'ФОТ 2 этап'!I62))/AQ13*Assump!$E$63*Assump!$D$63-(AQ29+AQ31/(1+Assump!$D$24)+AQ42/(1-'ФОТ 2 этап'!I62))/AQ13*Assump!$E$63*Assump!$D$63</f>
        <v>1379.03489702556</v>
      </c>
      <c r="AR76" s="35">
        <f>(AQ29+AQ31/(1+Assump!$D$24)+AQ42/(1-'ФОТ 2 этап'!I62))/AR13*Assump!$E$63*Assump!$D$63-(AR29+AR31/(1+Assump!$D$24)+AR42/(1-'ФОТ 2 этап'!I62))/AR13*Assump!$E$63*Assump!$D$63</f>
        <v>1490.7273590308387</v>
      </c>
      <c r="AS76" s="35">
        <f>(AR29+AR31/(1+Assump!$D$24)+AR42/(1-'ФОТ 2 этап'!I62))/AS13*Assump!$E$63*Assump!$D$63-(AS29+AS31/(1+Assump!$D$24)+AS42/(1-'ФОТ 2 этап'!I62))/AS13*Assump!$E$63*Assump!$D$63</f>
        <v>10750.080169654186</v>
      </c>
      <c r="AT76" s="35">
        <f>(AS29+AS31/(1+Assump!$D$24)+AS42/(1-'ФОТ 2 этап'!I62))/AT13*Assump!$E$63*Assump!$D$63-(AT29+AT31/(1+Assump!$D$24)+AT42/(1-'ФОТ 2 этап'!I62))/AT13*Assump!$E$63*Assump!$D$63</f>
        <v>-13758.56410033391</v>
      </c>
      <c r="AU76" s="35">
        <f>(AT29+AT31/(1+Assump!$D$24)+AT42/(1-'ФОТ 2 этап'!I62))/AU13*Assump!$E$63*Assump!$D$63-(AU29+AU31/(1+Assump!$D$24)+AU42/(1-'ФОТ 2 этап'!I62))/AU13*Assump!$E$63*Assump!$D$63</f>
        <v>1447.9866418768393</v>
      </c>
      <c r="AV76" s="35">
        <f>(AU29+AU31/(1+Assump!$D$24)+AU42/(1-'ФОТ 2 этап'!I62))/AV13*Assump!$E$63*Assump!$D$63-(AV29+AV31/(1+Assump!$D$24)+AV42/(1-'ФОТ 2 этап'!I62))/AV13*Assump!$E$63*Assump!$D$63</f>
        <v>1565.2637269823808</v>
      </c>
      <c r="AW76" s="35">
        <f>(AV29+AV31/(1+Assump!$D$24)+AV42/(1-'ФОТ 2 этап'!I62))/AW13*Assump!$E$63*Assump!$D$63-(AW29+AW31/(1+Assump!$D$24)+AW42/(1-'ФОТ 2 этап'!I62))/AW13*Assump!$E$63*Assump!$D$63</f>
        <v>11287.584178136894</v>
      </c>
      <c r="AX76" s="35">
        <f>(AW29+AW31/(1+Assump!$D$24)+AW42/(1-'ФОТ 2 этап'!I62))/AX13*Assump!$E$63*Assump!$D$63-(AX29+AX31/(1+Assump!$D$24)+AX42/(1-'ФОТ 2 этап'!I62))/AX13*Assump!$E$63*Assump!$D$63</f>
        <v>-14446.492305350603</v>
      </c>
      <c r="AY76" s="35">
        <f>(AX29+AX31/(1+Assump!$D$24)+AX42/(1-'ФОТ 2 этап'!I62))/AY13*Assump!$E$63*Assump!$D$63-(AY29+AY31/(1+Assump!$D$24)+AY42/(1-'ФОТ 2 этап'!I62))/AY13*Assump!$E$63*Assump!$D$63</f>
        <v>1520.38597397068</v>
      </c>
      <c r="AZ76" s="35">
        <f>(AY29+AY31/(1+Assump!$D$24)+AY42/(1-'ФОТ 2 этап'!I62))/AZ13*Assump!$E$63*Assump!$D$63-(AZ29+AZ31/(1+Assump!$D$24)+AZ42/(1-'ФОТ 2 этап'!I62))/AZ13*Assump!$E$63*Assump!$D$63</f>
        <v>1643.5269133315014</v>
      </c>
      <c r="BA76" s="35">
        <f>(AZ29+AZ31/(1+Assump!$D$24)+AZ42/(1-'ФОТ 2 этап'!I62))/BA13*Assump!$E$63*Assump!$D$63-(BA29+BA31/(1+Assump!$D$24)+BA42/(1-'ФОТ 2 этап'!I62))/BA13*Assump!$E$63*Assump!$D$63</f>
        <v>11851.963387043739</v>
      </c>
      <c r="BB76" s="35">
        <f>(BA29+BA31/(1+Assump!$D$24)+BA42/(1-'ФОТ 2 этап'!I62))/BB13*Assump!$E$63*Assump!$D$63-(BB29+BB31/(1+Assump!$D$24)+BB42/(1-'ФОТ 2 этап'!I62))/BB13*Assump!$E$63*Assump!$D$63</f>
        <v>-15002.126624787166</v>
      </c>
      <c r="BC76" s="35">
        <f>(BB29+BB31/(1+Assump!$D$24)+BB42/(1-'ФОТ 2 этап'!I62))/BC13*Assump!$E$63*Assump!$D$63-(BC29+BC31/(1+Assump!$D$24)+BC42/(1-'ФОТ 2 этап'!I62))/BC13*Assump!$E$63*Assump!$D$63</f>
        <v>1596.4052726692144</v>
      </c>
      <c r="BD76" s="35">
        <f>(BC29+BC31/(1+Assump!$D$24)+BC42/(1-'ФОТ 2 этап'!I62))/BD13*Assump!$E$63*Assump!$D$63-(BD29+BD31/(1+Assump!$D$24)+BD42/(1-'ФОТ 2 этап'!I62))/BD13*Assump!$E$63*Assump!$D$63</f>
        <v>1725.7032589980754</v>
      </c>
      <c r="BE76" s="35">
        <f>(BD29+BD31/(1+Assump!$D$24)+BD42/(1-'ФОТ 2 этап'!I62))/BE13*Assump!$E$63*Assump!$D$63-(BE29+BE31/(1+Assump!$D$24)+BE42/(1-'ФОТ 2 этап'!I62))/BE13*Assump!$E$63*Assump!$D$63</f>
        <v>12444.561556395929</v>
      </c>
      <c r="BF76" s="35">
        <f>(BE29+BE31/(1+Assump!$D$24)+BE42/(1-'ФОТ 2 этап'!I62))/BF13*Assump!$E$63*Assump!$D$63-(BF29+BF31/(1+Assump!$D$24)+BF42/(1-'ФОТ 2 этап'!I62))/BF13*Assump!$E$63*Assump!$D$63</f>
        <v>-15927.25776664904</v>
      </c>
      <c r="BG76" s="35">
        <f>(BF29+BF31/(1+Assump!$D$24)+BF42/(1-'ФОТ 2 этап'!I62))/BG13*Assump!$E$63*Assump!$D$63-(BG29+BG31/(1+Assump!$D$24)+BG42/(1-'ФОТ 2 этап'!I62))/BG13*Assump!$E$63*Assump!$D$63</f>
        <v>1676.2255363026743</v>
      </c>
      <c r="BH76" s="35">
        <f>(BG29+BG31/(1+Assump!$D$24)+BG42/(1-'ФОТ 2 этап'!I62))/BH13*Assump!$E$63*Assump!$D$63-(BH29+BH31/(1+Assump!$D$24)+BH42/(1-'ФОТ 2 этап'!I62))/BH13*Assump!$E$63*Assump!$D$63</f>
        <v>1811.9884219479782</v>
      </c>
      <c r="BI76" s="35">
        <f>(BH29+BH31/(1+Assump!$D$24)+BH42/(1-'ФОТ 2 этап'!I62))/BI13*Assump!$E$63*Assump!$D$63-(BI29+BI31/(1+Assump!$D$24)+BI42/(1-'ФОТ 2 этап'!I62))/BI13*Assump!$E$63*Assump!$D$63</f>
        <v>13066.789634215733</v>
      </c>
      <c r="BJ76" s="35">
        <f>(BI29+BI31/(1+Assump!$D$24)+BI42/(1-'ФОТ 2 этап'!I62))/BJ13*Assump!$E$63*Assump!$D$63-(BJ29+BJ31/(1+Assump!$D$24)+BJ42/(1-'ФОТ 2 этап'!I62))/BJ13*Assump!$E$63*Assump!$D$63</f>
        <v>-16723.620654981503</v>
      </c>
      <c r="BK76" s="35">
        <f>(BJ29+BJ31/(1+Assump!$D$24)+BJ42/(1-'ФОТ 2 этап'!I62))/BK13*Assump!$E$63*Assump!$D$63-(BK29+BK31/(1+Assump!$D$24)+BK42/(1-'ФОТ 2 этап'!I62))/BK13*Assump!$E$63*Assump!$D$63</f>
        <v>1760.0368131178102</v>
      </c>
      <c r="BL76" s="35">
        <f>(BK29+BK31/(1+Assump!$D$24)+BK42/(1-'ФОТ 2 этап'!I62))/BL13*Assump!$E$63*Assump!$D$63-(BL29+BL31/(1+Assump!$D$24)+BL42/(1-'ФОТ 2 этап'!I62))/BL13*Assump!$E$63*Assump!$D$63</f>
        <v>1902.5878430453768</v>
      </c>
      <c r="BM76" s="35">
        <f>(BL29+BL31/(1+Assump!$D$24)+BL42/(1-'ФОТ 2 этап'!I62))/BM13*Assump!$E$63*Assump!$D$63-(BM29+BM31/(1+Assump!$D$24)+BM42/(1-'ФОТ 2 этап'!I62))/BM13*Assump!$E$63*Assump!$D$63</f>
        <v>13720.129115926513</v>
      </c>
      <c r="BN76" s="35">
        <f>(BM29+BM31/(1+Assump!$D$24)+BM42/(1-'ФОТ 2 этап'!I62))/BN13*Assump!$E$63*Assump!$D$63-(BN29+BN31/(1+Assump!$D$24)+BN42/(1-'ФОТ 2 этап'!I62))/BN13*Assump!$E$63*Assump!$D$63</f>
        <v>-17559.801687730571</v>
      </c>
      <c r="BO76" s="35">
        <f>(BN29+BN31/(1+Assump!$D$24)+BN42/(1-'ФОТ 2 этап'!I62))/BO13*Assump!$E$63*Assump!$D$63-(BO29+BO31/(1+Assump!$D$24)+BO42/(1-'ФОТ 2 этап'!I62))/BO13*Assump!$E$63*Assump!$D$63</f>
        <v>1848.0386537737013</v>
      </c>
      <c r="BP76" s="35">
        <f>(BO29+BO31/(1+Assump!$D$24)+BO42/(1-'ФОТ 2 этап'!I62))/BP13*Assump!$E$63*Assump!$D$63-(BP29+BP31/(1+Assump!$D$24)+BP42/(1-'ФОТ 2 этап'!I62))/BP13*Assump!$E$63*Assump!$D$63</f>
        <v>1997.7172351976451</v>
      </c>
      <c r="BQ76" s="35">
        <f>(BP29+BP31/(1+Assump!$D$24)+BP42/(1-'ФОТ 2 этап'!I62))/BQ13*Assump!$E$63*Assump!$D$63-(BQ29+BQ31/(1+Assump!$D$24)+BQ42/(1-'ФОТ 2 этап'!I62))/BQ13*Assump!$E$63*Assump!$D$63</f>
        <v>14406.135571722843</v>
      </c>
      <c r="BR76" s="35">
        <f>(BQ29+BQ31/(1+Assump!$D$24)+BQ42/(1-'ФОТ 2 этап'!I62))/BR13*Assump!$E$63*Assump!$D$63-(BR29+BR31/(1+Assump!$D$24)+BR42/(1-'ФОТ 2 этап'!I62))/BR13*Assump!$E$63*Assump!$D$63</f>
        <v>-18235.178675720214</v>
      </c>
      <c r="BS76" s="35">
        <f>(BR29+BR31/(1+Assump!$D$24)+BR42/(1-'ФОТ 2 этап'!I62))/BS13*Assump!$E$63*Assump!$D$63-(BS29+BS31/(1+Assump!$D$24)+BS42/(1-'ФОТ 2 этап'!I62))/BS13*Assump!$E$63*Assump!$D$63</f>
        <v>1940.4405864623841</v>
      </c>
      <c r="BT76" s="35">
        <f>(BS29+BS31/(1+Assump!$D$24)+BS42/(1-'ФОТ 2 этап'!I62))/BT13*Assump!$E$63*Assump!$D$63-(BT29+BT31/(1+Assump!$D$24)+BT42/(1-'ФОТ 2 этап'!I62))/BT13*Assump!$E$63*Assump!$D$63</f>
        <v>2097.6030969575277</v>
      </c>
      <c r="BU76" s="35">
        <f>(BT29+BT31/(1+Assump!$D$24)+BT42/(1-'ФОТ 2 этап'!I62))/BU13*Assump!$E$63*Assump!$D$63-(BU29+BU31/(1+Assump!$D$24)+BU42/(1-'ФОТ 2 этап'!I62))/BU13*Assump!$E$63*Assump!$D$63</f>
        <v>15126.442350308984</v>
      </c>
      <c r="BV76" s="35">
        <f>(BU29+BU31/(1+Assump!$D$24)+BU42/(1-'ФОТ 2 этап'!I62))/BV13*Assump!$E$63*Assump!$D$63-(BV29+BV31/(1+Assump!$D$24)+BV42/(1-'ФОТ 2 этап'!I62))/BV13*Assump!$E$63*Assump!$D$63</f>
        <v>-19359.681360722956</v>
      </c>
      <c r="BW76" s="35">
        <f>(BV29+BV31/(1+Assump!$D$24)+BV42/(1-'ФОТ 2 этап'!I62))/BW13*Assump!$E$63*Assump!$D$63-(BW29+BW31/(1+Assump!$D$24)+BW42/(1-'ФОТ 2 этап'!I62))/BW13*Assump!$E$63*Assump!$D$63</f>
        <v>2037.4626157855037</v>
      </c>
      <c r="BX76" s="35">
        <f>(BW29+BW31/(1+Assump!$D$24)+BW42/(1-'ФОТ 2 этап'!I62))/BX13*Assump!$E$63*Assump!$D$63-(BX29+BX31/(1+Assump!$D$24)+BX42/(1-'ФОТ 2 этап'!I62))/BX13*Assump!$E$63*Assump!$D$63</f>
        <v>2202.4832518054054</v>
      </c>
      <c r="BY76" s="35">
        <f>(BX29+BX31/(1+Assump!$D$24)+BX42/(1-'ФОТ 2 этап'!I62))/BY13*Assump!$E$63*Assump!$D$63-(BY29+BY31/(1+Assump!$D$24)+BY42/(1-'ФОТ 2 этап'!I62))/BY13*Assump!$E$63*Assump!$D$63</f>
        <v>15882.764467824441</v>
      </c>
      <c r="BZ76" s="35">
        <f>(BY29+BY31/(1+Assump!$D$24)+BY42/(1-'ФОТ 2 этап'!I62))/BZ13*Assump!$E$63*Assump!$D$63-(BZ29+BZ31/(1+Assump!$D$24)+BZ42/(1-'ФОТ 2 этап'!I62))/BZ13*Assump!$E$63*Assump!$D$63</f>
        <v>-20327.665428759112</v>
      </c>
      <c r="CA76" s="35">
        <f>(BZ29+BZ31/(1+Assump!$D$24)+BZ42/(1-'ФОТ 2 этап'!I62))/CA13*Assump!$E$63*Assump!$D$63-(CA29+CA31/(1+Assump!$D$24)+CA42/(1-'ФОТ 2 этап'!I62))/CA13*Assump!$E$63*Assump!$D$63</f>
        <v>2139.3357465747813</v>
      </c>
      <c r="CB76" s="35">
        <f>(CA29+CA31/(1+Assump!$D$24)+CA42/(1-'ФОТ 2 этап'!I62))/CB13*Assump!$E$63*Assump!$D$63-(CB29+CB31/(1+Assump!$D$24)+CB42/(1-'ФОТ 2 этап'!I62))/CB13*Assump!$E$63*Assump!$D$63</f>
        <v>2312.6074143956739</v>
      </c>
      <c r="CC76" s="35">
        <f>(CB29+CB31/(1+Assump!$D$24)+CB42/(1-'ФОТ 2 этап'!I62))/CC13*Assump!$E$63*Assump!$D$63-(CC29+CC31/(1+Assump!$D$24)+CC42/(1-'ФОТ 2 этап'!I62))/CC13*Assump!$E$63*Assump!$D$63</f>
        <v>16676.902691215655</v>
      </c>
      <c r="CD76" s="35">
        <f>(CC29+CC31/(1+Assump!$D$24)+CC42/(1-'ФОТ 2 этап'!I62))/CD13*Assump!$E$63*Assump!$D$63-(CD29+CD31/(1+Assump!$D$24)+CD42/(1-'ФОТ 2 этап'!I62))/CD13*Assump!$E$63*Assump!$D$63</f>
        <v>-21344.048700197061</v>
      </c>
      <c r="CE76" s="35">
        <f>(CD29+CD31/(1+Assump!$D$24)+CD42/(1-'ФОТ 2 этап'!I62))/CE13*Assump!$E$63*Assump!$D$63-(CE29+CE31/(1+Assump!$D$24)+CE42/(1-'ФОТ 2 этап'!I62))/CE13*Assump!$E$63*Assump!$D$63</f>
        <v>2246.3025339035185</v>
      </c>
      <c r="CF76" s="35">
        <f>(CE29+CE31/(1+Assump!$D$24)+CE42/(1-'ФОТ 2 этап'!I62))/CF13*Assump!$E$63*Assump!$D$63-(CF29+CF31/(1+Assump!$D$24)+CF42/(1-'ФОТ 2 этап'!I62))/CF13*Assump!$E$63*Assump!$D$63</f>
        <v>2428.2377851154606</v>
      </c>
      <c r="CG76" s="35">
        <f>(CF29+CF31/(1+Assump!$D$24)+CF42/(1-'ФОТ 2 этап'!I62))/CG13*Assump!$E$63*Assump!$D$63-(CG29+CG31/(1+Assump!$D$24)+CG42/(1-'ФОТ 2 этап'!I62))/CG13*Assump!$E$63*Assump!$D$63</f>
        <v>17510.747825776438</v>
      </c>
      <c r="CH76" s="35">
        <f>(CG29+CG31/(1+Assump!$D$24)+CG42/(1-'ФОТ 2 этап'!I62))/CH13*Assump!$E$63*Assump!$D$63-(CH29+CH31/(1+Assump!$D$24)+CH42/(1-'ФОТ 2 этап'!I62))/CH13*Assump!$E$63*Assump!$D$63</f>
        <v>-22164.973650204643</v>
      </c>
      <c r="CI76" s="35">
        <f>(CH29+CH31/(1+Assump!$D$24)+CH42/(1-'ФОТ 2 этап'!I62))/CI13*Assump!$E$63*Assump!$D$63-(CI29+CI31/(1+Assump!$D$24)+CI42/(1-'ФОТ 2 этап'!I62))/CI13*Assump!$E$63*Assump!$D$63</f>
        <v>2358.6176605986948</v>
      </c>
      <c r="CJ76" s="35">
        <f>(CI29+CI31/(1+Assump!$D$24)+CI42/(1-'ФОТ 2 этап'!I62))/CJ13*Assump!$E$63*Assump!$D$63-(CJ29+CJ31/(1+Assump!$D$24)+CJ42/(1-'ФОТ 2 этап'!I62))/CJ13*Assump!$E$63*Assump!$D$63</f>
        <v>2549.6496743712323</v>
      </c>
      <c r="CK76" s="35">
        <f>(CJ29+CJ31/(1+Assump!$D$24)+CJ42/(1-'ФОТ 2 этап'!I62))/CK13*Assump!$E$63*Assump!$D$63-(CK29+CK31/(1+Assump!$D$24)+CK42/(1-'ФОТ 2 этап'!I62))/CK13*Assump!$E$63*Assump!$D$63</f>
        <v>18386.285217065262</v>
      </c>
      <c r="CL76" s="35">
        <f>(CK29+CK31/(1+Assump!$D$24)+CK42/(1-'ФОТ 2 этап'!I62))/CL13*Assump!$E$63*Assump!$D$63-(CL29+CL31/(1+Assump!$D$24)+CL42/(1-'ФОТ 2 этап'!I62))/CL13*Assump!$E$63*Assump!$D$63</f>
        <v>-23531.813691967265</v>
      </c>
      <c r="CM76" s="35">
        <f>(CL29+CL31/(1+Assump!$D$24)+CL42/(1-'ФОТ 2 этап'!I62))/CM13*Assump!$E$63*Assump!$D$63-(CM29+CM31/(1+Assump!$D$24)+CM42/(1-'ФОТ 2 этап'!I62))/CM13*Assump!$E$63*Assump!$D$63</f>
        <v>2476.5485436286308</v>
      </c>
      <c r="CN76" s="35">
        <f>(CM29+CM31/(1+Assump!$D$24)+CM42/(1-'ФОТ 2 этап'!I62))/CN13*Assump!$E$63*Assump!$D$63-(CN29+CN31/(1+Assump!$D$24)+CN42/(1-'ФОТ 2 этап'!I62))/CN13*Assump!$E$63*Assump!$D$63</f>
        <v>2677.1321580897948</v>
      </c>
      <c r="CO76" s="35"/>
    </row>
    <row r="77" spans="1:93" ht="12.75" customHeight="1">
      <c r="A77" s="35"/>
      <c r="B77" s="87" t="s">
        <v>173</v>
      </c>
      <c r="C77" s="35">
        <f t="shared" si="189"/>
        <v>1651.5261989797925</v>
      </c>
      <c r="D77" s="60"/>
      <c r="E77" s="35">
        <f>(D30+D31/(1+Assump!$D$24)*Assump!$D$24+Model2!D42*'ФОТ 2 этап'!I62)/E13*Assump!$E$64-(E30+E31/(1+Assump!$D$24)*Assump!$D$24+Model2!E42*'ФОТ 2 этап'!I62)/E13*Assump!$E$64</f>
        <v>0</v>
      </c>
      <c r="F77" s="35">
        <f>(E30+E31/(1+Assump!$D$24)*Assump!$D$24+Model2!E42*'ФОТ 2 этап'!I62)/F13*Assump!$E$64-(F30+F31/(1+Assump!$D$24)*Assump!$D$24+Model2!F42*'ФОТ 2 этап'!I62)/F13*Assump!$E$64</f>
        <v>0</v>
      </c>
      <c r="G77" s="35">
        <f>(F30+F31/(1+Assump!$D$24)*Assump!$D$24+Model2!F42*'ФОТ 2 этап'!I62)/G13*Assump!$E$64-(G30+G31/(1+Assump!$D$24)*Assump!$D$24+Model2!G42*'ФОТ 2 этап'!I62)/G13*Assump!$E$64</f>
        <v>0</v>
      </c>
      <c r="H77" s="35">
        <f>(G30+G31/(1+Assump!$D$24)*Assump!$D$24+Model2!G42*'ФОТ 2 этап'!I62)/H13*Assump!$E$64-(H30+H31/(1+Assump!$D$24)*Assump!$D$24+Model2!H42*'ФОТ 2 этап'!I62)/H13*Assump!$E$64</f>
        <v>0</v>
      </c>
      <c r="I77" s="35">
        <f>(H30+H31/(1+Assump!$D$24)*Assump!$D$24+Model2!H42*'ФОТ 2 этап'!I62)/I13*Assump!$E$64-(I30+I31/(1+Assump!$D$24)*Assump!$D$24+Model2!I42*'ФОТ 2 этап'!I62)/I13*Assump!$E$64</f>
        <v>0</v>
      </c>
      <c r="J77" s="35">
        <f>(I30+I31/(1+Assump!$D$24)*Assump!$D$24+Model2!I42*'ФОТ 2 этап'!I62)/J13*Assump!$E$64-(J30+J31/(1+Assump!$D$24)*Assump!$D$24+Model2!J42*'ФОТ 2 этап'!I62)/J13*Assump!$E$64</f>
        <v>0</v>
      </c>
      <c r="K77" s="35">
        <f>(J30+J31/(1+Assump!$D$24)*Assump!$D$24+Model2!J42*'ФОТ 2 этап'!I62)/K13*Assump!$E$64-(K30+K31/(1+Assump!$D$24)*Assump!$D$24+Model2!K42*'ФОТ 2 этап'!I62)/K13*Assump!$E$64</f>
        <v>0</v>
      </c>
      <c r="L77" s="35">
        <f>(K30+K31/(1+Assump!$D$24)*Assump!$D$24+Model2!K42*'ФОТ 2 этап'!I62)/L13*Assump!$E$64-(L30+L31/(1+Assump!$D$24)*Assump!$D$24+Model2!L42*'ФОТ 2 этап'!I62)/L13*Assump!$E$64</f>
        <v>0</v>
      </c>
      <c r="M77" s="35">
        <f>(L30+L31/(1+Assump!$D$24)*Assump!$D$24+Model2!L42*'ФОТ 2 этап'!I62)/M13*Assump!$E$64-(M30+M31/(1+Assump!$D$24)*Assump!$D$24+Model2!M42*'ФОТ 2 этап'!I62)/M13*Assump!$E$64</f>
        <v>0</v>
      </c>
      <c r="N77" s="35">
        <f>(M30+M31/(1+Assump!$D$24)*Assump!$D$24+Model2!M42*'ФОТ 2 этап'!I62)/N13*Assump!$E$64-(N30+N31/(1+Assump!$D$24)*Assump!$D$24+Model2!N42*'ФОТ 2 этап'!I62)/N13*Assump!$E$64</f>
        <v>0</v>
      </c>
      <c r="O77" s="35">
        <f>(N30+N31/(1+Assump!$D$24)*Assump!$D$24+Model2!N42*'ФОТ 2 этап'!I62)/O13*Assump!$E$64-(O30+O31/(1+Assump!$D$24)*Assump!$D$24+Model2!O42*'ФОТ 2 этап'!I62)/O13*Assump!$E$64</f>
        <v>0</v>
      </c>
      <c r="P77" s="35">
        <f>(O30+O31/(1+Assump!$D$24)*Assump!$D$24+Model2!O42*'ФОТ 2 этап'!I62)/P13*Assump!$E$64-(P30+P31/(1+Assump!$D$24)*Assump!$D$24+Model2!P42*'ФОТ 2 этап'!I62)/P13*Assump!$E$64</f>
        <v>0</v>
      </c>
      <c r="Q77" s="35">
        <f>(P30+P31/(1+Assump!$D$24)*Assump!$D$24+Model2!P42*'ФОТ 2 этап'!I62)/Q13*Assump!$E$64-(Q30+Q31/(1+Assump!$D$24)*Assump!$D$24+Model2!Q42*'ФОТ 2 этап'!I62)/Q13*Assump!$E$64</f>
        <v>0</v>
      </c>
      <c r="R77" s="35">
        <f>(Q30+Q31/(1+Assump!$D$24)*Assump!$D$24+Model2!Q42*'ФОТ 2 этап'!I62)/R13*Assump!$E$64-(R30+R31/(1+Assump!$D$24)*Assump!$D$24+Model2!R42*'ФОТ 2 этап'!I62)/R13*Assump!$E$64</f>
        <v>0</v>
      </c>
      <c r="S77" s="35">
        <f>(R30+R31/(1+Assump!$D$24)*Assump!$D$24+Model2!R42*'ФОТ 2 этап'!I62)/S13*Assump!$E$64-(S30+S31/(1+Assump!$D$24)*Assump!$D$24+Model2!S42*'ФОТ 2 этап'!I62)/S13*Assump!$E$64</f>
        <v>0</v>
      </c>
      <c r="T77" s="35">
        <f>(S30+S31/(1+Assump!$D$24)*Assump!$D$24+Model2!S42*'ФОТ 2 этап'!I62)/T13*Assump!$E$64-(T30+T31/(1+Assump!$D$24)*Assump!$D$24+Model2!T42*'ФОТ 2 этап'!I62)/T13*Assump!$E$64</f>
        <v>0</v>
      </c>
      <c r="U77" s="35">
        <f>(T30+T31/(1+Assump!$D$24)*Assump!$D$24+Model2!T42*'ФОТ 2 этап'!I62)/U13*Assump!$E$64-(U30+U31/(1+Assump!$D$24)*Assump!$D$24+Model2!U42*'ФОТ 2 этап'!I62)/U13*Assump!$E$64</f>
        <v>0</v>
      </c>
      <c r="V77" s="35">
        <f>(U30+U31/(1+Assump!$D$24)*Assump!$D$24+Model2!U42*'ФОТ 2 этап'!I62)/V13*Assump!$E$64-(V30+V31/(1+Assump!$D$24)*Assump!$D$24+Model2!V42*'ФОТ 2 этап'!I62)/V13*Assump!$E$64</f>
        <v>0</v>
      </c>
      <c r="W77" s="35">
        <f>(V30+V31/(1+Assump!$D$24)*Assump!$D$24+Model2!V42*'ФОТ 2 этап'!I62)/W13*Assump!$E$64-(W30+W31/(1+Assump!$D$24)*Assump!$D$24+Model2!W42*'ФОТ 2 этап'!I62)/W13*Assump!$E$64</f>
        <v>1123.7724343640434</v>
      </c>
      <c r="X77" s="35">
        <f>(W30+W31/(1+Assump!$D$24)*Assump!$D$24+Model2!W42*'ФОТ 2 этап'!I62)/X13*Assump!$E$64-(X30+X31/(1+Assump!$D$24)*Assump!$D$24+Model2!X42*'ФОТ 2 этап'!I62)/X13*Assump!$E$64</f>
        <v>295.36173423729269</v>
      </c>
      <c r="Y77" s="35">
        <f>(X30+X31/(1+Assump!$D$24)*Assump!$D$24+Model2!X42*'ФОТ 2 этап'!I62)/Y13*Assump!$E$64-(Y30+Y31/(1+Assump!$D$24)*Assump!$D$24+Model2!Y42*'ФОТ 2 этап'!I62)/Y13*Assump!$E$64</f>
        <v>2113.7252584024091</v>
      </c>
      <c r="Z77" s="35">
        <f>(Y30+Y31/(1+Assump!$D$24)*Assump!$D$24+Model2!Y42*'ФОТ 2 этап'!I62)/Z13*Assump!$E$64-(Z30+Z31/(1+Assump!$D$24)*Assump!$D$24+Model2!Z42*'ФОТ 2 этап'!I62)/Z13*Assump!$E$64</f>
        <v>-2697.429263046175</v>
      </c>
      <c r="AA77" s="35">
        <f>(Z30+Z31/(1+Assump!$D$24)*Assump!$D$24+Model2!Z42*'ФОТ 2 этап'!I62)/AA13*Assump!$E$64-(AA30+AA31/(1+Assump!$D$24)*Assump!$D$24+Model2!AA42*'ФОТ 2 этап'!I62)/AA13*Assump!$E$64</f>
        <v>290.5957071122765</v>
      </c>
      <c r="AB77" s="35">
        <f>(AA30+AA31/(1+Assump!$D$24)*Assump!$D$24+Model2!AA42*'ФОТ 2 этап'!I62)/AB13*Assump!$E$64-(AB30+AB31/(1+Assump!$D$24)*Assump!$D$24+Model2!AB42*'ФОТ 2 этап'!I62)/AB13*Assump!$E$64</f>
        <v>314.01924129276131</v>
      </c>
      <c r="AC77" s="35">
        <f>(AB30+AB31/(1+Assump!$D$24)*Assump!$D$24+Model2!AB42*'ФОТ 2 этап'!I62)/AC13*Assump!$E$64-(AC30+AC31/(1+Assump!$D$24)*Assump!$D$24+Model2!AC42*'ФОТ 2 этап'!I62)/AC13*Assump!$E$64</f>
        <v>2262.0604971352805</v>
      </c>
      <c r="AD77" s="35">
        <f>(AC30+AC31/(1+Assump!$D$24)*Assump!$D$24+Model2!AC42*'ФОТ 2 этап'!I62)/AD13*Assump!$E$64-(AD30+AD31/(1+Assump!$D$24)*Assump!$D$24+Model2!AD42*'ФОТ 2 этап'!I62)/AD13*Assump!$E$64</f>
        <v>-2897.5834899054048</v>
      </c>
      <c r="AE77" s="35">
        <f>(AD30+AD31/(1+Assump!$D$24)*Assump!$D$24+Model2!AD42*'ФОТ 2 этап'!I62)/AE13*Assump!$E$64-(AE30+AE31/(1+Assump!$D$24)*Assump!$D$24+Model2!AE42*'ФОТ 2 этап'!I62)/AE13*Assump!$E$64</f>
        <v>303.86430172159021</v>
      </c>
      <c r="AF77" s="35">
        <f>(AE30+AE31/(1+Assump!$D$24)*Assump!$D$24+Model2!AE42*'ФОТ 2 этап'!I62)/AF13*Assump!$E$64-(AF30+AF31/(1+Assump!$D$24)*Assump!$D$24+Model2!AF42*'ФОТ 2 этап'!I62)/AF13*Assump!$E$64</f>
        <v>328.47524670057737</v>
      </c>
      <c r="AG77" s="35">
        <f>(AF30+AF31/(1+Assump!$D$24)*Assump!$D$24+Model2!AF42*'ФОТ 2 этап'!I62)/AG13*Assump!$E$64-(AG30+AG31/(1+Assump!$D$24)*Assump!$D$24+Model2!AG42*'ФОТ 2 этап'!I62)/AG13*Assump!$E$64</f>
        <v>2368.7330982332187</v>
      </c>
      <c r="AH77" s="35">
        <f>(AG30+AG31/(1+Assump!$D$24)*Assump!$D$24+Model2!AG42*'ФОТ 2 этап'!I62)/AH13*Assump!$E$64-(AH30+AH31/(1+Assump!$D$24)*Assump!$D$24+Model2!AH42*'ФОТ 2 этап'!I62)/AH13*Assump!$E$64</f>
        <v>-3031.6393602925718</v>
      </c>
      <c r="AI77" s="35">
        <f>(AH30+AH31/(1+Assump!$D$24)*Assump!$D$24+Model2!AH42*'ФОТ 2 этап'!I62)/AI13*Assump!$E$64-(AI30+AI31/(1+Assump!$D$24)*Assump!$D$24+Model2!AI42*'ФОТ 2 этап'!I62)/AI13*Assump!$E$64</f>
        <v>319.0575168076698</v>
      </c>
      <c r="AJ77" s="35">
        <f>(AI30+AI31/(1+Assump!$D$24)*Assump!$D$24+Model2!AI42*'ФОТ 2 этап'!I62)/AJ13*Assump!$E$64-(AJ30+AJ31/(1+Assump!$D$24)*Assump!$D$24+Model2!AJ42*'ФОТ 2 этап'!I62)/AJ13*Assump!$E$64</f>
        <v>344.89900903560579</v>
      </c>
      <c r="AK77" s="35">
        <f>(AJ30+AJ31/(1+Assump!$D$24)*Assump!$D$24+Model2!AJ42*'ФОТ 2 этап'!I62)/AK13*Assump!$E$64-(AK30+AK31/(1+Assump!$D$24)*Assump!$D$24+Model2!AK42*'ФОТ 2 этап'!I62)/AK13*Assump!$E$64</f>
        <v>2487.1697531448799</v>
      </c>
      <c r="AL77" s="35">
        <f>(AK30+AK31/(1+Assump!$D$24)*Assump!$D$24+Model2!AK42*'ФОТ 2 этап'!I62)/AL13*Assump!$E$64-(AL30+AL31/(1+Assump!$D$24)*Assump!$D$24+Model2!AL42*'ФОТ 2 этап'!I62)/AL13*Assump!$E$64</f>
        <v>-3148.240874149978</v>
      </c>
      <c r="AM77" s="35">
        <f>(AL30+AL31/(1+Assump!$D$24)*Assump!$D$24+Model2!AL42*'ФОТ 2 этап'!I62)/AM13*Assump!$E$64-(AM30+AM31/(1+Assump!$D$24)*Assump!$D$24+Model2!AM42*'ФОТ 2 этап'!I62)/AM13*Assump!$E$64</f>
        <v>335.0103926480532</v>
      </c>
      <c r="AN77" s="35">
        <f>(AM30+AM31/(1+Assump!$D$24)*Assump!$D$24+Model2!AM42*'ФОТ 2 этап'!I62)/AN13*Assump!$E$64-(AN30+AN31/(1+Assump!$D$24)*Assump!$D$24+Model2!AN42*'ФОТ 2 этап'!I62)/AN13*Assump!$E$64</f>
        <v>362.14395948738638</v>
      </c>
      <c r="AO77" s="35">
        <f>(AN30+AN31/(1+Assump!$D$24)*Assump!$D$24+Model2!AN42*'ФОТ 2 этап'!I62)/AO13*Assump!$E$64-(AO30+AO31/(1+Assump!$D$24)*Assump!$D$24+Model2!AO42*'ФОТ 2 этап'!I62)/AO13*Assump!$E$64</f>
        <v>2611.528240802123</v>
      </c>
      <c r="AP77" s="35">
        <f>(AO30+AO31/(1+Assump!$D$24)*Assump!$D$24+Model2!AO42*'ФОТ 2 этап'!I62)/AP13*Assump!$E$64-(AP30+AP31/(1+Assump!$D$24)*Assump!$D$24+Model2!AP42*'ФОТ 2 этап'!I62)/AP13*Assump!$E$64</f>
        <v>-3342.3823947225592</v>
      </c>
      <c r="AQ77" s="35">
        <f>(AP30+AP31/(1+Assump!$D$24)*Assump!$D$24+Model2!AP42*'ФОТ 2 этап'!I62)/AQ13*Assump!$E$64-(AQ30+AQ31/(1+Assump!$D$24)*Assump!$D$24+Model2!AQ42*'ФОТ 2 этап'!I62)/AQ13*Assump!$E$64</f>
        <v>351.76091228045595</v>
      </c>
      <c r="AR77" s="35">
        <f>(AQ30+AQ31/(1+Assump!$D$24)*Assump!$D$24+Model2!AQ42*'ФОТ 2 этап'!I62)/AR13*Assump!$E$64-(AR30+AR31/(1+Assump!$D$24)*Assump!$D$24+Model2!AR42*'ФОТ 2 этап'!I62)/AR13*Assump!$E$64</f>
        <v>380.25115746175561</v>
      </c>
      <c r="AS77" s="35">
        <f>(AR30+AR31/(1+Assump!$D$24)*Assump!$D$24+Model2!AR42*'ФОТ 2 этап'!I62)/AS13*Assump!$E$64-(AS30+AS31/(1+Assump!$D$24)*Assump!$D$24+Model2!AS42*'ФОТ 2 этап'!I62)/AS13*Assump!$E$64</f>
        <v>2742.1046528422303</v>
      </c>
      <c r="AT77" s="35">
        <f>(AS30+AS31/(1+Assump!$D$24)*Assump!$D$24+Model2!AS42*'ФОТ 2 этап'!I62)/AT13*Assump!$E$64-(AT30+AT31/(1+Assump!$D$24)*Assump!$D$24+Model2!AT42*'ФОТ 2 этап'!I62)/AT13*Assump!$E$64</f>
        <v>-3509.5015144586873</v>
      </c>
      <c r="AU77" s="35">
        <f>(AT30+AT31/(1+Assump!$D$24)*Assump!$D$24+Model2!AT42*'ФОТ 2 этап'!I62)/AU13*Assump!$E$64-(AU30+AU31/(1+Assump!$D$24)*Assump!$D$24+Model2!AU42*'ФОТ 2 этап'!I62)/AU13*Assump!$E$64</f>
        <v>369.34895789447864</v>
      </c>
      <c r="AV77" s="35">
        <f>(AU30+AU31/(1+Assump!$D$24)*Assump!$D$24+Model2!AU42*'ФОТ 2 этап'!I62)/AV13*Assump!$E$64-(AV30+AV31/(1+Assump!$D$24)*Assump!$D$24+Model2!AV42*'ФОТ 2 этап'!I62)/AV13*Assump!$E$64</f>
        <v>399.26371533484348</v>
      </c>
      <c r="AW77" s="35">
        <f>(AV30+AV31/(1+Assump!$D$24)*Assump!$D$24+Model2!AV42*'ФОТ 2 этап'!I62)/AW13*Assump!$E$64-(AW30+AW31/(1+Assump!$D$24)*Assump!$D$24+Model2!AW42*'ФОТ 2 этап'!I62)/AW13*Assump!$E$64</f>
        <v>2879.2098854843407</v>
      </c>
      <c r="AX77" s="35">
        <f>(AW30+AW31/(1+Assump!$D$24)*Assump!$D$24+Model2!AW42*'ФОТ 2 этап'!I62)/AX13*Assump!$E$64-(AX30+AX31/(1+Assump!$D$24)*Assump!$D$24+Model2!AX42*'ФОТ 2 этап'!I62)/AX13*Assump!$E$64</f>
        <v>-3684.9765901816218</v>
      </c>
      <c r="AY77" s="35">
        <f>(AX30+AX31/(1+Assump!$D$24)*Assump!$D$24+Model2!AX42*'ФОТ 2 этап'!I62)/AY13*Assump!$E$64-(AY30+AY31/(1+Assump!$D$24)*Assump!$D$24+Model2!AY42*'ФОТ 2 этап'!I62)/AY13*Assump!$E$64</f>
        <v>387.81640578920246</v>
      </c>
      <c r="AZ77" s="35">
        <f>(AY30+AY31/(1+Assump!$D$24)*Assump!$D$24+Model2!AY42*'ФОТ 2 этап'!I62)/AZ13*Assump!$E$64-(AZ30+AZ31/(1+Assump!$D$24)*Assump!$D$24+Model2!AZ42*'ФОТ 2 этап'!I62)/AZ13*Assump!$E$64</f>
        <v>419.22690110158555</v>
      </c>
      <c r="BA77" s="35">
        <f>(AZ30+AZ31/(1+Assump!$D$24)*Assump!$D$24+Model2!AZ42*'ФОТ 2 этап'!I62)/BA13*Assump!$E$64-(BA30+BA31/(1+Assump!$D$24)*Assump!$D$24+Model2!BA42*'ФОТ 2 этап'!I62)/BA13*Assump!$E$64</f>
        <v>3023.1703797585578</v>
      </c>
      <c r="BB77" s="35">
        <f>(BA30+BA31/(1+Assump!$D$24)*Assump!$D$24+Model2!BA42*'ФОТ 2 этап'!I62)/BB13*Assump!$E$64-(BB30+BB31/(1+Assump!$D$24)*Assump!$D$24+Model2!BB42*'ФОТ 2 этап'!I62)/BB13*Assump!$E$64</f>
        <v>-3826.7064590347613</v>
      </c>
      <c r="BC77" s="35">
        <f>(BB30+BB31/(1+Assump!$D$24)*Assump!$D$24+Model2!BB42*'ФОТ 2 этап'!I62)/BC13*Assump!$E$64-(BC30+BC31/(1+Assump!$D$24)*Assump!$D$24+Model2!BC42*'ФОТ 2 этап'!I62)/BC13*Assump!$E$64</f>
        <v>407.20722607866287</v>
      </c>
      <c r="BD77" s="35">
        <f>(BC30+BC31/(1+Assump!$D$24)*Assump!$D$24+Model2!BC42*'ФОТ 2 этап'!I62)/BD13*Assump!$E$64-(BD30+BD31/(1+Assump!$D$24)*Assump!$D$24+Model2!BD42*'ФОТ 2 этап'!I62)/BD13*Assump!$E$64</f>
        <v>440.18824615666495</v>
      </c>
      <c r="BE77" s="35">
        <f>(BD30+BD31/(1+Assump!$D$24)*Assump!$D$24+Model2!BD42*'ФОТ 2 этап'!I62)/BE13*Assump!$E$64-(BE30+BE31/(1+Assump!$D$24)*Assump!$D$24+Model2!BE42*'ФОТ 2 этап'!I62)/BE13*Assump!$E$64</f>
        <v>3174.3288987464857</v>
      </c>
      <c r="BF77" s="35">
        <f>(BE30+BE31/(1+Assump!$D$24)*Assump!$D$24+Model2!BE42*'ФОТ 2 этап'!I62)/BF13*Assump!$E$64-(BF30+BF31/(1+Assump!$D$24)*Assump!$D$24+Model2!BF42*'ФОТ 2 этап'!I62)/BF13*Assump!$E$64</f>
        <v>-4062.686690675238</v>
      </c>
      <c r="BG77" s="35">
        <f>(BF30+BF31/(1+Assump!$D$24)*Assump!$D$24+Model2!BF42*'ФОТ 2 этап'!I62)/BG13*Assump!$E$64-(BG30+BG31/(1+Assump!$D$24)*Assump!$D$24+Model2!BG42*'ФОТ 2 этап'!I62)/BG13*Assump!$E$64</f>
        <v>427.567587382596</v>
      </c>
      <c r="BH77" s="35">
        <f>(BG30+BG31/(1+Assump!$D$24)*Assump!$D$24+Model2!BG42*'ФОТ 2 этап'!I62)/BH13*Assump!$E$64-(BH30+BH31/(1+Assump!$D$24)*Assump!$D$24+Model2!BH42*'ФОТ 2 этап'!I62)/BH13*Assump!$E$64</f>
        <v>462.19765846449832</v>
      </c>
      <c r="BI77" s="35">
        <f>(BH30+BH31/(1+Assump!$D$24)*Assump!$D$24+Model2!BH42*'ФОТ 2 этап'!I62)/BI13*Assump!$E$64-(BI30+BI31/(1+Assump!$D$24)*Assump!$D$24+Model2!BI42*'ФОТ 2 этап'!I62)/BI13*Assump!$E$64</f>
        <v>3333.0453436838116</v>
      </c>
      <c r="BJ77" s="35">
        <f>(BI30+BI31/(1+Assump!$D$24)*Assump!$D$24+Model2!BI42*'ФОТ 2 этап'!I62)/BJ13*Assump!$E$64-(BJ30+BJ31/(1+Assump!$D$24)*Assump!$D$24+Model2!BJ42*'ФОТ 2 этап'!I62)/BJ13*Assump!$E$64</f>
        <v>-4265.8210252090021</v>
      </c>
      <c r="BK77" s="35">
        <f>(BJ30+BJ31/(1+Assump!$D$24)*Assump!$D$24+Model2!BJ42*'ФОТ 2 этап'!I62)/BK13*Assump!$E$64-(BK30+BK31/(1+Assump!$D$24)*Assump!$D$24+Model2!BK42*'ФОТ 2 этап'!I62)/BK13*Assump!$E$64</f>
        <v>448.94596675172556</v>
      </c>
      <c r="BL77" s="35">
        <f>(BK30+BK31/(1+Assump!$D$24)*Assump!$D$24+Model2!BK42*'ФОТ 2 этап'!I62)/BL13*Assump!$E$64-(BL30+BL31/(1+Assump!$D$24)*Assump!$D$24+Model2!BL42*'ФОТ 2 этап'!I62)/BL13*Assump!$E$64</f>
        <v>485.30754138772318</v>
      </c>
      <c r="BM77" s="35">
        <f>(BL30+BL31/(1+Assump!$D$24)*Assump!$D$24+Model2!BL42*'ФОТ 2 этап'!I62)/BM13*Assump!$E$64-(BM30+BM31/(1+Assump!$D$24)*Assump!$D$24+Model2!BM42*'ФОТ 2 этап'!I62)/BM13*Assump!$E$64</f>
        <v>3499.6976108680019</v>
      </c>
      <c r="BN77" s="35">
        <f>(BM30+BM31/(1+Assump!$D$24)*Assump!$D$24+Model2!BM42*'ФОТ 2 этап'!I62)/BN13*Assump!$E$64-(BN30+BN31/(1+Assump!$D$24)*Assump!$D$24+Model2!BN42*'ФОТ 2 этап'!I62)/BN13*Assump!$E$64</f>
        <v>-4479.1120764694506</v>
      </c>
      <c r="BO77" s="35">
        <f>(BN30+BN31/(1+Assump!$D$24)*Assump!$D$24+Model2!BN42*'ФОТ 2 этап'!I62)/BO13*Assump!$E$64-(BO30+BO31/(1+Assump!$D$24)*Assump!$D$24+Model2!BO42*'ФОТ 2 этап'!I62)/BO13*Assump!$E$64</f>
        <v>471.39326508931231</v>
      </c>
      <c r="BP77" s="35">
        <f>(BO30+BO31/(1+Assump!$D$24)*Assump!$D$24+Model2!BO42*'ФОТ 2 этап'!I62)/BP13*Assump!$E$64-(BP30+BP31/(1+Assump!$D$24)*Assump!$D$24+Model2!BP42*'ФОТ 2 этап'!I62)/BP13*Assump!$E$64</f>
        <v>509.57291845710893</v>
      </c>
      <c r="BQ77" s="35">
        <f>(BP30+BP31/(1+Assump!$D$24)*Assump!$D$24+Model2!BP42*'ФОТ 2 этап'!I62)/BQ13*Assump!$E$64-(BQ30+BQ31/(1+Assump!$D$24)*Assump!$D$24+Model2!BQ42*'ФОТ 2 этап'!I62)/BQ13*Assump!$E$64</f>
        <v>3674.6824914114027</v>
      </c>
      <c r="BR77" s="35">
        <f>(BQ30+BQ31/(1+Assump!$D$24)*Assump!$D$24+Model2!BQ42*'ФОТ 2 этап'!I62)/BR13*Assump!$E$64-(BR30+BR31/(1+Assump!$D$24)*Assump!$D$24+Model2!BR42*'ФОТ 2 этап'!I62)/BR13*Assump!$E$64</f>
        <v>-4651.3856178721235</v>
      </c>
      <c r="BS77" s="35">
        <f>(BR30+BR31/(1+Assump!$D$24)*Assump!$D$24+Model2!BR42*'ФОТ 2 этап'!I62)/BS13*Assump!$E$64-(BS30+BS31/(1+Assump!$D$24)*Assump!$D$24+Model2!BS42*'ФОТ 2 этап'!I62)/BS13*Assump!$E$64</f>
        <v>494.96292834377778</v>
      </c>
      <c r="BT77" s="35">
        <f>(BS30+BS31/(1+Assump!$D$24)*Assump!$D$24+Model2!BS42*'ФОТ 2 этап'!I62)/BT13*Assump!$E$64-(BT30+BT31/(1+Assump!$D$24)*Assump!$D$24+Model2!BT42*'ФОТ 2 этап'!I62)/BT13*Assump!$E$64</f>
        <v>535.0515643799647</v>
      </c>
      <c r="BU77" s="35">
        <f>(BT30+BT31/(1+Assump!$D$24)*Assump!$D$24+Model2!BT42*'ФОТ 2 этап'!I62)/BU13*Assump!$E$64-(BU30+BU31/(1+Assump!$D$24)*Assump!$D$24+Model2!BU42*'ФОТ 2 этап'!I62)/BU13*Assump!$E$64</f>
        <v>3858.416615981972</v>
      </c>
      <c r="BV77" s="35">
        <f>(BU30+BU31/(1+Assump!$D$24)*Assump!$D$24+Model2!BU42*'ФОТ 2 этап'!I62)/BV13*Assump!$E$64-(BV30+BV31/(1+Assump!$D$24)*Assump!$D$24+Model2!BV42*'ФОТ 2 этап'!I62)/BV13*Assump!$E$64</f>
        <v>-4938.2210643075687</v>
      </c>
      <c r="BW77" s="35">
        <f>(BV30+BV31/(1+Assump!$D$24)*Assump!$D$24+Model2!BV42*'ФОТ 2 этап'!I62)/BW13*Assump!$E$64-(BW30+BW31/(1+Assump!$D$24)*Assump!$D$24+Model2!BW42*'ФОТ 2 этап'!I62)/BW13*Assump!$E$64</f>
        <v>519.71107476096631</v>
      </c>
      <c r="BX77" s="35">
        <f>(BW30+BW31/(1+Assump!$D$24)*Assump!$D$24+Model2!BW42*'ФОТ 2 этап'!I62)/BX13*Assump!$E$64-(BX30+BX31/(1+Assump!$D$24)*Assump!$D$24+Model2!BX42*'ФОТ 2 этап'!I62)/BX13*Assump!$E$64</f>
        <v>561.80414259896293</v>
      </c>
      <c r="BY77" s="35">
        <f>(BX30+BX31/(1+Assump!$D$24)*Assump!$D$24+Model2!BX42*'ФОТ 2 этап'!I62)/BY13*Assump!$E$64-(BY30+BY31/(1+Assump!$D$24)*Assump!$D$24+Model2!BY42*'ФОТ 2 этап'!I62)/BY13*Assump!$E$64</f>
        <v>4051.3374467810722</v>
      </c>
      <c r="BZ77" s="35">
        <f>(BY30+BY31/(1+Assump!$D$24)*Assump!$D$24+Model2!BY42*'ФОТ 2 этап'!I62)/BZ13*Assump!$E$64-(BZ30+BZ31/(1+Assump!$D$24)*Assump!$D$24+Model2!BZ42*'ФОТ 2 этап'!I62)/BZ13*Assump!$E$64</f>
        <v>-5185.1321175229496</v>
      </c>
      <c r="CA77" s="35">
        <f>(BZ30+BZ31/(1+Assump!$D$24)*Assump!$D$24+Model2!BZ42*'ФОТ 2 этап'!I62)/CA13*Assump!$E$64-(CA30+CA31/(1+Assump!$D$24)*Assump!$D$24+Model2!CA42*'ФОТ 2 этап'!I62)/CA13*Assump!$E$64</f>
        <v>545.69662849901511</v>
      </c>
      <c r="CB77" s="35">
        <f>(CA30+CA31/(1+Assump!$D$24)*Assump!$D$24+Model2!CA42*'ФОТ 2 этап'!I62)/CB13*Assump!$E$64-(CB30+CB31/(1+Assump!$D$24)*Assump!$D$24+Model2!CB42*'ФОТ 2 этап'!I62)/CB13*Assump!$E$64</f>
        <v>589.89434972891104</v>
      </c>
      <c r="CC77" s="35">
        <f>(CB30+CB31/(1+Assump!$D$24)*Assump!$D$24+Model2!CB42*'ФОТ 2 этап'!I62)/CC13*Assump!$E$64-(CC30+CC31/(1+Assump!$D$24)*Assump!$D$24+Model2!CC42*'ФОТ 2 этап'!I62)/CC13*Assump!$E$64</f>
        <v>4253.9043191201235</v>
      </c>
      <c r="CD77" s="35">
        <f>(CC30+CC31/(1+Assump!$D$24)*Assump!$D$24+Model2!CC42*'ФОТ 2 этап'!I62)/CD13*Assump!$E$64-(CD30+CD31/(1+Assump!$D$24)*Assump!$D$24+Model2!CD42*'ФОТ 2 этап'!I62)/CD13*Assump!$E$64</f>
        <v>-5444.3887233990954</v>
      </c>
      <c r="CE77" s="35">
        <f>(CD30+CD31/(1+Assump!$D$24)*Assump!$D$24+Model2!CD42*'ФОТ 2 этап'!I62)/CE13*Assump!$E$64-(CE30+CE31/(1+Assump!$D$24)*Assump!$D$24+Model2!CE42*'ФОТ 2 этап'!I62)/CE13*Assump!$E$64</f>
        <v>572.98145992396553</v>
      </c>
      <c r="CF77" s="35">
        <f>(CE30+CE31/(1+Assump!$D$24)*Assump!$D$24+Model2!CE42*'ФОТ 2 этап'!I62)/CF13*Assump!$E$64-(CF30+CF31/(1+Assump!$D$24)*Assump!$D$24+Model2!CF42*'ФОТ 2 этап'!I62)/CF13*Assump!$E$64</f>
        <v>619.38906721535682</v>
      </c>
      <c r="CG77" s="35">
        <f>(CF30+CF31/(1+Assump!$D$24)*Assump!$D$24+Model2!CF42*'ФОТ 2 этап'!I62)/CG13*Assump!$E$64-(CG30+CG31/(1+Assump!$D$24)*Assump!$D$24+Model2!CG42*'ФОТ 2 этап'!I62)/CG13*Assump!$E$64</f>
        <v>4466.5995350761295</v>
      </c>
      <c r="CH77" s="35">
        <f>(CG30+CG31/(1+Assump!$D$24)*Assump!$D$24+Model2!CG42*'ФОТ 2 этап'!I62)/CH13*Assump!$E$64-(CH30+CH31/(1+Assump!$D$24)*Assump!$D$24+Model2!CH42*'ФОТ 2 этап'!I62)/CH13*Assump!$E$64</f>
        <v>-5653.7882896836763</v>
      </c>
      <c r="CI77" s="35">
        <f>(CH30+CH31/(1+Assump!$D$24)*Assump!$D$24+Model2!CH42*'ФОТ 2 этап'!I62)/CI13*Assump!$E$64-(CI30+CI31/(1+Assump!$D$24)*Assump!$D$24+Model2!CI42*'ФОТ 2 этап'!I62)/CI13*Assump!$E$64</f>
        <v>601.63053292016389</v>
      </c>
      <c r="CJ77" s="35">
        <f>(CI30+CI31/(1+Assump!$D$24)*Assump!$D$24+Model2!CI42*'ФОТ 2 этап'!I62)/CJ13*Assump!$E$64-(CJ30+CJ31/(1+Assump!$D$24)*Assump!$D$24+Model2!CJ42*'ФОТ 2 этап'!I62)/CJ13*Assump!$E$64</f>
        <v>650.35852057612465</v>
      </c>
      <c r="CK77" s="35">
        <f>(CJ30+CJ31/(1+Assump!$D$24)*Assump!$D$24+Model2!CJ42*'ФОТ 2 этап'!I62)/CK13*Assump!$E$64-(CK30+CK31/(1+Assump!$D$24)*Assump!$D$24+Model2!CK42*'ФОТ 2 этап'!I62)/CK13*Assump!$E$64</f>
        <v>4689.9295118299387</v>
      </c>
      <c r="CL77" s="35">
        <f>(CK30+CK31/(1+Assump!$D$24)*Assump!$D$24+Model2!CK42*'ФОТ 2 этап'!I62)/CL13*Assump!$E$64-(CL30+CL31/(1+Assump!$D$24)*Assump!$D$24+Model2!CL42*'ФОТ 2 этап'!I62)/CL13*Assump!$E$64</f>
        <v>-6002.438567547505</v>
      </c>
      <c r="CM77" s="35">
        <f>(CL30+CL31/(1+Assump!$D$24)*Assump!$D$24+Model2!CL42*'ФОТ 2 этап'!I62)/CM13*Assump!$E$64-(CM30+CM31/(1+Assump!$D$24)*Assump!$D$24+Model2!CM42*'ФОТ 2 этап'!I62)/CM13*Assump!$E$64</f>
        <v>631.71205956617291</v>
      </c>
      <c r="CN77" s="35">
        <f>(CM30+CM31/(1+Assump!$D$24)*Assump!$D$24+Model2!CM42*'ФОТ 2 этап'!I62)/CN13*Assump!$E$64-(CN30+CN31/(1+Assump!$D$24)*Assump!$D$24+Model2!CN42*'ФОТ 2 этап'!I62)/CN13*Assump!$E$64</f>
        <v>682.87644660493015</v>
      </c>
      <c r="CO77" s="35"/>
    </row>
    <row r="78" spans="1:93" ht="12.75" customHeight="1">
      <c r="A78" s="35"/>
      <c r="B78" s="63" t="s">
        <v>164</v>
      </c>
      <c r="C78" s="35">
        <f t="shared" si="189"/>
        <v>-729685.76744836313</v>
      </c>
      <c r="D78" s="60">
        <f t="shared" ref="D78:AI78" si="191">D65</f>
        <v>0</v>
      </c>
      <c r="E78" s="35">
        <f t="shared" si="191"/>
        <v>0</v>
      </c>
      <c r="F78" s="35">
        <f t="shared" si="191"/>
        <v>0</v>
      </c>
      <c r="G78" s="35">
        <f t="shared" si="191"/>
        <v>0</v>
      </c>
      <c r="H78" s="35">
        <f t="shared" si="191"/>
        <v>0</v>
      </c>
      <c r="I78" s="35">
        <f t="shared" si="191"/>
        <v>0</v>
      </c>
      <c r="J78" s="35">
        <f t="shared" si="191"/>
        <v>0</v>
      </c>
      <c r="K78" s="35">
        <f t="shared" si="191"/>
        <v>0</v>
      </c>
      <c r="L78" s="35">
        <f t="shared" si="191"/>
        <v>0</v>
      </c>
      <c r="M78" s="35">
        <f t="shared" si="191"/>
        <v>0</v>
      </c>
      <c r="N78" s="35">
        <f t="shared" si="191"/>
        <v>0</v>
      </c>
      <c r="O78" s="35">
        <f t="shared" si="191"/>
        <v>0</v>
      </c>
      <c r="P78" s="35">
        <f t="shared" si="191"/>
        <v>0</v>
      </c>
      <c r="Q78" s="35">
        <f t="shared" si="191"/>
        <v>0</v>
      </c>
      <c r="R78" s="35">
        <f t="shared" si="191"/>
        <v>0</v>
      </c>
      <c r="S78" s="35">
        <f t="shared" si="191"/>
        <v>0</v>
      </c>
      <c r="T78" s="35">
        <f t="shared" si="191"/>
        <v>0</v>
      </c>
      <c r="U78" s="35">
        <f t="shared" si="191"/>
        <v>0</v>
      </c>
      <c r="V78" s="35">
        <f t="shared" si="191"/>
        <v>0</v>
      </c>
      <c r="W78" s="35">
        <f t="shared" si="191"/>
        <v>0</v>
      </c>
      <c r="X78" s="35">
        <f t="shared" si="191"/>
        <v>0</v>
      </c>
      <c r="Y78" s="35">
        <f t="shared" si="191"/>
        <v>-9045.4725120466283</v>
      </c>
      <c r="Z78" s="35">
        <f t="shared" si="191"/>
        <v>0</v>
      </c>
      <c r="AA78" s="35">
        <f t="shared" si="191"/>
        <v>-1165.08916954856</v>
      </c>
      <c r="AB78" s="35">
        <f t="shared" si="191"/>
        <v>-2655.2194594686362</v>
      </c>
      <c r="AC78" s="35">
        <f t="shared" si="191"/>
        <v>-14750.075901482202</v>
      </c>
      <c r="AD78" s="35">
        <f t="shared" si="191"/>
        <v>-276.02909010964112</v>
      </c>
      <c r="AE78" s="35">
        <f t="shared" si="191"/>
        <v>-1635.0276002290284</v>
      </c>
      <c r="AF78" s="35">
        <f t="shared" si="191"/>
        <v>-3126.4071210448519</v>
      </c>
      <c r="AG78" s="35">
        <f t="shared" si="191"/>
        <v>-15795.133331288738</v>
      </c>
      <c r="AH78" s="35">
        <f t="shared" si="191"/>
        <v>-662.50306301291232</v>
      </c>
      <c r="AI78" s="35">
        <f t="shared" si="191"/>
        <v>-2089.1489532975133</v>
      </c>
      <c r="AJ78" s="35">
        <f t="shared" ref="AJ78:BO78" si="192">AJ65</f>
        <v>-3661.0213095311201</v>
      </c>
      <c r="AK78" s="35">
        <f t="shared" si="192"/>
        <v>-16969.204415180586</v>
      </c>
      <c r="AL78" s="35">
        <f t="shared" si="192"/>
        <v>-1086.347967941113</v>
      </c>
      <c r="AM78" s="35">
        <f t="shared" si="192"/>
        <v>-2585.4985302967625</v>
      </c>
      <c r="AN78" s="35">
        <f t="shared" si="192"/>
        <v>-4242.1421777414662</v>
      </c>
      <c r="AO78" s="35">
        <f t="shared" si="192"/>
        <v>-18222.077928081835</v>
      </c>
      <c r="AP78" s="35">
        <f t="shared" si="192"/>
        <v>-1551.8451761966139</v>
      </c>
      <c r="AQ78" s="35">
        <f t="shared" si="192"/>
        <v>-3131.6845398609212</v>
      </c>
      <c r="AR78" s="35">
        <f t="shared" si="192"/>
        <v>-4877.8796953612646</v>
      </c>
      <c r="AS78" s="35">
        <f t="shared" si="192"/>
        <v>-19563.573079396912</v>
      </c>
      <c r="AT78" s="35">
        <f t="shared" si="192"/>
        <v>-1974.1466928311438</v>
      </c>
      <c r="AU78" s="35">
        <f t="shared" si="192"/>
        <v>-3624.7138673851296</v>
      </c>
      <c r="AV78" s="35">
        <f t="shared" si="192"/>
        <v>-5412.9997461380117</v>
      </c>
      <c r="AW78" s="35">
        <f t="shared" si="192"/>
        <v>-20759.012000800649</v>
      </c>
      <c r="AX78" s="35">
        <f t="shared" si="192"/>
        <v>-2111.5296813985974</v>
      </c>
      <c r="AY78" s="35">
        <f t="shared" si="192"/>
        <v>-3844.3226693395277</v>
      </c>
      <c r="AZ78" s="35">
        <f t="shared" si="192"/>
        <v>-5722.0228420300518</v>
      </c>
      <c r="BA78" s="35">
        <f t="shared" si="192"/>
        <v>-21835.335709425821</v>
      </c>
      <c r="BB78" s="35">
        <f t="shared" si="192"/>
        <v>-2910.6862185734499</v>
      </c>
      <c r="BC78" s="35">
        <f t="shared" si="192"/>
        <v>-5257.9508534085762</v>
      </c>
      <c r="BD78" s="35">
        <f t="shared" si="192"/>
        <v>-7801.9317325376751</v>
      </c>
      <c r="BE78" s="35">
        <f t="shared" si="192"/>
        <v>-29632.871746428707</v>
      </c>
      <c r="BF78" s="35">
        <f t="shared" si="192"/>
        <v>-3106.1245990839234</v>
      </c>
      <c r="BG78" s="35">
        <f t="shared" si="192"/>
        <v>-5570.3620845759624</v>
      </c>
      <c r="BH78" s="35">
        <f t="shared" si="192"/>
        <v>-8241.5420076615155</v>
      </c>
      <c r="BI78" s="35">
        <f t="shared" si="192"/>
        <v>-31164.029022247112</v>
      </c>
      <c r="BJ78" s="35">
        <f t="shared" si="192"/>
        <v>-3311.3348986199198</v>
      </c>
      <c r="BK78" s="35">
        <f t="shared" si="192"/>
        <v>-5898.393877301718</v>
      </c>
      <c r="BL78" s="35">
        <f t="shared" si="192"/>
        <v>-8703.1327965415512</v>
      </c>
      <c r="BM78" s="35">
        <f t="shared" si="192"/>
        <v>-32771.744161856426</v>
      </c>
      <c r="BN78" s="35">
        <f t="shared" si="192"/>
        <v>-3526.8057131327168</v>
      </c>
      <c r="BO78" s="35">
        <f t="shared" si="192"/>
        <v>-6242.8272596637653</v>
      </c>
      <c r="BP78" s="35">
        <f t="shared" ref="BP78:CN78" si="193">BP65</f>
        <v>-9187.8031248655861</v>
      </c>
      <c r="BQ78" s="35">
        <f t="shared" si="193"/>
        <v>-34459.845058446212</v>
      </c>
      <c r="BR78" s="35">
        <f t="shared" si="193"/>
        <v>-3753.0500683711552</v>
      </c>
      <c r="BS78" s="35">
        <f t="shared" si="193"/>
        <v>-6604.48231114391</v>
      </c>
      <c r="BT78" s="35">
        <f t="shared" si="193"/>
        <v>-9696.7069696058225</v>
      </c>
      <c r="BU78" s="35">
        <f t="shared" si="193"/>
        <v>-36232.35099986547</v>
      </c>
      <c r="BV78" s="35">
        <f t="shared" si="193"/>
        <v>-3990.6066413715134</v>
      </c>
      <c r="BW78" s="35">
        <f t="shared" si="193"/>
        <v>-6984.2201151980644</v>
      </c>
      <c r="BX78" s="35">
        <f t="shared" si="193"/>
        <v>-10231.056006583069</v>
      </c>
      <c r="BY78" s="35">
        <f t="shared" si="193"/>
        <v>-38093.482238355718</v>
      </c>
      <c r="BZ78" s="35">
        <f t="shared" si="193"/>
        <v>-4240.0410430218899</v>
      </c>
      <c r="CA78" s="35">
        <f t="shared" si="193"/>
        <v>-7382.9448094549216</v>
      </c>
      <c r="CB78" s="35">
        <f t="shared" si="193"/>
        <v>-10792.122495409183</v>
      </c>
      <c r="CC78" s="35">
        <f t="shared" si="193"/>
        <v>-40047.670038770448</v>
      </c>
      <c r="CD78" s="35">
        <f t="shared" si="193"/>
        <v>-4501.9471647547853</v>
      </c>
      <c r="CE78" s="35">
        <f t="shared" si="193"/>
        <v>-7801.6057384246278</v>
      </c>
      <c r="CF78" s="35">
        <f t="shared" si="193"/>
        <v>-11381.242308676599</v>
      </c>
      <c r="CG78" s="35">
        <f t="shared" si="193"/>
        <v>-42099.567229205932</v>
      </c>
      <c r="CH78" s="35">
        <f t="shared" si="193"/>
        <v>-4776.9485925743274</v>
      </c>
      <c r="CI78" s="35">
        <f t="shared" si="193"/>
        <v>-8241.199713842816</v>
      </c>
      <c r="CJ78" s="35">
        <f t="shared" si="193"/>
        <v>-11999.818112607391</v>
      </c>
      <c r="CK78" s="35">
        <f t="shared" si="193"/>
        <v>-44254.059279163193</v>
      </c>
      <c r="CL78" s="35">
        <f t="shared" si="193"/>
        <v>-5065.7000917848463</v>
      </c>
      <c r="CM78" s="35">
        <f t="shared" si="193"/>
        <v>-8702.7733880319138</v>
      </c>
      <c r="CN78" s="35">
        <f t="shared" si="193"/>
        <v>-12649.322706734716</v>
      </c>
      <c r="CO78" s="35"/>
    </row>
    <row r="79" spans="1:93" ht="12.75" customHeight="1">
      <c r="A79" s="35"/>
      <c r="B79" s="63" t="s">
        <v>174</v>
      </c>
      <c r="C79" s="35">
        <f t="shared" si="189"/>
        <v>1433476.8546190092</v>
      </c>
      <c r="D79" s="60">
        <f t="shared" ref="D79:CN79" si="194">-D151-D150</f>
        <v>0</v>
      </c>
      <c r="E79" s="35">
        <f t="shared" si="194"/>
        <v>0</v>
      </c>
      <c r="F79" s="35">
        <f t="shared" si="194"/>
        <v>0</v>
      </c>
      <c r="G79" s="35">
        <f t="shared" si="194"/>
        <v>0</v>
      </c>
      <c r="H79" s="35">
        <f t="shared" si="194"/>
        <v>0</v>
      </c>
      <c r="I79" s="35">
        <f t="shared" si="194"/>
        <v>0</v>
      </c>
      <c r="J79" s="35">
        <f t="shared" si="194"/>
        <v>0</v>
      </c>
      <c r="K79" s="35">
        <f t="shared" si="194"/>
        <v>0</v>
      </c>
      <c r="L79" s="35">
        <f t="shared" si="194"/>
        <v>0</v>
      </c>
      <c r="M79" s="35">
        <f t="shared" si="194"/>
        <v>0</v>
      </c>
      <c r="N79" s="35">
        <f t="shared" si="194"/>
        <v>0</v>
      </c>
      <c r="O79" s="35">
        <f t="shared" si="194"/>
        <v>0</v>
      </c>
      <c r="P79" s="35">
        <f t="shared" si="194"/>
        <v>0</v>
      </c>
      <c r="Q79" s="35">
        <f t="shared" si="194"/>
        <v>0</v>
      </c>
      <c r="R79" s="35">
        <f t="shared" si="194"/>
        <v>0</v>
      </c>
      <c r="S79" s="35">
        <f t="shared" si="194"/>
        <v>0</v>
      </c>
      <c r="T79" s="35">
        <f t="shared" si="194"/>
        <v>0</v>
      </c>
      <c r="U79" s="35">
        <f t="shared" si="194"/>
        <v>0</v>
      </c>
      <c r="V79" s="35">
        <f t="shared" si="194"/>
        <v>-74.690379853385437</v>
      </c>
      <c r="W79" s="35">
        <f t="shared" si="194"/>
        <v>7109.4379899159121</v>
      </c>
      <c r="X79" s="35">
        <f t="shared" si="194"/>
        <v>9689.5111358602189</v>
      </c>
      <c r="Y79" s="35">
        <f t="shared" si="194"/>
        <v>31850.642597066828</v>
      </c>
      <c r="Z79" s="35">
        <f t="shared" si="194"/>
        <v>4897.0242985651412</v>
      </c>
      <c r="AA79" s="35">
        <f t="shared" si="194"/>
        <v>7567.8468425747869</v>
      </c>
      <c r="AB79" s="35">
        <f t="shared" si="194"/>
        <v>10287.588942602517</v>
      </c>
      <c r="AC79" s="35">
        <f t="shared" si="194"/>
        <v>33883.88457738232</v>
      </c>
      <c r="AD79" s="35">
        <f t="shared" si="194"/>
        <v>5124.1713315626357</v>
      </c>
      <c r="AE79" s="35">
        <f t="shared" si="194"/>
        <v>7915.2407710176294</v>
      </c>
      <c r="AF79" s="35">
        <f t="shared" si="194"/>
        <v>10757.873118587493</v>
      </c>
      <c r="AG79" s="35">
        <f t="shared" si="194"/>
        <v>35464.896737634735</v>
      </c>
      <c r="AH79" s="35">
        <f t="shared" si="194"/>
        <v>5380.379898140769</v>
      </c>
      <c r="AI79" s="35">
        <f t="shared" si="194"/>
        <v>8311.002809568512</v>
      </c>
      <c r="AJ79" s="35">
        <f t="shared" si="194"/>
        <v>11295.766774516869</v>
      </c>
      <c r="AK79" s="35">
        <f t="shared" si="194"/>
        <v>37238.14157451647</v>
      </c>
      <c r="AL79" s="35">
        <f t="shared" si="194"/>
        <v>5649.3988930478063</v>
      </c>
      <c r="AM79" s="35">
        <f t="shared" si="194"/>
        <v>8726.5529500469383</v>
      </c>
      <c r="AN79" s="35">
        <f t="shared" si="194"/>
        <v>11860.555113242714</v>
      </c>
      <c r="AO79" s="35">
        <f t="shared" si="194"/>
        <v>39100.048653242287</v>
      </c>
      <c r="AP79" s="35">
        <f t="shared" si="194"/>
        <v>5931.8688377001981</v>
      </c>
      <c r="AQ79" s="35">
        <f t="shared" si="194"/>
        <v>9162.8805975492851</v>
      </c>
      <c r="AR79" s="35">
        <f t="shared" si="194"/>
        <v>12453.582868904847</v>
      </c>
      <c r="AS79" s="35">
        <f t="shared" si="194"/>
        <v>41055.051085904408</v>
      </c>
      <c r="AT79" s="35">
        <f t="shared" si="194"/>
        <v>6228.4622795852119</v>
      </c>
      <c r="AU79" s="35">
        <f t="shared" si="194"/>
        <v>9621.0246274267502</v>
      </c>
      <c r="AV79" s="35">
        <f t="shared" si="194"/>
        <v>13076.262012350089</v>
      </c>
      <c r="AW79" s="35">
        <f t="shared" si="194"/>
        <v>43107.803640199636</v>
      </c>
      <c r="AX79" s="35">
        <f t="shared" si="194"/>
        <v>6539.8853935644702</v>
      </c>
      <c r="AY79" s="35">
        <f t="shared" si="194"/>
        <v>10102.075858798087</v>
      </c>
      <c r="AZ79" s="35">
        <f t="shared" si="194"/>
        <v>13730.075112967592</v>
      </c>
      <c r="BA79" s="35">
        <f t="shared" si="194"/>
        <v>45263.193822209607</v>
      </c>
      <c r="BB79" s="35">
        <f t="shared" si="194"/>
        <v>6866.8796632426947</v>
      </c>
      <c r="BC79" s="35">
        <f t="shared" si="194"/>
        <v>10607.179651737992</v>
      </c>
      <c r="BD79" s="35">
        <f t="shared" si="194"/>
        <v>14416.578868615976</v>
      </c>
      <c r="BE79" s="35">
        <f t="shared" si="194"/>
        <v>47526.353513320086</v>
      </c>
      <c r="BF79" s="35">
        <f t="shared" si="194"/>
        <v>7210.2236464048292</v>
      </c>
      <c r="BG79" s="35">
        <f t="shared" si="194"/>
        <v>11137.53863432489</v>
      </c>
      <c r="BH79" s="35">
        <f t="shared" si="194"/>
        <v>15137.407812046775</v>
      </c>
      <c r="BI79" s="35">
        <f t="shared" si="194"/>
        <v>49902.671188986111</v>
      </c>
      <c r="BJ79" s="35">
        <f t="shared" si="194"/>
        <v>7570.7348287250697</v>
      </c>
      <c r="BK79" s="35">
        <f t="shared" si="194"/>
        <v>11694.415566041136</v>
      </c>
      <c r="BL79" s="35">
        <f t="shared" si="194"/>
        <v>15894.278202649111</v>
      </c>
      <c r="BM79" s="35">
        <f t="shared" si="194"/>
        <v>52397.80474843541</v>
      </c>
      <c r="BN79" s="35">
        <f t="shared" si="194"/>
        <v>7949.2715701613251</v>
      </c>
      <c r="BO79" s="35">
        <f t="shared" si="194"/>
        <v>12279.136344343198</v>
      </c>
      <c r="BP79" s="35">
        <f t="shared" si="194"/>
        <v>16688.992112781569</v>
      </c>
      <c r="BQ79" s="35">
        <f t="shared" si="194"/>
        <v>55017.69498585719</v>
      </c>
      <c r="BR79" s="35">
        <f t="shared" si="194"/>
        <v>8346.7351486693915</v>
      </c>
      <c r="BS79" s="35">
        <f t="shared" si="194"/>
        <v>12893.093161560359</v>
      </c>
      <c r="BT79" s="35">
        <f t="shared" si="194"/>
        <v>17523.44171842065</v>
      </c>
      <c r="BU79" s="35">
        <f t="shared" si="194"/>
        <v>57768.579735150044</v>
      </c>
      <c r="BV79" s="35">
        <f t="shared" si="194"/>
        <v>8764.0719061028612</v>
      </c>
      <c r="BW79" s="35">
        <f t="shared" si="194"/>
        <v>13537.747819638374</v>
      </c>
      <c r="BX79" s="35">
        <f t="shared" si="194"/>
        <v>18399.613804341683</v>
      </c>
      <c r="BY79" s="35">
        <f t="shared" si="194"/>
        <v>60657.008721907558</v>
      </c>
      <c r="BZ79" s="35">
        <f t="shared" si="194"/>
        <v>9202.2755014080049</v>
      </c>
      <c r="CA79" s="35">
        <f t="shared" si="194"/>
        <v>14214.635210620294</v>
      </c>
      <c r="CB79" s="35">
        <f t="shared" si="194"/>
        <v>19319.594494558765</v>
      </c>
      <c r="CC79" s="35">
        <f t="shared" si="194"/>
        <v>63689.859158002932</v>
      </c>
      <c r="CD79" s="35">
        <f t="shared" si="194"/>
        <v>9662.3892764784068</v>
      </c>
      <c r="CE79" s="35">
        <f t="shared" si="194"/>
        <v>14925.366971151305</v>
      </c>
      <c r="CF79" s="35">
        <f t="shared" si="194"/>
        <v>20285.574219286707</v>
      </c>
      <c r="CG79" s="35">
        <f t="shared" si="194"/>
        <v>66874.352115903064</v>
      </c>
      <c r="CH79" s="35">
        <f t="shared" si="194"/>
        <v>10145.508740302328</v>
      </c>
      <c r="CI79" s="35">
        <f t="shared" si="194"/>
        <v>15671.635319708872</v>
      </c>
      <c r="CJ79" s="35">
        <f t="shared" si="194"/>
        <v>21299.85293025104</v>
      </c>
      <c r="CK79" s="35">
        <f t="shared" si="194"/>
        <v>70218.069721698237</v>
      </c>
      <c r="CL79" s="35">
        <f t="shared" si="194"/>
        <v>10652.78417731744</v>
      </c>
      <c r="CM79" s="35">
        <f t="shared" si="194"/>
        <v>16455.217085694323</v>
      </c>
      <c r="CN79" s="35">
        <f t="shared" si="194"/>
        <v>22364.845576763593</v>
      </c>
      <c r="CO79" s="35"/>
    </row>
    <row r="80" spans="1:93" ht="12.75" customHeight="1">
      <c r="A80" s="88"/>
      <c r="B80" s="89" t="s">
        <v>175</v>
      </c>
      <c r="C80" s="88">
        <f t="shared" si="189"/>
        <v>-1433476.8546190092</v>
      </c>
      <c r="D80" s="60">
        <f t="shared" ref="D80:CN80" si="195">MIN(SUM(D149:D151),0)</f>
        <v>0</v>
      </c>
      <c r="E80" s="88">
        <f t="shared" si="195"/>
        <v>0</v>
      </c>
      <c r="F80" s="88">
        <f t="shared" si="195"/>
        <v>0</v>
      </c>
      <c r="G80" s="88">
        <f t="shared" si="195"/>
        <v>0</v>
      </c>
      <c r="H80" s="88">
        <f t="shared" si="195"/>
        <v>0</v>
      </c>
      <c r="I80" s="88">
        <f t="shared" si="195"/>
        <v>0</v>
      </c>
      <c r="J80" s="88">
        <f t="shared" si="195"/>
        <v>0</v>
      </c>
      <c r="K80" s="88">
        <f t="shared" si="195"/>
        <v>0</v>
      </c>
      <c r="L80" s="88">
        <f t="shared" si="195"/>
        <v>0</v>
      </c>
      <c r="M80" s="88">
        <f t="shared" si="195"/>
        <v>0</v>
      </c>
      <c r="N80" s="88">
        <f t="shared" si="195"/>
        <v>0</v>
      </c>
      <c r="O80" s="88">
        <f t="shared" si="195"/>
        <v>0</v>
      </c>
      <c r="P80" s="88">
        <f t="shared" si="195"/>
        <v>0</v>
      </c>
      <c r="Q80" s="88">
        <f t="shared" si="195"/>
        <v>0</v>
      </c>
      <c r="R80" s="88">
        <f t="shared" si="195"/>
        <v>0</v>
      </c>
      <c r="S80" s="88">
        <f t="shared" si="195"/>
        <v>0</v>
      </c>
      <c r="T80" s="88">
        <f t="shared" si="195"/>
        <v>0</v>
      </c>
      <c r="U80" s="88">
        <f t="shared" si="195"/>
        <v>0</v>
      </c>
      <c r="V80" s="88">
        <f t="shared" si="195"/>
        <v>0</v>
      </c>
      <c r="W80" s="88">
        <f t="shared" si="195"/>
        <v>-7034.7476100625272</v>
      </c>
      <c r="X80" s="88">
        <f t="shared" si="195"/>
        <v>-9689.5111358602189</v>
      </c>
      <c r="Y80" s="88">
        <f t="shared" si="195"/>
        <v>-31850.642597066828</v>
      </c>
      <c r="Z80" s="88">
        <f t="shared" si="195"/>
        <v>-4897.0242985651412</v>
      </c>
      <c r="AA80" s="88">
        <f t="shared" si="195"/>
        <v>-7567.8468425747869</v>
      </c>
      <c r="AB80" s="88">
        <f t="shared" si="195"/>
        <v>-10287.588942602517</v>
      </c>
      <c r="AC80" s="88">
        <f t="shared" si="195"/>
        <v>-33883.88457738232</v>
      </c>
      <c r="AD80" s="88">
        <f t="shared" si="195"/>
        <v>-5124.1713315626357</v>
      </c>
      <c r="AE80" s="88">
        <f t="shared" si="195"/>
        <v>-7915.2407710176294</v>
      </c>
      <c r="AF80" s="88">
        <f t="shared" si="195"/>
        <v>-10757.873118587493</v>
      </c>
      <c r="AG80" s="88">
        <f t="shared" si="195"/>
        <v>-35464.896737634735</v>
      </c>
      <c r="AH80" s="88">
        <f t="shared" si="195"/>
        <v>-5380.379898140769</v>
      </c>
      <c r="AI80" s="88">
        <f t="shared" si="195"/>
        <v>-8311.002809568512</v>
      </c>
      <c r="AJ80" s="88">
        <f t="shared" si="195"/>
        <v>-11295.766774516869</v>
      </c>
      <c r="AK80" s="35">
        <f t="shared" si="195"/>
        <v>-37238.14157451647</v>
      </c>
      <c r="AL80" s="88">
        <f t="shared" si="195"/>
        <v>-5649.3988930478063</v>
      </c>
      <c r="AM80" s="88">
        <f t="shared" si="195"/>
        <v>-8726.5529500469383</v>
      </c>
      <c r="AN80" s="88">
        <f t="shared" si="195"/>
        <v>-11860.555113242714</v>
      </c>
      <c r="AO80" s="88">
        <f t="shared" si="195"/>
        <v>-39100.048653242287</v>
      </c>
      <c r="AP80" s="88">
        <f t="shared" si="195"/>
        <v>-5931.8688377001981</v>
      </c>
      <c r="AQ80" s="88">
        <f t="shared" si="195"/>
        <v>-9162.8805975492851</v>
      </c>
      <c r="AR80" s="88">
        <f t="shared" si="195"/>
        <v>-12453.582868904847</v>
      </c>
      <c r="AS80" s="88">
        <f t="shared" si="195"/>
        <v>-41055.051085904408</v>
      </c>
      <c r="AT80" s="88">
        <f t="shared" si="195"/>
        <v>-6228.4622795852119</v>
      </c>
      <c r="AU80" s="88">
        <f t="shared" si="195"/>
        <v>-9621.0246274267502</v>
      </c>
      <c r="AV80" s="88">
        <f t="shared" si="195"/>
        <v>-13076.262012350089</v>
      </c>
      <c r="AW80" s="88">
        <f t="shared" si="195"/>
        <v>-43107.803640199636</v>
      </c>
      <c r="AX80" s="88">
        <f t="shared" si="195"/>
        <v>-6539.8853935644702</v>
      </c>
      <c r="AY80" s="88">
        <f t="shared" si="195"/>
        <v>-10102.075858798087</v>
      </c>
      <c r="AZ80" s="88">
        <f t="shared" si="195"/>
        <v>-13730.075112967592</v>
      </c>
      <c r="BA80" s="88">
        <f t="shared" si="195"/>
        <v>-45263.193822209607</v>
      </c>
      <c r="BB80" s="88">
        <f t="shared" si="195"/>
        <v>-6866.8796632426947</v>
      </c>
      <c r="BC80" s="88">
        <f t="shared" si="195"/>
        <v>-10607.179651737992</v>
      </c>
      <c r="BD80" s="88">
        <f t="shared" si="195"/>
        <v>-14416.578868615976</v>
      </c>
      <c r="BE80" s="88">
        <f t="shared" si="195"/>
        <v>-47526.353513320086</v>
      </c>
      <c r="BF80" s="88">
        <f t="shared" si="195"/>
        <v>-7210.2236464048292</v>
      </c>
      <c r="BG80" s="88">
        <f t="shared" si="195"/>
        <v>-11137.53863432489</v>
      </c>
      <c r="BH80" s="88">
        <f t="shared" si="195"/>
        <v>-15137.407812046775</v>
      </c>
      <c r="BI80" s="88">
        <f t="shared" si="195"/>
        <v>-49902.671188986111</v>
      </c>
      <c r="BJ80" s="88">
        <f t="shared" si="195"/>
        <v>-7570.7348287250697</v>
      </c>
      <c r="BK80" s="88">
        <f t="shared" si="195"/>
        <v>-11694.415566041136</v>
      </c>
      <c r="BL80" s="88">
        <f t="shared" si="195"/>
        <v>-15894.278202649111</v>
      </c>
      <c r="BM80" s="88">
        <f t="shared" si="195"/>
        <v>-52397.80474843541</v>
      </c>
      <c r="BN80" s="88">
        <f t="shared" si="195"/>
        <v>-7949.2715701613251</v>
      </c>
      <c r="BO80" s="88">
        <f t="shared" si="195"/>
        <v>-12279.136344343198</v>
      </c>
      <c r="BP80" s="88">
        <f t="shared" si="195"/>
        <v>-16688.992112781569</v>
      </c>
      <c r="BQ80" s="88">
        <f t="shared" si="195"/>
        <v>-55017.69498585719</v>
      </c>
      <c r="BR80" s="88">
        <f t="shared" si="195"/>
        <v>-8346.7351486693915</v>
      </c>
      <c r="BS80" s="88">
        <f t="shared" si="195"/>
        <v>-12893.093161560359</v>
      </c>
      <c r="BT80" s="88">
        <f t="shared" si="195"/>
        <v>-17523.44171842065</v>
      </c>
      <c r="BU80" s="88">
        <f t="shared" si="195"/>
        <v>-57768.579735150044</v>
      </c>
      <c r="BV80" s="88">
        <f t="shared" si="195"/>
        <v>-8764.0719061028612</v>
      </c>
      <c r="BW80" s="88">
        <f t="shared" si="195"/>
        <v>-13537.747819638374</v>
      </c>
      <c r="BX80" s="88">
        <f t="shared" si="195"/>
        <v>-18399.613804341683</v>
      </c>
      <c r="BY80" s="88">
        <f t="shared" si="195"/>
        <v>-60657.008721907558</v>
      </c>
      <c r="BZ80" s="88">
        <f t="shared" si="195"/>
        <v>-9202.2755014080049</v>
      </c>
      <c r="CA80" s="88">
        <f t="shared" si="195"/>
        <v>-14214.635210620294</v>
      </c>
      <c r="CB80" s="88">
        <f t="shared" si="195"/>
        <v>-19319.594494558765</v>
      </c>
      <c r="CC80" s="88">
        <f t="shared" si="195"/>
        <v>-63689.859158002932</v>
      </c>
      <c r="CD80" s="88">
        <f t="shared" si="195"/>
        <v>-9662.3892764784068</v>
      </c>
      <c r="CE80" s="88">
        <f t="shared" si="195"/>
        <v>-14925.366971151305</v>
      </c>
      <c r="CF80" s="88">
        <f t="shared" si="195"/>
        <v>-20285.574219286707</v>
      </c>
      <c r="CG80" s="88">
        <f t="shared" si="195"/>
        <v>-66874.352115903064</v>
      </c>
      <c r="CH80" s="88">
        <f t="shared" si="195"/>
        <v>-10145.508740302328</v>
      </c>
      <c r="CI80" s="88">
        <f t="shared" si="195"/>
        <v>-15671.635319708872</v>
      </c>
      <c r="CJ80" s="88">
        <f t="shared" si="195"/>
        <v>-21299.85293025104</v>
      </c>
      <c r="CK80" s="88">
        <f t="shared" si="195"/>
        <v>-70218.069721698237</v>
      </c>
      <c r="CL80" s="88">
        <f t="shared" si="195"/>
        <v>-10652.78417731744</v>
      </c>
      <c r="CM80" s="88">
        <f t="shared" si="195"/>
        <v>-16455.217085694323</v>
      </c>
      <c r="CN80" s="88">
        <f t="shared" si="195"/>
        <v>-22364.845576763593</v>
      </c>
      <c r="CO80" s="88"/>
    </row>
    <row r="81" spans="1:93" ht="12.75" customHeight="1">
      <c r="A81" s="37"/>
      <c r="B81" s="70" t="s">
        <v>176</v>
      </c>
      <c r="C81" s="70">
        <f t="shared" si="189"/>
        <v>3410302.6914108857</v>
      </c>
      <c r="D81" s="71">
        <f t="shared" ref="D81:AI81" si="196">SUM(D71:D80)</f>
        <v>0</v>
      </c>
      <c r="E81" s="70">
        <f t="shared" si="196"/>
        <v>-300</v>
      </c>
      <c r="F81" s="70">
        <f t="shared" si="196"/>
        <v>-300</v>
      </c>
      <c r="G81" s="70">
        <f t="shared" si="196"/>
        <v>-300</v>
      </c>
      <c r="H81" s="70">
        <f t="shared" si="196"/>
        <v>-300</v>
      </c>
      <c r="I81" s="70">
        <f t="shared" si="196"/>
        <v>-300</v>
      </c>
      <c r="J81" s="70">
        <f t="shared" si="196"/>
        <v>-300</v>
      </c>
      <c r="K81" s="70">
        <f t="shared" si="196"/>
        <v>-300</v>
      </c>
      <c r="L81" s="70">
        <f t="shared" si="196"/>
        <v>-300</v>
      </c>
      <c r="M81" s="70">
        <f t="shared" si="196"/>
        <v>-300</v>
      </c>
      <c r="N81" s="70">
        <f t="shared" si="196"/>
        <v>-300</v>
      </c>
      <c r="O81" s="70">
        <f t="shared" si="196"/>
        <v>-300</v>
      </c>
      <c r="P81" s="70">
        <f t="shared" si="196"/>
        <v>-300</v>
      </c>
      <c r="Q81" s="70">
        <f t="shared" si="196"/>
        <v>-300</v>
      </c>
      <c r="R81" s="70">
        <f t="shared" si="196"/>
        <v>-300</v>
      </c>
      <c r="S81" s="70">
        <f t="shared" si="196"/>
        <v>-300</v>
      </c>
      <c r="T81" s="70">
        <f t="shared" si="196"/>
        <v>-300</v>
      </c>
      <c r="U81" s="70">
        <f t="shared" si="196"/>
        <v>-300</v>
      </c>
      <c r="V81" s="70">
        <f t="shared" si="196"/>
        <v>-36.876738179597524</v>
      </c>
      <c r="W81" s="70">
        <f t="shared" si="196"/>
        <v>18714.495140139057</v>
      </c>
      <c r="X81" s="70">
        <f t="shared" si="196"/>
        <v>26968.874847366078</v>
      </c>
      <c r="Y81" s="70">
        <f t="shared" si="196"/>
        <v>90669.157092123205</v>
      </c>
      <c r="Z81" s="70">
        <f t="shared" si="196"/>
        <v>5020.7671499619764</v>
      </c>
      <c r="AA81" s="70">
        <f t="shared" si="196"/>
        <v>17128.314301003011</v>
      </c>
      <c r="AB81" s="70">
        <f t="shared" si="196"/>
        <v>26149.579862648825</v>
      </c>
      <c r="AC81" s="70">
        <f t="shared" si="196"/>
        <v>91386.810426001088</v>
      </c>
      <c r="AD81" s="70">
        <f t="shared" si="196"/>
        <v>5062.9703432770702</v>
      </c>
      <c r="AE81" s="70">
        <f t="shared" si="196"/>
        <v>17696.158483392399</v>
      </c>
      <c r="AF81" s="70">
        <f t="shared" si="196"/>
        <v>27190.369266252674</v>
      </c>
      <c r="AG81" s="70">
        <f t="shared" si="196"/>
        <v>95497.928957008524</v>
      </c>
      <c r="AH81" s="70">
        <f t="shared" si="196"/>
        <v>5195.438896892394</v>
      </c>
      <c r="AI81" s="70">
        <f t="shared" si="196"/>
        <v>18441.164876989766</v>
      </c>
      <c r="AJ81" s="70">
        <f t="shared" ref="AJ81:BO81" si="197">SUM(AJ71:AJ80)</f>
        <v>28404.162339616061</v>
      </c>
      <c r="AK81" s="70">
        <f t="shared" si="197"/>
        <v>100114.43142105544</v>
      </c>
      <c r="AL81" s="70">
        <f t="shared" si="197"/>
        <v>5504.5929094059957</v>
      </c>
      <c r="AM81" s="70">
        <f t="shared" si="197"/>
        <v>19177.082944474132</v>
      </c>
      <c r="AN81" s="70">
        <f t="shared" si="197"/>
        <v>29658.869096347888</v>
      </c>
      <c r="AO81" s="70">
        <f t="shared" si="197"/>
        <v>104955.28855185964</v>
      </c>
      <c r="AP81" s="70">
        <f t="shared" si="197"/>
        <v>5387.3025478124382</v>
      </c>
      <c r="AQ81" s="70">
        <f t="shared" si="197"/>
        <v>19979.751765124631</v>
      </c>
      <c r="AR81" s="70">
        <f t="shared" si="197"/>
        <v>30950.750584917314</v>
      </c>
      <c r="AS81" s="70">
        <f t="shared" si="197"/>
        <v>110005.23016702646</v>
      </c>
      <c r="AT81" s="70">
        <f t="shared" si="197"/>
        <v>5546.4787652873747</v>
      </c>
      <c r="AU81" s="70">
        <f t="shared" si="197"/>
        <v>20874.862695334486</v>
      </c>
      <c r="AV81" s="70">
        <f t="shared" si="197"/>
        <v>32439.630490639298</v>
      </c>
      <c r="AW81" s="70">
        <f t="shared" si="197"/>
        <v>115520.7998504287</v>
      </c>
      <c r="AX81" s="70">
        <f t="shared" si="197"/>
        <v>6019.6473975348554</v>
      </c>
      <c r="AY81" s="70">
        <f t="shared" si="197"/>
        <v>22112.801164000841</v>
      </c>
      <c r="AZ81" s="70">
        <f t="shared" si="197"/>
        <v>34255.807349070892</v>
      </c>
      <c r="BA81" s="70">
        <f t="shared" si="197"/>
        <v>121482.95448040779</v>
      </c>
      <c r="BB81" s="70">
        <f t="shared" si="197"/>
        <v>6111.4556257537715</v>
      </c>
      <c r="BC81" s="70">
        <f t="shared" si="197"/>
        <v>22197.002003474416</v>
      </c>
      <c r="BD81" s="70">
        <f t="shared" si="197"/>
        <v>34407.358410603105</v>
      </c>
      <c r="BE81" s="70">
        <f t="shared" si="197"/>
        <v>121092.3861266454</v>
      </c>
      <c r="BF81" s="70">
        <f t="shared" si="197"/>
        <v>6339.2648436536674</v>
      </c>
      <c r="BG81" s="70">
        <f t="shared" si="197"/>
        <v>23524.132248775619</v>
      </c>
      <c r="BH81" s="70">
        <f t="shared" si="197"/>
        <v>36310.781085121096</v>
      </c>
      <c r="BI81" s="70">
        <f t="shared" si="197"/>
        <v>127330.06018696557</v>
      </c>
      <c r="BJ81" s="70">
        <f t="shared" si="197"/>
        <v>6840.8443641635422</v>
      </c>
      <c r="BK81" s="70">
        <f t="shared" si="197"/>
        <v>24883.393615202222</v>
      </c>
      <c r="BL81" s="70">
        <f t="shared" si="197"/>
        <v>38309.374893364991</v>
      </c>
      <c r="BM81" s="70">
        <f t="shared" si="197"/>
        <v>133879.61795030168</v>
      </c>
      <c r="BN81" s="70">
        <f t="shared" si="197"/>
        <v>7367.5028606989345</v>
      </c>
      <c r="BO81" s="70">
        <f t="shared" si="197"/>
        <v>26310.618049950172</v>
      </c>
      <c r="BP81" s="70">
        <f t="shared" ref="BP81:CN81" si="198">SUM(BP71:BP80)</f>
        <v>40407.898392021074</v>
      </c>
      <c r="BQ81" s="70">
        <f t="shared" si="198"/>
        <v>140746.83146477502</v>
      </c>
      <c r="BR81" s="70">
        <f t="shared" si="198"/>
        <v>8224.2317463264008</v>
      </c>
      <c r="BS81" s="70">
        <f t="shared" si="198"/>
        <v>27769.583538017472</v>
      </c>
      <c r="BT81" s="70">
        <f t="shared" si="198"/>
        <v>42611.348065609956</v>
      </c>
      <c r="BU81" s="70">
        <f t="shared" si="198"/>
        <v>147977.54103588266</v>
      </c>
      <c r="BV81" s="70">
        <f t="shared" si="198"/>
        <v>8501.1352744913456</v>
      </c>
      <c r="BW81" s="70">
        <f t="shared" si="198"/>
        <v>29382.718645745124</v>
      </c>
      <c r="BX81" s="70">
        <f t="shared" si="198"/>
        <v>44924.97022287827</v>
      </c>
      <c r="BY81" s="70">
        <f t="shared" si="198"/>
        <v>155559.47284166474</v>
      </c>
      <c r="BZ81" s="70">
        <f t="shared" si="198"/>
        <v>9110.8083165431071</v>
      </c>
      <c r="CA81" s="70">
        <f t="shared" si="198"/>
        <v>31034.909332020197</v>
      </c>
      <c r="CB81" s="70">
        <f t="shared" si="198"/>
        <v>47354.273488010018</v>
      </c>
      <c r="CC81" s="70">
        <f t="shared" si="198"/>
        <v>163520.50123773568</v>
      </c>
      <c r="CD81" s="70">
        <f t="shared" si="198"/>
        <v>9750.9650106974732</v>
      </c>
      <c r="CE81" s="70">
        <f t="shared" si="198"/>
        <v>32769.709552609049</v>
      </c>
      <c r="CF81" s="70">
        <f t="shared" si="198"/>
        <v>49905.041916398346</v>
      </c>
      <c r="CG81" s="70">
        <f t="shared" si="198"/>
        <v>171867.64218466252</v>
      </c>
      <c r="CH81" s="70">
        <f t="shared" si="198"/>
        <v>10792.3243257332</v>
      </c>
      <c r="CI81" s="70">
        <f t="shared" si="198"/>
        <v>34543.091221889146</v>
      </c>
      <c r="CJ81" s="70">
        <f t="shared" si="198"/>
        <v>52583.348766206109</v>
      </c>
      <c r="CK81" s="70">
        <f t="shared" si="198"/>
        <v>180656.61486027864</v>
      </c>
      <c r="CL81" s="70">
        <f t="shared" si="198"/>
        <v>11128.902294864754</v>
      </c>
      <c r="CM81" s="70">
        <f t="shared" si="198"/>
        <v>36503.867027426531</v>
      </c>
      <c r="CN81" s="70">
        <f t="shared" si="198"/>
        <v>55395.57095850425</v>
      </c>
      <c r="CO81" s="37"/>
    </row>
    <row r="82" spans="1:93" ht="12.75" customHeight="1">
      <c r="A82" s="35"/>
      <c r="B82" s="37" t="s">
        <v>177</v>
      </c>
      <c r="C82" s="35"/>
      <c r="D82" s="60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</row>
    <row r="83" spans="1:93" ht="12.75" customHeight="1">
      <c r="A83" s="35"/>
      <c r="B83" s="63" t="s">
        <v>178</v>
      </c>
      <c r="C83" s="35">
        <f t="shared" ref="C83:C84" si="199">SUM(D83:CN83)</f>
        <v>-727983.37500000012</v>
      </c>
      <c r="D83" s="60">
        <f>-(Финансирование!C4-'график квартальный'!C32)/10000</f>
        <v>0</v>
      </c>
      <c r="E83" s="35"/>
      <c r="F83" s="35"/>
      <c r="G83" s="35"/>
      <c r="H83" s="35"/>
      <c r="I83" s="35"/>
      <c r="J83" s="35">
        <f>-'график квартальный'!E77/1000</f>
        <v>-24266.112499999999</v>
      </c>
      <c r="K83" s="35">
        <f>-'график квартальный'!F77/1000</f>
        <v>-24266.112499999999</v>
      </c>
      <c r="L83" s="35">
        <f>-'график квартальный'!G77/1000</f>
        <v>-24266.112499999999</v>
      </c>
      <c r="M83" s="35">
        <f>-'график квартальный'!H77/1000</f>
        <v>-40645.738437499989</v>
      </c>
      <c r="N83" s="35">
        <f>-'график квартальный'!I77/1000</f>
        <v>-53385.447500000002</v>
      </c>
      <c r="O83" s="35">
        <f>-'график квартальный'!J77/1000</f>
        <v>-53385.447500000002</v>
      </c>
      <c r="P83" s="35">
        <f>-'график квартальный'!K77/1000</f>
        <v>-53385.447500000002</v>
      </c>
      <c r="Q83" s="35">
        <f>-'график квартальный'!L77/1000</f>
        <v>-77044.907187499994</v>
      </c>
      <c r="R83" s="35">
        <f>-'график квартальный'!M77/1000</f>
        <v>-71585.031875000001</v>
      </c>
      <c r="S83" s="35">
        <f>-'график квартальный'!N77/1000</f>
        <v>-141835.4275625</v>
      </c>
      <c r="T83" s="35">
        <f>-'график квартальный'!O77/1000</f>
        <v>-147295.30287499999</v>
      </c>
      <c r="U83" s="35">
        <f>-'график квартальный'!P77/1000</f>
        <v>-16622.2870625</v>
      </c>
      <c r="V83" s="35">
        <f>-'график квартальный'!V77/1000</f>
        <v>0</v>
      </c>
      <c r="W83" s="35">
        <f>-'график квартальный'!W77/1000</f>
        <v>0</v>
      </c>
      <c r="X83" s="35">
        <f>-'график квартальный'!X77/1000</f>
        <v>0</v>
      </c>
      <c r="Y83" s="35">
        <f>-'график квартальный'!Y77/1000</f>
        <v>0</v>
      </c>
      <c r="Z83" s="35">
        <f>-'график квартальный'!Z77/1000</f>
        <v>0</v>
      </c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</row>
    <row r="84" spans="1:93" ht="12.75" customHeight="1">
      <c r="A84" s="35"/>
      <c r="B84" s="63" t="s">
        <v>179</v>
      </c>
      <c r="C84" s="35">
        <f t="shared" si="199"/>
        <v>121330.5625</v>
      </c>
      <c r="D84" s="60">
        <f>IF(D9-2&lt;0,0,-B83/(1+Assump!$D$25)*Assump!$D$25)</f>
        <v>0</v>
      </c>
      <c r="E84" s="35">
        <f>IF(E9-2&lt;0,0,-C83/(1+Assump!$D$25)*Assump!$D$25)</f>
        <v>0</v>
      </c>
      <c r="F84" s="35">
        <f>IF(F9-2&lt;0,0,-D83/(1+Assump!$D$25)*Assump!$D$25)</f>
        <v>0</v>
      </c>
      <c r="G84" s="35">
        <f>IF(G9-2&lt;0,0,-E83/(1+Assump!$D$25)*Assump!$D$25)</f>
        <v>0</v>
      </c>
      <c r="H84" s="35">
        <f>IF(H9-2&lt;0,0,-F83/(1+Assump!$D$25)*Assump!$D$25)</f>
        <v>0</v>
      </c>
      <c r="I84" s="35">
        <f>IF(I9-2&lt;0,0,-G83/(1+Assump!$D$25)*Assump!$D$25)</f>
        <v>0</v>
      </c>
      <c r="J84" s="35">
        <f>IF(J9-2&lt;0,0,-H83/(1+Assump!$D$25)*Assump!$D$25)</f>
        <v>0</v>
      </c>
      <c r="K84" s="35">
        <f>IF(K9-2&lt;0,0,-I83/(1+Assump!$D$25)*Assump!$D$25)</f>
        <v>0</v>
      </c>
      <c r="L84" s="35">
        <f>IF(L9-2&lt;0,0,-J83/(1+Assump!$D$25)*Assump!$D$25)</f>
        <v>4044.3520833333337</v>
      </c>
      <c r="M84" s="35">
        <f>IF(M9-2&lt;0,0,-K83/(1+Assump!$D$25)*Assump!$D$25)</f>
        <v>4044.3520833333337</v>
      </c>
      <c r="N84" s="35">
        <f>IF(N9-2&lt;0,0,-L83/(1+Assump!$D$25)*Assump!$D$25)</f>
        <v>4044.3520833333337</v>
      </c>
      <c r="O84" s="35">
        <f>IF(O9-2&lt;0,0,-M83/(1+Assump!$D$25)*Assump!$D$25)</f>
        <v>6774.2897395833324</v>
      </c>
      <c r="P84" s="35">
        <f>IF(P9-2&lt;0,0,-N83/(1+Assump!$D$25)*Assump!$D$25)</f>
        <v>8897.5745833333331</v>
      </c>
      <c r="Q84" s="35">
        <f>IF(Q9-2&lt;0,0,-O83/(1+Assump!$D$25)*Assump!$D$25)</f>
        <v>8897.5745833333331</v>
      </c>
      <c r="R84" s="35">
        <f>IF(R9-2&lt;0,0,-P83/(1+Assump!$D$25)*Assump!$D$25)</f>
        <v>8897.5745833333331</v>
      </c>
      <c r="S84" s="35">
        <f>IF(S9-2&lt;0,0,-Q83/(1+Assump!$D$25)*Assump!$D$25)</f>
        <v>12840.817864583332</v>
      </c>
      <c r="T84" s="35">
        <f>IF(T9-2&lt;0,0,-R83/(1+Assump!$D$25)*Assump!$D$25)</f>
        <v>11930.838645833333</v>
      </c>
      <c r="U84" s="35">
        <f>IF(U9-2&lt;0,0,-S83/(1+Assump!$D$25)*Assump!$D$25)</f>
        <v>23639.237927083333</v>
      </c>
      <c r="V84" s="35">
        <f>IF(V9-2&lt;0,0,-T83/(1+Assump!$D$25)*Assump!$D$25)</f>
        <v>24549.217145833332</v>
      </c>
      <c r="W84" s="35">
        <f>IF(W9-2&lt;0,0,-U83/(1+Assump!$D$25)*Assump!$D$25)</f>
        <v>2770.3811770833336</v>
      </c>
      <c r="X84" s="35">
        <f>IF(X9-2&lt;0,0,-V83/(1+Assump!$D$25)*Assump!$D$25)</f>
        <v>0</v>
      </c>
      <c r="Y84" s="35">
        <f>IF(Y9-2&lt;0,0,-W83/(1+Assump!$D$25)*Assump!$D$25)</f>
        <v>0</v>
      </c>
      <c r="Z84" s="35">
        <f>IF(Z9-2&lt;0,0,-X83/(1+Assump!$D$25)*Assump!$D$25)</f>
        <v>0</v>
      </c>
      <c r="AA84" s="35">
        <f>IF(AA9-2&lt;0,0,-Y83/(1+Assump!$D$25)*Assump!$D$25)</f>
        <v>0</v>
      </c>
      <c r="AB84" s="35">
        <f>IF(AB9-2&lt;0,0,-Z83/(1+Assump!$D$25)*Assump!$D$25)</f>
        <v>0</v>
      </c>
      <c r="AC84" s="35">
        <f>IF(AC9-2&lt;0,0,-AA83/(1+Assump!$D$25)*Assump!$D$25)</f>
        <v>0</v>
      </c>
      <c r="AD84" s="35">
        <f>IF(AD9-2&lt;0,0,-AB83/(1+Assump!$D$25)*Assump!$D$25)</f>
        <v>0</v>
      </c>
      <c r="AE84" s="35">
        <f>IF(AE9-2&lt;0,0,-AC83/(1+Assump!$D$25)*Assump!$D$25)</f>
        <v>0</v>
      </c>
      <c r="AF84" s="35">
        <f>IF(AF9-2&lt;0,0,-AD83/(1+Assump!$D$25)*Assump!$D$25)</f>
        <v>0</v>
      </c>
      <c r="AG84" s="35">
        <f>IF(AG9-2&lt;0,0,-AE83/(1+Assump!$D$25)*Assump!$D$25)</f>
        <v>0</v>
      </c>
      <c r="AH84" s="35">
        <f>IF(AH9-2&lt;0,0,-AF83/(1+Assump!$D$25)*Assump!$D$25)</f>
        <v>0</v>
      </c>
      <c r="AI84" s="35">
        <f>IF(AI9-2&lt;0,0,-AG83/(1+Assump!$D$25)*Assump!$D$25)</f>
        <v>0</v>
      </c>
      <c r="AJ84" s="35">
        <f>IF(AJ9-2&lt;0,0,-AH83/(1+Assump!$D$25)*Assump!$D$25)</f>
        <v>0</v>
      </c>
      <c r="AK84" s="35">
        <f>IF(AK9-2&lt;0,0,-AI83/(1+Assump!$D$25)*Assump!$D$25)</f>
        <v>0</v>
      </c>
      <c r="AL84" s="35">
        <f>IF(AL9-2&lt;0,0,-AJ83/(1+Assump!$D$25)*Assump!$D$25)</f>
        <v>0</v>
      </c>
      <c r="AM84" s="35">
        <f>IF(AM9-2&lt;0,0,-AK83/(1+Assump!$D$25)*Assump!$D$25)</f>
        <v>0</v>
      </c>
      <c r="AN84" s="35">
        <f>IF(AN9-2&lt;0,0,-AL83/(1+Assump!$D$25)*Assump!$D$25)</f>
        <v>0</v>
      </c>
      <c r="AO84" s="35">
        <f>IF(AO9-2&lt;0,0,-AM83/(1+Assump!$D$25)*Assump!$D$25)</f>
        <v>0</v>
      </c>
      <c r="AP84" s="35">
        <f>IF(AP9-2&lt;0,0,-AN83/(1+Assump!$D$25)*Assump!$D$25)</f>
        <v>0</v>
      </c>
      <c r="AQ84" s="35">
        <f>IF(AQ9-2&lt;0,0,-AO83/(1+Assump!$D$25)*Assump!$D$25)</f>
        <v>0</v>
      </c>
      <c r="AR84" s="35">
        <f>IF(AR9-2&lt;0,0,-AP83/(1+Assump!$D$25)*Assump!$D$25)</f>
        <v>0</v>
      </c>
      <c r="AS84" s="35">
        <f>IF(AS9-2&lt;0,0,-AQ83/(1+Assump!$D$25)*Assump!$D$25)</f>
        <v>0</v>
      </c>
      <c r="AT84" s="35">
        <f>IF(AT9-2&lt;0,0,-AR83/(1+Assump!$D$25)*Assump!$D$25)</f>
        <v>0</v>
      </c>
      <c r="AU84" s="35">
        <f>IF(AU9-2&lt;0,0,-AS83/(1+Assump!$D$25)*Assump!$D$25)</f>
        <v>0</v>
      </c>
      <c r="AV84" s="35">
        <f>IF(AV9-2&lt;0,0,-AT83/(1+Assump!$D$25)*Assump!$D$25)</f>
        <v>0</v>
      </c>
      <c r="AW84" s="35">
        <f>IF(AW9-2&lt;0,0,-AU83/(1+Assump!$D$25)*Assump!$D$25)</f>
        <v>0</v>
      </c>
      <c r="AX84" s="35">
        <f>IF(AX9-2&lt;0,0,-AV83/(1+Assump!$D$25)*Assump!$D$25)</f>
        <v>0</v>
      </c>
      <c r="AY84" s="35">
        <f>IF(AY9-2&lt;0,0,-AW83/(1+Assump!$D$25)*Assump!$D$25)</f>
        <v>0</v>
      </c>
      <c r="AZ84" s="35">
        <f>IF(AZ9-2&lt;0,0,-AX83/(1+Assump!$D$25)*Assump!$D$25)</f>
        <v>0</v>
      </c>
      <c r="BA84" s="35">
        <f>IF(BA9-2&lt;0,0,-AY83/(1+Assump!$D$25)*Assump!$D$25)</f>
        <v>0</v>
      </c>
      <c r="BB84" s="35">
        <f>IF(BB9-2&lt;0,0,-AZ83/(1+Assump!$D$25)*Assump!$D$25)</f>
        <v>0</v>
      </c>
      <c r="BC84" s="35">
        <f>IF(BC9-2&lt;0,0,-BA83/(1+Assump!$D$25)*Assump!$D$25)</f>
        <v>0</v>
      </c>
      <c r="BD84" s="35">
        <f>IF(BD9-2&lt;0,0,-BB83/(1+Assump!$D$25)*Assump!$D$25)</f>
        <v>0</v>
      </c>
      <c r="BE84" s="35">
        <f>IF(BE9-2&lt;0,0,-BC83/(1+Assump!$D$25)*Assump!$D$25)</f>
        <v>0</v>
      </c>
      <c r="BF84" s="35">
        <f>IF(BF9-2&lt;0,0,-BD83/(1+Assump!$D$25)*Assump!$D$25)</f>
        <v>0</v>
      </c>
      <c r="BG84" s="35">
        <f>IF(BG9-2&lt;0,0,-BE83/(1+Assump!$D$25)*Assump!$D$25)</f>
        <v>0</v>
      </c>
      <c r="BH84" s="35">
        <f>IF(BH9-2&lt;0,0,-BF83/(1+Assump!$D$25)*Assump!$D$25)</f>
        <v>0</v>
      </c>
      <c r="BI84" s="35">
        <f>IF(BI9-2&lt;0,0,-BG83/(1+Assump!$D$25)*Assump!$D$25)</f>
        <v>0</v>
      </c>
      <c r="BJ84" s="35">
        <f>IF(BJ9-2&lt;0,0,-BH83/(1+Assump!$D$25)*Assump!$D$25)</f>
        <v>0</v>
      </c>
      <c r="BK84" s="35">
        <f>IF(BK9-2&lt;0,0,-BI83/(1+Assump!$D$25)*Assump!$D$25)</f>
        <v>0</v>
      </c>
      <c r="BL84" s="35">
        <f>IF(BL9-2&lt;0,0,-BJ83/(1+Assump!$D$25)*Assump!$D$25)</f>
        <v>0</v>
      </c>
      <c r="BM84" s="35">
        <f>IF(BM9-2&lt;0,0,-BK83/(1+Assump!$D$25)*Assump!$D$25)</f>
        <v>0</v>
      </c>
      <c r="BN84" s="35">
        <f>IF(BN9-2&lt;0,0,-BL83/(1+Assump!$D$25)*Assump!$D$25)</f>
        <v>0</v>
      </c>
      <c r="BO84" s="35">
        <f>IF(BO9-2&lt;0,0,-BM83/(1+Assump!$D$25)*Assump!$D$25)</f>
        <v>0</v>
      </c>
      <c r="BP84" s="35">
        <f>IF(BP9-2&lt;0,0,-BN83/(1+Assump!$D$25)*Assump!$D$25)</f>
        <v>0</v>
      </c>
      <c r="BQ84" s="35">
        <f>IF(BQ9-2&lt;0,0,-BO83/(1+Assump!$D$25)*Assump!$D$25)</f>
        <v>0</v>
      </c>
      <c r="BR84" s="35">
        <f>IF(BR9-2&lt;0,0,-BP83/(1+Assump!$D$25)*Assump!$D$25)</f>
        <v>0</v>
      </c>
      <c r="BS84" s="35">
        <f>IF(BS9-2&lt;0,0,-BQ83/(1+Assump!$D$25)*Assump!$D$25)</f>
        <v>0</v>
      </c>
      <c r="BT84" s="35">
        <f>IF(BT9-2&lt;0,0,-BR83/(1+Assump!$D$25)*Assump!$D$25)</f>
        <v>0</v>
      </c>
      <c r="BU84" s="35">
        <f>IF(BU9-2&lt;0,0,-BS83/(1+Assump!$D$25)*Assump!$D$25)</f>
        <v>0</v>
      </c>
      <c r="BV84" s="35">
        <f>IF(BV9-2&lt;0,0,-BT83/(1+Assump!$D$25)*Assump!$D$25)</f>
        <v>0</v>
      </c>
      <c r="BW84" s="35">
        <f>IF(BW9-2&lt;0,0,-BU83/(1+Assump!$D$25)*Assump!$D$25)</f>
        <v>0</v>
      </c>
      <c r="BX84" s="35">
        <f>IF(BX9-2&lt;0,0,-BV83/(1+Assump!$D$25)*Assump!$D$25)</f>
        <v>0</v>
      </c>
      <c r="BY84" s="35">
        <f>IF(BY9-2&lt;0,0,-BW83/(1+Assump!$D$25)*Assump!$D$25)</f>
        <v>0</v>
      </c>
      <c r="BZ84" s="35">
        <f>IF(BZ9-2&lt;0,0,-BX83/(1+Assump!$D$25)*Assump!$D$25)</f>
        <v>0</v>
      </c>
      <c r="CA84" s="35">
        <f>IF(CA9-2&lt;0,0,-BY83/(1+Assump!$D$25)*Assump!$D$25)</f>
        <v>0</v>
      </c>
      <c r="CB84" s="35">
        <f>IF(CB9-2&lt;0,0,-BZ83/(1+Assump!$D$25)*Assump!$D$25)</f>
        <v>0</v>
      </c>
      <c r="CC84" s="35">
        <f>IF(CC9-2&lt;0,0,-CA83/(1+Assump!$D$25)*Assump!$D$25)</f>
        <v>0</v>
      </c>
      <c r="CD84" s="35">
        <f>IF(CD9-2&lt;0,0,-CB83/(1+Assump!$D$25)*Assump!$D$25)</f>
        <v>0</v>
      </c>
      <c r="CE84" s="35">
        <f>IF(CE9-2&lt;0,0,-CC83/(1+Assump!$D$25)*Assump!$D$25)</f>
        <v>0</v>
      </c>
      <c r="CF84" s="35">
        <f>IF(CF9-2&lt;0,0,-CD83/(1+Assump!$D$25)*Assump!$D$25)</f>
        <v>0</v>
      </c>
      <c r="CG84" s="35">
        <f>IF(CG9-2&lt;0,0,-CE83/(1+Assump!$D$25)*Assump!$D$25)</f>
        <v>0</v>
      </c>
      <c r="CH84" s="35">
        <f>IF(CH9-2&lt;0,0,-CF83/(1+Assump!$D$25)*Assump!$D$25)</f>
        <v>0</v>
      </c>
      <c r="CI84" s="35">
        <f>IF(CI9-2&lt;0,0,-CG83/(1+Assump!$D$25)*Assump!$D$25)</f>
        <v>0</v>
      </c>
      <c r="CJ84" s="35">
        <f>IF(CJ9-2&lt;0,0,-CH83/(1+Assump!$D$25)*Assump!$D$25)</f>
        <v>0</v>
      </c>
      <c r="CK84" s="35">
        <f>IF(CK9-2&lt;0,0,-CI83/(1+Assump!$D$25)*Assump!$D$25)</f>
        <v>0</v>
      </c>
      <c r="CL84" s="35">
        <f>IF(CL9-2&lt;0,0,-CJ83/(1+Assump!$D$25)*Assump!$D$25)</f>
        <v>0</v>
      </c>
      <c r="CM84" s="35">
        <f>IF(CM9-2&lt;0,0,-CK83/(1+Assump!$D$25)*Assump!$D$25)</f>
        <v>0</v>
      </c>
      <c r="CN84" s="35">
        <f>IF(CN9-2&lt;0,0,-CL83/(1+Assump!$D$25)*Assump!$D$25)</f>
        <v>0</v>
      </c>
      <c r="CO84" s="35"/>
    </row>
    <row r="85" spans="1:93" ht="12.75" customHeight="1">
      <c r="A85" s="90"/>
      <c r="B85" s="91" t="s">
        <v>180</v>
      </c>
      <c r="C85" s="91">
        <f t="shared" ref="C85:CN85" si="200">SUM(C83:C84)</f>
        <v>-606652.81250000012</v>
      </c>
      <c r="D85" s="71">
        <f t="shared" si="200"/>
        <v>0</v>
      </c>
      <c r="E85" s="91">
        <f t="shared" si="200"/>
        <v>0</v>
      </c>
      <c r="F85" s="91">
        <f t="shared" si="200"/>
        <v>0</v>
      </c>
      <c r="G85" s="91">
        <f t="shared" si="200"/>
        <v>0</v>
      </c>
      <c r="H85" s="91">
        <f t="shared" si="200"/>
        <v>0</v>
      </c>
      <c r="I85" s="91">
        <f t="shared" si="200"/>
        <v>0</v>
      </c>
      <c r="J85" s="91">
        <f t="shared" si="200"/>
        <v>-24266.112499999999</v>
      </c>
      <c r="K85" s="91">
        <f t="shared" si="200"/>
        <v>-24266.112499999999</v>
      </c>
      <c r="L85" s="91">
        <f t="shared" si="200"/>
        <v>-20221.760416666664</v>
      </c>
      <c r="M85" s="91">
        <f t="shared" si="200"/>
        <v>-36601.386354166658</v>
      </c>
      <c r="N85" s="91">
        <f t="shared" si="200"/>
        <v>-49341.095416666671</v>
      </c>
      <c r="O85" s="91">
        <f t="shared" si="200"/>
        <v>-46611.157760416667</v>
      </c>
      <c r="P85" s="91">
        <f t="shared" si="200"/>
        <v>-44487.872916666667</v>
      </c>
      <c r="Q85" s="91">
        <f t="shared" si="200"/>
        <v>-68147.332604166659</v>
      </c>
      <c r="R85" s="91">
        <f t="shared" si="200"/>
        <v>-62687.457291666666</v>
      </c>
      <c r="S85" s="91">
        <f t="shared" si="200"/>
        <v>-128994.60969791666</v>
      </c>
      <c r="T85" s="91">
        <f t="shared" si="200"/>
        <v>-135364.46422916665</v>
      </c>
      <c r="U85" s="91">
        <f t="shared" si="200"/>
        <v>7016.9508645833339</v>
      </c>
      <c r="V85" s="91">
        <f t="shared" si="200"/>
        <v>24549.217145833332</v>
      </c>
      <c r="W85" s="91">
        <f t="shared" si="200"/>
        <v>2770.3811770833336</v>
      </c>
      <c r="X85" s="91">
        <f t="shared" si="200"/>
        <v>0</v>
      </c>
      <c r="Y85" s="91">
        <f t="shared" si="200"/>
        <v>0</v>
      </c>
      <c r="Z85" s="91">
        <f t="shared" si="200"/>
        <v>0</v>
      </c>
      <c r="AA85" s="91">
        <f t="shared" si="200"/>
        <v>0</v>
      </c>
      <c r="AB85" s="91">
        <f t="shared" si="200"/>
        <v>0</v>
      </c>
      <c r="AC85" s="91">
        <f t="shared" si="200"/>
        <v>0</v>
      </c>
      <c r="AD85" s="91">
        <f t="shared" si="200"/>
        <v>0</v>
      </c>
      <c r="AE85" s="91">
        <f t="shared" si="200"/>
        <v>0</v>
      </c>
      <c r="AF85" s="91">
        <f t="shared" si="200"/>
        <v>0</v>
      </c>
      <c r="AG85" s="91">
        <f t="shared" si="200"/>
        <v>0</v>
      </c>
      <c r="AH85" s="91">
        <f t="shared" si="200"/>
        <v>0</v>
      </c>
      <c r="AI85" s="91">
        <f t="shared" si="200"/>
        <v>0</v>
      </c>
      <c r="AJ85" s="91">
        <f t="shared" si="200"/>
        <v>0</v>
      </c>
      <c r="AK85" s="70">
        <f t="shared" si="200"/>
        <v>0</v>
      </c>
      <c r="AL85" s="91">
        <f t="shared" si="200"/>
        <v>0</v>
      </c>
      <c r="AM85" s="91">
        <f t="shared" si="200"/>
        <v>0</v>
      </c>
      <c r="AN85" s="91">
        <f t="shared" si="200"/>
        <v>0</v>
      </c>
      <c r="AO85" s="91">
        <f t="shared" si="200"/>
        <v>0</v>
      </c>
      <c r="AP85" s="91">
        <f t="shared" si="200"/>
        <v>0</v>
      </c>
      <c r="AQ85" s="91">
        <f t="shared" si="200"/>
        <v>0</v>
      </c>
      <c r="AR85" s="91">
        <f t="shared" si="200"/>
        <v>0</v>
      </c>
      <c r="AS85" s="91">
        <f t="shared" si="200"/>
        <v>0</v>
      </c>
      <c r="AT85" s="91">
        <f t="shared" si="200"/>
        <v>0</v>
      </c>
      <c r="AU85" s="91">
        <f t="shared" si="200"/>
        <v>0</v>
      </c>
      <c r="AV85" s="91">
        <f t="shared" si="200"/>
        <v>0</v>
      </c>
      <c r="AW85" s="91">
        <f t="shared" si="200"/>
        <v>0</v>
      </c>
      <c r="AX85" s="91">
        <f t="shared" si="200"/>
        <v>0</v>
      </c>
      <c r="AY85" s="91">
        <f t="shared" si="200"/>
        <v>0</v>
      </c>
      <c r="AZ85" s="91">
        <f t="shared" si="200"/>
        <v>0</v>
      </c>
      <c r="BA85" s="91">
        <f t="shared" si="200"/>
        <v>0</v>
      </c>
      <c r="BB85" s="91">
        <f t="shared" si="200"/>
        <v>0</v>
      </c>
      <c r="BC85" s="91">
        <f t="shared" si="200"/>
        <v>0</v>
      </c>
      <c r="BD85" s="91">
        <f t="shared" si="200"/>
        <v>0</v>
      </c>
      <c r="BE85" s="91">
        <f t="shared" si="200"/>
        <v>0</v>
      </c>
      <c r="BF85" s="91">
        <f t="shared" si="200"/>
        <v>0</v>
      </c>
      <c r="BG85" s="91">
        <f t="shared" si="200"/>
        <v>0</v>
      </c>
      <c r="BH85" s="91">
        <f t="shared" si="200"/>
        <v>0</v>
      </c>
      <c r="BI85" s="91">
        <f t="shared" si="200"/>
        <v>0</v>
      </c>
      <c r="BJ85" s="91">
        <f t="shared" si="200"/>
        <v>0</v>
      </c>
      <c r="BK85" s="91">
        <f t="shared" si="200"/>
        <v>0</v>
      </c>
      <c r="BL85" s="91">
        <f t="shared" si="200"/>
        <v>0</v>
      </c>
      <c r="BM85" s="91">
        <f t="shared" si="200"/>
        <v>0</v>
      </c>
      <c r="BN85" s="91">
        <f t="shared" si="200"/>
        <v>0</v>
      </c>
      <c r="BO85" s="91">
        <f t="shared" si="200"/>
        <v>0</v>
      </c>
      <c r="BP85" s="91">
        <f t="shared" si="200"/>
        <v>0</v>
      </c>
      <c r="BQ85" s="91">
        <f t="shared" si="200"/>
        <v>0</v>
      </c>
      <c r="BR85" s="91">
        <f t="shared" si="200"/>
        <v>0</v>
      </c>
      <c r="BS85" s="91">
        <f t="shared" si="200"/>
        <v>0</v>
      </c>
      <c r="BT85" s="91">
        <f t="shared" si="200"/>
        <v>0</v>
      </c>
      <c r="BU85" s="91">
        <f t="shared" si="200"/>
        <v>0</v>
      </c>
      <c r="BV85" s="91">
        <f t="shared" si="200"/>
        <v>0</v>
      </c>
      <c r="BW85" s="91">
        <f t="shared" si="200"/>
        <v>0</v>
      </c>
      <c r="BX85" s="91">
        <f t="shared" si="200"/>
        <v>0</v>
      </c>
      <c r="BY85" s="91">
        <f t="shared" si="200"/>
        <v>0</v>
      </c>
      <c r="BZ85" s="91">
        <f t="shared" si="200"/>
        <v>0</v>
      </c>
      <c r="CA85" s="91">
        <f t="shared" si="200"/>
        <v>0</v>
      </c>
      <c r="CB85" s="91">
        <f t="shared" si="200"/>
        <v>0</v>
      </c>
      <c r="CC85" s="91">
        <f t="shared" si="200"/>
        <v>0</v>
      </c>
      <c r="CD85" s="91">
        <f t="shared" si="200"/>
        <v>0</v>
      </c>
      <c r="CE85" s="91">
        <f t="shared" si="200"/>
        <v>0</v>
      </c>
      <c r="CF85" s="91">
        <f t="shared" si="200"/>
        <v>0</v>
      </c>
      <c r="CG85" s="91">
        <f t="shared" si="200"/>
        <v>0</v>
      </c>
      <c r="CH85" s="91">
        <f t="shared" si="200"/>
        <v>0</v>
      </c>
      <c r="CI85" s="91">
        <f t="shared" si="200"/>
        <v>0</v>
      </c>
      <c r="CJ85" s="91">
        <f t="shared" si="200"/>
        <v>0</v>
      </c>
      <c r="CK85" s="91">
        <f t="shared" si="200"/>
        <v>0</v>
      </c>
      <c r="CL85" s="91">
        <f t="shared" si="200"/>
        <v>0</v>
      </c>
      <c r="CM85" s="91">
        <f t="shared" si="200"/>
        <v>0</v>
      </c>
      <c r="CN85" s="91">
        <f t="shared" si="200"/>
        <v>0</v>
      </c>
      <c r="CO85" s="90"/>
    </row>
    <row r="86" spans="1:93" ht="12.75" customHeight="1">
      <c r="A86" s="90"/>
      <c r="B86" s="90" t="s">
        <v>181</v>
      </c>
      <c r="C86" s="90"/>
      <c r="D86" s="92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37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</row>
    <row r="87" spans="1:93" ht="12.75" customHeight="1">
      <c r="A87" s="35"/>
      <c r="B87" s="63" t="s">
        <v>182</v>
      </c>
      <c r="C87" s="35">
        <f t="shared" ref="C87:C94" si="201">SUM(D87:CN87)</f>
        <v>145596.67499999999</v>
      </c>
      <c r="D87" s="60">
        <f>Финансирование!C9/1000</f>
        <v>145596.67499999999</v>
      </c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</row>
    <row r="88" spans="1:93" ht="12.75" customHeight="1">
      <c r="A88" s="35"/>
      <c r="B88" s="63" t="s">
        <v>183</v>
      </c>
      <c r="C88" s="35">
        <f t="shared" si="201"/>
        <v>-2593341.072088772</v>
      </c>
      <c r="D88" s="60">
        <f>IF(C185&lt;0,0,IF((D81+D85+D87+D89+D90+D91+C95)&lt;Assump!$D$65,0,IF(D66&gt;0,MAX(-D66,(Assump!$D$65-D81-D85-D87-D89-D90-D91-C95)),0)))</f>
        <v>0</v>
      </c>
      <c r="E88" s="35">
        <f>IF(D185&lt;0,0,IF((E81+E85+E87+E89+E90+E91+D95)&lt;Assump!$D$65,0,IF(E66&gt;0,MAX(-E66,(Assump!$D$65-E81-E85-E87-E89-E90-E91-D95)),0)))</f>
        <v>0</v>
      </c>
      <c r="F88" s="35">
        <f>IF(E185&lt;0,0,IF((F81+F85+F87+F89+F90+F91+E95)&lt;Assump!$D$65,0,IF(F66&gt;0,MAX(-F66,(Assump!$D$65-F81-F85-F87-F89-F90-F91-E95)),0)))</f>
        <v>0</v>
      </c>
      <c r="G88" s="35">
        <f>IF(F185&lt;0,0,IF((G81+G85+G87+G89+G90+G91+F95)&lt;Assump!$D$65,0,IF(G66&gt;0,MAX(-G66,(Assump!$D$65-G81-G85-G87-G89-G90-G91-F95)),0)))</f>
        <v>0</v>
      </c>
      <c r="H88" s="35">
        <f>IF(G185&lt;0,0,IF((H81+H85+H87+H89+H90+H91+G95)&lt;Assump!$D$65,0,IF(H66&gt;0,MAX(-H66,(Assump!$D$65-H81-H85-H87-H89-H90-H91-G95)),0)))</f>
        <v>0</v>
      </c>
      <c r="I88" s="35">
        <f>IF(H185&lt;0,0,IF((I81+I85+I87+I89+I90+I91+H95)&lt;Assump!$D$65,0,IF(I66&gt;0,MAX(-I66,(Assump!$D$65-I81-I85-I87-I89-I90-I91-H95)),0)))</f>
        <v>0</v>
      </c>
      <c r="J88" s="35">
        <f>IF(I185&lt;0,0,IF((J81+J85+J87+J89+J90+J91+I95)&lt;Assump!$D$65,0,IF(J66&gt;0,MAX(-J66,(Assump!$D$65-J81-J85-J87-J89-J90-J91-I95)),0)))</f>
        <v>0</v>
      </c>
      <c r="K88" s="35">
        <f>IF(J185&lt;0,0,IF((K81+K85+K87+K89+K90+K91+J95)&lt;Assump!$D$65,0,IF(K66&gt;0,MAX(-K66,(Assump!$D$65-K81-K85-K87-K89-K90-K91-J95)),0)))</f>
        <v>0</v>
      </c>
      <c r="L88" s="35">
        <f>IF(K185&lt;0,0,IF((L81+L85+L87+L89+L90+L91+K95)&lt;Assump!$D$65,0,IF(L66&gt;0,MAX(-L66,(Assump!$D$65-L81-L85-L87-L89-L90-L91-K95)),0)))</f>
        <v>0</v>
      </c>
      <c r="M88" s="35">
        <f>IF(L185&lt;0,0,IF((M81+M85+M87+M89+M90+M91+L95)&lt;Assump!$D$65,0,IF(M66&gt;0,MAX(-M66,(Assump!$D$65-M81-M85-M87-M89-M90-M91-L95)),0)))</f>
        <v>0</v>
      </c>
      <c r="N88" s="35">
        <f>IF(M185&lt;0,0,IF((N81+N85+N87+N89+N90+N91+M95)&lt;Assump!$D$65,0,IF(N66&gt;0,MAX(-N66,(Assump!$D$65-N81-N85-N87-N89-N90-N91-M95)),0)))</f>
        <v>0</v>
      </c>
      <c r="O88" s="35">
        <f>IF(N185&lt;0,0,IF((O81+O85+O87+O89+O90+O91+N95)&lt;Assump!$D$65,0,IF(O66&gt;0,MAX(-O66,(Assump!$D$65-O81-O85-O87-O89-O90-O91-N95)),0)))</f>
        <v>0</v>
      </c>
      <c r="P88" s="35">
        <f>IF(O185&lt;0,0,IF((P81+P85+P87+P89+P90+P91+O95)&lt;Assump!$D$65,0,IF(P66&gt;0,MAX(-P66,(Assump!$D$65-P81-P85-P87-P89-P90-P91-O95)),0)))</f>
        <v>0</v>
      </c>
      <c r="Q88" s="35">
        <f>IF(P185&lt;0,0,IF((Q81+Q85+Q87+Q89+Q90+Q91+P95)&lt;Assump!$D$65,0,IF(Q66&gt;0,MAX(-Q66,(Assump!$D$65-Q81-Q85-Q87-Q89-Q90-Q91-P95)),0)))</f>
        <v>0</v>
      </c>
      <c r="R88" s="35">
        <f>IF(Q185&lt;0,0,IF((R81+R85+R87+R89+R90+R91+Q95)&lt;Assump!$D$65,0,IF(R66&gt;0,MAX(-R66,(Assump!$D$65-R81-R85-R87-R89-R90-R91-Q95)),0)))</f>
        <v>0</v>
      </c>
      <c r="S88" s="35">
        <f>IF(R185&lt;0,0,IF((S81+S85+S87+S89+S90+S91+R95)&lt;Assump!$D$65,0,IF(S66&gt;0,MAX(-S66,(Assump!$D$65-S81-S85-S87-S89-S90-S91-R95)),0)))</f>
        <v>0</v>
      </c>
      <c r="T88" s="35">
        <f>IF(S185&lt;0,0,IF((T81+T85+T87+T89+T90+T91+S95)&lt;Assump!$D$65,0,IF(T66&gt;0,MAX(-T66,(Assump!$D$65-T81-T85-T87-T89-T90-T91-S95)),0)))</f>
        <v>0</v>
      </c>
      <c r="U88" s="35">
        <f>IF(T185&lt;0,0,IF((U81+U85+U87+U89+U90+U91+T95)&lt;Assump!$D$65,0,IF(U66&gt;0,MAX(-U66,(Assump!$D$65-U81-U85-U87-U89-U90-U91-T95)),0)))</f>
        <v>0</v>
      </c>
      <c r="V88" s="35">
        <f>IF(U185&lt;0,0,IF((V81+V85+V87+V89+V90+V91+U95)&lt;Assump!$D$65,0,IF(V66&gt;0,MAX(-V66,(Assump!$D$65-V81-V85-V87-V89-V90-V91-U95)),0)))</f>
        <v>0</v>
      </c>
      <c r="W88" s="35">
        <f>IF(V185&lt;0,0,IF((W81+W85+W87+W89+W90+W91+V95)&lt;Assump!$D$65,0,IF(W66&gt;0,MAX(-W66,(Assump!$D$65-W81-W85-W87-W89-W90-W91-V95)),0)))</f>
        <v>0</v>
      </c>
      <c r="X88" s="35">
        <f>IF(W185&lt;0,0,IF((X81+X85+X87+X89+X90+X91+W95)&lt;Assump!$D$65,0,IF(X66&gt;0,MAX(-X66,(Assump!$D$65-X81-X85-X87-X89-X90-X91-W95)),0)))</f>
        <v>0</v>
      </c>
      <c r="Y88" s="35">
        <f>IF(X185&lt;0,0,IF((Y81+Y85+Y87+Y89+Y90+Y91+X95)&lt;Assump!$D$65,0,IF(Y66&gt;0,MAX(-Y66,(Assump!$D$65-Y81-Y85-Y87-Y89-Y90-Y91-X95)),0)))</f>
        <v>0</v>
      </c>
      <c r="Z88" s="35">
        <f>IF(Y185&lt;0,0,IF((Z81+Z85+Z87+Z89+Z90+Z91+Y95)&lt;Assump!$D$65,0,IF(Z66&gt;0,MAX(-Z66,(Assump!$D$65-Z81-Z85-Z87-Z89-Z90-Z91-Y95)),0)))</f>
        <v>0</v>
      </c>
      <c r="AA88" s="35">
        <f>IF(Z185&lt;0,0,IF((AA81+AA85+AA87+AA89+AA90+AA91+Z95)&lt;Assump!$D$65,0,IF(AA66&gt;0,MAX(-AA66,(Assump!$D$65-AA81-AA85-AA87-AA89-AA90-AA91-Z95)),0)))</f>
        <v>-6790.9336951167452</v>
      </c>
      <c r="AB88" s="35">
        <f>IF(AA185&lt;0,0,IF((AB81+AB85+AB87+AB89+AB90+AB91+AA95)&lt;Assump!$D$65,0,IF(AB66&gt;0,MAX(-AB66,(Assump!$D$65-AB81-AB85-AB87-AB89-AB90-AB91-AA95)),0)))</f>
        <v>-14475.228666135466</v>
      </c>
      <c r="AC88" s="35">
        <f>IF(AB185&lt;0,0,IF((AC81+AC85+AC87+AC89+AC90+AC91+AB95)&lt;Assump!$D$65,0,IF(AC66&gt;0,MAX(-AC66,(Assump!$D$65-AC81-AC85-AC87-AC89-AC90-AC91-AB95)),0)))</f>
        <v>-63118.779184787978</v>
      </c>
      <c r="AD88" s="35">
        <f>IF(AC185&lt;0,0,IF((AD81+AD85+AD87+AD89+AD90+AD91+AC95)&lt;Assump!$D$65,0,IF(AD66&gt;0,MAX(-AD66,(Assump!$D$65-AD81-AD85-AD87-AD89-AD90-AD91-AC95)),0)))</f>
        <v>0</v>
      </c>
      <c r="AE88" s="35">
        <f>IF(AD185&lt;0,0,IF((AE81+AE85+AE87+AE89+AE90+AE91+AD95)&lt;Assump!$D$65,0,IF(AE66&gt;0,MAX(-AE66,(Assump!$D$65-AE81-AE85-AE87-AE89-AE90-AE91-AD95)),0)))</f>
        <v>-199.65702504197179</v>
      </c>
      <c r="AF88" s="35">
        <f>IF(AF90&lt;0,0,IF(AE185&lt;0,0,IF((AF81+AF85+AF87+AF89+AF90+AF91+AE95)&lt;Assump!$D$65,0,IF(AF66&gt;0,MAX(-AF66,(Assump!$D$65-AF81-AF85-AF87-AF89-AF90-AF91-AE95)),0))))</f>
        <v>0</v>
      </c>
      <c r="AG88" s="35">
        <f>IF(AG90&lt;0,0,IF(AF185&lt;0,0,IF((AG81+AG85+AG87+AG89+AG90+AG91+AF95)&lt;Assump!$D$65,0,IF(AG66&gt;0,MAX(-AG66,(Assump!$D$65-AG81-AG85-AG87-AG89-AG90-AG91-AF95)),0))))</f>
        <v>0</v>
      </c>
      <c r="AH88" s="35">
        <f>IF(AH90&lt;0,0,IF(AG185&lt;0,0,IF((AH81+AH85+AH87+AH89+AH90+AH91+AG95)&lt;Assump!$D$65,0,IF(AH66&gt;0,MAX(-AH66,(Assump!$D$65-AH81-AH85-AH87-AH89-AH90-AH91-AG95)),0))))</f>
        <v>-3611.7102467478126</v>
      </c>
      <c r="AI88" s="35">
        <f>IF(AI90&lt;0,0,IF(AH185&lt;0,0,IF((AI81+AI85+AI87+AI89+AI90+AI91+AH95)&lt;Assump!$D$65,0,IF(AI66&gt;0,MAX(-AI66,(Assump!$D$65-AI81-AI85-AI87-AI89-AI90-AI91-AH95)),0))))</f>
        <v>0</v>
      </c>
      <c r="AJ88" s="35">
        <f>IF(AJ90&lt;0,0,IF(AI185&lt;0,0,IF((AJ81+AJ85+AJ87+AJ89+AJ90+AJ91+AI95)&lt;Assump!$D$65,0,IF(AJ66&gt;0,MAX(-AJ66,(Assump!$D$65-AJ81-AJ85-AJ87-AJ89-AJ90-AJ91-AI95)),0))))</f>
        <v>0</v>
      </c>
      <c r="AK88" s="35">
        <f>IF(AK90&lt;0,0,IF(AJ185&lt;0,0,IF((AK81+AK85+AK87+AK89+AK90+AK91+AJ95)&lt;Assump!$D$65,0,IF(AK66&gt;0,MAX(-AK66,(Assump!$D$65-AK81-AK85-AK87-AK89-AK90-AK91-AJ95)),0))))</f>
        <v>0</v>
      </c>
      <c r="AL88" s="35">
        <f>IF(AL90&lt;0,0,IF(AK185&lt;0,0,IF((AL81+AL85+AL87+AL89+AL90+AL91+AK95)&lt;Assump!$D$65,0,IF(AL66&gt;0,MAX(-AL66,(Assump!$D$65-AL81-AL85-AL87-AL89-AL90-AL91-AK95)),0))))</f>
        <v>0</v>
      </c>
      <c r="AM88" s="35">
        <f>IF(AM90&lt;0,0,IF(AL185&lt;0,0,IF((AM81+AM85+AM87+AM89+AM90+AM91+AL95)&lt;Assump!$D$65,0,IF(AM66&gt;0,MAX(-AM66,(Assump!$D$65-AM81-AM85-AM87-AM89-AM90-AM91-AL95)),0))))</f>
        <v>0</v>
      </c>
      <c r="AN88" s="35">
        <f>IF(AN90&lt;0,0,IF(AM185&lt;0,0,IF((AN81+AN85+AN87+AN89+AN90+AN91+AM95)&lt;Assump!$D$65,0,IF(AN66&gt;0,MAX(-AN66,(Assump!$D$65-AN81-AN85-AN87-AN89-AN90-AN91-AM95)),0))))</f>
        <v>0</v>
      </c>
      <c r="AO88" s="35">
        <f>IF(AO90&lt;0,0,IF(AN185&lt;0,0,IF((AO81+AO85+AO87+AO89+AO90+AO91+AN95)&lt;Assump!$D$65,0,IF(AO66&gt;0,MAX(-AO66,(Assump!$D$65-AO81-AO85-AO87-AO89-AO90-AO91-AN95)),0))))</f>
        <v>0</v>
      </c>
      <c r="AP88" s="35">
        <f>IF(AP90&lt;0,0,IF(AO185&lt;0,0,IF((AP81+AP85+AP87+AP89+AP90+AP91+AO95)&lt;Assump!$D$65,0,IF(AP66&gt;0,MAX(-AP66,(Assump!$D$65-AP81-AP85-AP87-AP89-AP90-AP91-AO95)),0))))</f>
        <v>0</v>
      </c>
      <c r="AQ88" s="35">
        <f>IF(AQ90&lt;0,0,IF(AP185&lt;0,0,IF((AQ81+AQ85+AQ87+AQ89+AQ90+AQ91+AP95)&lt;Assump!$D$65,0,IF(AQ66&gt;0,MAX(-AQ66,(Assump!$D$65-AQ81-AQ85-AQ87-AQ89-AQ90-AQ91-AP95)),0))))</f>
        <v>0</v>
      </c>
      <c r="AR88" s="35">
        <f>IF(AR90&lt;0,0,IF(AQ185&lt;0,0,IF((AR81+AR85+AR87+AR89+AR90+AR91+AQ95)&lt;Assump!$D$65,0,IF(AR66&gt;0,MAX(-AR66,(Assump!$D$65-AR81-AR85-AR87-AR89-AR90-AR91-AQ95)),0))))</f>
        <v>0</v>
      </c>
      <c r="AS88" s="35">
        <f>IF(AS90&lt;0,0,IF(AR185&lt;0,0,IF((AS81+AS85+AS87+AS89+AS90+AS91+AR95)&lt;Assump!$D$65,0,IF(AS66&gt;0,MAX(-AS66,(Assump!$D$65-AS81-AS85-AS87-AS89-AS90-AS91-AR95)),0))))</f>
        <v>0</v>
      </c>
      <c r="AT88" s="35">
        <f>IF(AT90&lt;0,0,IF(AS185&lt;0,0,IF((AT81+AT85+AT87+AT89+AT90+AT91+AS95)&lt;Assump!$D$65,0,IF(AT66&gt;0,MAX(-AT66,(Assump!$D$65-AT81-AT85-AT87-AT89-AT90-AT91-AS95)),0))))</f>
        <v>-10762.283583498816</v>
      </c>
      <c r="AU88" s="35">
        <f>IF(AU90&lt;0,0,IF(AT185&lt;0,0,IF((AU81+AU85+AU87+AU89+AU90+AU91+AT95)&lt;Assump!$D$65,0,IF(AU66&gt;0,MAX(-AU66,(Assump!$D$65-AU81-AU85-AU87-AU89-AU90-AU91-AT95)),0))))</f>
        <v>-19760.536889938288</v>
      </c>
      <c r="AV88" s="35">
        <f>IF(AV90&lt;0,0,IF(AU185&lt;0,0,IF((AV81+AV85+AV87+AV89+AV90+AV91+AU95)&lt;Assump!$D$65,0,IF(AV66&gt;0,MAX(-AV66,(Assump!$D$65-AV81-AV85-AV87-AV89-AV90-AV91-AU95)),0))))</f>
        <v>-29509.579261204002</v>
      </c>
      <c r="AW88" s="35">
        <f>IF(AW90&lt;0,0,IF(AV185&lt;0,0,IF((AW81+AW85+AW87+AW89+AW90+AW91+AV95)&lt;Assump!$D$65,0,IF(AW66&gt;0,MAX(-AW66,(Assump!$D$65-AW81-AW85-AW87-AW89-AW90-AW91-AV95)),0))))</f>
        <v>-113170.09768178417</v>
      </c>
      <c r="AX88" s="35">
        <f>IF(AX90&lt;0,0,IF(AW185&lt;0,0,IF((AX81+AX85+AX87+AX89+AX90+AX91+AW95)&lt;Assump!$D$65,0,IF(AX66&gt;0,MAX(-AX66,(Assump!$D$65-AX81-AX85-AX87-AX89-AX90-AX91-AW95)),0))))</f>
        <v>-11511.242456656872</v>
      </c>
      <c r="AY88" s="35">
        <f>IF(AY90&lt;0,0,IF(AX185&lt;0,0,IF((AY81+AY85+AY87+AY89+AY90+AY91+AX95)&lt;Assump!$D$65,0,IF(AY66&gt;0,MAX(-AY66,(Assump!$D$65-AY81-AY85-AY87-AY89-AY90-AY91-AX95)),0))))</f>
        <v>-20957.759068334846</v>
      </c>
      <c r="AZ88" s="35">
        <f>IF(AZ90&lt;0,0,IF(AY185&lt;0,0,IF((AZ81+AZ85+AZ87+AZ89+AZ90+AZ91+AY95)&lt;Assump!$D$65,0,IF(AZ66&gt;0,MAX(-AZ66,(Assump!$D$65-AZ81-AZ85-AZ87-AZ89-AZ90-AZ91-AY95)),0))))</f>
        <v>-31194.253558163833</v>
      </c>
      <c r="BA88" s="35">
        <f>IF(BA90&lt;0,0,IF(AZ185&lt;0,0,IF((BA81+BA85+BA87+BA89+BA90+BA91+AZ95)&lt;Assump!$D$65,0,IF(BA66&gt;0,MAX(-BA66,(Assump!$D$65-BA81-BA85-BA87-BA89-BA90-BA91-AZ95)),0))))</f>
        <v>-119037.79789977302</v>
      </c>
      <c r="BB88" s="35">
        <f>IF(BB90&lt;0,0,IF(BA185&lt;0,0,IF((BB81+BB85+BB87+BB89+BB90+BB91+BA95)&lt;Assump!$D$65,0,IF(BB66&gt;0,MAX(-BB66,(Assump!$D$65-BB81-BB85-BB87-BB89-BB90-BB91-BA95)),0))))</f>
        <v>-11642.7448742938</v>
      </c>
      <c r="BC88" s="35">
        <f>IF(BC90&lt;0,0,IF(BB185&lt;0,0,IF((BC81+BC85+BC87+BC89+BC90+BC91+BB95)&lt;Assump!$D$65,0,IF(BC66&gt;0,MAX(-BC66,(Assump!$D$65-BC81-BC85-BC87-BC89-BC90-BC91-BB95)),0))))</f>
        <v>-21031.803413634305</v>
      </c>
      <c r="BD88" s="35">
        <f>IF(BD90&lt;0,0,IF(BC185&lt;0,0,IF((BD81+BD85+BD87+BD89+BD90+BD91+BC95)&lt;Assump!$D$65,0,IF(BD66&gt;0,MAX(-BD66,(Assump!$D$65-BD81-BD85-BD87-BD89-BD90-BD91-BC95)),0))))</f>
        <v>-31207.726930150697</v>
      </c>
      <c r="BE88" s="35">
        <f>IF(BE90&lt;0,0,IF(BD185&lt;0,0,IF((BE81+BE85+BE87+BE89+BE90+BE91+BD95)&lt;Assump!$D$65,0,IF(BE66&gt;0,MAX(-BE66,(Assump!$D$65-BE81-BE85-BE87-BE89-BE90-BE91-BD95)),0))))</f>
        <v>-118531.48698571483</v>
      </c>
      <c r="BF88" s="35">
        <f>IF(BF90&lt;0,0,IF(BE185&lt;0,0,IF((BF81+BF85+BF87+BF89+BF90+BF91+BE95)&lt;Assump!$D$65,0,IF(BF66&gt;0,MAX(-BF66,(Assump!$D$65-BF81-BF85-BF87-BF89-BF90-BF91-BE95)),0))))</f>
        <v>-12424.498396335694</v>
      </c>
      <c r="BG88" s="35">
        <f>IF(BG90&lt;0,0,IF(BF185&lt;0,0,IF((BG81+BG85+BG87+BG89+BG90+BG91+BF95)&lt;Assump!$D$65,0,IF(BG66&gt;0,MAX(-BG66,(Assump!$D$65-BG81-BG85-BG87-BG89-BG90-BG91-BF95)),0))))</f>
        <v>-22281.44833830385</v>
      </c>
      <c r="BH88" s="35">
        <f>IF(BH90&lt;0,0,IF(BG185&lt;0,0,IF((BH81+BH85+BH87+BH89+BH90+BH91+BG95)&lt;Assump!$D$65,0,IF(BH66&gt;0,MAX(-BH66,(Assump!$D$65-BH81-BH85-BH87-BH89-BH90-BH91-BG95)),0))))</f>
        <v>-32966.168030646062</v>
      </c>
      <c r="BI88" s="35">
        <f>IF(BI90&lt;0,0,IF(BH185&lt;0,0,IF((BI81+BI85+BI87+BI89+BI90+BI91+BH95)&lt;Assump!$D$65,0,IF(BI66&gt;0,MAX(-BI66,(Assump!$D$65-BI81-BI85-BI87-BI89-BI90-BI91-BH95)),0))))</f>
        <v>-124656.11608898845</v>
      </c>
      <c r="BJ88" s="35">
        <f>IF(BJ90&lt;0,0,IF(BI185&lt;0,0,IF((BJ81+BJ85+BJ87+BJ89+BJ90+BJ91+BI95)&lt;Assump!$D$65,0,IF(BJ66&gt;0,MAX(-BJ66,(Assump!$D$65-BJ81-BJ85-BJ87-BJ89-BJ90-BJ91-BI95)),0))))</f>
        <v>-13245.339594479679</v>
      </c>
      <c r="BK88" s="35">
        <f>IF(BK90&lt;0,0,IF(BJ185&lt;0,0,IF((BK81+BK85+BK87+BK89+BK90+BK91+BJ95)&lt;Assump!$D$65,0,IF(BK66&gt;0,MAX(-BK66,(Assump!$D$65-BK81-BK85-BK87-BK89-BK90-BK91-BJ95)),0))))</f>
        <v>-23593.575509206868</v>
      </c>
      <c r="BL88" s="35">
        <f>IF(BL90&lt;0,0,IF(BK185&lt;0,0,IF((BL81+BL85+BL87+BL89+BL90+BL91+BK95)&lt;Assump!$D$65,0,IF(BL66&gt;0,MAX(-BL66,(Assump!$D$65-BL81-BL85-BL87-BL89-BL90-BL91-BK95)),0))))</f>
        <v>-34812.531186166205</v>
      </c>
      <c r="BM88" s="35">
        <f>IF(BM90&lt;0,0,IF(BL185&lt;0,0,IF((BM81+BM85+BM87+BM89+BM90+BM91+BL95)&lt;Assump!$D$65,0,IF(BM66&gt;0,MAX(-BM66,(Assump!$D$65-BM81-BM85-BM87-BM89-BM90-BM91-BL95)),0))))</f>
        <v>-131086.9766474257</v>
      </c>
      <c r="BN88" s="35">
        <f>IF(BN90&lt;0,0,IF(BM185&lt;0,0,IF((BN81+BN85+BN87+BN89+BN90+BN91+BM95)&lt;Assump!$D$65,0,IF(BN66&gt;0,MAX(-BN66,(Assump!$D$65-BN81-BN85-BN87-BN89-BN90-BN91-BM95)),0))))</f>
        <v>-14107.222852530866</v>
      </c>
      <c r="BO88" s="35">
        <f>IF(BO90&lt;0,0,IF(BN185&lt;0,0,IF((BO81+BO85+BO87+BO89+BO90+BO91+BN95)&lt;Assump!$D$65,0,IF(BO66&gt;0,MAX(-BO66,(Assump!$D$65-BO81-BO85-BO87-BO89-BO90-BO91-BN95)),0))))</f>
        <v>-24971.309038655058</v>
      </c>
      <c r="BP88" s="35">
        <f>IF(BP90&lt;0,0,IF(BO185&lt;0,0,IF((BP81+BP85+BP87+BP89+BP90+BP91+BO95)&lt;Assump!$D$65,0,IF(BP66&gt;0,MAX(-BP66,(Assump!$D$65-BP81-BP85-BP87-BP89-BP90-BP91-BO95)),0))))</f>
        <v>-36751.212499462345</v>
      </c>
      <c r="BQ88" s="35">
        <f>IF(BQ90&lt;0,0,IF(BP185&lt;0,0,IF((BQ81+BQ85+BQ87+BQ89+BQ90+BQ91+BP95)&lt;Assump!$D$65,0,IF(BQ66&gt;0,MAX(-BQ66,(Assump!$D$65-BQ81-BQ85-BQ87-BQ89-BQ90-BQ91-BP95)),0))))</f>
        <v>-137839.38023378485</v>
      </c>
      <c r="BR88" s="35">
        <f>IF(BR90&lt;0,0,IF(BQ185&lt;0,0,IF((BR81+BR85+BR87+BR89+BR90+BR91+BQ95)&lt;Assump!$D$65,0,IF(BR66&gt;0,MAX(-BR66,(Assump!$D$65-BR81-BR85-BR87-BR89-BR90-BR91-BQ95)),0))))</f>
        <v>-15012.200273484621</v>
      </c>
      <c r="BS88" s="35">
        <f>IF(BS90&lt;0,0,IF(BR185&lt;0,0,IF((BS81+BS85+BS87+BS89+BS90+BS91+BR95)&lt;Assump!$D$65,0,IF(BS66&gt;0,MAX(-BS66,(Assump!$D$65-BS81-BS85-BS87-BS89-BS90-BS91-BR95)),0))))</f>
        <v>-26417.929244575636</v>
      </c>
      <c r="BT88" s="35">
        <f>IF(BT90&lt;0,0,IF(BS185&lt;0,0,IF((BT81+BT85+BT87+BT89+BT90+BT91+BS95)&lt;Assump!$D$65,0,IF(BT66&gt;0,MAX(-BT66,(Assump!$D$65-BT81-BT85-BT87-BT89-BT90-BT91-BS95)),0))))</f>
        <v>-38786.82787842329</v>
      </c>
      <c r="BU88" s="35">
        <f>IF(BU90&lt;0,0,IF(BT185&lt;0,0,IF((BU81+BU85+BU87+BU89+BU90+BU91+BT95)&lt;Assump!$D$65,0,IF(BU66&gt;0,MAX(-BU66,(Assump!$D$65-BU81-BU85-BU87-BU89-BU90-BU91-BT95)),0))))</f>
        <v>-144929.40399946185</v>
      </c>
      <c r="BV88" s="35">
        <f>IF(BV918&gt;0,"0",IF(BU185&lt;0,0,IF((BV81+BV85+BV87+BV89+BV90+BV91+BU95)&lt;Assump!$D$65,0,IF(BV66&gt;0,MAX(-BV66,(Assump!$D$65-BV81-BV85-BV87-BV89-BV90-BV91-BU95)),0))))</f>
        <v>-15962.426565486054</v>
      </c>
      <c r="BW88" s="35">
        <f>IF(BW918&gt;0,"0",IF(BV185&lt;0,0,IF((BW81+BW85+BW87+BW89+BW90+BW91+BV95)&lt;Assump!$D$65,0,IF(BW66&gt;0,MAX(-BW66,(Assump!$D$65-BW81-BW85-BW87-BW89-BW90-BW91-BV95)),0))))</f>
        <v>-27936.880460792258</v>
      </c>
      <c r="BX88" s="35">
        <f>IF(BX918&gt;0,"0",IF(BW185&lt;0,0,IF((BX81+BX85+BX87+BX89+BX90+BX91+BW95)&lt;Assump!$D$65,0,IF(BX66&gt;0,MAX(-BX66,(Assump!$D$65-BX81-BX85-BX87-BX89-BX90-BX91-BW95)),0))))</f>
        <v>-40924.224026332275</v>
      </c>
      <c r="BY88" s="35">
        <f>IF(BY918&gt;0,"0",IF(BX185&lt;0,0,IF((BY81+BY85+BY87+BY89+BY90+BY91+BX95)&lt;Assump!$D$65,0,IF(BY66&gt;0,MAX(-BY66,(Assump!$D$65-BY81-BY85-BY87-BY89-BY90-BY91-BX95)),0))))</f>
        <v>-152373.92895342287</v>
      </c>
      <c r="BZ88" s="35">
        <f>IF(BZ918&gt;0,"0",IF(BY185&lt;0,0,IF((BZ81+BZ85+BZ87+BZ89+BZ90+BZ91+BY95)&lt;Assump!$D$65,0,IF(BZ66&gt;0,MAX(-BZ66,(Assump!$D$65-BZ81-BZ85-BZ87-BZ89-BZ90-BZ91-BY95)),0))))</f>
        <v>-16960.164172087556</v>
      </c>
      <c r="CA88" s="35">
        <f>IF(BZ185&lt;0,0,IF((CA81+CA85+CA87+CA89+CA90+CA91+BZ95)&lt;Assump!$D$65,0,IF(CA66&gt;0,MAX(-CA66,(Assump!$D$65-CA81-CA85-CA87-CA89-CA90-CA91-BZ95)),0)))</f>
        <v>-29531.779237819683</v>
      </c>
      <c r="CB88" s="35">
        <f>IF(CA185&lt;0,0,IF((CB81+CB85+CB87+CB89+CB90+CB91+CA95)&lt;Assump!$D$65,0,IF(CB66&gt;0,MAX(-CB66,(Assump!$D$65-CB81-CB85-CB87-CB89-CB90-CB91-CA95)),0)))</f>
        <v>-43168.489981636732</v>
      </c>
      <c r="CC88" s="35">
        <f>IF(CB185&lt;0,0,IF((CC81+CC85+CC87+CC89+CC90+CC91+CB95)&lt;Assump!$D$65,0,IF(CC66&gt;0,MAX(-CC66,(Assump!$D$65-CC81-CC85-CC87-CC89-CC90-CC91-CB95)),0)))</f>
        <v>-160190.68015508179</v>
      </c>
      <c r="CD88" s="35">
        <f>IF(CC185&lt;0,0,IF((CD81+CD85+CD87+CD89+CD90+CD91+CC95)&lt;Assump!$D$65,0,IF(CD66&gt;0,MAX(-CD66,(Assump!$D$65-CD81-CD85-CD87-CD89-CD90-CD91-CC95)),0)))</f>
        <v>-18007.788659019141</v>
      </c>
      <c r="CE88" s="35">
        <f>IF(CD185&lt;0,0,IF((CE81+CE85+CE87+CE89+CE90+CE91+CD95)&lt;Assump!$D$65,0,IF(CE66&gt;0,MAX(-CE66,(Assump!$D$65-CE81-CE85-CE87-CE89-CE90-CE91-CD95)),0)))</f>
        <v>-31206.422953698511</v>
      </c>
      <c r="CF88" s="35">
        <f>IF(CE185&lt;0,0,IF((CF81+CF85+CF87+CF89+CF90+CF91+CE95)&lt;Assump!$D$65,0,IF(CF66&gt;0,MAX(-CF66,(Assump!$D$65-CF81-CF85-CF87-CF89-CF90-CF91-CE95)),0)))</f>
        <v>-45524.96923470639</v>
      </c>
      <c r="CG88" s="35">
        <f>IF(CF185&lt;0,0,IF((CG81+CG85+CG87+CG89+CG90+CG91+CF95)&lt;Assump!$D$65,0,IF(CG66&gt;0,MAX(-CG66,(Assump!$D$65-CG81-CG85-CG87-CG89-CG90-CG91-CF95)),0)))</f>
        <v>-168398.26891682373</v>
      </c>
      <c r="CH88" s="35">
        <f>IF(CG185&lt;0,0,IF((CH81+CH85+CH87+CH89+CH90+CH91+CG95)&lt;Assump!$D$65,0,IF(CH66&gt;0,MAX(-CH66,(Assump!$D$65-CH81-CH85-CH87-CH89-CH90-CH91-CG95)),0)))</f>
        <v>-19107.794370297306</v>
      </c>
      <c r="CI88" s="35">
        <f>IF(CH185&lt;0,0,IF((CI81+CI85+CI87+CI89+CI90+CI91+CH95)&lt;Assump!$D$65,0,IF(CI66&gt;0,MAX(-CI66,(Assump!$D$65-CI81-CI85-CI87-CI89-CI90-CI91-CH95)),0)))</f>
        <v>-32964.798855371264</v>
      </c>
      <c r="CJ88" s="35">
        <f>IF(CI185&lt;0,0,IF((CJ81+CJ85+CJ87+CJ89+CJ90+CJ91+CI95)&lt;Assump!$D$65,0,IF(CJ66&gt;0,MAX(-CJ66,(Assump!$D$65-CJ81-CJ85-CJ87-CJ89-CJ90-CJ91-CI95)),0)))</f>
        <v>-47999.272450429562</v>
      </c>
      <c r="CK88" s="35">
        <f>IF(CJ185&lt;0,0,IF((CK81+CK85+CK87+CK89+CK90+CK91+CJ95)&lt;Assump!$D$65,0,IF(CK66&gt;0,MAX(-CK66,(Assump!$D$65-CK81-CK85-CK87-CK89-CK90-CK91-CJ95)),0)))</f>
        <v>-177016.23711665274</v>
      </c>
      <c r="CL88" s="35">
        <f>IF(CK185&lt;0,0,IF((CL81+CL85+CL87+CL89+CL90+CL91+CK95)&lt;Assump!$D$65,0,IF(CL66&gt;0,MAX(-CL66,(Assump!$D$65-CL81-CL85-CL87-CL89-CL90-CL91-CK95)),0)))</f>
        <v>-20262.800367139385</v>
      </c>
      <c r="CM88" s="35">
        <f>IF(CL185&lt;0,0,IF((CM81+CM85+CM87+CM89+CM90+CM91+CL95)&lt;Assump!$D$65,0,IF(CM66&gt;0,MAX(-CM66,(Assump!$D$65-CM81-CM85-CM87-CM89-CM90-CM91-CL95)),0)))</f>
        <v>-34811.093552127655</v>
      </c>
      <c r="CN88" s="35">
        <f>IF(CM185&lt;0,0,IF((CN81+CN85+CN87+CN89+CN90+CN91+CM95)&lt;Assump!$D$65,0,IF(CN66&gt;0,MAX(-CN66,(Assump!$D$65-CN81-CN85-CN87-CN89-CN90-CN91-CM95)),0)))</f>
        <v>-50597.290826938857</v>
      </c>
      <c r="CO88" s="35"/>
    </row>
    <row r="89" spans="1:93" ht="12.75" customHeight="1">
      <c r="A89" s="35"/>
      <c r="B89" s="63" t="s">
        <v>184</v>
      </c>
      <c r="C89" s="35">
        <f t="shared" si="201"/>
        <v>582386.70000000019</v>
      </c>
      <c r="D89" s="60"/>
      <c r="E89" s="35">
        <f>IF(($D$87+SUM($D$83:E83))&gt;0,0,-($D$87+SUM($D$83:E83)+SUM(D$89:$E89)))</f>
        <v>0</v>
      </c>
      <c r="F89" s="35">
        <f>IF(($D$87+SUM($D$83:F83))&gt;0,0,-($D$87+SUM($D$83:F83)+SUM($E$89:E89)))</f>
        <v>0</v>
      </c>
      <c r="G89" s="35">
        <f>IF(($D$87+SUM($D$83:G83))&gt;0,0,-($D$87+SUM($D$83:G83)+SUM($E$89:F89)))</f>
        <v>0</v>
      </c>
      <c r="H89" s="35">
        <f>IF(($D$87+SUM($D$83:H83))&gt;0,0,-($D$87+SUM($D$83:H83)+SUM($E$89:G89)))</f>
        <v>0</v>
      </c>
      <c r="I89" s="35">
        <f>IF(($D$87+SUM($D$83:I83))&gt;0,0,-($D$87+SUM($D$83:I83)+SUM($E$89:H89)))</f>
        <v>0</v>
      </c>
      <c r="J89" s="35">
        <f>IF(($D$87+SUM($D$83:J83))&gt;0,0,-($D$87+SUM($D$83:J83)+SUM($E$89:I89)))</f>
        <v>0</v>
      </c>
      <c r="K89" s="35">
        <f>IF(($D$87+SUM($D$83:K83))&gt;0,0,-($D$87+SUM($D$83:K83)+SUM($E$89:J89)))</f>
        <v>0</v>
      </c>
      <c r="L89" s="35">
        <f>IF(($D$87+SUM($D$83:L83))&gt;0,0,-($D$87+SUM($D$83:L83)+SUM($E$89:K89)))</f>
        <v>0</v>
      </c>
      <c r="M89" s="35">
        <f>IF(($D$87+SUM($D$83:M83))&gt;0,0,-($D$87+SUM($D$83:M83)+SUM($E$89:L89)))</f>
        <v>0</v>
      </c>
      <c r="N89" s="35">
        <f>IF(($D$87+SUM($D$83:N83))&gt;0,0,-($D$87+SUM($D$83:N83)+SUM($E$89:M89)))</f>
        <v>21232.848437500012</v>
      </c>
      <c r="O89" s="35">
        <f>IF(($D$87+SUM($D$83:O83))&gt;0,0,-($D$87+SUM($D$83:O83)+SUM($E$89:N89)))</f>
        <v>53385.447500000009</v>
      </c>
      <c r="P89" s="35">
        <f>IF(($D$87+SUM($D$83:P83))&gt;0,0,-($D$87+SUM($D$83:P83)+SUM($E$89:O89)))</f>
        <v>53385.447500000009</v>
      </c>
      <c r="Q89" s="35">
        <f>IF(($D$87+SUM($D$83:Q83))&gt;0,0,-($D$87+SUM($D$83:Q83)+SUM($E$89:P89)))</f>
        <v>77044.907187499979</v>
      </c>
      <c r="R89" s="35">
        <f>IF(($D$87+SUM($D$83:R83))&gt;0,0,-($D$87+SUM($D$83:R83)+SUM($E$89:Q89)))</f>
        <v>71585.031874999986</v>
      </c>
      <c r="S89" s="35">
        <f>IF(($D$87+SUM($D$83:S83))&gt;0,0,-($D$87+SUM($D$83:S83)+SUM($E$89:R89)))</f>
        <v>141835.42756250006</v>
      </c>
      <c r="T89" s="35">
        <f>IF(($D$87+SUM($D$83:T83))&gt;0,0,-($D$87+SUM($D$83:T83)+SUM($E$89:S89)))</f>
        <v>147295.30287499999</v>
      </c>
      <c r="U89" s="35">
        <f>IF(($D$87+SUM($D$83:U83))&gt;0,0,-($D$87+SUM($D$83:U83)+SUM($E$89:T89)))</f>
        <v>16622.287062500138</v>
      </c>
      <c r="V89" s="35">
        <f>IF(($D$87+SUM($D$83:V83))&gt;0,0,-($D$87+SUM($D$83:V83)+SUM($E$89:U89)))</f>
        <v>0</v>
      </c>
      <c r="W89" s="35">
        <f>IF(($D$87+SUM($D$83:W83))&gt;0,0,-($D$87+SUM($D$83:W83)+SUM($E$89:V89)))</f>
        <v>0</v>
      </c>
      <c r="X89" s="35">
        <f>IF(($D$87+SUM($D$83:X83))&gt;0,0,-($D$87+SUM($D$83:X83)+SUM($E$89:W89)))</f>
        <v>0</v>
      </c>
      <c r="Y89" s="35">
        <f>IF(($D$87+SUM($D$83:Y83))&gt;0,0,-($D$87+SUM($D$83:Y83)+SUM($E$89:X89)))</f>
        <v>0</v>
      </c>
      <c r="Z89" s="35">
        <f>IF(($D$87+SUM($D$83:Z83))&gt;0,0,-($D$87+SUM($D$83:Z83)+SUM($E$89:Y89)))</f>
        <v>0</v>
      </c>
      <c r="AA89" s="35">
        <f>IF(($D$87+SUM($D$83:AA83))&gt;0,0,-($D$87+SUM($D$83:AA83)+SUM($E$89:Z89)))</f>
        <v>0</v>
      </c>
      <c r="AB89" s="35">
        <f>IF(($D$87+SUM($D$83:AB83))&gt;0,0,-($D$87+SUM($D$83:AB83)+SUM($E$89:AA89)))</f>
        <v>0</v>
      </c>
      <c r="AC89" s="35">
        <f>IF(($D$87+SUM($D$83:AC83))&gt;0,0,-($D$87+SUM($D$83:AC83)+SUM($E$89:AB89)))</f>
        <v>0</v>
      </c>
      <c r="AD89" s="35">
        <f>IF(($D$87+SUM($D$83:AD83))&gt;0,0,-($D$87+SUM($D$83:AD83)+SUM($E$89:AC89)))</f>
        <v>0</v>
      </c>
      <c r="AE89" s="35">
        <f>IF(($D$87+SUM($D$83:AE83))&gt;0,0,-($D$87+SUM($D$83:AE83)+SUM($E$89:AD89)))</f>
        <v>0</v>
      </c>
      <c r="AF89" s="35">
        <f>IF(($D$87+SUM($D$83:AF83))&gt;0,0,-($D$87+SUM($D$83:AF83)+SUM($E$89:AE89)))</f>
        <v>0</v>
      </c>
      <c r="AG89" s="35">
        <f>IF(($D$87+SUM($D$83:AG83))&gt;0,0,-($D$87+SUM($D$83:AG83)+SUM($E$89:AF89)))</f>
        <v>0</v>
      </c>
      <c r="AH89" s="35">
        <f>IF(($D$87+SUM($D$83:AH83))&gt;0,0,-($D$87+SUM($D$83:AH83)+SUM($E$89:AG89)))</f>
        <v>0</v>
      </c>
      <c r="AI89" s="35">
        <f>IF(($D$87+SUM($D$83:AI83))&gt;0,0,-($D$87+SUM($D$83:AI83)+SUM($E$89:AH89)))</f>
        <v>0</v>
      </c>
      <c r="AJ89" s="35">
        <f>IF(($D$87+SUM($D$83:AJ83))&gt;0,0,-($D$87+SUM($D$83:AJ83)+SUM($E$89:AI89)))</f>
        <v>0</v>
      </c>
      <c r="AK89" s="35">
        <f>IF(($D$87+SUM($D$83:AK83))&gt;0,0,-($D$87+SUM($D$83:AK83)+SUM($E$89:AJ89)))</f>
        <v>0</v>
      </c>
      <c r="AL89" s="35">
        <f>IF(($D$87+SUM($D$83:AL83))&gt;0,0,-($D$87+SUM($D$83:AL83)+SUM($E$89:AK89)))</f>
        <v>0</v>
      </c>
      <c r="AM89" s="35">
        <f>IF(($D$87+SUM($D$83:AM83))&gt;0,0,-($D$87+SUM($D$83:AM83)+SUM($E$89:AL89)))</f>
        <v>0</v>
      </c>
      <c r="AN89" s="35">
        <f>IF(($D$87+SUM($D$83:AN83))&gt;0,0,-($D$87+SUM($D$83:AN83)+SUM($E$89:AM89)))</f>
        <v>0</v>
      </c>
      <c r="AO89" s="35">
        <f>IF(($D$87+SUM($D$83:AO83))&gt;0,0,-($D$87+SUM($D$83:AO83)+SUM($E$89:AN89)))</f>
        <v>0</v>
      </c>
      <c r="AP89" s="35">
        <f>IF(($D$87+SUM($D$83:AP83))&gt;0,0,-($D$87+SUM($D$83:AP83)+SUM($E$89:AO89)))</f>
        <v>0</v>
      </c>
      <c r="AQ89" s="35">
        <f>IF(($D$87+SUM($D$83:AQ83))&gt;0,0,-($D$87+SUM($D$83:AQ83)+SUM($E$89:AP89)))</f>
        <v>0</v>
      </c>
      <c r="AR89" s="35">
        <f>IF(($D$87+SUM($D$83:AR83))&gt;0,0,-($D$87+SUM($D$83:AR83)+SUM($E$89:AQ89)))</f>
        <v>0</v>
      </c>
      <c r="AS89" s="35">
        <f>IF(($D$87+SUM($D$83:AS83))&gt;0,0,-($D$87+SUM($D$83:AS83)+SUM($E$89:AR89)))</f>
        <v>0</v>
      </c>
      <c r="AT89" s="35">
        <f>IF(($D$87+SUM($D$83:AT83))&gt;0,0,-($D$87+SUM($D$83:AT83)+SUM($E$89:AS89)))</f>
        <v>0</v>
      </c>
      <c r="AU89" s="35">
        <f>IF(($D$87+SUM($D$83:AU83))&gt;0,0,-($D$87+SUM($D$83:AU83)+SUM($E$89:AT89)))</f>
        <v>0</v>
      </c>
      <c r="AV89" s="35">
        <f>IF(($D$87+SUM($D$83:AV83))&gt;0,0,-($D$87+SUM($D$83:AV83)+SUM($E$89:AU89)))</f>
        <v>0</v>
      </c>
      <c r="AW89" s="35">
        <f>IF(($D$87+SUM($D$83:AW83))&gt;0,0,-($D$87+SUM($D$83:AW83)+SUM($E$89:AV89)))</f>
        <v>0</v>
      </c>
      <c r="AX89" s="35">
        <f>IF(($D$87+SUM($D$83:AX83))&gt;0,0,-($D$87+SUM($D$83:AX83)+SUM($E$89:AW89)))</f>
        <v>0</v>
      </c>
      <c r="AY89" s="35">
        <f>IF(($D$87+SUM($D$83:AY83))&gt;0,0,-($D$87+SUM($D$83:AY83)+SUM($E$89:AX89)))</f>
        <v>0</v>
      </c>
      <c r="AZ89" s="35">
        <f>IF(($D$87+SUM($D$83:AZ83))&gt;0,0,-($D$87+SUM($D$83:AZ83)+SUM($E$89:AY89)))</f>
        <v>0</v>
      </c>
      <c r="BA89" s="35">
        <f>IF(($D$87+SUM($D$83:BA83))&gt;0,0,-($D$87+SUM($D$83:BA83)+SUM($E$89:AZ89)))</f>
        <v>0</v>
      </c>
      <c r="BB89" s="35">
        <f>IF(($D$87+SUM($D$83:BB83))&gt;0,0,-($D$87+SUM($D$83:BB83)+SUM($E$89:BA89)))</f>
        <v>0</v>
      </c>
      <c r="BC89" s="35">
        <f>IF(($D$87+SUM($D$83:BC83))&gt;0,0,-($D$87+SUM($D$83:BC83)+SUM($E$89:BB89)))</f>
        <v>0</v>
      </c>
      <c r="BD89" s="35">
        <f>IF(($D$87+SUM($D$83:BD83))&gt;0,0,-($D$87+SUM($D$83:BD83)+SUM($E$89:BC89)))</f>
        <v>0</v>
      </c>
      <c r="BE89" s="35">
        <f>IF(($D$87+SUM($D$83:BE83))&gt;0,0,-($D$87+SUM($D$83:BE83)+SUM($E$89:BD89)))</f>
        <v>0</v>
      </c>
      <c r="BF89" s="35">
        <f>IF(($D$87+SUM($D$83:BF83))&gt;0,0,-($D$87+SUM($D$83:BF83)+SUM($E$89:BE89)))</f>
        <v>0</v>
      </c>
      <c r="BG89" s="35">
        <f>IF(($D$87+SUM($D$83:BG83))&gt;0,0,-($D$87+SUM($D$83:BG83)+SUM($E$89:BF89)))</f>
        <v>0</v>
      </c>
      <c r="BH89" s="35">
        <f>IF(($D$87+SUM($D$83:BH83))&gt;0,0,-($D$87+SUM($D$83:BH83)+SUM($E$89:BG89)))</f>
        <v>0</v>
      </c>
      <c r="BI89" s="35">
        <f>IF(($D$87+SUM($D$83:BI83))&gt;0,0,-($D$87+SUM($D$83:BI83)+SUM($E$89:BH89)))</f>
        <v>0</v>
      </c>
      <c r="BJ89" s="35">
        <f>IF(($D$87+SUM($D$83:BJ83))&gt;0,0,-($D$87+SUM($D$83:BJ83)+SUM($E$89:BI89)))</f>
        <v>0</v>
      </c>
      <c r="BK89" s="35">
        <f>IF(($D$87+SUM($D$83:BK83))&gt;0,0,-($D$87+SUM($D$83:BK83)+SUM($E$89:BJ89)))</f>
        <v>0</v>
      </c>
      <c r="BL89" s="35">
        <f>IF(($D$87+SUM($D$83:BL83))&gt;0,0,-($D$87+SUM($D$83:BL83)+SUM($E$89:BK89)))</f>
        <v>0</v>
      </c>
      <c r="BM89" s="35">
        <f>IF(($D$87+SUM($D$83:BM83))&gt;0,0,-($D$87+SUM($D$83:BM83)+SUM($E$89:BL89)))</f>
        <v>0</v>
      </c>
      <c r="BN89" s="35">
        <f>IF(($D$87+SUM($D$83:BN83))&gt;0,0,-($D$87+SUM($D$83:BN83)+SUM($E$89:BM89)))</f>
        <v>0</v>
      </c>
      <c r="BO89" s="35">
        <f>IF(($D$87+SUM($D$83:BO83))&gt;0,0,-($D$87+SUM($D$83:BO83)+SUM($E$89:BN89)))</f>
        <v>0</v>
      </c>
      <c r="BP89" s="35">
        <f>IF(($D$87+SUM($D$83:BP83))&gt;0,0,-($D$87+SUM($D$83:BP83)+SUM($E$89:BO89)))</f>
        <v>0</v>
      </c>
      <c r="BQ89" s="35">
        <f>IF(($D$87+SUM($D$83:BQ83))&gt;0,0,-($D$87+SUM($D$83:BQ83)+SUM($E$89:BP89)))</f>
        <v>0</v>
      </c>
      <c r="BR89" s="35">
        <f>IF(($D$87+SUM($D$83:BR83))&gt;0,0,-($D$87+SUM($D$83:BR83)+SUM($E$89:BQ89)))</f>
        <v>0</v>
      </c>
      <c r="BS89" s="35">
        <f>IF(($D$87+SUM($D$83:BS83))&gt;0,0,-($D$87+SUM($D$83:BS83)+SUM($E$89:BR89)))</f>
        <v>0</v>
      </c>
      <c r="BT89" s="35">
        <f>IF(($D$87+SUM($D$83:BT83))&gt;0,0,-($D$87+SUM($D$83:BT83)+SUM($E$89:BS89)))</f>
        <v>0</v>
      </c>
      <c r="BU89" s="35">
        <f>IF(($D$87+SUM($D$83:BU83))&gt;0,0,-($D$87+SUM($D$83:BU83)+SUM($E$89:BT89)))</f>
        <v>0</v>
      </c>
      <c r="BV89" s="35">
        <f>IF(($D$87+SUM($D$83:BV83))&gt;0,0,-($D$87+SUM($D$83:BV83)+SUM($E$89:BU89)))</f>
        <v>0</v>
      </c>
      <c r="BW89" s="35">
        <f>IF(($D$87+SUM($D$83:BW83))&gt;0,0,-($D$87+SUM($D$83:BW83)+SUM($E$89:BV89)))</f>
        <v>0</v>
      </c>
      <c r="BX89" s="35">
        <f>IF(($D$87+SUM($D$83:BX83))&gt;0,0,-($D$87+SUM($D$83:BX83)+SUM($E$89:BW89)))</f>
        <v>0</v>
      </c>
      <c r="BY89" s="35">
        <f>IF(($D$87+SUM($D$83:BY83))&gt;0,0,-($D$87+SUM($D$83:BY83)+SUM($E$89:BX89)))</f>
        <v>0</v>
      </c>
      <c r="BZ89" s="35">
        <f>IF(($D$87+SUM($D$83:BZ83))&gt;0,0,-($D$87+SUM($D$83:BZ83)+SUM($E$89:BY89)))</f>
        <v>0</v>
      </c>
      <c r="CA89" s="35">
        <f>IF(($D$87+SUM($D$83:CA83))&gt;0,0,-($D$87+SUM($D$83:CA83)+SUM($E$89:BZ89)))</f>
        <v>0</v>
      </c>
      <c r="CB89" s="35">
        <f>IF(($D$87+SUM($D$83:CB83))&gt;0,0,-($D$87+SUM($D$83:CB83)+SUM($E$89:CA89)))</f>
        <v>0</v>
      </c>
      <c r="CC89" s="35">
        <f>IF(($D$87+SUM($D$83:CC83))&gt;0,0,-($D$87+SUM($D$83:CC83)+SUM($E$89:CB89)))</f>
        <v>0</v>
      </c>
      <c r="CD89" s="35">
        <f>IF(($D$87+SUM($D$83:CD83))&gt;0,0,-($D$87+SUM($D$83:CD83)+SUM($E$89:CC89)))</f>
        <v>0</v>
      </c>
      <c r="CE89" s="35">
        <f>IF(($D$87+SUM($D$83:CE83))&gt;0,0,-($D$87+SUM($D$83:CE83)+SUM($E$89:CD89)))</f>
        <v>0</v>
      </c>
      <c r="CF89" s="35">
        <f>IF(($D$87+SUM($D$83:CF83))&gt;0,0,-($D$87+SUM($D$83:CF83)+SUM($E$89:CE89)))</f>
        <v>0</v>
      </c>
      <c r="CG89" s="35">
        <f>IF(($D$87+SUM($D$83:CG83))&gt;0,0,-($D$87+SUM($D$83:CG83)+SUM($E$89:CF89)))</f>
        <v>0</v>
      </c>
      <c r="CH89" s="35">
        <f>IF(($D$87+SUM($D$83:CH83))&gt;0,0,-($D$87+SUM($D$83:CH83)+SUM($E$89:CG89)))</f>
        <v>0</v>
      </c>
      <c r="CI89" s="35">
        <f>IF(($D$87+SUM($D$83:CI83))&gt;0,0,-($D$87+SUM($D$83:CI83)+SUM($E$89:CH89)))</f>
        <v>0</v>
      </c>
      <c r="CJ89" s="35">
        <f>IF(($D$87+SUM($D$83:CJ83))&gt;0,0,-($D$87+SUM($D$83:CJ83)+SUM($E$89:CI89)))</f>
        <v>0</v>
      </c>
      <c r="CK89" s="35">
        <f>IF(($D$87+SUM($D$83:CK83))&gt;0,0,-($D$87+SUM($D$83:CK83)+SUM($E$89:CJ89)))</f>
        <v>0</v>
      </c>
      <c r="CL89" s="35">
        <f>IF(($D$87+SUM($D$83:CL83))&gt;0,0,-($D$87+SUM($D$83:CL83)+SUM($E$89:CK89)))</f>
        <v>0</v>
      </c>
      <c r="CM89" s="35">
        <f>IF(($D$87+SUM($D$83:CM83))&gt;0,0,-($D$87+SUM($D$83:CM83)+SUM($E$89:CL89)))</f>
        <v>0</v>
      </c>
      <c r="CN89" s="35">
        <f>IF(($D$87+SUM($D$83:CN83))&gt;0,0,-($D$87+SUM($D$83:CN83)+SUM($E$89:CM89)))</f>
        <v>0</v>
      </c>
      <c r="CO89" s="35"/>
    </row>
    <row r="90" spans="1:93" ht="12.75" customHeight="1">
      <c r="A90" s="35"/>
      <c r="B90" s="63" t="s">
        <v>185</v>
      </c>
      <c r="C90" s="35">
        <f t="shared" si="201"/>
        <v>-582386.70000000019</v>
      </c>
      <c r="D90" s="60">
        <f t="shared" ref="D90:CN90" si="202">D163</f>
        <v>0</v>
      </c>
      <c r="E90" s="35">
        <f t="shared" si="202"/>
        <v>0</v>
      </c>
      <c r="F90" s="35">
        <f t="shared" si="202"/>
        <v>0</v>
      </c>
      <c r="G90" s="35">
        <f t="shared" si="202"/>
        <v>0</v>
      </c>
      <c r="H90" s="35">
        <f t="shared" si="202"/>
        <v>0</v>
      </c>
      <c r="I90" s="35">
        <f t="shared" si="202"/>
        <v>0</v>
      </c>
      <c r="J90" s="35">
        <f t="shared" si="202"/>
        <v>0</v>
      </c>
      <c r="K90" s="35">
        <f t="shared" si="202"/>
        <v>0</v>
      </c>
      <c r="L90" s="35">
        <f t="shared" si="202"/>
        <v>0</v>
      </c>
      <c r="M90" s="35">
        <f t="shared" si="202"/>
        <v>0</v>
      </c>
      <c r="N90" s="35">
        <f t="shared" si="202"/>
        <v>0</v>
      </c>
      <c r="O90" s="35">
        <f t="shared" si="202"/>
        <v>0</v>
      </c>
      <c r="P90" s="35">
        <f t="shared" si="202"/>
        <v>0</v>
      </c>
      <c r="Q90" s="35">
        <f t="shared" si="202"/>
        <v>0</v>
      </c>
      <c r="R90" s="35">
        <f t="shared" si="202"/>
        <v>0</v>
      </c>
      <c r="S90" s="35">
        <f t="shared" si="202"/>
        <v>0</v>
      </c>
      <c r="T90" s="35">
        <f t="shared" si="202"/>
        <v>0</v>
      </c>
      <c r="U90" s="35">
        <f t="shared" si="202"/>
        <v>0</v>
      </c>
      <c r="V90" s="35">
        <f t="shared" si="202"/>
        <v>0</v>
      </c>
      <c r="W90" s="35">
        <f t="shared" si="202"/>
        <v>-4675.6619917825465</v>
      </c>
      <c r="X90" s="35">
        <f t="shared" si="202"/>
        <v>-11641.980410150987</v>
      </c>
      <c r="Y90" s="35">
        <f t="shared" si="202"/>
        <v>-64943.836080138921</v>
      </c>
      <c r="Z90" s="35">
        <f t="shared" si="202"/>
        <v>0</v>
      </c>
      <c r="AA90" s="35">
        <f t="shared" si="202"/>
        <v>-4877.4973473746977</v>
      </c>
      <c r="AB90" s="35">
        <f>AB163</f>
        <v>-12486.671724009486</v>
      </c>
      <c r="AC90" s="35">
        <f t="shared" si="202"/>
        <v>-67085.155621628219</v>
      </c>
      <c r="AD90" s="35">
        <f t="shared" si="202"/>
        <v>0</v>
      </c>
      <c r="AE90" s="35">
        <f t="shared" si="202"/>
        <v>-6934.1256706931717</v>
      </c>
      <c r="AF90" s="35">
        <f t="shared" si="202"/>
        <v>-14975.982846068899</v>
      </c>
      <c r="AG90" s="35">
        <f t="shared" si="202"/>
        <v>-72179.748933395909</v>
      </c>
      <c r="AH90" s="35">
        <f t="shared" si="202"/>
        <v>0</v>
      </c>
      <c r="AI90" s="35">
        <f t="shared" si="202"/>
        <v>-9319.1491592147722</v>
      </c>
      <c r="AJ90" s="35">
        <f t="shared" si="202"/>
        <v>-17796.381091471962</v>
      </c>
      <c r="AK90" s="35">
        <f t="shared" si="202"/>
        <v>-77888.620804803213</v>
      </c>
      <c r="AL90" s="35">
        <f t="shared" si="202"/>
        <v>-507.50035185206616</v>
      </c>
      <c r="AM90" s="35">
        <f t="shared" si="202"/>
        <v>-11910.757679339407</v>
      </c>
      <c r="AN90" s="35">
        <f t="shared" si="202"/>
        <v>-20868.90617905515</v>
      </c>
      <c r="AO90" s="35">
        <f t="shared" si="202"/>
        <v>-84007.214382838909</v>
      </c>
      <c r="AP90" s="35">
        <f t="shared" si="202"/>
        <v>-2609.0279824777886</v>
      </c>
      <c r="AQ90" s="35">
        <f t="shared" si="202"/>
        <v>-14818.32160490941</v>
      </c>
      <c r="AR90" s="35">
        <f t="shared" si="202"/>
        <v>-24238.664151495363</v>
      </c>
      <c r="AS90" s="35">
        <f t="shared" si="202"/>
        <v>-58621.49598729932</v>
      </c>
      <c r="AT90" s="35">
        <f t="shared" si="202"/>
        <v>0</v>
      </c>
      <c r="AU90" s="35">
        <f t="shared" si="202"/>
        <v>0</v>
      </c>
      <c r="AV90" s="35">
        <f t="shared" si="202"/>
        <v>0</v>
      </c>
      <c r="AW90" s="35">
        <f t="shared" si="202"/>
        <v>0</v>
      </c>
      <c r="AX90" s="35">
        <f t="shared" si="202"/>
        <v>0</v>
      </c>
      <c r="AY90" s="35">
        <f t="shared" si="202"/>
        <v>0</v>
      </c>
      <c r="AZ90" s="35">
        <f t="shared" si="202"/>
        <v>0</v>
      </c>
      <c r="BA90" s="35">
        <f t="shared" si="202"/>
        <v>0</v>
      </c>
      <c r="BB90" s="35">
        <f t="shared" si="202"/>
        <v>0</v>
      </c>
      <c r="BC90" s="35">
        <f t="shared" si="202"/>
        <v>0</v>
      </c>
      <c r="BD90" s="35">
        <f t="shared" si="202"/>
        <v>0</v>
      </c>
      <c r="BE90" s="35">
        <f t="shared" si="202"/>
        <v>0</v>
      </c>
      <c r="BF90" s="35">
        <f t="shared" si="202"/>
        <v>0</v>
      </c>
      <c r="BG90" s="35">
        <f t="shared" si="202"/>
        <v>0</v>
      </c>
      <c r="BH90" s="35">
        <f t="shared" si="202"/>
        <v>0</v>
      </c>
      <c r="BI90" s="35">
        <f t="shared" si="202"/>
        <v>0</v>
      </c>
      <c r="BJ90" s="35">
        <f t="shared" si="202"/>
        <v>0</v>
      </c>
      <c r="BK90" s="35">
        <f t="shared" si="202"/>
        <v>0</v>
      </c>
      <c r="BL90" s="35">
        <f t="shared" si="202"/>
        <v>0</v>
      </c>
      <c r="BM90" s="35">
        <f t="shared" si="202"/>
        <v>0</v>
      </c>
      <c r="BN90" s="35">
        <f t="shared" si="202"/>
        <v>0</v>
      </c>
      <c r="BO90" s="35">
        <f t="shared" si="202"/>
        <v>0</v>
      </c>
      <c r="BP90" s="35">
        <f t="shared" si="202"/>
        <v>0</v>
      </c>
      <c r="BQ90" s="35">
        <f t="shared" si="202"/>
        <v>0</v>
      </c>
      <c r="BR90" s="35">
        <f t="shared" si="202"/>
        <v>0</v>
      </c>
      <c r="BS90" s="35">
        <f t="shared" si="202"/>
        <v>0</v>
      </c>
      <c r="BT90" s="35">
        <f t="shared" si="202"/>
        <v>0</v>
      </c>
      <c r="BU90" s="35">
        <f t="shared" si="202"/>
        <v>0</v>
      </c>
      <c r="BV90" s="35">
        <f t="shared" si="202"/>
        <v>0</v>
      </c>
      <c r="BW90" s="35">
        <f t="shared" si="202"/>
        <v>0</v>
      </c>
      <c r="BX90" s="35">
        <f t="shared" si="202"/>
        <v>0</v>
      </c>
      <c r="BY90" s="35">
        <f t="shared" si="202"/>
        <v>0</v>
      </c>
      <c r="BZ90" s="35">
        <f t="shared" si="202"/>
        <v>0</v>
      </c>
      <c r="CA90" s="35">
        <f t="shared" si="202"/>
        <v>0</v>
      </c>
      <c r="CB90" s="35">
        <f t="shared" si="202"/>
        <v>0</v>
      </c>
      <c r="CC90" s="35">
        <f t="shared" si="202"/>
        <v>0</v>
      </c>
      <c r="CD90" s="35">
        <f t="shared" si="202"/>
        <v>0</v>
      </c>
      <c r="CE90" s="35">
        <f t="shared" si="202"/>
        <v>0</v>
      </c>
      <c r="CF90" s="35">
        <f t="shared" si="202"/>
        <v>0</v>
      </c>
      <c r="CG90" s="35">
        <f t="shared" si="202"/>
        <v>0</v>
      </c>
      <c r="CH90" s="35">
        <f t="shared" si="202"/>
        <v>0</v>
      </c>
      <c r="CI90" s="35">
        <f t="shared" si="202"/>
        <v>0</v>
      </c>
      <c r="CJ90" s="35">
        <f t="shared" si="202"/>
        <v>0</v>
      </c>
      <c r="CK90" s="35">
        <f t="shared" si="202"/>
        <v>0</v>
      </c>
      <c r="CL90" s="35">
        <f t="shared" si="202"/>
        <v>0</v>
      </c>
      <c r="CM90" s="35">
        <f t="shared" si="202"/>
        <v>0</v>
      </c>
      <c r="CN90" s="35">
        <f t="shared" si="202"/>
        <v>0</v>
      </c>
      <c r="CO90" s="35"/>
    </row>
    <row r="91" spans="1:93" ht="12.75" customHeight="1">
      <c r="A91" s="35"/>
      <c r="B91" s="63" t="s">
        <v>186</v>
      </c>
      <c r="C91" s="35">
        <f t="shared" si="201"/>
        <v>-188173.39816270935</v>
      </c>
      <c r="D91" s="60">
        <f t="shared" ref="D91:CN91" si="203">D165</f>
        <v>0</v>
      </c>
      <c r="E91" s="35">
        <f t="shared" si="203"/>
        <v>0</v>
      </c>
      <c r="F91" s="35">
        <f t="shared" si="203"/>
        <v>0</v>
      </c>
      <c r="G91" s="35">
        <f t="shared" si="203"/>
        <v>0</v>
      </c>
      <c r="H91" s="35">
        <f t="shared" si="203"/>
        <v>0</v>
      </c>
      <c r="I91" s="35">
        <f t="shared" si="203"/>
        <v>0</v>
      </c>
      <c r="J91" s="35">
        <f t="shared" si="203"/>
        <v>0</v>
      </c>
      <c r="K91" s="35">
        <f t="shared" si="203"/>
        <v>0</v>
      </c>
      <c r="L91" s="35">
        <f t="shared" si="203"/>
        <v>0</v>
      </c>
      <c r="M91" s="35">
        <f t="shared" si="203"/>
        <v>0</v>
      </c>
      <c r="N91" s="35">
        <f t="shared" si="203"/>
        <v>0</v>
      </c>
      <c r="O91" s="35">
        <f t="shared" si="203"/>
        <v>-398.11590820312523</v>
      </c>
      <c r="P91" s="35">
        <f t="shared" si="203"/>
        <v>-1399.0930488281253</v>
      </c>
      <c r="Q91" s="35">
        <f t="shared" si="203"/>
        <v>-2400.0701894531253</v>
      </c>
      <c r="R91" s="35">
        <f t="shared" si="203"/>
        <v>-3844.6621992187502</v>
      </c>
      <c r="S91" s="35">
        <f t="shared" si="203"/>
        <v>-5186.8815468749999</v>
      </c>
      <c r="T91" s="35">
        <f t="shared" si="203"/>
        <v>-7846.2958136718753</v>
      </c>
      <c r="U91" s="35">
        <f t="shared" si="203"/>
        <v>-10608.082742578126</v>
      </c>
      <c r="V91" s="35">
        <f t="shared" si="203"/>
        <v>-10919.750625000002</v>
      </c>
      <c r="W91" s="35">
        <f t="shared" si="203"/>
        <v>-10919.750625000002</v>
      </c>
      <c r="X91" s="35">
        <f t="shared" si="203"/>
        <v>-10832.08196265408</v>
      </c>
      <c r="Y91" s="35">
        <f t="shared" si="203"/>
        <v>-10613.794829963748</v>
      </c>
      <c r="Z91" s="35">
        <f t="shared" si="203"/>
        <v>-9396.0979034611446</v>
      </c>
      <c r="AA91" s="35">
        <f t="shared" si="203"/>
        <v>-9396.0979034611446</v>
      </c>
      <c r="AB91" s="35">
        <f t="shared" si="203"/>
        <v>-9304.6448281978683</v>
      </c>
      <c r="AC91" s="35">
        <f t="shared" si="203"/>
        <v>-9070.5197333726901</v>
      </c>
      <c r="AD91" s="35">
        <f t="shared" si="203"/>
        <v>-7812.6730654671619</v>
      </c>
      <c r="AE91" s="35">
        <f t="shared" si="203"/>
        <v>-7812.6730654671619</v>
      </c>
      <c r="AF91" s="35">
        <f t="shared" si="203"/>
        <v>-7682.6582091416649</v>
      </c>
      <c r="AG91" s="35">
        <f t="shared" si="203"/>
        <v>-7401.8585307778721</v>
      </c>
      <c r="AH91" s="35">
        <f t="shared" si="203"/>
        <v>-6048.4882382767</v>
      </c>
      <c r="AI91" s="35">
        <f t="shared" si="203"/>
        <v>-6048.4882382767</v>
      </c>
      <c r="AJ91" s="35">
        <f t="shared" si="203"/>
        <v>-5873.7541915414231</v>
      </c>
      <c r="AK91" s="35">
        <f t="shared" si="203"/>
        <v>-5540.0720460763241</v>
      </c>
      <c r="AL91" s="35">
        <f t="shared" si="203"/>
        <v>-4079.6604059862639</v>
      </c>
      <c r="AM91" s="35">
        <f t="shared" si="203"/>
        <v>-4070.1447743890376</v>
      </c>
      <c r="AN91" s="35">
        <f t="shared" si="203"/>
        <v>-3846.818067901424</v>
      </c>
      <c r="AO91" s="35">
        <f t="shared" si="203"/>
        <v>-3455.5260770441396</v>
      </c>
      <c r="AP91" s="35">
        <f t="shared" si="203"/>
        <v>-1880.39080736591</v>
      </c>
      <c r="AQ91" s="35">
        <f t="shared" si="203"/>
        <v>-1831.4715326944518</v>
      </c>
      <c r="AR91" s="35">
        <f t="shared" si="203"/>
        <v>-1553.6280026024003</v>
      </c>
      <c r="AS91" s="35">
        <f t="shared" si="203"/>
        <v>-1099.1530497618621</v>
      </c>
      <c r="AT91" s="35">
        <f t="shared" si="203"/>
        <v>0</v>
      </c>
      <c r="AU91" s="35">
        <f t="shared" si="203"/>
        <v>0</v>
      </c>
      <c r="AV91" s="35">
        <f t="shared" si="203"/>
        <v>0</v>
      </c>
      <c r="AW91" s="35">
        <f t="shared" si="203"/>
        <v>0</v>
      </c>
      <c r="AX91" s="35">
        <f t="shared" si="203"/>
        <v>0</v>
      </c>
      <c r="AY91" s="35">
        <f t="shared" si="203"/>
        <v>0</v>
      </c>
      <c r="AZ91" s="35">
        <f t="shared" si="203"/>
        <v>0</v>
      </c>
      <c r="BA91" s="35">
        <f t="shared" si="203"/>
        <v>0</v>
      </c>
      <c r="BB91" s="35">
        <f t="shared" si="203"/>
        <v>0</v>
      </c>
      <c r="BC91" s="35">
        <f t="shared" si="203"/>
        <v>0</v>
      </c>
      <c r="BD91" s="35">
        <f t="shared" si="203"/>
        <v>0</v>
      </c>
      <c r="BE91" s="35">
        <f t="shared" si="203"/>
        <v>0</v>
      </c>
      <c r="BF91" s="35">
        <f t="shared" si="203"/>
        <v>0</v>
      </c>
      <c r="BG91" s="35">
        <f t="shared" si="203"/>
        <v>0</v>
      </c>
      <c r="BH91" s="35">
        <f t="shared" si="203"/>
        <v>0</v>
      </c>
      <c r="BI91" s="35">
        <f t="shared" si="203"/>
        <v>0</v>
      </c>
      <c r="BJ91" s="35">
        <f t="shared" si="203"/>
        <v>0</v>
      </c>
      <c r="BK91" s="35">
        <f t="shared" si="203"/>
        <v>0</v>
      </c>
      <c r="BL91" s="35">
        <f t="shared" si="203"/>
        <v>0</v>
      </c>
      <c r="BM91" s="35">
        <f t="shared" si="203"/>
        <v>0</v>
      </c>
      <c r="BN91" s="35">
        <f t="shared" si="203"/>
        <v>0</v>
      </c>
      <c r="BO91" s="35">
        <f t="shared" si="203"/>
        <v>0</v>
      </c>
      <c r="BP91" s="35">
        <f t="shared" si="203"/>
        <v>0</v>
      </c>
      <c r="BQ91" s="35">
        <f t="shared" si="203"/>
        <v>0</v>
      </c>
      <c r="BR91" s="35">
        <f t="shared" si="203"/>
        <v>0</v>
      </c>
      <c r="BS91" s="35">
        <f t="shared" si="203"/>
        <v>0</v>
      </c>
      <c r="BT91" s="35">
        <f t="shared" si="203"/>
        <v>0</v>
      </c>
      <c r="BU91" s="35">
        <f t="shared" si="203"/>
        <v>0</v>
      </c>
      <c r="BV91" s="35">
        <f t="shared" si="203"/>
        <v>0</v>
      </c>
      <c r="BW91" s="35">
        <f t="shared" si="203"/>
        <v>0</v>
      </c>
      <c r="BX91" s="35">
        <f t="shared" si="203"/>
        <v>0</v>
      </c>
      <c r="BY91" s="35">
        <f t="shared" si="203"/>
        <v>0</v>
      </c>
      <c r="BZ91" s="35">
        <f t="shared" si="203"/>
        <v>0</v>
      </c>
      <c r="CA91" s="35">
        <f t="shared" si="203"/>
        <v>0</v>
      </c>
      <c r="CB91" s="35">
        <f t="shared" si="203"/>
        <v>0</v>
      </c>
      <c r="CC91" s="35">
        <f t="shared" si="203"/>
        <v>0</v>
      </c>
      <c r="CD91" s="35">
        <f t="shared" si="203"/>
        <v>0</v>
      </c>
      <c r="CE91" s="35">
        <f t="shared" si="203"/>
        <v>0</v>
      </c>
      <c r="CF91" s="35">
        <f t="shared" si="203"/>
        <v>0</v>
      </c>
      <c r="CG91" s="35">
        <f t="shared" si="203"/>
        <v>0</v>
      </c>
      <c r="CH91" s="35">
        <f t="shared" si="203"/>
        <v>0</v>
      </c>
      <c r="CI91" s="35">
        <f t="shared" si="203"/>
        <v>0</v>
      </c>
      <c r="CJ91" s="35">
        <f t="shared" si="203"/>
        <v>0</v>
      </c>
      <c r="CK91" s="35">
        <f t="shared" si="203"/>
        <v>0</v>
      </c>
      <c r="CL91" s="35">
        <f t="shared" si="203"/>
        <v>0</v>
      </c>
      <c r="CM91" s="35">
        <f t="shared" si="203"/>
        <v>0</v>
      </c>
      <c r="CN91" s="35">
        <f t="shared" si="203"/>
        <v>0</v>
      </c>
      <c r="CO91" s="35"/>
    </row>
    <row r="92" spans="1:93" ht="12.75" customHeight="1">
      <c r="A92" s="90"/>
      <c r="B92" s="91" t="s">
        <v>187</v>
      </c>
      <c r="C92" s="91">
        <f t="shared" si="201"/>
        <v>-2635917.7952514812</v>
      </c>
      <c r="D92" s="71">
        <f t="shared" ref="D92:CN92" si="204">SUM(D87:D91)</f>
        <v>145596.67499999999</v>
      </c>
      <c r="E92" s="91">
        <f t="shared" si="204"/>
        <v>0</v>
      </c>
      <c r="F92" s="91">
        <f t="shared" si="204"/>
        <v>0</v>
      </c>
      <c r="G92" s="91">
        <f t="shared" si="204"/>
        <v>0</v>
      </c>
      <c r="H92" s="91">
        <f t="shared" si="204"/>
        <v>0</v>
      </c>
      <c r="I92" s="91">
        <f t="shared" si="204"/>
        <v>0</v>
      </c>
      <c r="J92" s="91">
        <f t="shared" si="204"/>
        <v>0</v>
      </c>
      <c r="K92" s="91">
        <f t="shared" si="204"/>
        <v>0</v>
      </c>
      <c r="L92" s="91">
        <f t="shared" si="204"/>
        <v>0</v>
      </c>
      <c r="M92" s="91">
        <f t="shared" si="204"/>
        <v>0</v>
      </c>
      <c r="N92" s="91">
        <f t="shared" si="204"/>
        <v>21232.848437500012</v>
      </c>
      <c r="O92" s="91">
        <f t="shared" si="204"/>
        <v>52987.331591796887</v>
      </c>
      <c r="P92" s="91">
        <f t="shared" si="204"/>
        <v>51986.354451171886</v>
      </c>
      <c r="Q92" s="91">
        <f t="shared" si="204"/>
        <v>74644.836998046856</v>
      </c>
      <c r="R92" s="91">
        <f t="shared" si="204"/>
        <v>67740.369675781229</v>
      </c>
      <c r="S92" s="91">
        <f t="shared" si="204"/>
        <v>136648.54601562506</v>
      </c>
      <c r="T92" s="91">
        <f t="shared" si="204"/>
        <v>139449.00706132813</v>
      </c>
      <c r="U92" s="91">
        <f t="shared" si="204"/>
        <v>6014.2043199220116</v>
      </c>
      <c r="V92" s="91">
        <f t="shared" si="204"/>
        <v>-10919.750625000002</v>
      </c>
      <c r="W92" s="91">
        <f t="shared" si="204"/>
        <v>-15595.412616782549</v>
      </c>
      <c r="X92" s="91">
        <f t="shared" si="204"/>
        <v>-22474.062372805067</v>
      </c>
      <c r="Y92" s="91">
        <f t="shared" si="204"/>
        <v>-75557.630910102671</v>
      </c>
      <c r="Z92" s="91">
        <f t="shared" si="204"/>
        <v>-9396.0979034611446</v>
      </c>
      <c r="AA92" s="91">
        <f t="shared" si="204"/>
        <v>-21064.528945952588</v>
      </c>
      <c r="AB92" s="91">
        <f t="shared" si="204"/>
        <v>-36266.545218342821</v>
      </c>
      <c r="AC92" s="91">
        <f t="shared" si="204"/>
        <v>-139274.45453978889</v>
      </c>
      <c r="AD92" s="91">
        <f t="shared" si="204"/>
        <v>-7812.6730654671619</v>
      </c>
      <c r="AE92" s="91">
        <f t="shared" si="204"/>
        <v>-14946.455761202305</v>
      </c>
      <c r="AF92" s="91">
        <f t="shared" si="204"/>
        <v>-22658.641055210563</v>
      </c>
      <c r="AG92" s="91">
        <f t="shared" si="204"/>
        <v>-79581.60746417378</v>
      </c>
      <c r="AH92" s="91">
        <f t="shared" si="204"/>
        <v>-9660.1984850245135</v>
      </c>
      <c r="AI92" s="91">
        <f t="shared" si="204"/>
        <v>-15367.637397491471</v>
      </c>
      <c r="AJ92" s="91">
        <f t="shared" si="204"/>
        <v>-23670.135283013384</v>
      </c>
      <c r="AK92" s="70">
        <f t="shared" si="204"/>
        <v>-83428.692850879539</v>
      </c>
      <c r="AL92" s="91">
        <f t="shared" si="204"/>
        <v>-4587.16075783833</v>
      </c>
      <c r="AM92" s="91">
        <f t="shared" si="204"/>
        <v>-15980.902453728446</v>
      </c>
      <c r="AN92" s="91">
        <f t="shared" si="204"/>
        <v>-24715.724246956575</v>
      </c>
      <c r="AO92" s="91">
        <f t="shared" si="204"/>
        <v>-87462.740459883047</v>
      </c>
      <c r="AP92" s="91">
        <f t="shared" si="204"/>
        <v>-4489.4187898436985</v>
      </c>
      <c r="AQ92" s="91">
        <f t="shared" si="204"/>
        <v>-16649.793137603861</v>
      </c>
      <c r="AR92" s="91">
        <f t="shared" si="204"/>
        <v>-25792.292154097762</v>
      </c>
      <c r="AS92" s="91">
        <f t="shared" si="204"/>
        <v>-59720.649037061179</v>
      </c>
      <c r="AT92" s="91">
        <f t="shared" si="204"/>
        <v>-10762.283583498816</v>
      </c>
      <c r="AU92" s="91">
        <f t="shared" si="204"/>
        <v>-19760.536889938288</v>
      </c>
      <c r="AV92" s="91">
        <f t="shared" si="204"/>
        <v>-29509.579261204002</v>
      </c>
      <c r="AW92" s="91">
        <f t="shared" si="204"/>
        <v>-113170.09768178417</v>
      </c>
      <c r="AX92" s="91">
        <f t="shared" si="204"/>
        <v>-11511.242456656872</v>
      </c>
      <c r="AY92" s="91">
        <f t="shared" si="204"/>
        <v>-20957.759068334846</v>
      </c>
      <c r="AZ92" s="91">
        <f t="shared" si="204"/>
        <v>-31194.253558163833</v>
      </c>
      <c r="BA92" s="91">
        <f t="shared" si="204"/>
        <v>-119037.79789977302</v>
      </c>
      <c r="BB92" s="91">
        <f t="shared" si="204"/>
        <v>-11642.7448742938</v>
      </c>
      <c r="BC92" s="91">
        <f t="shared" si="204"/>
        <v>-21031.803413634305</v>
      </c>
      <c r="BD92" s="91">
        <f t="shared" si="204"/>
        <v>-31207.726930150697</v>
      </c>
      <c r="BE92" s="91">
        <f t="shared" si="204"/>
        <v>-118531.48698571483</v>
      </c>
      <c r="BF92" s="91">
        <f t="shared" si="204"/>
        <v>-12424.498396335694</v>
      </c>
      <c r="BG92" s="91">
        <f t="shared" si="204"/>
        <v>-22281.44833830385</v>
      </c>
      <c r="BH92" s="91">
        <f t="shared" si="204"/>
        <v>-32966.168030646062</v>
      </c>
      <c r="BI92" s="91">
        <f t="shared" si="204"/>
        <v>-124656.11608898845</v>
      </c>
      <c r="BJ92" s="91">
        <f t="shared" si="204"/>
        <v>-13245.339594479679</v>
      </c>
      <c r="BK92" s="91">
        <f t="shared" si="204"/>
        <v>-23593.575509206868</v>
      </c>
      <c r="BL92" s="91">
        <f t="shared" si="204"/>
        <v>-34812.531186166205</v>
      </c>
      <c r="BM92" s="91">
        <f t="shared" si="204"/>
        <v>-131086.9766474257</v>
      </c>
      <c r="BN92" s="91">
        <f t="shared" si="204"/>
        <v>-14107.222852530866</v>
      </c>
      <c r="BO92" s="91">
        <f t="shared" si="204"/>
        <v>-24971.309038655058</v>
      </c>
      <c r="BP92" s="91">
        <f t="shared" si="204"/>
        <v>-36751.212499462345</v>
      </c>
      <c r="BQ92" s="91">
        <f t="shared" si="204"/>
        <v>-137839.38023378485</v>
      </c>
      <c r="BR92" s="91">
        <f t="shared" si="204"/>
        <v>-15012.200273484621</v>
      </c>
      <c r="BS92" s="91">
        <f t="shared" si="204"/>
        <v>-26417.929244575636</v>
      </c>
      <c r="BT92" s="91">
        <f t="shared" si="204"/>
        <v>-38786.82787842329</v>
      </c>
      <c r="BU92" s="91">
        <f t="shared" si="204"/>
        <v>-144929.40399946185</v>
      </c>
      <c r="BV92" s="91">
        <f t="shared" si="204"/>
        <v>-15962.426565486054</v>
      </c>
      <c r="BW92" s="91">
        <f t="shared" si="204"/>
        <v>-27936.880460792258</v>
      </c>
      <c r="BX92" s="91">
        <f t="shared" si="204"/>
        <v>-40924.224026332275</v>
      </c>
      <c r="BY92" s="91">
        <f t="shared" si="204"/>
        <v>-152373.92895342287</v>
      </c>
      <c r="BZ92" s="91">
        <f t="shared" si="204"/>
        <v>-16960.164172087556</v>
      </c>
      <c r="CA92" s="91">
        <f t="shared" si="204"/>
        <v>-29531.779237819683</v>
      </c>
      <c r="CB92" s="91">
        <f t="shared" si="204"/>
        <v>-43168.489981636732</v>
      </c>
      <c r="CC92" s="91">
        <f t="shared" si="204"/>
        <v>-160190.68015508179</v>
      </c>
      <c r="CD92" s="91">
        <f t="shared" si="204"/>
        <v>-18007.788659019141</v>
      </c>
      <c r="CE92" s="91">
        <f t="shared" si="204"/>
        <v>-31206.422953698511</v>
      </c>
      <c r="CF92" s="91">
        <f t="shared" si="204"/>
        <v>-45524.96923470639</v>
      </c>
      <c r="CG92" s="91">
        <f t="shared" si="204"/>
        <v>-168398.26891682373</v>
      </c>
      <c r="CH92" s="91">
        <f t="shared" si="204"/>
        <v>-19107.794370297306</v>
      </c>
      <c r="CI92" s="91">
        <f t="shared" si="204"/>
        <v>-32964.798855371264</v>
      </c>
      <c r="CJ92" s="91">
        <f t="shared" si="204"/>
        <v>-47999.272450429562</v>
      </c>
      <c r="CK92" s="91">
        <f t="shared" si="204"/>
        <v>-177016.23711665274</v>
      </c>
      <c r="CL92" s="91">
        <f t="shared" si="204"/>
        <v>-20262.800367139385</v>
      </c>
      <c r="CM92" s="91">
        <f t="shared" si="204"/>
        <v>-34811.093552127655</v>
      </c>
      <c r="CN92" s="91">
        <f t="shared" si="204"/>
        <v>-50597.290826938857</v>
      </c>
      <c r="CO92" s="90"/>
    </row>
    <row r="93" spans="1:93" ht="12.75" customHeight="1">
      <c r="A93" s="90"/>
      <c r="B93" s="93" t="s">
        <v>188</v>
      </c>
      <c r="C93" s="90"/>
      <c r="D93" s="92">
        <v>0</v>
      </c>
      <c r="E93" s="90">
        <f t="shared" ref="E93:BP93" si="205">D95</f>
        <v>145596.67499999999</v>
      </c>
      <c r="F93" s="90">
        <f t="shared" si="205"/>
        <v>145296.67499999999</v>
      </c>
      <c r="G93" s="90">
        <f t="shared" si="205"/>
        <v>144996.67499999999</v>
      </c>
      <c r="H93" s="90">
        <f t="shared" si="205"/>
        <v>144696.67499999999</v>
      </c>
      <c r="I93" s="90">
        <f t="shared" si="205"/>
        <v>144396.67499999999</v>
      </c>
      <c r="J93" s="90">
        <f t="shared" si="205"/>
        <v>144096.67499999999</v>
      </c>
      <c r="K93" s="90">
        <f t="shared" si="205"/>
        <v>119530.56249999999</v>
      </c>
      <c r="L93" s="90">
        <f t="shared" si="205"/>
        <v>94964.449999999983</v>
      </c>
      <c r="M93" s="90">
        <f t="shared" si="205"/>
        <v>74442.689583333326</v>
      </c>
      <c r="N93" s="90">
        <f t="shared" si="205"/>
        <v>37541.303229166668</v>
      </c>
      <c r="O93" s="90">
        <f t="shared" si="205"/>
        <v>9133.0562500000087</v>
      </c>
      <c r="P93" s="90">
        <f t="shared" si="205"/>
        <v>15209.230081380229</v>
      </c>
      <c r="Q93" s="90">
        <f t="shared" si="205"/>
        <v>22407.711615885448</v>
      </c>
      <c r="R93" s="90">
        <f t="shared" si="205"/>
        <v>28605.216009765645</v>
      </c>
      <c r="S93" s="90">
        <f t="shared" si="205"/>
        <v>33358.128393880208</v>
      </c>
      <c r="T93" s="90">
        <f t="shared" si="205"/>
        <v>40712.064711588609</v>
      </c>
      <c r="U93" s="90">
        <f t="shared" si="205"/>
        <v>44496.607543750084</v>
      </c>
      <c r="V93" s="90">
        <f t="shared" si="205"/>
        <v>57227.762728255431</v>
      </c>
      <c r="W93" s="90">
        <f t="shared" si="205"/>
        <v>70820.352510909157</v>
      </c>
      <c r="X93" s="90">
        <f t="shared" si="205"/>
        <v>76709.816211348996</v>
      </c>
      <c r="Y93" s="90">
        <f t="shared" si="205"/>
        <v>81204.628685910007</v>
      </c>
      <c r="Z93" s="90">
        <f t="shared" si="205"/>
        <v>96316.154867930542</v>
      </c>
      <c r="AA93" s="90">
        <f t="shared" si="205"/>
        <v>91940.82411443138</v>
      </c>
      <c r="AB93" s="90">
        <f t="shared" si="205"/>
        <v>88004.609469481802</v>
      </c>
      <c r="AC93" s="90">
        <f t="shared" si="205"/>
        <v>77887.644113787799</v>
      </c>
      <c r="AD93" s="90">
        <f t="shared" si="205"/>
        <v>30000</v>
      </c>
      <c r="AE93" s="90">
        <f t="shared" si="205"/>
        <v>27250.297277809907</v>
      </c>
      <c r="AF93" s="90">
        <f t="shared" si="205"/>
        <v>30000</v>
      </c>
      <c r="AG93" s="90">
        <f t="shared" si="205"/>
        <v>34531.728211042107</v>
      </c>
      <c r="AH93" s="90">
        <f t="shared" si="205"/>
        <v>50448.049703876852</v>
      </c>
      <c r="AI93" s="90">
        <f t="shared" si="205"/>
        <v>45983.290115744734</v>
      </c>
      <c r="AJ93" s="90">
        <f t="shared" si="205"/>
        <v>49056.817595243032</v>
      </c>
      <c r="AK93" s="37">
        <f t="shared" si="205"/>
        <v>53790.844651845706</v>
      </c>
      <c r="AL93" s="90">
        <f t="shared" si="205"/>
        <v>70476.583222021611</v>
      </c>
      <c r="AM93" s="90">
        <f t="shared" si="205"/>
        <v>71394.015373589282</v>
      </c>
      <c r="AN93" s="90">
        <f t="shared" si="205"/>
        <v>74590.195864334964</v>
      </c>
      <c r="AO93" s="90">
        <f t="shared" si="205"/>
        <v>79533.340713726269</v>
      </c>
      <c r="AP93" s="90">
        <f t="shared" si="205"/>
        <v>97025.888805702867</v>
      </c>
      <c r="AQ93" s="90">
        <f t="shared" si="205"/>
        <v>97923.772563671606</v>
      </c>
      <c r="AR93" s="90">
        <f t="shared" si="205"/>
        <v>101253.73119119238</v>
      </c>
      <c r="AS93" s="90">
        <f t="shared" si="205"/>
        <v>106412.18962201192</v>
      </c>
      <c r="AT93" s="90">
        <f t="shared" si="205"/>
        <v>156696.77075197719</v>
      </c>
      <c r="AU93" s="90">
        <f t="shared" si="205"/>
        <v>151480.96593376575</v>
      </c>
      <c r="AV93" s="90">
        <f t="shared" si="205"/>
        <v>152595.29173916194</v>
      </c>
      <c r="AW93" s="90">
        <f t="shared" si="205"/>
        <v>155525.34296859725</v>
      </c>
      <c r="AX93" s="90">
        <f t="shared" si="205"/>
        <v>157876.04513724177</v>
      </c>
      <c r="AY93" s="90">
        <f t="shared" si="205"/>
        <v>152384.45007811976</v>
      </c>
      <c r="AZ93" s="90">
        <f t="shared" si="205"/>
        <v>153539.49217378575</v>
      </c>
      <c r="BA93" s="90">
        <f t="shared" si="205"/>
        <v>156601.04596469281</v>
      </c>
      <c r="BB93" s="90">
        <f t="shared" si="205"/>
        <v>159046.20254532757</v>
      </c>
      <c r="BC93" s="90">
        <f t="shared" si="205"/>
        <v>153514.91329678753</v>
      </c>
      <c r="BD93" s="90">
        <f t="shared" si="205"/>
        <v>154680.11188662765</v>
      </c>
      <c r="BE93" s="90">
        <f t="shared" si="205"/>
        <v>157879.74336708005</v>
      </c>
      <c r="BF93" s="90">
        <f t="shared" si="205"/>
        <v>160440.64250801061</v>
      </c>
      <c r="BG93" s="90">
        <f t="shared" si="205"/>
        <v>154355.40895532857</v>
      </c>
      <c r="BH93" s="90">
        <f t="shared" si="205"/>
        <v>155598.09286580034</v>
      </c>
      <c r="BI93" s="90">
        <f t="shared" si="205"/>
        <v>158942.70592027536</v>
      </c>
      <c r="BJ93" s="90">
        <f t="shared" si="205"/>
        <v>161616.65001825249</v>
      </c>
      <c r="BK93" s="90">
        <f t="shared" si="205"/>
        <v>155212.15478793636</v>
      </c>
      <c r="BL93" s="90">
        <f t="shared" si="205"/>
        <v>156501.97289393173</v>
      </c>
      <c r="BM93" s="90">
        <f t="shared" si="205"/>
        <v>159998.81660113053</v>
      </c>
      <c r="BN93" s="90">
        <f t="shared" si="205"/>
        <v>162791.4579040065</v>
      </c>
      <c r="BO93" s="90">
        <f t="shared" si="205"/>
        <v>156051.73791217458</v>
      </c>
      <c r="BP93" s="90">
        <f t="shared" si="205"/>
        <v>157391.04692346969</v>
      </c>
      <c r="BQ93" s="90">
        <f t="shared" ref="BQ93:CN93" si="206">BP95</f>
        <v>161047.73281602841</v>
      </c>
      <c r="BR93" s="90">
        <f t="shared" si="206"/>
        <v>163955.18404701859</v>
      </c>
      <c r="BS93" s="90">
        <f t="shared" si="206"/>
        <v>157167.21551986036</v>
      </c>
      <c r="BT93" s="90">
        <f t="shared" si="206"/>
        <v>158518.86981330218</v>
      </c>
      <c r="BU93" s="90">
        <f t="shared" si="206"/>
        <v>162343.39000048884</v>
      </c>
      <c r="BV93" s="90">
        <f t="shared" si="206"/>
        <v>165391.52703690965</v>
      </c>
      <c r="BW93" s="90">
        <f t="shared" si="206"/>
        <v>157930.23574591495</v>
      </c>
      <c r="BX93" s="90">
        <f t="shared" si="206"/>
        <v>159376.07393086783</v>
      </c>
      <c r="BY93" s="90">
        <f t="shared" si="206"/>
        <v>163376.82012741384</v>
      </c>
      <c r="BZ93" s="90">
        <f t="shared" si="206"/>
        <v>166562.36401565571</v>
      </c>
      <c r="CA93" s="90">
        <f t="shared" si="206"/>
        <v>158713.00816011126</v>
      </c>
      <c r="CB93" s="90">
        <f t="shared" si="206"/>
        <v>160216.13825431178</v>
      </c>
      <c r="CC93" s="90">
        <f t="shared" si="206"/>
        <v>164401.92176068507</v>
      </c>
      <c r="CD93" s="90">
        <f t="shared" si="206"/>
        <v>167731.74284333896</v>
      </c>
      <c r="CE93" s="90">
        <f t="shared" si="206"/>
        <v>159474.91919501728</v>
      </c>
      <c r="CF93" s="90">
        <f t="shared" si="206"/>
        <v>161038.20579392783</v>
      </c>
      <c r="CG93" s="90">
        <f t="shared" si="206"/>
        <v>165418.27847561979</v>
      </c>
      <c r="CH93" s="90">
        <f t="shared" si="206"/>
        <v>168887.65174345858</v>
      </c>
      <c r="CI93" s="90">
        <f t="shared" si="206"/>
        <v>160572.18169889448</v>
      </c>
      <c r="CJ93" s="90">
        <f t="shared" si="206"/>
        <v>162150.47406541236</v>
      </c>
      <c r="CK93" s="90">
        <f t="shared" si="206"/>
        <v>166734.55038118892</v>
      </c>
      <c r="CL93" s="90">
        <f t="shared" si="206"/>
        <v>170374.92812481482</v>
      </c>
      <c r="CM93" s="90">
        <f t="shared" si="206"/>
        <v>161241.03005254018</v>
      </c>
      <c r="CN93" s="90">
        <f t="shared" si="206"/>
        <v>162933.80352783907</v>
      </c>
      <c r="CO93" s="90"/>
    </row>
    <row r="94" spans="1:93" ht="12.75" customHeight="1">
      <c r="A94" s="90"/>
      <c r="B94" s="93" t="s">
        <v>189</v>
      </c>
      <c r="C94" s="90">
        <f t="shared" si="201"/>
        <v>167732.08365940448</v>
      </c>
      <c r="D94" s="92">
        <f t="shared" ref="D94:CN94" si="207">SUM(D81,D85,D92)</f>
        <v>145596.67499999999</v>
      </c>
      <c r="E94" s="90">
        <f t="shared" si="207"/>
        <v>-300</v>
      </c>
      <c r="F94" s="90">
        <f t="shared" si="207"/>
        <v>-300</v>
      </c>
      <c r="G94" s="90">
        <f t="shared" si="207"/>
        <v>-300</v>
      </c>
      <c r="H94" s="90">
        <f t="shared" si="207"/>
        <v>-300</v>
      </c>
      <c r="I94" s="90">
        <f t="shared" si="207"/>
        <v>-300</v>
      </c>
      <c r="J94" s="90">
        <f t="shared" si="207"/>
        <v>-24566.112499999999</v>
      </c>
      <c r="K94" s="90">
        <f t="shared" si="207"/>
        <v>-24566.112499999999</v>
      </c>
      <c r="L94" s="90">
        <f t="shared" si="207"/>
        <v>-20521.760416666664</v>
      </c>
      <c r="M94" s="90">
        <f t="shared" si="207"/>
        <v>-36901.386354166658</v>
      </c>
      <c r="N94" s="90">
        <f t="shared" si="207"/>
        <v>-28408.246979166659</v>
      </c>
      <c r="O94" s="90">
        <f t="shared" si="207"/>
        <v>6076.1738313802198</v>
      </c>
      <c r="P94" s="90">
        <f t="shared" si="207"/>
        <v>7198.4815345052193</v>
      </c>
      <c r="Q94" s="90">
        <f t="shared" si="207"/>
        <v>6197.5043938801973</v>
      </c>
      <c r="R94" s="90">
        <f t="shared" si="207"/>
        <v>4752.9123841145629</v>
      </c>
      <c r="S94" s="90">
        <f t="shared" si="207"/>
        <v>7353.9363177084015</v>
      </c>
      <c r="T94" s="90">
        <f t="shared" si="207"/>
        <v>3784.5428321614745</v>
      </c>
      <c r="U94" s="90">
        <f t="shared" si="207"/>
        <v>12731.155184505345</v>
      </c>
      <c r="V94" s="90">
        <f t="shared" si="207"/>
        <v>13592.589782653731</v>
      </c>
      <c r="W94" s="90">
        <f t="shared" si="207"/>
        <v>5889.4637004398428</v>
      </c>
      <c r="X94" s="90">
        <f t="shared" si="207"/>
        <v>4494.8124745610112</v>
      </c>
      <c r="Y94" s="90">
        <f t="shared" si="207"/>
        <v>15111.526182020534</v>
      </c>
      <c r="Z94" s="90">
        <f t="shared" si="207"/>
        <v>-4375.3307534991682</v>
      </c>
      <c r="AA94" s="90">
        <f t="shared" si="207"/>
        <v>-3936.2146449495776</v>
      </c>
      <c r="AB94" s="90">
        <f t="shared" si="207"/>
        <v>-10116.965355693996</v>
      </c>
      <c r="AC94" s="90">
        <f t="shared" si="207"/>
        <v>-47887.644113787799</v>
      </c>
      <c r="AD94" s="90">
        <f t="shared" si="207"/>
        <v>-2749.7027221900917</v>
      </c>
      <c r="AE94" s="90">
        <f t="shared" si="207"/>
        <v>2749.7027221900935</v>
      </c>
      <c r="AF94" s="90">
        <f t="shared" si="207"/>
        <v>4531.7282110421111</v>
      </c>
      <c r="AG94" s="90">
        <f t="shared" si="207"/>
        <v>15916.321492834744</v>
      </c>
      <c r="AH94" s="90">
        <f t="shared" si="207"/>
        <v>-4464.7595881321195</v>
      </c>
      <c r="AI94" s="90">
        <f t="shared" si="207"/>
        <v>3073.5274794982943</v>
      </c>
      <c r="AJ94" s="90">
        <f t="shared" si="207"/>
        <v>4734.0270566026775</v>
      </c>
      <c r="AK94" s="37">
        <f t="shared" si="207"/>
        <v>16685.738570175905</v>
      </c>
      <c r="AL94" s="90">
        <f t="shared" si="207"/>
        <v>917.43215156766564</v>
      </c>
      <c r="AM94" s="90">
        <f t="shared" si="207"/>
        <v>3196.1804907456863</v>
      </c>
      <c r="AN94" s="90">
        <f t="shared" si="207"/>
        <v>4943.1448493913122</v>
      </c>
      <c r="AO94" s="90">
        <f t="shared" si="207"/>
        <v>17492.548091976598</v>
      </c>
      <c r="AP94" s="90">
        <f t="shared" si="207"/>
        <v>897.8837579687397</v>
      </c>
      <c r="AQ94" s="90">
        <f t="shared" si="207"/>
        <v>3329.9586275207694</v>
      </c>
      <c r="AR94" s="90">
        <f t="shared" si="207"/>
        <v>5158.4584308195517</v>
      </c>
      <c r="AS94" s="90">
        <f t="shared" si="207"/>
        <v>50284.581129965278</v>
      </c>
      <c r="AT94" s="90">
        <f t="shared" si="207"/>
        <v>-5215.8048182114417</v>
      </c>
      <c r="AU94" s="90">
        <f t="shared" si="207"/>
        <v>1114.3258053961981</v>
      </c>
      <c r="AV94" s="90">
        <f t="shared" si="207"/>
        <v>2930.0512294352957</v>
      </c>
      <c r="AW94" s="90">
        <f t="shared" si="207"/>
        <v>2350.7021686445223</v>
      </c>
      <c r="AX94" s="90">
        <f t="shared" si="207"/>
        <v>-5491.5950591220162</v>
      </c>
      <c r="AY94" s="90">
        <f t="shared" si="207"/>
        <v>1155.0420956659946</v>
      </c>
      <c r="AZ94" s="90">
        <f t="shared" si="207"/>
        <v>3061.553790907059</v>
      </c>
      <c r="BA94" s="90">
        <f t="shared" si="207"/>
        <v>2445.1565806347644</v>
      </c>
      <c r="BB94" s="90">
        <f t="shared" si="207"/>
        <v>-5531.289248540028</v>
      </c>
      <c r="BC94" s="90">
        <f t="shared" si="207"/>
        <v>1165.1985898401108</v>
      </c>
      <c r="BD94" s="90">
        <f t="shared" si="207"/>
        <v>3199.6314804524081</v>
      </c>
      <c r="BE94" s="90">
        <f t="shared" si="207"/>
        <v>2560.8991409305745</v>
      </c>
      <c r="BF94" s="90">
        <f t="shared" si="207"/>
        <v>-6085.2335526820261</v>
      </c>
      <c r="BG94" s="90">
        <f t="shared" si="207"/>
        <v>1242.6839104717692</v>
      </c>
      <c r="BH94" s="90">
        <f t="shared" si="207"/>
        <v>3344.613054475034</v>
      </c>
      <c r="BI94" s="90">
        <f t="shared" si="207"/>
        <v>2673.9440979771171</v>
      </c>
      <c r="BJ94" s="90">
        <f t="shared" si="207"/>
        <v>-6404.4952303161372</v>
      </c>
      <c r="BK94" s="90">
        <f t="shared" si="207"/>
        <v>1289.8181059953531</v>
      </c>
      <c r="BL94" s="90">
        <f t="shared" si="207"/>
        <v>3496.8437071987864</v>
      </c>
      <c r="BM94" s="90">
        <f t="shared" si="207"/>
        <v>2792.6413028759707</v>
      </c>
      <c r="BN94" s="90">
        <f t="shared" si="207"/>
        <v>-6739.7199918319311</v>
      </c>
      <c r="BO94" s="90">
        <f t="shared" si="207"/>
        <v>1339.309011295114</v>
      </c>
      <c r="BP94" s="90">
        <f t="shared" si="207"/>
        <v>3656.6858925587294</v>
      </c>
      <c r="BQ94" s="90">
        <f t="shared" si="207"/>
        <v>2907.4512309901766</v>
      </c>
      <c r="BR94" s="90">
        <f t="shared" si="207"/>
        <v>-6787.9685271582202</v>
      </c>
      <c r="BS94" s="90">
        <f t="shared" si="207"/>
        <v>1351.6542934418358</v>
      </c>
      <c r="BT94" s="90">
        <f t="shared" si="207"/>
        <v>3824.5201871866666</v>
      </c>
      <c r="BU94" s="90">
        <f t="shared" si="207"/>
        <v>3048.1370364208124</v>
      </c>
      <c r="BV94" s="90">
        <f t="shared" si="207"/>
        <v>-7461.2912909947081</v>
      </c>
      <c r="BW94" s="90">
        <f t="shared" si="207"/>
        <v>1445.8381849528669</v>
      </c>
      <c r="BX94" s="90">
        <f t="shared" si="207"/>
        <v>4000.7461965459952</v>
      </c>
      <c r="BY94" s="90">
        <f t="shared" si="207"/>
        <v>3185.5438882418675</v>
      </c>
      <c r="BZ94" s="90">
        <f t="shared" si="207"/>
        <v>-7849.3558555444488</v>
      </c>
      <c r="CA94" s="90">
        <f t="shared" si="207"/>
        <v>1503.1300942005146</v>
      </c>
      <c r="CB94" s="90">
        <f t="shared" si="207"/>
        <v>4185.7835063732855</v>
      </c>
      <c r="CC94" s="90">
        <f t="shared" si="207"/>
        <v>3329.8210826538852</v>
      </c>
      <c r="CD94" s="90">
        <f t="shared" si="207"/>
        <v>-8256.8236483216679</v>
      </c>
      <c r="CE94" s="90">
        <f t="shared" si="207"/>
        <v>1563.2865989105376</v>
      </c>
      <c r="CF94" s="90">
        <f t="shared" si="207"/>
        <v>4380.0726816919559</v>
      </c>
      <c r="CG94" s="90">
        <f t="shared" si="207"/>
        <v>3469.3732678387896</v>
      </c>
      <c r="CH94" s="90">
        <f t="shared" si="207"/>
        <v>-8315.4700445641065</v>
      </c>
      <c r="CI94" s="90">
        <f t="shared" si="207"/>
        <v>1578.2923665178823</v>
      </c>
      <c r="CJ94" s="90">
        <f t="shared" si="207"/>
        <v>4584.0763157765468</v>
      </c>
      <c r="CK94" s="90">
        <f t="shared" si="207"/>
        <v>3640.377743625897</v>
      </c>
      <c r="CL94" s="90">
        <f t="shared" si="207"/>
        <v>-9133.898072274631</v>
      </c>
      <c r="CM94" s="90">
        <f t="shared" si="207"/>
        <v>1692.7734752988763</v>
      </c>
      <c r="CN94" s="90">
        <f t="shared" si="207"/>
        <v>4798.2801315653924</v>
      </c>
      <c r="CO94" s="90"/>
    </row>
    <row r="95" spans="1:93" ht="12.75" customHeight="1">
      <c r="A95" s="90"/>
      <c r="B95" s="94" t="s">
        <v>190</v>
      </c>
      <c r="C95" s="95"/>
      <c r="D95" s="76">
        <f t="shared" ref="D95:CN95" si="208">SUM(D93:D94)</f>
        <v>145596.67499999999</v>
      </c>
      <c r="E95" s="95">
        <f t="shared" si="208"/>
        <v>145296.67499999999</v>
      </c>
      <c r="F95" s="95">
        <f t="shared" si="208"/>
        <v>144996.67499999999</v>
      </c>
      <c r="G95" s="95">
        <f t="shared" si="208"/>
        <v>144696.67499999999</v>
      </c>
      <c r="H95" s="95">
        <f t="shared" si="208"/>
        <v>144396.67499999999</v>
      </c>
      <c r="I95" s="95">
        <f t="shared" si="208"/>
        <v>144096.67499999999</v>
      </c>
      <c r="J95" s="95">
        <f t="shared" si="208"/>
        <v>119530.56249999999</v>
      </c>
      <c r="K95" s="95">
        <f t="shared" si="208"/>
        <v>94964.449999999983</v>
      </c>
      <c r="L95" s="95">
        <f t="shared" si="208"/>
        <v>74442.689583333326</v>
      </c>
      <c r="M95" s="95">
        <f t="shared" si="208"/>
        <v>37541.303229166668</v>
      </c>
      <c r="N95" s="95">
        <f t="shared" si="208"/>
        <v>9133.0562500000087</v>
      </c>
      <c r="O95" s="95">
        <f t="shared" si="208"/>
        <v>15209.230081380229</v>
      </c>
      <c r="P95" s="95">
        <f t="shared" si="208"/>
        <v>22407.711615885448</v>
      </c>
      <c r="Q95" s="95">
        <f t="shared" si="208"/>
        <v>28605.216009765645</v>
      </c>
      <c r="R95" s="95">
        <f t="shared" si="208"/>
        <v>33358.128393880208</v>
      </c>
      <c r="S95" s="95">
        <f t="shared" si="208"/>
        <v>40712.064711588609</v>
      </c>
      <c r="T95" s="95">
        <f t="shared" si="208"/>
        <v>44496.607543750084</v>
      </c>
      <c r="U95" s="95">
        <f t="shared" si="208"/>
        <v>57227.762728255431</v>
      </c>
      <c r="V95" s="95">
        <f t="shared" si="208"/>
        <v>70820.352510909157</v>
      </c>
      <c r="W95" s="95">
        <f t="shared" si="208"/>
        <v>76709.816211348996</v>
      </c>
      <c r="X95" s="95">
        <f t="shared" si="208"/>
        <v>81204.628685910007</v>
      </c>
      <c r="Y95" s="95">
        <f t="shared" si="208"/>
        <v>96316.154867930542</v>
      </c>
      <c r="Z95" s="95">
        <f t="shared" si="208"/>
        <v>91940.82411443138</v>
      </c>
      <c r="AA95" s="95">
        <f t="shared" si="208"/>
        <v>88004.609469481802</v>
      </c>
      <c r="AB95" s="95">
        <f t="shared" si="208"/>
        <v>77887.644113787799</v>
      </c>
      <c r="AC95" s="95">
        <f t="shared" si="208"/>
        <v>30000</v>
      </c>
      <c r="AD95" s="95">
        <f t="shared" si="208"/>
        <v>27250.297277809907</v>
      </c>
      <c r="AE95" s="95">
        <f t="shared" si="208"/>
        <v>30000</v>
      </c>
      <c r="AF95" s="95">
        <f t="shared" si="208"/>
        <v>34531.728211042107</v>
      </c>
      <c r="AG95" s="95">
        <f t="shared" si="208"/>
        <v>50448.049703876852</v>
      </c>
      <c r="AH95" s="95">
        <f t="shared" si="208"/>
        <v>45983.290115744734</v>
      </c>
      <c r="AI95" s="95">
        <f t="shared" si="208"/>
        <v>49056.817595243032</v>
      </c>
      <c r="AJ95" s="95">
        <f t="shared" si="208"/>
        <v>53790.844651845706</v>
      </c>
      <c r="AK95" s="75">
        <f t="shared" si="208"/>
        <v>70476.583222021611</v>
      </c>
      <c r="AL95" s="95">
        <f t="shared" si="208"/>
        <v>71394.015373589282</v>
      </c>
      <c r="AM95" s="95">
        <f t="shared" si="208"/>
        <v>74590.195864334964</v>
      </c>
      <c r="AN95" s="95">
        <f t="shared" si="208"/>
        <v>79533.340713726269</v>
      </c>
      <c r="AO95" s="95">
        <f t="shared" si="208"/>
        <v>97025.888805702867</v>
      </c>
      <c r="AP95" s="95">
        <f t="shared" si="208"/>
        <v>97923.772563671606</v>
      </c>
      <c r="AQ95" s="95">
        <f t="shared" si="208"/>
        <v>101253.73119119238</v>
      </c>
      <c r="AR95" s="95">
        <f t="shared" si="208"/>
        <v>106412.18962201192</v>
      </c>
      <c r="AS95" s="95">
        <f t="shared" si="208"/>
        <v>156696.77075197719</v>
      </c>
      <c r="AT95" s="95">
        <f t="shared" si="208"/>
        <v>151480.96593376575</v>
      </c>
      <c r="AU95" s="95">
        <f t="shared" si="208"/>
        <v>152595.29173916194</v>
      </c>
      <c r="AV95" s="95">
        <f t="shared" si="208"/>
        <v>155525.34296859725</v>
      </c>
      <c r="AW95" s="95">
        <f t="shared" si="208"/>
        <v>157876.04513724177</v>
      </c>
      <c r="AX95" s="95">
        <f t="shared" si="208"/>
        <v>152384.45007811976</v>
      </c>
      <c r="AY95" s="95">
        <f t="shared" si="208"/>
        <v>153539.49217378575</v>
      </c>
      <c r="AZ95" s="95">
        <f t="shared" si="208"/>
        <v>156601.04596469281</v>
      </c>
      <c r="BA95" s="95">
        <f t="shared" si="208"/>
        <v>159046.20254532757</v>
      </c>
      <c r="BB95" s="95">
        <f t="shared" si="208"/>
        <v>153514.91329678753</v>
      </c>
      <c r="BC95" s="95">
        <f t="shared" si="208"/>
        <v>154680.11188662765</v>
      </c>
      <c r="BD95" s="95">
        <f t="shared" si="208"/>
        <v>157879.74336708005</v>
      </c>
      <c r="BE95" s="95">
        <f t="shared" si="208"/>
        <v>160440.64250801061</v>
      </c>
      <c r="BF95" s="95">
        <f t="shared" si="208"/>
        <v>154355.40895532857</v>
      </c>
      <c r="BG95" s="95">
        <f t="shared" si="208"/>
        <v>155598.09286580034</v>
      </c>
      <c r="BH95" s="95">
        <f t="shared" si="208"/>
        <v>158942.70592027536</v>
      </c>
      <c r="BI95" s="95">
        <f t="shared" si="208"/>
        <v>161616.65001825249</v>
      </c>
      <c r="BJ95" s="95">
        <f t="shared" si="208"/>
        <v>155212.15478793636</v>
      </c>
      <c r="BK95" s="95">
        <f t="shared" si="208"/>
        <v>156501.97289393173</v>
      </c>
      <c r="BL95" s="95">
        <f t="shared" si="208"/>
        <v>159998.81660113053</v>
      </c>
      <c r="BM95" s="95">
        <f t="shared" si="208"/>
        <v>162791.4579040065</v>
      </c>
      <c r="BN95" s="95">
        <f t="shared" si="208"/>
        <v>156051.73791217458</v>
      </c>
      <c r="BO95" s="95">
        <f t="shared" si="208"/>
        <v>157391.04692346969</v>
      </c>
      <c r="BP95" s="95">
        <f t="shared" si="208"/>
        <v>161047.73281602841</v>
      </c>
      <c r="BQ95" s="95">
        <f t="shared" si="208"/>
        <v>163955.18404701859</v>
      </c>
      <c r="BR95" s="95">
        <f t="shared" si="208"/>
        <v>157167.21551986036</v>
      </c>
      <c r="BS95" s="95">
        <f t="shared" si="208"/>
        <v>158518.86981330218</v>
      </c>
      <c r="BT95" s="95">
        <f t="shared" si="208"/>
        <v>162343.39000048884</v>
      </c>
      <c r="BU95" s="95">
        <f t="shared" si="208"/>
        <v>165391.52703690965</v>
      </c>
      <c r="BV95" s="95">
        <f t="shared" si="208"/>
        <v>157930.23574591495</v>
      </c>
      <c r="BW95" s="95">
        <f t="shared" si="208"/>
        <v>159376.07393086783</v>
      </c>
      <c r="BX95" s="95">
        <f t="shared" si="208"/>
        <v>163376.82012741384</v>
      </c>
      <c r="BY95" s="95">
        <f t="shared" si="208"/>
        <v>166562.36401565571</v>
      </c>
      <c r="BZ95" s="95">
        <f t="shared" si="208"/>
        <v>158713.00816011126</v>
      </c>
      <c r="CA95" s="95">
        <f t="shared" si="208"/>
        <v>160216.13825431178</v>
      </c>
      <c r="CB95" s="95">
        <f t="shared" si="208"/>
        <v>164401.92176068507</v>
      </c>
      <c r="CC95" s="95">
        <f t="shared" si="208"/>
        <v>167731.74284333896</v>
      </c>
      <c r="CD95" s="95">
        <f t="shared" si="208"/>
        <v>159474.91919501728</v>
      </c>
      <c r="CE95" s="95">
        <f t="shared" si="208"/>
        <v>161038.20579392783</v>
      </c>
      <c r="CF95" s="95">
        <f t="shared" si="208"/>
        <v>165418.27847561979</v>
      </c>
      <c r="CG95" s="95">
        <f t="shared" si="208"/>
        <v>168887.65174345858</v>
      </c>
      <c r="CH95" s="95">
        <f t="shared" si="208"/>
        <v>160572.18169889448</v>
      </c>
      <c r="CI95" s="95">
        <f t="shared" si="208"/>
        <v>162150.47406541236</v>
      </c>
      <c r="CJ95" s="95">
        <f t="shared" si="208"/>
        <v>166734.55038118892</v>
      </c>
      <c r="CK95" s="95">
        <f t="shared" si="208"/>
        <v>170374.92812481482</v>
      </c>
      <c r="CL95" s="95">
        <f t="shared" si="208"/>
        <v>161241.03005254018</v>
      </c>
      <c r="CM95" s="95">
        <f t="shared" si="208"/>
        <v>162933.80352783907</v>
      </c>
      <c r="CN95" s="95">
        <f t="shared" si="208"/>
        <v>167732.08365940448</v>
      </c>
      <c r="CO95" s="90"/>
    </row>
    <row r="96" spans="1:93" ht="12.75" customHeight="1">
      <c r="A96" s="90"/>
      <c r="B96" s="93"/>
      <c r="C96" s="90"/>
      <c r="D96" s="92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37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</row>
    <row r="97" spans="1:93" ht="12.75" customHeight="1">
      <c r="A97" s="90"/>
      <c r="B97" s="96" t="s">
        <v>191</v>
      </c>
      <c r="C97" s="96">
        <f>'Model (years)'!C93</f>
        <v>12121708.43960508</v>
      </c>
      <c r="D97" s="92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37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</row>
    <row r="98" spans="1:93" ht="12.75" customHeight="1">
      <c r="A98" s="90"/>
      <c r="B98" s="96" t="s">
        <v>192</v>
      </c>
      <c r="C98" s="96">
        <f>SUM(D98:CO98)</f>
        <v>14925358.318515966</v>
      </c>
      <c r="D98" s="92">
        <f t="shared" ref="D98:CN98" si="209">D85+D81</f>
        <v>0</v>
      </c>
      <c r="E98" s="90">
        <f t="shared" si="209"/>
        <v>-300</v>
      </c>
      <c r="F98" s="90">
        <f t="shared" si="209"/>
        <v>-300</v>
      </c>
      <c r="G98" s="90">
        <f t="shared" si="209"/>
        <v>-300</v>
      </c>
      <c r="H98" s="90">
        <f t="shared" si="209"/>
        <v>-300</v>
      </c>
      <c r="I98" s="90">
        <f t="shared" si="209"/>
        <v>-300</v>
      </c>
      <c r="J98" s="90">
        <f t="shared" si="209"/>
        <v>-24566.112499999999</v>
      </c>
      <c r="K98" s="90">
        <f t="shared" si="209"/>
        <v>-24566.112499999999</v>
      </c>
      <c r="L98" s="90">
        <f t="shared" si="209"/>
        <v>-20521.760416666664</v>
      </c>
      <c r="M98" s="90">
        <f t="shared" si="209"/>
        <v>-36901.386354166658</v>
      </c>
      <c r="N98" s="90">
        <f t="shared" si="209"/>
        <v>-49641.095416666671</v>
      </c>
      <c r="O98" s="90">
        <f t="shared" si="209"/>
        <v>-46911.157760416667</v>
      </c>
      <c r="P98" s="90">
        <f t="shared" si="209"/>
        <v>-44787.872916666667</v>
      </c>
      <c r="Q98" s="90">
        <f t="shared" si="209"/>
        <v>-68447.332604166659</v>
      </c>
      <c r="R98" s="90">
        <f t="shared" si="209"/>
        <v>-62987.457291666666</v>
      </c>
      <c r="S98" s="90">
        <f t="shared" si="209"/>
        <v>-129294.60969791666</v>
      </c>
      <c r="T98" s="90">
        <f t="shared" si="209"/>
        <v>-135664.46422916665</v>
      </c>
      <c r="U98" s="90">
        <f t="shared" si="209"/>
        <v>6716.9508645833339</v>
      </c>
      <c r="V98" s="90">
        <f t="shared" si="209"/>
        <v>24512.340407653734</v>
      </c>
      <c r="W98" s="90">
        <f t="shared" si="209"/>
        <v>21484.876317222392</v>
      </c>
      <c r="X98" s="90">
        <f t="shared" si="209"/>
        <v>26968.874847366078</v>
      </c>
      <c r="Y98" s="90">
        <f t="shared" si="209"/>
        <v>90669.157092123205</v>
      </c>
      <c r="Z98" s="90">
        <f t="shared" si="209"/>
        <v>5020.7671499619764</v>
      </c>
      <c r="AA98" s="90">
        <f t="shared" si="209"/>
        <v>17128.314301003011</v>
      </c>
      <c r="AB98" s="90">
        <f t="shared" si="209"/>
        <v>26149.579862648825</v>
      </c>
      <c r="AC98" s="90">
        <f t="shared" si="209"/>
        <v>91386.810426001088</v>
      </c>
      <c r="AD98" s="90">
        <f t="shared" si="209"/>
        <v>5062.9703432770702</v>
      </c>
      <c r="AE98" s="90">
        <f t="shared" si="209"/>
        <v>17696.158483392399</v>
      </c>
      <c r="AF98" s="90">
        <f t="shared" si="209"/>
        <v>27190.369266252674</v>
      </c>
      <c r="AG98" s="90">
        <f t="shared" si="209"/>
        <v>95497.928957008524</v>
      </c>
      <c r="AH98" s="90">
        <f t="shared" si="209"/>
        <v>5195.438896892394</v>
      </c>
      <c r="AI98" s="90">
        <f t="shared" si="209"/>
        <v>18441.164876989766</v>
      </c>
      <c r="AJ98" s="90">
        <f t="shared" si="209"/>
        <v>28404.162339616061</v>
      </c>
      <c r="AK98" s="37">
        <f t="shared" si="209"/>
        <v>100114.43142105544</v>
      </c>
      <c r="AL98" s="90">
        <f t="shared" si="209"/>
        <v>5504.5929094059957</v>
      </c>
      <c r="AM98" s="90">
        <f t="shared" si="209"/>
        <v>19177.082944474132</v>
      </c>
      <c r="AN98" s="90">
        <f t="shared" si="209"/>
        <v>29658.869096347888</v>
      </c>
      <c r="AO98" s="90">
        <f t="shared" si="209"/>
        <v>104955.28855185964</v>
      </c>
      <c r="AP98" s="90">
        <f t="shared" si="209"/>
        <v>5387.3025478124382</v>
      </c>
      <c r="AQ98" s="90">
        <f t="shared" si="209"/>
        <v>19979.751765124631</v>
      </c>
      <c r="AR98" s="90">
        <f t="shared" si="209"/>
        <v>30950.750584917314</v>
      </c>
      <c r="AS98" s="90">
        <f t="shared" si="209"/>
        <v>110005.23016702646</v>
      </c>
      <c r="AT98" s="90">
        <f t="shared" si="209"/>
        <v>5546.4787652873747</v>
      </c>
      <c r="AU98" s="90">
        <f t="shared" si="209"/>
        <v>20874.862695334486</v>
      </c>
      <c r="AV98" s="90">
        <f t="shared" si="209"/>
        <v>32439.630490639298</v>
      </c>
      <c r="AW98" s="90">
        <f t="shared" si="209"/>
        <v>115520.7998504287</v>
      </c>
      <c r="AX98" s="90">
        <f t="shared" si="209"/>
        <v>6019.6473975348554</v>
      </c>
      <c r="AY98" s="90">
        <f t="shared" si="209"/>
        <v>22112.801164000841</v>
      </c>
      <c r="AZ98" s="90">
        <f t="shared" si="209"/>
        <v>34255.807349070892</v>
      </c>
      <c r="BA98" s="90">
        <f t="shared" si="209"/>
        <v>121482.95448040779</v>
      </c>
      <c r="BB98" s="90">
        <f t="shared" si="209"/>
        <v>6111.4556257537715</v>
      </c>
      <c r="BC98" s="90">
        <f t="shared" si="209"/>
        <v>22197.002003474416</v>
      </c>
      <c r="BD98" s="90">
        <f t="shared" si="209"/>
        <v>34407.358410603105</v>
      </c>
      <c r="BE98" s="90">
        <f t="shared" si="209"/>
        <v>121092.3861266454</v>
      </c>
      <c r="BF98" s="90">
        <f t="shared" si="209"/>
        <v>6339.2648436536674</v>
      </c>
      <c r="BG98" s="90">
        <f t="shared" si="209"/>
        <v>23524.132248775619</v>
      </c>
      <c r="BH98" s="90">
        <f t="shared" si="209"/>
        <v>36310.781085121096</v>
      </c>
      <c r="BI98" s="90">
        <f t="shared" si="209"/>
        <v>127330.06018696557</v>
      </c>
      <c r="BJ98" s="90">
        <f t="shared" si="209"/>
        <v>6840.8443641635422</v>
      </c>
      <c r="BK98" s="90">
        <f t="shared" si="209"/>
        <v>24883.393615202222</v>
      </c>
      <c r="BL98" s="90">
        <f t="shared" si="209"/>
        <v>38309.374893364991</v>
      </c>
      <c r="BM98" s="90">
        <f t="shared" si="209"/>
        <v>133879.61795030168</v>
      </c>
      <c r="BN98" s="90">
        <f t="shared" si="209"/>
        <v>7367.5028606989345</v>
      </c>
      <c r="BO98" s="90">
        <f t="shared" si="209"/>
        <v>26310.618049950172</v>
      </c>
      <c r="BP98" s="90">
        <f t="shared" si="209"/>
        <v>40407.898392021074</v>
      </c>
      <c r="BQ98" s="90">
        <f t="shared" si="209"/>
        <v>140746.83146477502</v>
      </c>
      <c r="BR98" s="90">
        <f t="shared" si="209"/>
        <v>8224.2317463264008</v>
      </c>
      <c r="BS98" s="90">
        <f t="shared" si="209"/>
        <v>27769.583538017472</v>
      </c>
      <c r="BT98" s="90">
        <f t="shared" si="209"/>
        <v>42611.348065609956</v>
      </c>
      <c r="BU98" s="90">
        <f t="shared" si="209"/>
        <v>147977.54103588266</v>
      </c>
      <c r="BV98" s="90">
        <f t="shared" si="209"/>
        <v>8501.1352744913456</v>
      </c>
      <c r="BW98" s="90">
        <f t="shared" si="209"/>
        <v>29382.718645745124</v>
      </c>
      <c r="BX98" s="90">
        <f t="shared" si="209"/>
        <v>44924.97022287827</v>
      </c>
      <c r="BY98" s="90">
        <f t="shared" si="209"/>
        <v>155559.47284166474</v>
      </c>
      <c r="BZ98" s="90">
        <f t="shared" si="209"/>
        <v>9110.8083165431071</v>
      </c>
      <c r="CA98" s="90">
        <f t="shared" si="209"/>
        <v>31034.909332020197</v>
      </c>
      <c r="CB98" s="90">
        <f t="shared" si="209"/>
        <v>47354.273488010018</v>
      </c>
      <c r="CC98" s="90">
        <f t="shared" si="209"/>
        <v>163520.50123773568</v>
      </c>
      <c r="CD98" s="90">
        <f t="shared" si="209"/>
        <v>9750.9650106974732</v>
      </c>
      <c r="CE98" s="90">
        <f t="shared" si="209"/>
        <v>32769.709552609049</v>
      </c>
      <c r="CF98" s="90">
        <f t="shared" si="209"/>
        <v>49905.041916398346</v>
      </c>
      <c r="CG98" s="90">
        <f t="shared" si="209"/>
        <v>171867.64218466252</v>
      </c>
      <c r="CH98" s="90">
        <f t="shared" si="209"/>
        <v>10792.3243257332</v>
      </c>
      <c r="CI98" s="90">
        <f t="shared" si="209"/>
        <v>34543.091221889146</v>
      </c>
      <c r="CJ98" s="90">
        <f t="shared" si="209"/>
        <v>52583.348766206109</v>
      </c>
      <c r="CK98" s="90">
        <f t="shared" si="209"/>
        <v>180656.61486027864</v>
      </c>
      <c r="CL98" s="90">
        <f t="shared" si="209"/>
        <v>11128.902294864754</v>
      </c>
      <c r="CM98" s="90">
        <f t="shared" si="209"/>
        <v>36503.867027426531</v>
      </c>
      <c r="CN98" s="90">
        <f t="shared" si="209"/>
        <v>55395.57095850425</v>
      </c>
      <c r="CO98" s="90">
        <f>C97</f>
        <v>12121708.43960508</v>
      </c>
    </row>
    <row r="99" spans="1:93" ht="12.75" customHeight="1">
      <c r="A99" s="90"/>
      <c r="B99" s="96" t="s">
        <v>193</v>
      </c>
      <c r="C99" s="96">
        <f>CO99</f>
        <v>14925358.318515966</v>
      </c>
      <c r="D99" s="92">
        <f>D98</f>
        <v>0</v>
      </c>
      <c r="E99" s="90">
        <f t="shared" ref="E99:BP99" si="210">D99+E98</f>
        <v>-300</v>
      </c>
      <c r="F99" s="90">
        <f t="shared" si="210"/>
        <v>-600</v>
      </c>
      <c r="G99" s="90">
        <f t="shared" si="210"/>
        <v>-900</v>
      </c>
      <c r="H99" s="90">
        <f t="shared" si="210"/>
        <v>-1200</v>
      </c>
      <c r="I99" s="90">
        <f t="shared" si="210"/>
        <v>-1500</v>
      </c>
      <c r="J99" s="90">
        <f t="shared" si="210"/>
        <v>-26066.112499999999</v>
      </c>
      <c r="K99" s="90">
        <f t="shared" si="210"/>
        <v>-50632.224999999999</v>
      </c>
      <c r="L99" s="90">
        <f t="shared" si="210"/>
        <v>-71153.985416666663</v>
      </c>
      <c r="M99" s="90">
        <f t="shared" si="210"/>
        <v>-108055.37177083333</v>
      </c>
      <c r="N99" s="90">
        <f t="shared" si="210"/>
        <v>-157696.46718750001</v>
      </c>
      <c r="O99" s="90">
        <f t="shared" si="210"/>
        <v>-204607.62494791666</v>
      </c>
      <c r="P99" s="90">
        <f t="shared" si="210"/>
        <v>-249395.49786458333</v>
      </c>
      <c r="Q99" s="90">
        <f t="shared" si="210"/>
        <v>-317842.83046874998</v>
      </c>
      <c r="R99" s="90">
        <f t="shared" si="210"/>
        <v>-380830.28776041663</v>
      </c>
      <c r="S99" s="90">
        <f t="shared" si="210"/>
        <v>-510124.89745833329</v>
      </c>
      <c r="T99" s="90">
        <f t="shared" si="210"/>
        <v>-645789.36168749991</v>
      </c>
      <c r="U99" s="90">
        <f t="shared" si="210"/>
        <v>-639072.41082291654</v>
      </c>
      <c r="V99" s="90">
        <f t="shared" si="210"/>
        <v>-614560.07041526283</v>
      </c>
      <c r="W99" s="90">
        <f t="shared" si="210"/>
        <v>-593075.19409804046</v>
      </c>
      <c r="X99" s="90">
        <f t="shared" si="210"/>
        <v>-566106.31925067434</v>
      </c>
      <c r="Y99" s="90">
        <f t="shared" si="210"/>
        <v>-475437.16215855116</v>
      </c>
      <c r="Z99" s="90">
        <f t="shared" si="210"/>
        <v>-470416.3950085892</v>
      </c>
      <c r="AA99" s="90">
        <f t="shared" si="210"/>
        <v>-453288.0807075862</v>
      </c>
      <c r="AB99" s="90">
        <f t="shared" si="210"/>
        <v>-427138.5008449374</v>
      </c>
      <c r="AC99" s="90">
        <f t="shared" si="210"/>
        <v>-335751.69041893631</v>
      </c>
      <c r="AD99" s="90">
        <f t="shared" si="210"/>
        <v>-330688.72007565922</v>
      </c>
      <c r="AE99" s="90">
        <f t="shared" si="210"/>
        <v>-312992.56159226684</v>
      </c>
      <c r="AF99" s="90">
        <f t="shared" si="210"/>
        <v>-285802.19232601416</v>
      </c>
      <c r="AG99" s="90">
        <f t="shared" si="210"/>
        <v>-190304.26336900564</v>
      </c>
      <c r="AH99" s="90">
        <f t="shared" si="210"/>
        <v>-185108.82447211325</v>
      </c>
      <c r="AI99" s="90">
        <f t="shared" si="210"/>
        <v>-166667.65959512349</v>
      </c>
      <c r="AJ99" s="90">
        <f t="shared" si="210"/>
        <v>-138263.49725550742</v>
      </c>
      <c r="AK99" s="37">
        <f t="shared" si="210"/>
        <v>-38149.065834451976</v>
      </c>
      <c r="AL99" s="90">
        <f t="shared" si="210"/>
        <v>-32644.472925045979</v>
      </c>
      <c r="AM99" s="90">
        <f t="shared" si="210"/>
        <v>-13467.389980571847</v>
      </c>
      <c r="AN99" s="90">
        <f t="shared" si="210"/>
        <v>16191.479115776041</v>
      </c>
      <c r="AO99" s="90">
        <f t="shared" si="210"/>
        <v>121146.76766763569</v>
      </c>
      <c r="AP99" s="90">
        <f t="shared" si="210"/>
        <v>126534.07021544813</v>
      </c>
      <c r="AQ99" s="90">
        <f t="shared" si="210"/>
        <v>146513.82198057277</v>
      </c>
      <c r="AR99" s="90">
        <f t="shared" si="210"/>
        <v>177464.57256549009</v>
      </c>
      <c r="AS99" s="90">
        <f t="shared" si="210"/>
        <v>287469.80273251655</v>
      </c>
      <c r="AT99" s="90">
        <f t="shared" si="210"/>
        <v>293016.28149780392</v>
      </c>
      <c r="AU99" s="90">
        <f t="shared" si="210"/>
        <v>313891.1441931384</v>
      </c>
      <c r="AV99" s="90">
        <f t="shared" si="210"/>
        <v>346330.77468377771</v>
      </c>
      <c r="AW99" s="90">
        <f t="shared" si="210"/>
        <v>461851.57453420642</v>
      </c>
      <c r="AX99" s="90">
        <f t="shared" si="210"/>
        <v>467871.22193174128</v>
      </c>
      <c r="AY99" s="90">
        <f t="shared" si="210"/>
        <v>489984.0230957421</v>
      </c>
      <c r="AZ99" s="90">
        <f t="shared" si="210"/>
        <v>524239.83044481301</v>
      </c>
      <c r="BA99" s="90">
        <f t="shared" si="210"/>
        <v>645722.78492522077</v>
      </c>
      <c r="BB99" s="90">
        <f t="shared" si="210"/>
        <v>651834.2405509745</v>
      </c>
      <c r="BC99" s="90">
        <f t="shared" si="210"/>
        <v>674031.24255444889</v>
      </c>
      <c r="BD99" s="90">
        <f t="shared" si="210"/>
        <v>708438.60096505203</v>
      </c>
      <c r="BE99" s="90">
        <f t="shared" si="210"/>
        <v>829530.9870916974</v>
      </c>
      <c r="BF99" s="90">
        <f t="shared" si="210"/>
        <v>835870.25193535106</v>
      </c>
      <c r="BG99" s="90">
        <f t="shared" si="210"/>
        <v>859394.38418412663</v>
      </c>
      <c r="BH99" s="90">
        <f t="shared" si="210"/>
        <v>895705.16526924772</v>
      </c>
      <c r="BI99" s="90">
        <f t="shared" si="210"/>
        <v>1023035.2254562133</v>
      </c>
      <c r="BJ99" s="90">
        <f t="shared" si="210"/>
        <v>1029876.0698203769</v>
      </c>
      <c r="BK99" s="90">
        <f t="shared" si="210"/>
        <v>1054759.4634355791</v>
      </c>
      <c r="BL99" s="90">
        <f t="shared" si="210"/>
        <v>1093068.8383289441</v>
      </c>
      <c r="BM99" s="90">
        <f t="shared" si="210"/>
        <v>1226948.4562792457</v>
      </c>
      <c r="BN99" s="90">
        <f t="shared" si="210"/>
        <v>1234315.9591399445</v>
      </c>
      <c r="BO99" s="90">
        <f t="shared" si="210"/>
        <v>1260626.5771898946</v>
      </c>
      <c r="BP99" s="90">
        <f t="shared" si="210"/>
        <v>1301034.4755819156</v>
      </c>
      <c r="BQ99" s="90">
        <f t="shared" ref="BQ99:CO99" si="211">BP99+BQ98</f>
        <v>1441781.3070466905</v>
      </c>
      <c r="BR99" s="90">
        <f t="shared" si="211"/>
        <v>1450005.5387930169</v>
      </c>
      <c r="BS99" s="90">
        <f t="shared" si="211"/>
        <v>1477775.1223310344</v>
      </c>
      <c r="BT99" s="90">
        <f t="shared" si="211"/>
        <v>1520386.4703966444</v>
      </c>
      <c r="BU99" s="90">
        <f t="shared" si="211"/>
        <v>1668364.0114325271</v>
      </c>
      <c r="BV99" s="90">
        <f t="shared" si="211"/>
        <v>1676865.1467070184</v>
      </c>
      <c r="BW99" s="90">
        <f t="shared" si="211"/>
        <v>1706247.8653527636</v>
      </c>
      <c r="BX99" s="90">
        <f t="shared" si="211"/>
        <v>1751172.8355756418</v>
      </c>
      <c r="BY99" s="90">
        <f t="shared" si="211"/>
        <v>1906732.3084173065</v>
      </c>
      <c r="BZ99" s="90">
        <f t="shared" si="211"/>
        <v>1915843.1167338495</v>
      </c>
      <c r="CA99" s="90">
        <f t="shared" si="211"/>
        <v>1946878.0260658697</v>
      </c>
      <c r="CB99" s="90">
        <f t="shared" si="211"/>
        <v>1994232.2995538798</v>
      </c>
      <c r="CC99" s="90">
        <f t="shared" si="211"/>
        <v>2157752.8007916156</v>
      </c>
      <c r="CD99" s="90">
        <f t="shared" si="211"/>
        <v>2167503.7658023131</v>
      </c>
      <c r="CE99" s="90">
        <f t="shared" si="211"/>
        <v>2200273.475354922</v>
      </c>
      <c r="CF99" s="90">
        <f t="shared" si="211"/>
        <v>2250178.5172713203</v>
      </c>
      <c r="CG99" s="90">
        <f t="shared" si="211"/>
        <v>2422046.159455983</v>
      </c>
      <c r="CH99" s="90">
        <f t="shared" si="211"/>
        <v>2432838.4837817163</v>
      </c>
      <c r="CI99" s="90">
        <f t="shared" si="211"/>
        <v>2467381.5750036053</v>
      </c>
      <c r="CJ99" s="90">
        <f t="shared" si="211"/>
        <v>2519964.9237698116</v>
      </c>
      <c r="CK99" s="90">
        <f t="shared" si="211"/>
        <v>2700621.5386300902</v>
      </c>
      <c r="CL99" s="90">
        <f t="shared" si="211"/>
        <v>2711750.4409249551</v>
      </c>
      <c r="CM99" s="90">
        <f t="shared" si="211"/>
        <v>2748254.3079523817</v>
      </c>
      <c r="CN99" s="90">
        <f t="shared" si="211"/>
        <v>2803649.8789108861</v>
      </c>
      <c r="CO99" s="90">
        <f t="shared" si="211"/>
        <v>14925358.318515966</v>
      </c>
    </row>
    <row r="100" spans="1:93" ht="12.75" customHeight="1">
      <c r="A100" s="90"/>
      <c r="B100" s="96" t="s">
        <v>194</v>
      </c>
      <c r="C100" s="96">
        <f>SUM(D100:CO100)</f>
        <v>1342249.5050768889</v>
      </c>
      <c r="D100" s="92">
        <f>D98/(1+Assump!$D$11)^D$9</f>
        <v>0</v>
      </c>
      <c r="E100" s="90">
        <f>E98/(1+Assump!$D$11)^E9</f>
        <v>-291.61493743440087</v>
      </c>
      <c r="F100" s="90">
        <f>F98/(1+Assump!$D$11)^F9</f>
        <v>-283.46423911623179</v>
      </c>
      <c r="G100" s="90">
        <f>G98/(1+Assump!$D$11)^G9</f>
        <v>-275.54135451589997</v>
      </c>
      <c r="H100" s="90">
        <f>H98/(1+Assump!$D$11)^H9</f>
        <v>-267.83991619248081</v>
      </c>
      <c r="I100" s="90">
        <f>I98/(1+Assump!$D$11)^I9</f>
        <v>-260.35373467635156</v>
      </c>
      <c r="J100" s="90">
        <f>J98/(1+Assump!$D$11)^J9</f>
        <v>-20723.70993377969</v>
      </c>
      <c r="K100" s="90">
        <f>K98/(1+Assump!$D$11)^K9</f>
        <v>-20144.477919159453</v>
      </c>
      <c r="L100" s="90">
        <f>L98/(1+Assump!$D$11)^L9</f>
        <v>-16357.717533848758</v>
      </c>
      <c r="M100" s="90">
        <f>M98/(1+Assump!$D$11)^M9</f>
        <v>-28591.654379705367</v>
      </c>
      <c r="N100" s="90">
        <f>N98/(1+Assump!$D$11)^N9</f>
        <v>-37387.503840172591</v>
      </c>
      <c r="O100" s="90">
        <f>O98/(1+Assump!$D$11)^O9</f>
        <v>-34343.913139627679</v>
      </c>
      <c r="P100" s="90">
        <f>P98/(1+Assump!$D$11)^P9</f>
        <v>-31872.972964397173</v>
      </c>
      <c r="Q100" s="90">
        <f>Q98/(1+Assump!$D$11)^Q9</f>
        <v>-47348.603762833773</v>
      </c>
      <c r="R100" s="90">
        <f>R98/(1+Assump!$D$11)^R9</f>
        <v>-42353.883417493678</v>
      </c>
      <c r="S100" s="90">
        <f>S98/(1+Assump!$D$11)^S9</f>
        <v>-84509.997891683015</v>
      </c>
      <c r="T100" s="90">
        <f>T98/(1+Assump!$D$11)^T9</f>
        <v>-86195.042243011063</v>
      </c>
      <c r="U100" s="90">
        <f>U98/(1+Assump!$D$11)^U9</f>
        <v>4148.3640847622364</v>
      </c>
      <c r="V100" s="90">
        <f>V98/(1+Assump!$D$11)^V9</f>
        <v>14715.600354959479</v>
      </c>
      <c r="W100" s="90">
        <f>W98/(1+Assump!$D$11)^W9</f>
        <v>12537.604763787589</v>
      </c>
      <c r="X100" s="90">
        <f>X98/(1+Assump!$D$11)^X9</f>
        <v>15297.943633475625</v>
      </c>
      <c r="Y100" s="90">
        <f>Y98/(1+Assump!$D$11)^Y9</f>
        <v>49994.049774247011</v>
      </c>
      <c r="Z100" s="90">
        <f>Z98/(1+Assump!$D$11)^Z9</f>
        <v>2691.0225172780033</v>
      </c>
      <c r="AA100" s="90">
        <f>AA98/(1+Assump!$D$11)^AA9</f>
        <v>8923.8114664468903</v>
      </c>
      <c r="AB100" s="90">
        <f>AB98/(1+Assump!$D$11)^AB9</f>
        <v>13243.079610000275</v>
      </c>
      <c r="AC100" s="90">
        <f>AC98/(1+Assump!$D$11)^AC9</f>
        <v>44987.960538360639</v>
      </c>
      <c r="AD100" s="90">
        <f>AD98/(1+Assump!$D$11)^AD9</f>
        <v>2422.7392796718668</v>
      </c>
      <c r="AE100" s="90">
        <f>AE98/(1+Assump!$D$11)^AE9</f>
        <v>8231.3071493261523</v>
      </c>
      <c r="AF100" s="90">
        <f>AF98/(1+Assump!$D$11)^AF9</f>
        <v>12294.006137529268</v>
      </c>
      <c r="AG100" s="90">
        <f>AG98/(1+Assump!$D$11)^AG9</f>
        <v>41972.108278736683</v>
      </c>
      <c r="AH100" s="90">
        <f>AH98/(1+Assump!$D$11)^AH9</f>
        <v>2219.6146584473026</v>
      </c>
      <c r="AI100" s="90">
        <f>AI98/(1+Assump!$D$11)^AI9</f>
        <v>7658.2970005593943</v>
      </c>
      <c r="AJ100" s="90">
        <f>AJ98/(1+Assump!$D$11)^AJ9</f>
        <v>11466.063741315897</v>
      </c>
      <c r="AK100" s="37">
        <f>AK98/(1+Assump!$D$11)^AK9</f>
        <v>39284.168236366975</v>
      </c>
      <c r="AL100" s="90">
        <f>AL98/(1+Assump!$D$11)^AL9</f>
        <v>2099.59047963389</v>
      </c>
      <c r="AM100" s="90">
        <f>AM98/(1+Assump!$D$11)^AM9</f>
        <v>7110.1775632889539</v>
      </c>
      <c r="AN100" s="90">
        <f>AN98/(1+Assump!$D$11)^AN9</f>
        <v>10689.096516395688</v>
      </c>
      <c r="AO100" s="90">
        <f>AO98/(1+Assump!$D$11)^AO9</f>
        <v>36768.782509086457</v>
      </c>
      <c r="AP100" s="90">
        <f>AP98/(1+Assump!$D$11)^AP9</f>
        <v>1834.5721659707026</v>
      </c>
      <c r="AQ100" s="90">
        <f>AQ98/(1+Assump!$D$11)^AQ9</f>
        <v>6613.662574987522</v>
      </c>
      <c r="AR100" s="90">
        <f>AR98/(1+Assump!$D$11)^AR9</f>
        <v>9958.9062150785976</v>
      </c>
      <c r="AS100" s="90">
        <f>AS98/(1+Assump!$D$11)^AS9</f>
        <v>34406.643096482258</v>
      </c>
      <c r="AT100" s="90">
        <f>AT98/(1+Assump!$D$11)^AT9</f>
        <v>1686.299978605155</v>
      </c>
      <c r="AU100" s="90">
        <f>AU98/(1+Assump!$D$11)^AU9</f>
        <v>6169.2109233236934</v>
      </c>
      <c r="AV100" s="90">
        <f>AV98/(1+Assump!$D$11)^AV9</f>
        <v>9319.0233814847197</v>
      </c>
      <c r="AW100" s="90">
        <f>AW98/(1+Assump!$D$11)^AW9</f>
        <v>32258.428119795393</v>
      </c>
      <c r="AX100" s="90">
        <f>AX98/(1+Assump!$D$11)^AX9</f>
        <v>1633.964356931878</v>
      </c>
      <c r="AY100" s="90">
        <f>AY98/(1+Assump!$D$11)^AY9</f>
        <v>5834.5020639044415</v>
      </c>
      <c r="AZ100" s="90">
        <f>AZ98/(1+Assump!$D$11)^AZ9</f>
        <v>8785.8291960183506</v>
      </c>
      <c r="BA100" s="90">
        <f>BA98/(1+Assump!$D$11)^BA9</f>
        <v>30286.731352703344</v>
      </c>
      <c r="BB100" s="90">
        <f>BB98/(1+Assump!$D$11)^BB9</f>
        <v>1481.0517513950342</v>
      </c>
      <c r="BC100" s="90">
        <f>BC98/(1+Assump!$D$11)^BC9</f>
        <v>5228.8767350621583</v>
      </c>
      <c r="BD100" s="90">
        <f>BD98/(1+Assump!$D$11)^BD9</f>
        <v>7878.6884168487541</v>
      </c>
      <c r="BE100" s="90">
        <f>BE98/(1+Assump!$D$11)^BE9</f>
        <v>26953.05159231518</v>
      </c>
      <c r="BF100" s="90">
        <f>BF98/(1+Assump!$D$11)^BF9</f>
        <v>1371.5716923826014</v>
      </c>
      <c r="BG100" s="90">
        <f>BG98/(1+Assump!$D$11)^BG9</f>
        <v>4947.4537234064719</v>
      </c>
      <c r="BH100" s="90">
        <f>BH98/(1+Assump!$D$11)^BH9</f>
        <v>7423.2182768053754</v>
      </c>
      <c r="BI100" s="90">
        <f>BI98/(1+Assump!$D$11)^BI9</f>
        <v>25303.237718629669</v>
      </c>
      <c r="BJ100" s="90">
        <f>BJ98/(1+Assump!$D$11)^BJ9</f>
        <v>1321.4275973769832</v>
      </c>
      <c r="BK100" s="90">
        <f>BK98/(1+Assump!$D$11)^BK9</f>
        <v>4672.3114392841471</v>
      </c>
      <c r="BL100" s="90">
        <f>BL98/(1+Assump!$D$11)^BL9</f>
        <v>6992.2307350238916</v>
      </c>
      <c r="BM100" s="90">
        <f>BM98/(1+Assump!$D$11)^BM9</f>
        <v>23752.737066688849</v>
      </c>
      <c r="BN100" s="90">
        <f>BN98/(1+Assump!$D$11)^BN9</f>
        <v>1270.5975732690868</v>
      </c>
      <c r="BO100" s="90">
        <f>BO98/(1+Assump!$D$11)^BO9</f>
        <v>4410.6974628790485</v>
      </c>
      <c r="BP100" s="90">
        <f>BP98/(1+Assump!$D$11)^BP9</f>
        <v>6584.6242134069871</v>
      </c>
      <c r="BQ100" s="90">
        <f>BQ98/(1+Assump!$D$11)^BQ9</f>
        <v>22294.198792786829</v>
      </c>
      <c r="BR100" s="90">
        <f>BR98/(1+Assump!$D$11)^BR9</f>
        <v>1266.3014193700687</v>
      </c>
      <c r="BS100" s="90">
        <f>BS98/(1+Assump!$D$11)^BS9</f>
        <v>4156.2305681477319</v>
      </c>
      <c r="BT100" s="90">
        <f>BT98/(1+Assump!$D$11)^BT9</f>
        <v>6199.3199463078545</v>
      </c>
      <c r="BU100" s="90">
        <f>BU98/(1+Assump!$D$11)^BU9</f>
        <v>20926.813055905903</v>
      </c>
      <c r="BV100" s="90">
        <f>BV98/(1+Assump!$D$11)^BV9</f>
        <v>1168.6184180458572</v>
      </c>
      <c r="BW100" s="90">
        <f>BW98/(1+Assump!$D$11)^BW9</f>
        <v>3926.2349779285978</v>
      </c>
      <c r="BX100" s="90">
        <f>BX98/(1+Assump!$D$11)^BX9</f>
        <v>5835.2654955880289</v>
      </c>
      <c r="BY100" s="90">
        <f>BY98/(1+Assump!$D$11)^BY9</f>
        <v>19640.73774911154</v>
      </c>
      <c r="BZ100" s="90">
        <f>BZ98/(1+Assump!$D$11)^BZ9</f>
        <v>1118.1672164988679</v>
      </c>
      <c r="CA100" s="90">
        <f>CA98/(1+Assump!$D$11)^CA9</f>
        <v>3702.4468932601467</v>
      </c>
      <c r="CB100" s="90">
        <f>CB98/(1+Assump!$D$11)^CB9</f>
        <v>5491.4375159657229</v>
      </c>
      <c r="CC100" s="90">
        <f>CC98/(1+Assump!$D$11)^CC9</f>
        <v>18432.642050410675</v>
      </c>
      <c r="CD100" s="90">
        <f>CD98/(1+Assump!$D$11)^CD9</f>
        <v>1068.4433226941965</v>
      </c>
      <c r="CE100" s="90">
        <f>CE98/(1+Assump!$D$11)^CE9</f>
        <v>3490.3179820329137</v>
      </c>
      <c r="CF100" s="90">
        <f>CF98/(1+Assump!$D$11)^CF9</f>
        <v>5166.8438743521019</v>
      </c>
      <c r="CG100" s="90">
        <f>CG98/(1+Assump!$D$11)^CG9</f>
        <v>17296.711611940391</v>
      </c>
      <c r="CH100" s="90">
        <f>CH98/(1+Assump!$D$11)^CH9</f>
        <v>1055.7787704070247</v>
      </c>
      <c r="CI100" s="90">
        <f>CI98/(1+Assump!$D$11)^CI9</f>
        <v>3284.7902867870016</v>
      </c>
      <c r="CJ100" s="90">
        <f>CJ98/(1+Assump!$D$11)^CJ9</f>
        <v>4860.5252142971576</v>
      </c>
      <c r="CK100" s="90">
        <f>CK98/(1+Assump!$D$11)^CK9</f>
        <v>16232.198290403838</v>
      </c>
      <c r="CL100" s="90">
        <f>CL98/(1+Assump!$D$11)^CL9</f>
        <v>971.99562953889972</v>
      </c>
      <c r="CM100" s="90">
        <f>CM98/(1+Assump!$D$11)^CM9</f>
        <v>3099.1269579310401</v>
      </c>
      <c r="CN100" s="90">
        <f>CN98/(1+Assump!$D$11)^CN9</f>
        <v>4571.5560455303512</v>
      </c>
      <c r="CO100" s="90">
        <f>CO98/(1+DiscRate!$E$3)^$CO$8</f>
        <v>991066.15648555732</v>
      </c>
    </row>
    <row r="101" spans="1:93" ht="12.75" customHeight="1">
      <c r="A101" s="90"/>
      <c r="B101" s="96" t="s">
        <v>195</v>
      </c>
      <c r="C101" s="96">
        <f>CO101</f>
        <v>1342249.5050768889</v>
      </c>
      <c r="D101" s="92">
        <f>D100</f>
        <v>0</v>
      </c>
      <c r="E101" s="90">
        <f t="shared" ref="E101:BP101" si="212">D101+E100</f>
        <v>-291.61493743440087</v>
      </c>
      <c r="F101" s="90">
        <f t="shared" si="212"/>
        <v>-575.07917655063261</v>
      </c>
      <c r="G101" s="90">
        <f t="shared" si="212"/>
        <v>-850.62053106653252</v>
      </c>
      <c r="H101" s="90">
        <f t="shared" si="212"/>
        <v>-1118.4604472590133</v>
      </c>
      <c r="I101" s="90">
        <f t="shared" si="212"/>
        <v>-1378.814181935365</v>
      </c>
      <c r="J101" s="90">
        <f t="shared" si="212"/>
        <v>-22102.524115715056</v>
      </c>
      <c r="K101" s="90">
        <f t="shared" si="212"/>
        <v>-42247.002034874509</v>
      </c>
      <c r="L101" s="90">
        <f t="shared" si="212"/>
        <v>-58604.719568723267</v>
      </c>
      <c r="M101" s="90">
        <f t="shared" si="212"/>
        <v>-87196.373948428634</v>
      </c>
      <c r="N101" s="90">
        <f t="shared" si="212"/>
        <v>-124583.87778860122</v>
      </c>
      <c r="O101" s="90">
        <f t="shared" si="212"/>
        <v>-158927.7909282289</v>
      </c>
      <c r="P101" s="90">
        <f t="shared" si="212"/>
        <v>-190800.76389262607</v>
      </c>
      <c r="Q101" s="90">
        <f t="shared" si="212"/>
        <v>-238149.36765545985</v>
      </c>
      <c r="R101" s="90">
        <f t="shared" si="212"/>
        <v>-280503.25107295351</v>
      </c>
      <c r="S101" s="90">
        <f t="shared" si="212"/>
        <v>-365013.24896463653</v>
      </c>
      <c r="T101" s="90">
        <f t="shared" si="212"/>
        <v>-451208.29120764759</v>
      </c>
      <c r="U101" s="90">
        <f t="shared" si="212"/>
        <v>-447059.92712288536</v>
      </c>
      <c r="V101" s="90">
        <f t="shared" si="212"/>
        <v>-432344.32676792587</v>
      </c>
      <c r="W101" s="90">
        <f t="shared" si="212"/>
        <v>-419806.72200413828</v>
      </c>
      <c r="X101" s="90">
        <f t="shared" si="212"/>
        <v>-404508.77837066265</v>
      </c>
      <c r="Y101" s="90">
        <f t="shared" si="212"/>
        <v>-354514.72859641566</v>
      </c>
      <c r="Z101" s="90">
        <f t="shared" si="212"/>
        <v>-351823.70607913769</v>
      </c>
      <c r="AA101" s="90">
        <f t="shared" si="212"/>
        <v>-342899.89461269078</v>
      </c>
      <c r="AB101" s="90">
        <f t="shared" si="212"/>
        <v>-329656.81500269054</v>
      </c>
      <c r="AC101" s="90">
        <f t="shared" si="212"/>
        <v>-284668.8544643299</v>
      </c>
      <c r="AD101" s="90">
        <f t="shared" si="212"/>
        <v>-282246.11518465803</v>
      </c>
      <c r="AE101" s="90">
        <f t="shared" si="212"/>
        <v>-274014.80803533189</v>
      </c>
      <c r="AF101" s="90">
        <f t="shared" si="212"/>
        <v>-261720.80189780262</v>
      </c>
      <c r="AG101" s="90">
        <f t="shared" si="212"/>
        <v>-219748.69361906595</v>
      </c>
      <c r="AH101" s="90">
        <f t="shared" si="212"/>
        <v>-217529.07896061864</v>
      </c>
      <c r="AI101" s="90">
        <f t="shared" si="212"/>
        <v>-209870.78196005925</v>
      </c>
      <c r="AJ101" s="90">
        <f t="shared" si="212"/>
        <v>-198404.71821874336</v>
      </c>
      <c r="AK101" s="37">
        <f t="shared" si="212"/>
        <v>-159120.5499823764</v>
      </c>
      <c r="AL101" s="90">
        <f t="shared" si="212"/>
        <v>-157020.95950274251</v>
      </c>
      <c r="AM101" s="90">
        <f t="shared" si="212"/>
        <v>-149910.78193945356</v>
      </c>
      <c r="AN101" s="90">
        <f t="shared" si="212"/>
        <v>-139221.68542305788</v>
      </c>
      <c r="AO101" s="90">
        <f t="shared" si="212"/>
        <v>-102452.90291397143</v>
      </c>
      <c r="AP101" s="90">
        <f t="shared" si="212"/>
        <v>-100618.33074800072</v>
      </c>
      <c r="AQ101" s="90">
        <f t="shared" si="212"/>
        <v>-94004.668173013197</v>
      </c>
      <c r="AR101" s="90">
        <f t="shared" si="212"/>
        <v>-84045.761957934592</v>
      </c>
      <c r="AS101" s="90">
        <f t="shared" si="212"/>
        <v>-49639.118861452334</v>
      </c>
      <c r="AT101" s="90">
        <f t="shared" si="212"/>
        <v>-47952.818882847176</v>
      </c>
      <c r="AU101" s="90">
        <f t="shared" si="212"/>
        <v>-41783.607959523484</v>
      </c>
      <c r="AV101" s="90">
        <f t="shared" si="212"/>
        <v>-32464.584578038764</v>
      </c>
      <c r="AW101" s="90">
        <f t="shared" si="212"/>
        <v>-206.15645824337116</v>
      </c>
      <c r="AX101" s="90">
        <f t="shared" si="212"/>
        <v>1427.8078986885068</v>
      </c>
      <c r="AY101" s="90">
        <f t="shared" si="212"/>
        <v>7262.3099625929481</v>
      </c>
      <c r="AZ101" s="90">
        <f t="shared" si="212"/>
        <v>16048.139158611299</v>
      </c>
      <c r="BA101" s="90">
        <f t="shared" si="212"/>
        <v>46334.870511314642</v>
      </c>
      <c r="BB101" s="90">
        <f t="shared" si="212"/>
        <v>47815.922262709675</v>
      </c>
      <c r="BC101" s="90">
        <f t="shared" si="212"/>
        <v>53044.798997771832</v>
      </c>
      <c r="BD101" s="90">
        <f t="shared" si="212"/>
        <v>60923.487414620584</v>
      </c>
      <c r="BE101" s="90">
        <f t="shared" si="212"/>
        <v>87876.539006935767</v>
      </c>
      <c r="BF101" s="90">
        <f t="shared" si="212"/>
        <v>89248.110699318364</v>
      </c>
      <c r="BG101" s="90">
        <f t="shared" si="212"/>
        <v>94195.564422724841</v>
      </c>
      <c r="BH101" s="90">
        <f t="shared" si="212"/>
        <v>101618.78269953022</v>
      </c>
      <c r="BI101" s="90">
        <f t="shared" si="212"/>
        <v>126922.02041815988</v>
      </c>
      <c r="BJ101" s="90">
        <f t="shared" si="212"/>
        <v>128243.44801553687</v>
      </c>
      <c r="BK101" s="90">
        <f t="shared" si="212"/>
        <v>132915.759454821</v>
      </c>
      <c r="BL101" s="90">
        <f t="shared" si="212"/>
        <v>139907.99018984489</v>
      </c>
      <c r="BM101" s="90">
        <f t="shared" si="212"/>
        <v>163660.72725653375</v>
      </c>
      <c r="BN101" s="90">
        <f t="shared" si="212"/>
        <v>164931.32482980285</v>
      </c>
      <c r="BO101" s="90">
        <f t="shared" si="212"/>
        <v>169342.02229268191</v>
      </c>
      <c r="BP101" s="90">
        <f t="shared" si="212"/>
        <v>175926.6465060889</v>
      </c>
      <c r="BQ101" s="90">
        <f t="shared" ref="BQ101:CO101" si="213">BP101+BQ100</f>
        <v>198220.84529887573</v>
      </c>
      <c r="BR101" s="90">
        <f t="shared" si="213"/>
        <v>199487.14671824581</v>
      </c>
      <c r="BS101" s="90">
        <f t="shared" si="213"/>
        <v>203643.37728639354</v>
      </c>
      <c r="BT101" s="90">
        <f t="shared" si="213"/>
        <v>209842.69723270141</v>
      </c>
      <c r="BU101" s="90">
        <f t="shared" si="213"/>
        <v>230769.5102886073</v>
      </c>
      <c r="BV101" s="90">
        <f t="shared" si="213"/>
        <v>231938.12870665317</v>
      </c>
      <c r="BW101" s="90">
        <f t="shared" si="213"/>
        <v>235864.36368458177</v>
      </c>
      <c r="BX101" s="90">
        <f t="shared" si="213"/>
        <v>241699.62918016981</v>
      </c>
      <c r="BY101" s="90">
        <f t="shared" si="213"/>
        <v>261340.36692928136</v>
      </c>
      <c r="BZ101" s="90">
        <f t="shared" si="213"/>
        <v>262458.5341457802</v>
      </c>
      <c r="CA101" s="90">
        <f t="shared" si="213"/>
        <v>266160.98103904037</v>
      </c>
      <c r="CB101" s="90">
        <f t="shared" si="213"/>
        <v>271652.41855500609</v>
      </c>
      <c r="CC101" s="90">
        <f t="shared" si="213"/>
        <v>290085.06060541677</v>
      </c>
      <c r="CD101" s="90">
        <f t="shared" si="213"/>
        <v>291153.50392811099</v>
      </c>
      <c r="CE101" s="90">
        <f t="shared" si="213"/>
        <v>294643.82191014389</v>
      </c>
      <c r="CF101" s="90">
        <f t="shared" si="213"/>
        <v>299810.665784496</v>
      </c>
      <c r="CG101" s="90">
        <f t="shared" si="213"/>
        <v>317107.37739643641</v>
      </c>
      <c r="CH101" s="90">
        <f t="shared" si="213"/>
        <v>318163.15616684343</v>
      </c>
      <c r="CI101" s="90">
        <f t="shared" si="213"/>
        <v>321447.94645363046</v>
      </c>
      <c r="CJ101" s="90">
        <f t="shared" si="213"/>
        <v>326308.47166792763</v>
      </c>
      <c r="CK101" s="90">
        <f t="shared" si="213"/>
        <v>342540.66995833145</v>
      </c>
      <c r="CL101" s="90">
        <f t="shared" si="213"/>
        <v>343512.66558787035</v>
      </c>
      <c r="CM101" s="90">
        <f t="shared" si="213"/>
        <v>346611.79254580138</v>
      </c>
      <c r="CN101" s="90">
        <f t="shared" si="213"/>
        <v>351183.34859133174</v>
      </c>
      <c r="CO101" s="90">
        <f t="shared" si="213"/>
        <v>1342249.5050768889</v>
      </c>
    </row>
    <row r="102" spans="1:93" ht="12.75" customHeight="1">
      <c r="A102" s="90"/>
      <c r="B102" s="96" t="s">
        <v>196</v>
      </c>
      <c r="C102" s="96">
        <f t="array" ref="C102">D98+NPV(Assump!D11,Model2!E98:CN98)+CO100</f>
        <v>1342249.505076888</v>
      </c>
      <c r="D102" s="92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37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</row>
    <row r="103" spans="1:93" ht="12.75" customHeight="1">
      <c r="A103" s="90"/>
      <c r="B103" s="96" t="s">
        <v>197</v>
      </c>
      <c r="C103" s="97">
        <f>D103/4</f>
        <v>4.0032919546468038E-2</v>
      </c>
      <c r="D103" s="98">
        <f>'Model (years)'!C99</f>
        <v>0.16013167818587215</v>
      </c>
      <c r="E103" s="99" t="s">
        <v>198</v>
      </c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37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10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</row>
    <row r="104" spans="1:93" ht="12.75" customHeight="1">
      <c r="A104" s="90"/>
      <c r="B104" s="96" t="s">
        <v>199</v>
      </c>
      <c r="C104" s="101">
        <f t="array" ref="C104">(NPV(Assump!D11,Model2!E81:CN81)+D81+CO100)/-(NPV(Assump!D11,Model2!E85:Z85)+Model2!D85)</f>
        <v>4.1455353533919928</v>
      </c>
      <c r="D104" s="92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37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</row>
    <row r="105" spans="1:93" ht="12.75" customHeight="1">
      <c r="A105" s="90"/>
      <c r="B105" s="96" t="s">
        <v>200</v>
      </c>
      <c r="C105" s="96">
        <f>(COUNTIF(D99:CN99,"&lt;0")+1)/4</f>
        <v>9</v>
      </c>
      <c r="D105" s="92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37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</row>
    <row r="106" spans="1:93" ht="12.75" customHeight="1">
      <c r="A106" s="90"/>
      <c r="B106" s="96" t="s">
        <v>201</v>
      </c>
      <c r="C106" s="96">
        <f>IF(C102&lt;0,"выходит за рамки модели",(COUNTIF(D101:CN101,"&lt;0")+1)/4)</f>
        <v>11.5</v>
      </c>
      <c r="D106" s="92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37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</row>
    <row r="107" spans="1:93" ht="12.75" customHeight="1">
      <c r="A107" s="90"/>
      <c r="B107" s="102" t="s">
        <v>202</v>
      </c>
      <c r="C107" s="102">
        <f>SUM(D107:CO107)</f>
        <v>2518412.0307481769</v>
      </c>
      <c r="D107" s="92">
        <f>D85*(Финансирование!$D$5)+(D81+D90+D91)</f>
        <v>0</v>
      </c>
      <c r="E107" s="90">
        <f>E85*(Финансирование!$D$5)+(E81+E90+E91)</f>
        <v>-300</v>
      </c>
      <c r="F107" s="90">
        <f>F85*(Финансирование!$D$5)+(F81+F90+F91)</f>
        <v>-300</v>
      </c>
      <c r="G107" s="90">
        <f>G85*(Финансирование!$D$5)+(G81+G90+G91)</f>
        <v>-300</v>
      </c>
      <c r="H107" s="90">
        <f>H85*(Финансирование!$D$5)+(H81+H90+H91)</f>
        <v>-300</v>
      </c>
      <c r="I107" s="90">
        <f>I85*(Финансирование!$D$5)+(I81+I90+I91)</f>
        <v>-300</v>
      </c>
      <c r="J107" s="90">
        <f>J85*(Финансирование!$D$5)+(J81+J90+J91)</f>
        <v>-5153.2224999999999</v>
      </c>
      <c r="K107" s="90">
        <f>K85*(Финансирование!$D$5)+(K81+K90+K91)</f>
        <v>-5153.2224999999999</v>
      </c>
      <c r="L107" s="90">
        <f>L85*(Финансирование!$D$5)+(L81+L90+L91)</f>
        <v>-4344.3520833333332</v>
      </c>
      <c r="M107" s="90">
        <f>M85*(Финансирование!$D$5)+(M81+M90+M91)</f>
        <v>-7620.2772708333323</v>
      </c>
      <c r="N107" s="90">
        <f>N85*(Финансирование!$D$5)+(N81+N90+N91)</f>
        <v>-10168.219083333335</v>
      </c>
      <c r="O107" s="90">
        <f>O85*(Финансирование!$D$5)+(O81+O90+O91)</f>
        <v>-10020.347460286459</v>
      </c>
      <c r="P107" s="90">
        <f>P85*(Финансирование!$D$5)+(P81+P90+P91)</f>
        <v>-10596.667632161458</v>
      </c>
      <c r="Q107" s="90">
        <f>Q85*(Финансирование!$D$5)+(Q81+Q90+Q91)</f>
        <v>-16329.536710286457</v>
      </c>
      <c r="R107" s="90">
        <f>R85*(Финансирование!$D$5)+(R81+R90+R91)</f>
        <v>-16682.153657552084</v>
      </c>
      <c r="S107" s="90">
        <f>S85*(Финансирование!$D$5)+(S81+S90+S91)</f>
        <v>-31285.803486458335</v>
      </c>
      <c r="T107" s="90">
        <f>T85*(Финансирование!$D$5)+(T81+T90+T91)</f>
        <v>-35219.188659505206</v>
      </c>
      <c r="U107" s="90">
        <f>U85*(Финансирование!$D$5)+(U81+U90+U91)</f>
        <v>-9504.6925696614599</v>
      </c>
      <c r="V107" s="90">
        <f>V85*(Финансирование!$D$5)+(V81+V90+V91)</f>
        <v>-6046.7839340129331</v>
      </c>
      <c r="W107" s="90">
        <f>W85*(Финансирование!$D$5)+(W81+W90+W91)</f>
        <v>3673.1587587731751</v>
      </c>
      <c r="X107" s="90">
        <f>X85*(Финансирование!$D$5)+(X81+X90+X91)</f>
        <v>4494.8124745610112</v>
      </c>
      <c r="Y107" s="90">
        <f>Y85*(Финансирование!$D$5)+(Y81+Y90+Y91)</f>
        <v>15111.526182020536</v>
      </c>
      <c r="Z107" s="90">
        <f>Z85*(Финансирование!$D$5)+(Z81+Z90+Z91)</f>
        <v>-4375.3307534991682</v>
      </c>
      <c r="AA107" s="90">
        <f>AA85*(Финансирование!$D$5)+(AA81+AA90+AA91)</f>
        <v>2854.7190501671685</v>
      </c>
      <c r="AB107" s="90">
        <f>AB85*(Финансирование!$D$5)+(AB81+AB90+AB91)</f>
        <v>4358.2633104414708</v>
      </c>
      <c r="AC107" s="90">
        <f>AC85*(Финансирование!$D$5)+(AC81+AC90+AC91)</f>
        <v>15231.135071000179</v>
      </c>
      <c r="AD107" s="90">
        <f>AD85*(Финансирование!$D$5)+(AD81+AD90+AD91)</f>
        <v>-2749.7027221900917</v>
      </c>
      <c r="AE107" s="90">
        <f>AE85*(Финансирование!$D$5)+(AE81+AE90+AE91)</f>
        <v>2949.3597472320662</v>
      </c>
      <c r="AF107" s="90">
        <f>AF85*(Финансирование!$D$5)+(AF81+AF90+AF91)</f>
        <v>4531.7282110421102</v>
      </c>
      <c r="AG107" s="90">
        <f>AG85*(Финансирование!$D$5)+(AG81+AG90+AG91)</f>
        <v>15916.321492834742</v>
      </c>
      <c r="AH107" s="90">
        <f>AH85*(Финансирование!$D$5)+(AH81+AH90+AH91)</f>
        <v>-853.04934138430599</v>
      </c>
      <c r="AI107" s="90">
        <f>AI85*(Финансирование!$D$5)+(AI81+AI90+AI91)</f>
        <v>3073.5274794982934</v>
      </c>
      <c r="AJ107" s="90">
        <f>AJ85*(Финансирование!$D$5)+(AJ81+AJ90+AJ91)</f>
        <v>4734.0270566026766</v>
      </c>
      <c r="AK107" s="90">
        <f>AK85*(Финансирование!$D$5)+(AK81+AK90+AK91)</f>
        <v>16685.738570175905</v>
      </c>
      <c r="AL107" s="90">
        <f>AL85*(Финансирование!$D$5)+(AL81+AL90+AL91)</f>
        <v>917.43215156766564</v>
      </c>
      <c r="AM107" s="90">
        <f>AM85*(Финансирование!$D$5)+(AM81+AM90+AM91)</f>
        <v>3196.1804907456872</v>
      </c>
      <c r="AN107" s="90">
        <f>AN85*(Финансирование!$D$5)+(AN81+AN90+AN91)</f>
        <v>4943.144849391314</v>
      </c>
      <c r="AO107" s="90">
        <f>AO85*(Финансирование!$D$5)+(AO81+AO90+AO91)</f>
        <v>17492.548091976598</v>
      </c>
      <c r="AP107" s="90">
        <f>AP85*(Финансирование!$D$5)+(AP81+AP90+AP91)</f>
        <v>897.8837579687397</v>
      </c>
      <c r="AQ107" s="90">
        <f>AQ85*(Финансирование!$D$5)+(AQ81+AQ90+AQ91)</f>
        <v>3329.9586275207694</v>
      </c>
      <c r="AR107" s="90">
        <f>AR85*(Финансирование!$D$5)+(AR81+AR90+AR91)</f>
        <v>5158.4584308195508</v>
      </c>
      <c r="AS107" s="90">
        <f>AS85*(Финансирование!$D$5)+(AS81+AS90+AS91)</f>
        <v>50284.581129965278</v>
      </c>
      <c r="AT107" s="90">
        <f>AT85*(Финансирование!$D$5)+(AT81+AT90+AT91)</f>
        <v>5546.4787652873747</v>
      </c>
      <c r="AU107" s="90">
        <f>AU85*(Финансирование!$D$5)+(AU81+AU90+AU91)</f>
        <v>20874.862695334486</v>
      </c>
      <c r="AV107" s="90">
        <f>AV85*(Финансирование!$D$5)+(AV81+AV90+AV91)</f>
        <v>32439.630490639298</v>
      </c>
      <c r="AW107" s="90">
        <f>AW85*(Финансирование!$D$5)+(AW81+AW90+AW91)</f>
        <v>115520.7998504287</v>
      </c>
      <c r="AX107" s="90">
        <f>AX85*(Финансирование!$D$5)+(AX81+AX90+AX91)</f>
        <v>6019.6473975348554</v>
      </c>
      <c r="AY107" s="90">
        <f>AY85*(Финансирование!$D$5)+(AY81+AY90+AY91)</f>
        <v>22112.801164000841</v>
      </c>
      <c r="AZ107" s="90">
        <f>AZ85*(Финансирование!$D$5)+(AZ81+AZ90+AZ91)</f>
        <v>34255.807349070892</v>
      </c>
      <c r="BA107" s="90">
        <f>BA85*(Финансирование!$D$5)+(BA81+BA90+BA91)</f>
        <v>121482.95448040779</v>
      </c>
      <c r="BB107" s="90">
        <f>BB85*(Финансирование!$D$5)+(BB81+BB90+BB91)</f>
        <v>6111.4556257537715</v>
      </c>
      <c r="BC107" s="90">
        <f>BC85*(Финансирование!$D$5)+(BC81+BC90+BC91)</f>
        <v>22197.002003474416</v>
      </c>
      <c r="BD107" s="90">
        <f>BD85*(Финансирование!$D$5)+(BD81+BD90+BD91)</f>
        <v>34407.358410603105</v>
      </c>
      <c r="BE107" s="90">
        <f>BE85*(Финансирование!$D$5)+(BE81+BE90+BE91)</f>
        <v>121092.3861266454</v>
      </c>
      <c r="BF107" s="90">
        <f>BF85*(Финансирование!$D$5)+(BF81+BF90+BF91)</f>
        <v>6339.2648436536674</v>
      </c>
      <c r="BG107" s="90">
        <f>BG85*(Финансирование!$D$5)+(BG81+BG90+BG91)</f>
        <v>23524.132248775619</v>
      </c>
      <c r="BH107" s="90">
        <f>BH85*(Финансирование!$D$5)+(BH81+BH90+BH91)</f>
        <v>36310.781085121096</v>
      </c>
      <c r="BI107" s="90">
        <f>BI85*(Финансирование!$D$5)+(BI81+BI90+BI91)</f>
        <v>127330.06018696557</v>
      </c>
      <c r="BJ107" s="90">
        <f>BJ85*(Финансирование!$D$5)+(BJ81+BJ90+BJ91)</f>
        <v>6840.8443641635422</v>
      </c>
      <c r="BK107" s="90">
        <f>BK85*(Финансирование!$D$5)+(BK81+BK90+BK91)</f>
        <v>24883.393615202222</v>
      </c>
      <c r="BL107" s="90">
        <f>BL85*(Финансирование!$D$5)+(BL81+BL90+BL91)</f>
        <v>38309.374893364991</v>
      </c>
      <c r="BM107" s="90">
        <f>BM85*(Финансирование!$D$5)+(BM81+BM90+BM91)</f>
        <v>133879.61795030168</v>
      </c>
      <c r="BN107" s="90">
        <f>BN85*(Финансирование!$D$5)+(BN81+BN90+BN91)</f>
        <v>7367.5028606989345</v>
      </c>
      <c r="BO107" s="90">
        <f>BO85*(Финансирование!$D$5)+(BO81+BO90+BO91)</f>
        <v>26310.618049950172</v>
      </c>
      <c r="BP107" s="90">
        <f>BP85*(Финансирование!$D$5)+(BP81+BP90+BP91)</f>
        <v>40407.898392021074</v>
      </c>
      <c r="BQ107" s="90">
        <f>BQ85*(Финансирование!$D$5)+(BQ81+BQ90+BQ91)</f>
        <v>140746.83146477502</v>
      </c>
      <c r="BR107" s="90">
        <f>BR85*(Финансирование!$D$5)+(BR81+BR90+BR91)</f>
        <v>8224.2317463264008</v>
      </c>
      <c r="BS107" s="90">
        <f>BS85*(Финансирование!$D$5)+(BS81+BS90+BS91)</f>
        <v>27769.583538017472</v>
      </c>
      <c r="BT107" s="90">
        <f>BT85*(Финансирование!$D$5)+(BT81+BT90+BT91)</f>
        <v>42611.348065609956</v>
      </c>
      <c r="BU107" s="90">
        <f>BU85*(Финансирование!$D$5)+(BU81+BU90+BU91)</f>
        <v>147977.54103588266</v>
      </c>
      <c r="BV107" s="90">
        <f>BV85*(Финансирование!$D$5)+(BV81+BV90+BV91)</f>
        <v>8501.1352744913456</v>
      </c>
      <c r="BW107" s="90">
        <f>BW85*(Финансирование!$D$5)+(BW81+BW90+BW91)</f>
        <v>29382.718645745124</v>
      </c>
      <c r="BX107" s="90">
        <f>BX85*(Финансирование!$D$5)+(BX81+BX90+BX91)</f>
        <v>44924.97022287827</v>
      </c>
      <c r="BY107" s="90">
        <f>BY85*(Финансирование!$D$5)+(BY81+BY90+BY91)</f>
        <v>155559.47284166474</v>
      </c>
      <c r="BZ107" s="90">
        <f>BZ85*(Финансирование!$D$5)+(BZ81+BZ90+BZ91)</f>
        <v>9110.8083165431071</v>
      </c>
      <c r="CA107" s="90">
        <f>CA85*(Финансирование!$D$5)+(CA81+CA90+CA91)</f>
        <v>31034.909332020197</v>
      </c>
      <c r="CB107" s="90">
        <f>CB85*(Финансирование!$D$5)+(CB81+CB90+CB91)</f>
        <v>47354.273488010018</v>
      </c>
      <c r="CC107" s="90">
        <f>CC85*(Финансирование!$D$5)+(CC81+CC90+CC91)</f>
        <v>163520.50123773568</v>
      </c>
      <c r="CD107" s="90">
        <f>CD85*(Финансирование!$D$5)+(CD81+CD90+CD91)</f>
        <v>9750.9650106974732</v>
      </c>
      <c r="CE107" s="90">
        <f>CE85*(Финансирование!$D$5)+(CE81+CE90+CE91)</f>
        <v>32769.709552609049</v>
      </c>
      <c r="CF107" s="90">
        <f>CF85*(Финансирование!$D$5)+(CF81+CF90+CF91)</f>
        <v>49905.041916398346</v>
      </c>
      <c r="CG107" s="90">
        <f>CG85*(Финансирование!$D$5)+(CG81+CG90+CG91)</f>
        <v>171867.64218466252</v>
      </c>
      <c r="CH107" s="90">
        <f>CH85*(Финансирование!$D$5)+(CH81+CH90+CH91)</f>
        <v>10792.3243257332</v>
      </c>
      <c r="CI107" s="90">
        <f>CI85*(Финансирование!$D$5)+(CI81+CI90+CI91)</f>
        <v>34543.091221889146</v>
      </c>
      <c r="CJ107" s="90">
        <f>CJ85*(Финансирование!$D$5)+(CJ81+CJ90+CJ91)</f>
        <v>52583.348766206109</v>
      </c>
      <c r="CK107" s="90">
        <f>CK85*(Финансирование!$D$5)+(CK81+CK90+CK91)</f>
        <v>180656.61486027864</v>
      </c>
      <c r="CL107" s="90">
        <f>CL85*(Финансирование!$D$5)+(CL81+CL90+CL91)</f>
        <v>11128.902294864754</v>
      </c>
      <c r="CM107" s="90">
        <f>CM85*(Финансирование!$D$5)+(CM81+CM90+CM91)</f>
        <v>36503.867027426531</v>
      </c>
      <c r="CN107" s="90">
        <f>CN85*(Финансирование!$D$5)+(CN81+CN90+CN91)</f>
        <v>55395.57095850425</v>
      </c>
      <c r="CO107" s="90">
        <f>CO85*(Финансирование!$D$5)+(CO81+CO90+CO91)</f>
        <v>0</v>
      </c>
    </row>
    <row r="108" spans="1:93" ht="12.75" customHeight="1">
      <c r="A108" s="90"/>
      <c r="B108" s="102" t="s">
        <v>203</v>
      </c>
      <c r="C108" s="102">
        <f>CO108</f>
        <v>2518412.0307481769</v>
      </c>
      <c r="D108" s="92">
        <f>D107</f>
        <v>0</v>
      </c>
      <c r="E108" s="90">
        <f t="shared" ref="E108:BP108" si="214">E107+D108</f>
        <v>-300</v>
      </c>
      <c r="F108" s="90">
        <f t="shared" si="214"/>
        <v>-600</v>
      </c>
      <c r="G108" s="90">
        <f t="shared" si="214"/>
        <v>-900</v>
      </c>
      <c r="H108" s="90">
        <f t="shared" si="214"/>
        <v>-1200</v>
      </c>
      <c r="I108" s="90">
        <f t="shared" si="214"/>
        <v>-1500</v>
      </c>
      <c r="J108" s="90">
        <f t="shared" si="214"/>
        <v>-6653.2224999999999</v>
      </c>
      <c r="K108" s="90">
        <f t="shared" si="214"/>
        <v>-11806.445</v>
      </c>
      <c r="L108" s="90">
        <f t="shared" si="214"/>
        <v>-16150.797083333333</v>
      </c>
      <c r="M108" s="90">
        <f t="shared" si="214"/>
        <v>-23771.074354166667</v>
      </c>
      <c r="N108" s="90">
        <f t="shared" si="214"/>
        <v>-33939.293437500004</v>
      </c>
      <c r="O108" s="90">
        <f t="shared" si="214"/>
        <v>-43959.640897786463</v>
      </c>
      <c r="P108" s="90">
        <f t="shared" si="214"/>
        <v>-54556.308529947921</v>
      </c>
      <c r="Q108" s="90">
        <f t="shared" si="214"/>
        <v>-70885.845240234383</v>
      </c>
      <c r="R108" s="90">
        <f t="shared" si="214"/>
        <v>-87567.99889778647</v>
      </c>
      <c r="S108" s="90">
        <f t="shared" si="214"/>
        <v>-118853.8023842448</v>
      </c>
      <c r="T108" s="90">
        <f t="shared" si="214"/>
        <v>-154072.99104375002</v>
      </c>
      <c r="U108" s="90">
        <f t="shared" si="214"/>
        <v>-163577.68361341147</v>
      </c>
      <c r="V108" s="90">
        <f t="shared" si="214"/>
        <v>-169624.4675474244</v>
      </c>
      <c r="W108" s="90">
        <f t="shared" si="214"/>
        <v>-165951.30878865122</v>
      </c>
      <c r="X108" s="90">
        <f t="shared" si="214"/>
        <v>-161456.49631409021</v>
      </c>
      <c r="Y108" s="90">
        <f t="shared" si="214"/>
        <v>-146344.97013206966</v>
      </c>
      <c r="Z108" s="90">
        <f t="shared" si="214"/>
        <v>-150720.30088556884</v>
      </c>
      <c r="AA108" s="90">
        <f t="shared" si="214"/>
        <v>-147865.58183540168</v>
      </c>
      <c r="AB108" s="90">
        <f t="shared" si="214"/>
        <v>-143507.3185249602</v>
      </c>
      <c r="AC108" s="90">
        <f t="shared" si="214"/>
        <v>-128276.18345396002</v>
      </c>
      <c r="AD108" s="90">
        <f t="shared" si="214"/>
        <v>-131025.88617615012</v>
      </c>
      <c r="AE108" s="90">
        <f t="shared" si="214"/>
        <v>-128076.52642891805</v>
      </c>
      <c r="AF108" s="90">
        <f t="shared" si="214"/>
        <v>-123544.79821787594</v>
      </c>
      <c r="AG108" s="90">
        <f t="shared" si="214"/>
        <v>-107628.4767250412</v>
      </c>
      <c r="AH108" s="90">
        <f t="shared" si="214"/>
        <v>-108481.5260664255</v>
      </c>
      <c r="AI108" s="90">
        <f t="shared" si="214"/>
        <v>-105407.99858692721</v>
      </c>
      <c r="AJ108" s="90">
        <f t="shared" si="214"/>
        <v>-100673.97153032453</v>
      </c>
      <c r="AK108" s="90">
        <f t="shared" si="214"/>
        <v>-83988.232960148627</v>
      </c>
      <c r="AL108" s="90">
        <f t="shared" si="214"/>
        <v>-83070.800808580956</v>
      </c>
      <c r="AM108" s="90">
        <f t="shared" si="214"/>
        <v>-79874.620317835273</v>
      </c>
      <c r="AN108" s="90">
        <f t="shared" si="214"/>
        <v>-74931.475468443954</v>
      </c>
      <c r="AO108" s="90">
        <f t="shared" si="214"/>
        <v>-57438.927376467356</v>
      </c>
      <c r="AP108" s="90">
        <f t="shared" si="214"/>
        <v>-56541.043618498617</v>
      </c>
      <c r="AQ108" s="90">
        <f t="shared" si="214"/>
        <v>-53211.084990977848</v>
      </c>
      <c r="AR108" s="90">
        <f t="shared" si="214"/>
        <v>-48052.6265601583</v>
      </c>
      <c r="AS108" s="90">
        <f t="shared" si="214"/>
        <v>2231.9545698069778</v>
      </c>
      <c r="AT108" s="90">
        <f t="shared" si="214"/>
        <v>7778.4333350943525</v>
      </c>
      <c r="AU108" s="90">
        <f t="shared" si="214"/>
        <v>28653.296030428839</v>
      </c>
      <c r="AV108" s="90">
        <f t="shared" si="214"/>
        <v>61092.926521068133</v>
      </c>
      <c r="AW108" s="90">
        <f t="shared" si="214"/>
        <v>176613.72637149683</v>
      </c>
      <c r="AX108" s="90">
        <f t="shared" si="214"/>
        <v>182633.37376903169</v>
      </c>
      <c r="AY108" s="90">
        <f t="shared" si="214"/>
        <v>204746.17493303254</v>
      </c>
      <c r="AZ108" s="90">
        <f t="shared" si="214"/>
        <v>239001.98228210345</v>
      </c>
      <c r="BA108" s="90">
        <f t="shared" si="214"/>
        <v>360484.93676251126</v>
      </c>
      <c r="BB108" s="90">
        <f t="shared" si="214"/>
        <v>366596.39238826506</v>
      </c>
      <c r="BC108" s="90">
        <f t="shared" si="214"/>
        <v>388793.39439173945</v>
      </c>
      <c r="BD108" s="90">
        <f t="shared" si="214"/>
        <v>423200.75280234253</v>
      </c>
      <c r="BE108" s="90">
        <f t="shared" si="214"/>
        <v>544293.1389289879</v>
      </c>
      <c r="BF108" s="90">
        <f t="shared" si="214"/>
        <v>550632.40377264156</v>
      </c>
      <c r="BG108" s="90">
        <f t="shared" si="214"/>
        <v>574156.53602141712</v>
      </c>
      <c r="BH108" s="90">
        <f t="shared" si="214"/>
        <v>610467.31710653822</v>
      </c>
      <c r="BI108" s="90">
        <f t="shared" si="214"/>
        <v>737797.37729350384</v>
      </c>
      <c r="BJ108" s="90">
        <f t="shared" si="214"/>
        <v>744638.22165766743</v>
      </c>
      <c r="BK108" s="90">
        <f t="shared" si="214"/>
        <v>769521.61527286959</v>
      </c>
      <c r="BL108" s="90">
        <f t="shared" si="214"/>
        <v>807830.99016623455</v>
      </c>
      <c r="BM108" s="90">
        <f t="shared" si="214"/>
        <v>941710.60811653617</v>
      </c>
      <c r="BN108" s="90">
        <f t="shared" si="214"/>
        <v>949078.11097723513</v>
      </c>
      <c r="BO108" s="90">
        <f t="shared" si="214"/>
        <v>975388.72902718536</v>
      </c>
      <c r="BP108" s="90">
        <f t="shared" si="214"/>
        <v>1015796.6274192064</v>
      </c>
      <c r="BQ108" s="90">
        <f t="shared" ref="BQ108:CO108" si="215">BQ107+BP108</f>
        <v>1156543.4588839815</v>
      </c>
      <c r="BR108" s="90">
        <f t="shared" si="215"/>
        <v>1164767.6906303079</v>
      </c>
      <c r="BS108" s="90">
        <f t="shared" si="215"/>
        <v>1192537.2741683254</v>
      </c>
      <c r="BT108" s="90">
        <f t="shared" si="215"/>
        <v>1235148.6222339354</v>
      </c>
      <c r="BU108" s="90">
        <f t="shared" si="215"/>
        <v>1383126.1632698181</v>
      </c>
      <c r="BV108" s="90">
        <f t="shared" si="215"/>
        <v>1391627.2985443093</v>
      </c>
      <c r="BW108" s="90">
        <f t="shared" si="215"/>
        <v>1421010.0171900545</v>
      </c>
      <c r="BX108" s="90">
        <f t="shared" si="215"/>
        <v>1465934.9874129328</v>
      </c>
      <c r="BY108" s="90">
        <f t="shared" si="215"/>
        <v>1621494.4602545975</v>
      </c>
      <c r="BZ108" s="90">
        <f t="shared" si="215"/>
        <v>1630605.2685711405</v>
      </c>
      <c r="CA108" s="90">
        <f t="shared" si="215"/>
        <v>1661640.1779031607</v>
      </c>
      <c r="CB108" s="90">
        <f t="shared" si="215"/>
        <v>1708994.4513911707</v>
      </c>
      <c r="CC108" s="90">
        <f t="shared" si="215"/>
        <v>1872514.9526289064</v>
      </c>
      <c r="CD108" s="90">
        <f t="shared" si="215"/>
        <v>1882265.9176396038</v>
      </c>
      <c r="CE108" s="90">
        <f t="shared" si="215"/>
        <v>1915035.627192213</v>
      </c>
      <c r="CF108" s="90">
        <f t="shared" si="215"/>
        <v>1964940.6691086113</v>
      </c>
      <c r="CG108" s="90">
        <f t="shared" si="215"/>
        <v>2136808.3112932737</v>
      </c>
      <c r="CH108" s="90">
        <f t="shared" si="215"/>
        <v>2147600.6356190071</v>
      </c>
      <c r="CI108" s="90">
        <f t="shared" si="215"/>
        <v>2182143.7268408961</v>
      </c>
      <c r="CJ108" s="90">
        <f t="shared" si="215"/>
        <v>2234727.0756071024</v>
      </c>
      <c r="CK108" s="90">
        <f t="shared" si="215"/>
        <v>2415383.6904673809</v>
      </c>
      <c r="CL108" s="90">
        <f t="shared" si="215"/>
        <v>2426512.5927622458</v>
      </c>
      <c r="CM108" s="90">
        <f t="shared" si="215"/>
        <v>2463016.4597896724</v>
      </c>
      <c r="CN108" s="90">
        <f t="shared" si="215"/>
        <v>2518412.0307481769</v>
      </c>
      <c r="CO108" s="90">
        <f t="shared" si="215"/>
        <v>2518412.0307481769</v>
      </c>
    </row>
    <row r="109" spans="1:93" ht="12.75" customHeight="1">
      <c r="A109" s="90"/>
      <c r="B109" s="102" t="s">
        <v>204</v>
      </c>
      <c r="C109" s="102">
        <f>SUM(D109:CO109)</f>
        <v>-12288.345960562254</v>
      </c>
      <c r="D109" s="92">
        <f>D107/(1+DiscRate!$G$20)^D$9</f>
        <v>0</v>
      </c>
      <c r="E109" s="90">
        <f>E107/(1+DiscRate!$G$20)^E$9</f>
        <v>-241.96076162100687</v>
      </c>
      <c r="F109" s="90">
        <f>F107/(1+DiscRate!$G$20)^F$9</f>
        <v>-195.15003388072572</v>
      </c>
      <c r="G109" s="90">
        <f>G107/(1+DiscRate!$G$20)^G$9</f>
        <v>-157.39550276048561</v>
      </c>
      <c r="H109" s="90">
        <f>H107/(1+DiscRate!$G$20)^H$9</f>
        <v>-126.94511907882797</v>
      </c>
      <c r="I109" s="90">
        <f>I107/(1+DiscRate!$G$20)^I$9</f>
        <v>-102.38579232127543</v>
      </c>
      <c r="J109" s="90">
        <f>J107/(1+DiscRate!$G$20)^J$9</f>
        <v>-1418.472835460957</v>
      </c>
      <c r="K109" s="90">
        <f>K107/(1+DiscRate!$G$20)^K$9</f>
        <v>-1144.0492253561411</v>
      </c>
      <c r="L109" s="90">
        <f>L107/(1+DiscRate!$G$20)^L$9</f>
        <v>-777.88342930745114</v>
      </c>
      <c r="M109" s="90">
        <f>M107/(1+DiscRate!$G$20)^M$9</f>
        <v>-1100.4845941306503</v>
      </c>
      <c r="N109" s="90">
        <f>N107/(1+DiscRate!$G$20)^N$9</f>
        <v>-1184.3546687690221</v>
      </c>
      <c r="O109" s="90">
        <f>O107/(1+DiscRate!$G$20)^O$9</f>
        <v>-941.33314504865143</v>
      </c>
      <c r="P109" s="90">
        <f>P107/(1+DiscRate!$G$20)^P$9</f>
        <v>-802.88541839588379</v>
      </c>
      <c r="Q109" s="90">
        <f>Q107/(1+DiscRate!$G$20)^Q$9</f>
        <v>-997.88802128296095</v>
      </c>
      <c r="R109" s="90">
        <f>R107/(1+DiscRate!$G$20)^R$9</f>
        <v>-822.21188693025681</v>
      </c>
      <c r="S109" s="90">
        <f>S107/(1+DiscRate!$G$20)^S$9</f>
        <v>-1243.6627749074764</v>
      </c>
      <c r="T109" s="90">
        <f>T107/(1+DiscRate!$G$20)^T$9</f>
        <v>-1129.1674679025418</v>
      </c>
      <c r="U109" s="90">
        <f>U107/(1+DiscRate!$G$20)^U$9</f>
        <v>-245.77673617224235</v>
      </c>
      <c r="V109" s="90">
        <f>V107/(1+DiscRate!$G$20)^V$9</f>
        <v>-126.11038083012502</v>
      </c>
      <c r="W109" s="90">
        <f>W107/(1+DiscRate!$G$20)^W$9</f>
        <v>61.785956505192004</v>
      </c>
      <c r="X109" s="90">
        <f>X107/(1+DiscRate!$G$20)^X$9</f>
        <v>60.979708006701912</v>
      </c>
      <c r="Y109" s="90">
        <f>Y107/(1+DiscRate!$G$20)^Y$9</f>
        <v>165.35060148462782</v>
      </c>
      <c r="Z109" s="90">
        <f>Z107/(1+DiscRate!$G$20)^Z$9</f>
        <v>-38.612865156860913</v>
      </c>
      <c r="AA109" s="90">
        <f>AA107/(1+DiscRate!$G$20)^AA$9</f>
        <v>20.319274650097455</v>
      </c>
      <c r="AB109" s="90">
        <f>AB107/(1+DiscRate!$G$20)^AB$9</f>
        <v>25.019693248406845</v>
      </c>
      <c r="AC109" s="90">
        <f>AC107/(1+DiscRate!$G$20)^AC$9</f>
        <v>70.521976104731522</v>
      </c>
      <c r="AD109" s="90">
        <f>AD107/(1+DiscRate!$G$20)^AD$9</f>
        <v>-10.268372985516386</v>
      </c>
      <c r="AE109" s="90">
        <f>AE107/(1+DiscRate!$G$20)^AE$9</f>
        <v>8.8831568133432519</v>
      </c>
      <c r="AF109" s="90">
        <f>AF107/(1+DiscRate!$G$20)^AF$9</f>
        <v>11.008474061491359</v>
      </c>
      <c r="AG109" s="90">
        <f>AG107/(1+DiscRate!$G$20)^AG$9</f>
        <v>31.183844716441364</v>
      </c>
      <c r="AH109" s="90">
        <f>AH107/(1+DiscRate!$G$20)^AH$9</f>
        <v>-1.3479841834984903</v>
      </c>
      <c r="AI109" s="90">
        <f>AI107/(1+DiscRate!$G$20)^AI$9</f>
        <v>3.9171610995798951</v>
      </c>
      <c r="AJ109" s="90">
        <f>AJ107/(1+DiscRate!$G$20)^AJ$9</f>
        <v>4.8661865778007423</v>
      </c>
      <c r="AK109" s="90">
        <f>AK107/(1+DiscRate!$G$20)^AK$9</f>
        <v>13.833342944661055</v>
      </c>
      <c r="AL109" s="90">
        <f>AL107/(1+DiscRate!$G$20)^AL$9</f>
        <v>0.61345025741909109</v>
      </c>
      <c r="AM109" s="90">
        <f>AM107/(1+DiscRate!$G$20)^AM$9</f>
        <v>1.7236948397442917</v>
      </c>
      <c r="AN109" s="90">
        <f>AN107/(1+DiscRate!$G$20)^AN$9</f>
        <v>2.1500873803476837</v>
      </c>
      <c r="AO109" s="90">
        <f>AO107/(1+DiscRate!$G$20)^AO$9</f>
        <v>6.1366243369313773</v>
      </c>
      <c r="AP109" s="90">
        <f>AP107/(1+DiscRate!$G$20)^AP$9</f>
        <v>0.2540506235654566</v>
      </c>
      <c r="AQ109" s="90">
        <f>AQ107/(1+DiscRate!$G$20)^AQ$9</f>
        <v>0.75991090268805639</v>
      </c>
      <c r="AR109" s="90">
        <f>AR107/(1+DiscRate!$G$20)^AR$9</f>
        <v>0.94943986108342582</v>
      </c>
      <c r="AS109" s="90">
        <f>AS107/(1+DiscRate!$G$20)^AS$9</f>
        <v>7.4645915854064651</v>
      </c>
      <c r="AT109" s="90">
        <f>AT107/(1+DiscRate!$G$20)^AT$9</f>
        <v>0.66406754714622529</v>
      </c>
      <c r="AU109" s="90">
        <f>AU107/(1+DiscRate!$G$20)^AU$9</f>
        <v>2.015775757831463</v>
      </c>
      <c r="AV109" s="90">
        <f>AV107/(1+DiscRate!$G$20)^AV$9</f>
        <v>2.5264934531367822</v>
      </c>
      <c r="AW109" s="90">
        <f>AW107/(1+DiscRate!$G$20)^AW$9</f>
        <v>7.2564825280468943</v>
      </c>
      <c r="AX109" s="90">
        <f>AX107/(1+DiscRate!$G$20)^AX$9</f>
        <v>0.30497251968886746</v>
      </c>
      <c r="AY109" s="90">
        <f>AY107/(1+DiscRate!$G$20)^AY$9</f>
        <v>0.90356022270344361</v>
      </c>
      <c r="AZ109" s="90">
        <f>AZ107/(1+DiscRate!$G$20)^AZ$9</f>
        <v>1.1289409817204765</v>
      </c>
      <c r="BA109" s="90">
        <f>BA107/(1+DiscRate!$G$20)^BA$9</f>
        <v>3.2290596276344474</v>
      </c>
      <c r="BB109" s="90">
        <f>BB107/(1+DiscRate!$G$20)^BB$9</f>
        <v>0.13101742819374962</v>
      </c>
      <c r="BC109" s="90">
        <f>BC107/(1+DiscRate!$G$20)^BC$9</f>
        <v>0.38379774332301592</v>
      </c>
      <c r="BD109" s="90">
        <f>BD107/(1+DiscRate!$G$20)^BD$9</f>
        <v>0.47982526863018859</v>
      </c>
      <c r="BE109" s="90">
        <f>BE107/(1+DiscRate!$G$20)^BE$9</f>
        <v>1.3619849509439836</v>
      </c>
      <c r="BF109" s="90">
        <f>BF107/(1+DiscRate!$G$20)^BF$9</f>
        <v>5.7506648327302783E-2</v>
      </c>
      <c r="BG109" s="90">
        <f>BG107/(1+DiscRate!$G$20)^BG$9</f>
        <v>0.1721141040454359</v>
      </c>
      <c r="BH109" s="90">
        <f>BH107/(1+DiscRate!$G$20)^BH$9</f>
        <v>0.21427037391726245</v>
      </c>
      <c r="BI109" s="90">
        <f>BI107/(1+DiscRate!$G$20)^BI$9</f>
        <v>0.60601192305452711</v>
      </c>
      <c r="BJ109" s="90">
        <f>BJ107/(1+DiscRate!$G$20)^BJ$9</f>
        <v>2.6259328884367498E-2</v>
      </c>
      <c r="BK109" s="90">
        <f>BK107/(1+DiscRate!$G$20)^BK$9</f>
        <v>7.7038392161293781E-2</v>
      </c>
      <c r="BL109" s="90">
        <f>BL107/(1+DiscRate!$G$20)^BL$9</f>
        <v>9.5659114073398735E-2</v>
      </c>
      <c r="BM109" s="90">
        <f>BM107/(1+DiscRate!$G$20)^BM$9</f>
        <v>0.26962455504861504</v>
      </c>
      <c r="BN109" s="90">
        <f>BN107/(1+DiscRate!$G$20)^BN$9</f>
        <v>1.1967101605024859E-2</v>
      </c>
      <c r="BO109" s="90">
        <f>BO107/(1+DiscRate!$G$20)^BO$9</f>
        <v>3.4468580888258021E-2</v>
      </c>
      <c r="BP109" s="90">
        <f>BP107/(1+DiscRate!$G$20)^BP$9</f>
        <v>4.2695519768237884E-2</v>
      </c>
      <c r="BQ109" s="90">
        <f>BQ107/(1+DiscRate!$G$20)^BQ$9</f>
        <v>0.11994395258951036</v>
      </c>
      <c r="BR109" s="90">
        <f>BR107/(1+DiscRate!$G$20)^BR$9</f>
        <v>5.652736707117966E-3</v>
      </c>
      <c r="BS109" s="90">
        <f>BS107/(1+DiscRate!$G$20)^BS$9</f>
        <v>1.5394176890354858E-2</v>
      </c>
      <c r="BT109" s="90">
        <f>BT107/(1+DiscRate!$G$20)^BT$9</f>
        <v>1.9051802378531695E-2</v>
      </c>
      <c r="BU109" s="90">
        <f>BU107/(1+DiscRate!$G$20)^BU$9</f>
        <v>5.3361777611405051E-2</v>
      </c>
      <c r="BV109" s="90">
        <f>BV107/(1+DiscRate!$G$20)^BV$9</f>
        <v>2.4724931516247467E-3</v>
      </c>
      <c r="BW109" s="90">
        <f>BW107/(1+DiscRate!$G$20)^BW$9</f>
        <v>6.8924533458122094E-3</v>
      </c>
      <c r="BX109" s="90">
        <f>BX107/(1+DiscRate!$G$20)^BX$9</f>
        <v>8.4994993422118342E-3</v>
      </c>
      <c r="BY109" s="90">
        <f>BY107/(1+DiscRate!$G$20)^BY$9</f>
        <v>2.3736992774251415E-2</v>
      </c>
      <c r="BZ109" s="90">
        <f>BZ107/(1+DiscRate!$G$20)^BZ$9</f>
        <v>1.1212690446079446E-3</v>
      </c>
      <c r="CA109" s="90">
        <f>CA107/(1+DiscRate!$G$20)^CA$9</f>
        <v>3.0805417003466266E-3</v>
      </c>
      <c r="CB109" s="90">
        <f>CB107/(1+DiscRate!$G$20)^CB$9</f>
        <v>3.7910496941439623E-3</v>
      </c>
      <c r="CC109" s="90">
        <f>CC107/(1+DiscRate!$G$20)^CC$9</f>
        <v>1.055835347047656E-2</v>
      </c>
      <c r="CD109" s="90">
        <f>CD107/(1+DiscRate!$G$20)^CD$9</f>
        <v>5.078030133076624E-4</v>
      </c>
      <c r="CE109" s="90">
        <f>CE107/(1+DiscRate!$G$20)^CE$9</f>
        <v>1.3763977558632146E-3</v>
      </c>
      <c r="CF109" s="90">
        <f>CF107/(1+DiscRate!$G$20)^CF$9</f>
        <v>1.6905945966488544E-3</v>
      </c>
      <c r="CG109" s="90">
        <f>CG107/(1+DiscRate!$G$20)^CG$9</f>
        <v>4.6958353305771522E-3</v>
      </c>
      <c r="CH109" s="90">
        <f>CH107/(1+DiscRate!$G$20)^CH$9</f>
        <v>2.3782495116984515E-4</v>
      </c>
      <c r="CI109" s="90">
        <f>CI107/(1+DiscRate!$G$20)^CI$9</f>
        <v>6.1394195925194698E-4</v>
      </c>
      <c r="CJ109" s="90">
        <f>CJ107/(1+DiscRate!$G$20)^CJ$9</f>
        <v>7.537686055586651E-4</v>
      </c>
      <c r="CK109" s="90">
        <f>CK107/(1+DiscRate!$G$20)^CK$9</f>
        <v>2.0886581299872395E-3</v>
      </c>
      <c r="CL109" s="90">
        <f>CL107/(1+DiscRate!$G$20)^CL$9</f>
        <v>1.0377422778735358E-4</v>
      </c>
      <c r="CM109" s="90">
        <f>CM107/(1+DiscRate!$G$20)^CM$9</f>
        <v>2.7453627876393861E-4</v>
      </c>
      <c r="CN109" s="90">
        <f>CN107/(1+DiscRate!$G$20)^CN$9</f>
        <v>3.3601572336915158E-4</v>
      </c>
      <c r="CO109" s="90">
        <f>CO107/(1+DiscRate!$G$20)^$CO$8</f>
        <v>0</v>
      </c>
    </row>
    <row r="110" spans="1:93" ht="12.75" customHeight="1">
      <c r="A110" s="90"/>
      <c r="B110" s="102" t="s">
        <v>205</v>
      </c>
      <c r="C110" s="102">
        <f>CO110</f>
        <v>-12288.345960562254</v>
      </c>
      <c r="D110" s="92">
        <f>D109</f>
        <v>0</v>
      </c>
      <c r="E110" s="90">
        <f t="shared" ref="E110:BP110" si="216">E109+D110</f>
        <v>-241.96076162100687</v>
      </c>
      <c r="F110" s="90">
        <f t="shared" si="216"/>
        <v>-437.11079550173258</v>
      </c>
      <c r="G110" s="90">
        <f t="shared" si="216"/>
        <v>-594.50629826221825</v>
      </c>
      <c r="H110" s="90">
        <f t="shared" si="216"/>
        <v>-721.45141734104618</v>
      </c>
      <c r="I110" s="90">
        <f t="shared" si="216"/>
        <v>-823.83720966232158</v>
      </c>
      <c r="J110" s="90">
        <f t="shared" si="216"/>
        <v>-2242.3100451232785</v>
      </c>
      <c r="K110" s="90">
        <f t="shared" si="216"/>
        <v>-3386.3592704794196</v>
      </c>
      <c r="L110" s="90">
        <f t="shared" si="216"/>
        <v>-4164.2426997868706</v>
      </c>
      <c r="M110" s="90">
        <f t="shared" si="216"/>
        <v>-5264.7272939175209</v>
      </c>
      <c r="N110" s="90">
        <f t="shared" si="216"/>
        <v>-6449.0819626865432</v>
      </c>
      <c r="O110" s="90">
        <f t="shared" si="216"/>
        <v>-7390.4151077351944</v>
      </c>
      <c r="P110" s="90">
        <f t="shared" si="216"/>
        <v>-8193.3005261310791</v>
      </c>
      <c r="Q110" s="90">
        <f t="shared" si="216"/>
        <v>-9191.1885474140399</v>
      </c>
      <c r="R110" s="90">
        <f t="shared" si="216"/>
        <v>-10013.400434344298</v>
      </c>
      <c r="S110" s="90">
        <f t="shared" si="216"/>
        <v>-11257.063209251774</v>
      </c>
      <c r="T110" s="90">
        <f t="shared" si="216"/>
        <v>-12386.230677154315</v>
      </c>
      <c r="U110" s="90">
        <f t="shared" si="216"/>
        <v>-12632.007413326557</v>
      </c>
      <c r="V110" s="90">
        <f t="shared" si="216"/>
        <v>-12758.117794156682</v>
      </c>
      <c r="W110" s="90">
        <f t="shared" si="216"/>
        <v>-12696.331837651491</v>
      </c>
      <c r="X110" s="90">
        <f t="shared" si="216"/>
        <v>-12635.352129644789</v>
      </c>
      <c r="Y110" s="90">
        <f t="shared" si="216"/>
        <v>-12470.001528160161</v>
      </c>
      <c r="Z110" s="90">
        <f t="shared" si="216"/>
        <v>-12508.614393317022</v>
      </c>
      <c r="AA110" s="90">
        <f t="shared" si="216"/>
        <v>-12488.295118666925</v>
      </c>
      <c r="AB110" s="90">
        <f t="shared" si="216"/>
        <v>-12463.275425418518</v>
      </c>
      <c r="AC110" s="90">
        <f t="shared" si="216"/>
        <v>-12392.753449313786</v>
      </c>
      <c r="AD110" s="90">
        <f t="shared" si="216"/>
        <v>-12403.021822299303</v>
      </c>
      <c r="AE110" s="90">
        <f t="shared" si="216"/>
        <v>-12394.13866548596</v>
      </c>
      <c r="AF110" s="90">
        <f t="shared" si="216"/>
        <v>-12383.130191424469</v>
      </c>
      <c r="AG110" s="90">
        <f t="shared" si="216"/>
        <v>-12351.946346708028</v>
      </c>
      <c r="AH110" s="90">
        <f t="shared" si="216"/>
        <v>-12353.294330891526</v>
      </c>
      <c r="AI110" s="90">
        <f t="shared" si="216"/>
        <v>-12349.377169791946</v>
      </c>
      <c r="AJ110" s="90">
        <f t="shared" si="216"/>
        <v>-12344.510983214144</v>
      </c>
      <c r="AK110" s="90">
        <f t="shared" si="216"/>
        <v>-12330.677640269483</v>
      </c>
      <c r="AL110" s="90">
        <f t="shared" si="216"/>
        <v>-12330.064190012065</v>
      </c>
      <c r="AM110" s="90">
        <f t="shared" si="216"/>
        <v>-12328.340495172321</v>
      </c>
      <c r="AN110" s="90">
        <f t="shared" si="216"/>
        <v>-12326.190407791973</v>
      </c>
      <c r="AO110" s="90">
        <f t="shared" si="216"/>
        <v>-12320.053783455041</v>
      </c>
      <c r="AP110" s="90">
        <f t="shared" si="216"/>
        <v>-12319.799732831476</v>
      </c>
      <c r="AQ110" s="90">
        <f t="shared" si="216"/>
        <v>-12319.039821928787</v>
      </c>
      <c r="AR110" s="90">
        <f t="shared" si="216"/>
        <v>-12318.090382067703</v>
      </c>
      <c r="AS110" s="90">
        <f t="shared" si="216"/>
        <v>-12310.625790482296</v>
      </c>
      <c r="AT110" s="90">
        <f t="shared" si="216"/>
        <v>-12309.96172293515</v>
      </c>
      <c r="AU110" s="90">
        <f t="shared" si="216"/>
        <v>-12307.945947177319</v>
      </c>
      <c r="AV110" s="90">
        <f t="shared" si="216"/>
        <v>-12305.419453724182</v>
      </c>
      <c r="AW110" s="90">
        <f t="shared" si="216"/>
        <v>-12298.162971196136</v>
      </c>
      <c r="AX110" s="90">
        <f t="shared" si="216"/>
        <v>-12297.857998676447</v>
      </c>
      <c r="AY110" s="90">
        <f t="shared" si="216"/>
        <v>-12296.954438453744</v>
      </c>
      <c r="AZ110" s="90">
        <f t="shared" si="216"/>
        <v>-12295.825497472024</v>
      </c>
      <c r="BA110" s="90">
        <f t="shared" si="216"/>
        <v>-12292.59643784439</v>
      </c>
      <c r="BB110" s="90">
        <f t="shared" si="216"/>
        <v>-12292.465420416196</v>
      </c>
      <c r="BC110" s="90">
        <f t="shared" si="216"/>
        <v>-12292.081622672873</v>
      </c>
      <c r="BD110" s="90">
        <f t="shared" si="216"/>
        <v>-12291.601797404242</v>
      </c>
      <c r="BE110" s="90">
        <f t="shared" si="216"/>
        <v>-12290.239812453299</v>
      </c>
      <c r="BF110" s="90">
        <f t="shared" si="216"/>
        <v>-12290.182305804972</v>
      </c>
      <c r="BG110" s="90">
        <f t="shared" si="216"/>
        <v>-12290.010191700927</v>
      </c>
      <c r="BH110" s="90">
        <f t="shared" si="216"/>
        <v>-12289.79592132701</v>
      </c>
      <c r="BI110" s="90">
        <f t="shared" si="216"/>
        <v>-12289.189909403955</v>
      </c>
      <c r="BJ110" s="90">
        <f t="shared" si="216"/>
        <v>-12289.16365007507</v>
      </c>
      <c r="BK110" s="90">
        <f t="shared" si="216"/>
        <v>-12289.086611682909</v>
      </c>
      <c r="BL110" s="90">
        <f t="shared" si="216"/>
        <v>-12288.990952568836</v>
      </c>
      <c r="BM110" s="90">
        <f t="shared" si="216"/>
        <v>-12288.721328013788</v>
      </c>
      <c r="BN110" s="90">
        <f t="shared" si="216"/>
        <v>-12288.709360912182</v>
      </c>
      <c r="BO110" s="90">
        <f t="shared" si="216"/>
        <v>-12288.674892331293</v>
      </c>
      <c r="BP110" s="90">
        <f t="shared" si="216"/>
        <v>-12288.632196811524</v>
      </c>
      <c r="BQ110" s="90">
        <f t="shared" ref="BQ110:CO110" si="217">BQ109+BP110</f>
        <v>-12288.512252858935</v>
      </c>
      <c r="BR110" s="90">
        <f t="shared" si="217"/>
        <v>-12288.506600122228</v>
      </c>
      <c r="BS110" s="90">
        <f t="shared" si="217"/>
        <v>-12288.491205945338</v>
      </c>
      <c r="BT110" s="90">
        <f t="shared" si="217"/>
        <v>-12288.472154142959</v>
      </c>
      <c r="BU110" s="90">
        <f t="shared" si="217"/>
        <v>-12288.418792365348</v>
      </c>
      <c r="BV110" s="90">
        <f t="shared" si="217"/>
        <v>-12288.416319872196</v>
      </c>
      <c r="BW110" s="90">
        <f t="shared" si="217"/>
        <v>-12288.40942741885</v>
      </c>
      <c r="BX110" s="90">
        <f t="shared" si="217"/>
        <v>-12288.400927919507</v>
      </c>
      <c r="BY110" s="90">
        <f t="shared" si="217"/>
        <v>-12288.377190926733</v>
      </c>
      <c r="BZ110" s="90">
        <f t="shared" si="217"/>
        <v>-12288.376069657688</v>
      </c>
      <c r="CA110" s="90">
        <f t="shared" si="217"/>
        <v>-12288.372989115987</v>
      </c>
      <c r="CB110" s="90">
        <f t="shared" si="217"/>
        <v>-12288.369198066293</v>
      </c>
      <c r="CC110" s="90">
        <f t="shared" si="217"/>
        <v>-12288.358639712824</v>
      </c>
      <c r="CD110" s="90">
        <f t="shared" si="217"/>
        <v>-12288.35813190981</v>
      </c>
      <c r="CE110" s="90">
        <f t="shared" si="217"/>
        <v>-12288.356755512053</v>
      </c>
      <c r="CF110" s="90">
        <f t="shared" si="217"/>
        <v>-12288.355064917458</v>
      </c>
      <c r="CG110" s="90">
        <f t="shared" si="217"/>
        <v>-12288.350369082127</v>
      </c>
      <c r="CH110" s="90">
        <f t="shared" si="217"/>
        <v>-12288.350131257175</v>
      </c>
      <c r="CI110" s="90">
        <f t="shared" si="217"/>
        <v>-12288.349517315217</v>
      </c>
      <c r="CJ110" s="90">
        <f t="shared" si="217"/>
        <v>-12288.348763546612</v>
      </c>
      <c r="CK110" s="90">
        <f t="shared" si="217"/>
        <v>-12288.346674888482</v>
      </c>
      <c r="CL110" s="90">
        <f t="shared" si="217"/>
        <v>-12288.346571114254</v>
      </c>
      <c r="CM110" s="90">
        <f t="shared" si="217"/>
        <v>-12288.346296577976</v>
      </c>
      <c r="CN110" s="90">
        <f t="shared" si="217"/>
        <v>-12288.345960562254</v>
      </c>
      <c r="CO110" s="90">
        <f t="shared" si="217"/>
        <v>-12288.345960562254</v>
      </c>
    </row>
    <row r="111" spans="1:93" ht="12.75" customHeight="1">
      <c r="A111" s="90"/>
      <c r="B111" s="102" t="s">
        <v>206</v>
      </c>
      <c r="C111" s="102">
        <f t="array" ref="C111">D107+NPV(DiscRate!G20,Model2!E107:CN107)+CO109</f>
        <v>-12288.34596056225</v>
      </c>
      <c r="D111" s="92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37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</row>
    <row r="112" spans="1:93" ht="12.75" customHeight="1">
      <c r="A112" s="90"/>
      <c r="B112" s="102" t="s">
        <v>207</v>
      </c>
      <c r="C112" s="103">
        <f>D112/4</f>
        <v>4.0695527243629348E-2</v>
      </c>
      <c r="D112" s="98">
        <f>'Model (years)'!C108</f>
        <v>0.16278210897451739</v>
      </c>
      <c r="E112" s="99" t="s">
        <v>198</v>
      </c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37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</row>
    <row r="113" spans="1:93" ht="12.75" customHeight="1">
      <c r="A113" s="90"/>
      <c r="B113" s="102" t="s">
        <v>208</v>
      </c>
      <c r="C113" s="102">
        <f>(COUNTIF(D108:CO108,"&lt;0")+1)/4</f>
        <v>10.25</v>
      </c>
      <c r="D113" s="92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37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</row>
    <row r="114" spans="1:93" ht="12.75" customHeight="1">
      <c r="A114" s="90"/>
      <c r="B114" s="102" t="s">
        <v>209</v>
      </c>
      <c r="C114" s="102" t="str">
        <f>IF(C110&lt;0,"выходит за рамки модели",(COUNTIF(D110:CO110,"&lt;0")+1)/4)</f>
        <v>выходит за рамки модели</v>
      </c>
      <c r="D114" s="92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37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</row>
    <row r="115" spans="1:93" ht="12.75" customHeight="1">
      <c r="A115" s="90"/>
      <c r="B115" s="96" t="s">
        <v>210</v>
      </c>
      <c r="C115" s="441">
        <f>AVERAGE(D115:CN115)</f>
        <v>66.14583778449429</v>
      </c>
      <c r="D115" s="104" t="str">
        <f t="shared" ref="D115:CN115" si="218">IF(D179=0,"-",D170/D179)</f>
        <v>-</v>
      </c>
      <c r="E115" s="105">
        <f t="shared" si="218"/>
        <v>-199.58790267703569</v>
      </c>
      <c r="F115" s="105">
        <f t="shared" si="218"/>
        <v>-99.587902677035714</v>
      </c>
      <c r="G115" s="105">
        <f t="shared" si="218"/>
        <v>-66.254569343702371</v>
      </c>
      <c r="H115" s="105">
        <f t="shared" si="218"/>
        <v>-49.587902677035714</v>
      </c>
      <c r="I115" s="105">
        <f t="shared" si="218"/>
        <v>-39.587902677035721</v>
      </c>
      <c r="J115" s="105">
        <f t="shared" si="218"/>
        <v>-28.291606380739424</v>
      </c>
      <c r="K115" s="105">
        <f t="shared" si="218"/>
        <v>-20.222823311956354</v>
      </c>
      <c r="L115" s="105">
        <f t="shared" si="218"/>
        <v>-14.171236010369055</v>
      </c>
      <c r="M115" s="105">
        <f t="shared" si="218"/>
        <v>-7.3811125535789328</v>
      </c>
      <c r="N115" s="105">
        <f t="shared" si="218"/>
        <v>-3.4073471214801687</v>
      </c>
      <c r="O115" s="105">
        <f t="shared" si="218"/>
        <v>-4.1629126991389054</v>
      </c>
      <c r="P115" s="105">
        <f t="shared" si="218"/>
        <v>-4.7995629343459081</v>
      </c>
      <c r="Q115" s="105">
        <f t="shared" si="218"/>
        <v>-5.8373948893055942</v>
      </c>
      <c r="R115" s="105">
        <f t="shared" si="218"/>
        <v>-6.7723661082569233</v>
      </c>
      <c r="S115" s="105">
        <f t="shared" si="218"/>
        <v>-9.2195153407247599</v>
      </c>
      <c r="T115" s="105">
        <f t="shared" si="218"/>
        <v>-12.469887751584997</v>
      </c>
      <c r="U115" s="105">
        <f t="shared" si="218"/>
        <v>-14.000046672345281</v>
      </c>
      <c r="V115" s="105">
        <f t="shared" si="218"/>
        <v>-22.37506587756782</v>
      </c>
      <c r="W115" s="105">
        <f t="shared" si="218"/>
        <v>22.779711226568867</v>
      </c>
      <c r="X115" s="105">
        <f t="shared" si="218"/>
        <v>9.1984948260278525</v>
      </c>
      <c r="Y115" s="105">
        <f t="shared" si="218"/>
        <v>7.0361115096716143</v>
      </c>
      <c r="Z115" s="105">
        <f t="shared" si="218"/>
        <v>53.591137993032923</v>
      </c>
      <c r="AA115" s="105">
        <f t="shared" si="218"/>
        <v>31.60242007266741</v>
      </c>
      <c r="AB115" s="105">
        <f t="shared" si="218"/>
        <v>12.039739996017067</v>
      </c>
      <c r="AC115" s="105">
        <f t="shared" si="218"/>
        <v>3.1930210302604158</v>
      </c>
      <c r="AD115" s="105">
        <f t="shared" si="218"/>
        <v>-24.858326190632216</v>
      </c>
      <c r="AE115" s="105">
        <f t="shared" si="218"/>
        <v>5040.1176270723636</v>
      </c>
      <c r="AF115" s="105">
        <f t="shared" si="218"/>
        <v>9.6047007928288828</v>
      </c>
      <c r="AG115" s="105">
        <f t="shared" si="218"/>
        <v>5.7969763105001215</v>
      </c>
      <c r="AH115" s="105">
        <f t="shared" si="218"/>
        <v>-11.709499458710727</v>
      </c>
      <c r="AI115" s="105">
        <f t="shared" si="218"/>
        <v>-18.648635992753626</v>
      </c>
      <c r="AJ115" s="105">
        <f t="shared" si="218"/>
        <v>35.515256780933498</v>
      </c>
      <c r="AK115" s="105">
        <f t="shared" si="218"/>
        <v>9.7047962781200354</v>
      </c>
      <c r="AL115" s="105">
        <f t="shared" si="218"/>
        <v>-10.642577023748107</v>
      </c>
      <c r="AM115" s="105">
        <f t="shared" si="218"/>
        <v>-14.195662030718601</v>
      </c>
      <c r="AN115" s="105">
        <f t="shared" si="218"/>
        <v>-122.35622741153678</v>
      </c>
      <c r="AO115" s="105">
        <f t="shared" si="218"/>
        <v>16.832516324813813</v>
      </c>
      <c r="AP115" s="105">
        <f t="shared" si="218"/>
        <v>-10.125106431732457</v>
      </c>
      <c r="AQ115" s="105">
        <f t="shared" si="218"/>
        <v>-12.531698423647571</v>
      </c>
      <c r="AR115" s="105">
        <f t="shared" si="218"/>
        <v>-34.570703402565769</v>
      </c>
      <c r="AS115" s="105">
        <f t="shared" si="218"/>
        <v>38.925562795467172</v>
      </c>
      <c r="AT115" s="105">
        <f t="shared" si="218"/>
        <v>-11.911997800944151</v>
      </c>
      <c r="AU115" s="105">
        <f t="shared" si="218"/>
        <v>-13.880812087899908</v>
      </c>
      <c r="AV115" s="105">
        <f t="shared" si="218"/>
        <v>-27.783850512203426</v>
      </c>
      <c r="AW115" s="105">
        <f t="shared" si="218"/>
        <v>77.496868613049031</v>
      </c>
      <c r="AX115" s="105">
        <f t="shared" si="218"/>
        <v>-9.7482310105887819</v>
      </c>
      <c r="AY115" s="105">
        <f t="shared" si="218"/>
        <v>-11.157271905512248</v>
      </c>
      <c r="AZ115" s="105">
        <f t="shared" si="218"/>
        <v>-19.534503555459331</v>
      </c>
      <c r="BA115" s="105">
        <f t="shared" si="218"/>
        <v>1890.0314457186794</v>
      </c>
      <c r="BB115" s="105">
        <f t="shared" si="218"/>
        <v>-8.3678433900762688</v>
      </c>
      <c r="BC115" s="105">
        <f t="shared" si="218"/>
        <v>-9.4788317245130163</v>
      </c>
      <c r="BD115" s="105">
        <f t="shared" si="218"/>
        <v>-15.460756903217959</v>
      </c>
      <c r="BE115" s="105">
        <f t="shared" si="218"/>
        <v>-99.978310145695261</v>
      </c>
      <c r="BF115" s="105">
        <f t="shared" si="218"/>
        <v>-7.2631268849343638</v>
      </c>
      <c r="BG115" s="105">
        <f t="shared" si="218"/>
        <v>-8.1613640611519749</v>
      </c>
      <c r="BH115" s="105">
        <f t="shared" si="218"/>
        <v>-12.640805456146314</v>
      </c>
      <c r="BI115" s="105">
        <f t="shared" si="218"/>
        <v>-46.933703213500586</v>
      </c>
      <c r="BJ115" s="105">
        <f t="shared" si="218"/>
        <v>-6.4247012292937615</v>
      </c>
      <c r="BK115" s="105">
        <f t="shared" si="218"/>
        <v>-7.1789944408016657</v>
      </c>
      <c r="BL115" s="105">
        <f t="shared" si="218"/>
        <v>-10.734549151435232</v>
      </c>
      <c r="BM115" s="105">
        <f t="shared" si="218"/>
        <v>-31.139482431808478</v>
      </c>
      <c r="BN115" s="105">
        <f t="shared" si="218"/>
        <v>-5.7664923679536439</v>
      </c>
      <c r="BO115" s="105">
        <f t="shared" si="218"/>
        <v>-6.4183387371575602</v>
      </c>
      <c r="BP115" s="105">
        <f t="shared" si="218"/>
        <v>-9.3611175742810637</v>
      </c>
      <c r="BQ115" s="105">
        <f t="shared" si="218"/>
        <v>-23.519598757034366</v>
      </c>
      <c r="BR115" s="105">
        <f t="shared" si="218"/>
        <v>-5.28752083039564</v>
      </c>
      <c r="BS115" s="105">
        <f t="shared" si="218"/>
        <v>-5.8732911508148931</v>
      </c>
      <c r="BT115" s="105">
        <f t="shared" si="218"/>
        <v>-8.4402440961810292</v>
      </c>
      <c r="BU115" s="105">
        <f t="shared" si="218"/>
        <v>-19.688387193394416</v>
      </c>
      <c r="BV115" s="105">
        <f t="shared" si="218"/>
        <v>-4.8426693606902314</v>
      </c>
      <c r="BW115" s="105">
        <f t="shared" si="218"/>
        <v>-5.3689223440724509</v>
      </c>
      <c r="BX115" s="105">
        <f t="shared" si="218"/>
        <v>-7.6113749506236354</v>
      </c>
      <c r="BY115" s="105">
        <f t="shared" si="218"/>
        <v>-16.640777564407877</v>
      </c>
      <c r="BZ115" s="105">
        <f t="shared" si="218"/>
        <v>-4.4703946092025051</v>
      </c>
      <c r="CA115" s="105">
        <f t="shared" si="218"/>
        <v>-4.9502920093593161</v>
      </c>
      <c r="CB115" s="105">
        <f t="shared" si="218"/>
        <v>-6.949108021811365</v>
      </c>
      <c r="CC115" s="105">
        <f t="shared" si="218"/>
        <v>-14.516562338496655</v>
      </c>
      <c r="CD115" s="105">
        <f t="shared" si="218"/>
        <v>-4.15418506222374</v>
      </c>
      <c r="CE115" s="105">
        <f t="shared" si="218"/>
        <v>-4.5972746543766556</v>
      </c>
      <c r="CF115" s="105">
        <f t="shared" si="218"/>
        <v>-6.4085321016410299</v>
      </c>
      <c r="CG115" s="105">
        <f t="shared" si="218"/>
        <v>-12.939152790745204</v>
      </c>
      <c r="CH115" s="105">
        <f t="shared" si="218"/>
        <v>-3.9175817261667776</v>
      </c>
      <c r="CI115" s="105">
        <f t="shared" si="218"/>
        <v>-4.3370588220974344</v>
      </c>
      <c r="CJ115" s="105">
        <f t="shared" si="218"/>
        <v>-6.0310472406134092</v>
      </c>
      <c r="CK115" s="105">
        <f t="shared" si="218"/>
        <v>-12.015415922147954</v>
      </c>
      <c r="CL115" s="105">
        <f t="shared" si="218"/>
        <v>-3.6770635841938115</v>
      </c>
      <c r="CM115" s="105">
        <f t="shared" si="218"/>
        <v>-4.0715649140553829</v>
      </c>
      <c r="CN115" s="105">
        <f t="shared" si="218"/>
        <v>-5.6440636068980936</v>
      </c>
      <c r="CO115" s="90"/>
    </row>
    <row r="116" spans="1:93" ht="12.75" customHeight="1">
      <c r="A116" s="90"/>
      <c r="B116" s="96" t="s">
        <v>211</v>
      </c>
      <c r="C116" s="441">
        <f t="shared" ref="C116:C119" si="219">AVERAGE(D116:CN116)</f>
        <v>0.75576211418247585</v>
      </c>
      <c r="D116" s="104">
        <f t="shared" ref="D116:CN116" si="220">(D179+D182)/D184</f>
        <v>0</v>
      </c>
      <c r="E116" s="105">
        <f t="shared" si="220"/>
        <v>-5.1127906496919139E-3</v>
      </c>
      <c r="F116" s="105">
        <f t="shared" si="220"/>
        <v>-1.0461574864538194E-2</v>
      </c>
      <c r="G116" s="105">
        <f t="shared" si="220"/>
        <v>-1.606307794820782E-2</v>
      </c>
      <c r="H116" s="105">
        <f t="shared" si="220"/>
        <v>-2.1935643915984234E-2</v>
      </c>
      <c r="I116" s="105">
        <f t="shared" si="220"/>
        <v>-2.809943617849903E-2</v>
      </c>
      <c r="J116" s="105">
        <f t="shared" si="220"/>
        <v>-3.4576668840898522E-2</v>
      </c>
      <c r="K116" s="105">
        <f t="shared" si="220"/>
        <v>-4.1391874208586206E-2</v>
      </c>
      <c r="L116" s="105">
        <f t="shared" si="220"/>
        <v>-4.8572213288895411E-2</v>
      </c>
      <c r="M116" s="105">
        <f t="shared" si="220"/>
        <v>-5.614783757309106E-2</v>
      </c>
      <c r="N116" s="105">
        <f t="shared" si="220"/>
        <v>0.12295859849640478</v>
      </c>
      <c r="O116" s="105">
        <f t="shared" si="220"/>
        <v>0.60525142160539147</v>
      </c>
      <c r="P116" s="105">
        <f t="shared" si="220"/>
        <v>1.1212190913944098</v>
      </c>
      <c r="Q116" s="105">
        <f t="shared" si="220"/>
        <v>1.9069936799265532</v>
      </c>
      <c r="R116" s="105">
        <f t="shared" si="220"/>
        <v>2.7069986580825933</v>
      </c>
      <c r="S116" s="105">
        <f t="shared" si="220"/>
        <v>4.328235370716075</v>
      </c>
      <c r="T116" s="105">
        <f t="shared" si="220"/>
        <v>6.2043256470779324</v>
      </c>
      <c r="U116" s="105">
        <f t="shared" si="220"/>
        <v>6.808019397808633</v>
      </c>
      <c r="V116" s="105">
        <f t="shared" si="220"/>
        <v>7.3056304269798717</v>
      </c>
      <c r="W116" s="105">
        <f t="shared" si="220"/>
        <v>6.4434013132206029</v>
      </c>
      <c r="X116" s="105">
        <f t="shared" si="220"/>
        <v>5.2436702303388083</v>
      </c>
      <c r="Y116" s="105">
        <f t="shared" si="220"/>
        <v>2.7881453238493683</v>
      </c>
      <c r="Z116" s="105">
        <f t="shared" si="220"/>
        <v>2.7648364337598657</v>
      </c>
      <c r="AA116" s="105">
        <f t="shared" si="220"/>
        <v>2.7889859932108565</v>
      </c>
      <c r="AB116" s="105">
        <f t="shared" si="220"/>
        <v>2.7877112667429027</v>
      </c>
      <c r="AC116" s="105">
        <f t="shared" si="220"/>
        <v>2.2578184696017387</v>
      </c>
      <c r="AD116" s="105">
        <f t="shared" si="220"/>
        <v>2.1976610192075841</v>
      </c>
      <c r="AE116" s="105">
        <f t="shared" si="220"/>
        <v>2.1029681385146088</v>
      </c>
      <c r="AF116" s="105">
        <f t="shared" si="220"/>
        <v>1.9099956815454593</v>
      </c>
      <c r="AG116" s="105">
        <f t="shared" si="220"/>
        <v>1.1416320083759532</v>
      </c>
      <c r="AH116" s="105">
        <f t="shared" si="220"/>
        <v>1.100621429960591</v>
      </c>
      <c r="AI116" s="105">
        <f t="shared" si="220"/>
        <v>1.0424603727298072</v>
      </c>
      <c r="AJ116" s="105">
        <f t="shared" si="220"/>
        <v>0.94416082019574288</v>
      </c>
      <c r="AK116" s="105">
        <f t="shared" si="220"/>
        <v>0.55953013643220673</v>
      </c>
      <c r="AL116" s="105">
        <f t="shared" si="220"/>
        <v>0.5155474870010468</v>
      </c>
      <c r="AM116" s="105">
        <f t="shared" si="220"/>
        <v>0.47674806935794639</v>
      </c>
      <c r="AN116" s="105">
        <f t="shared" si="220"/>
        <v>0.41837161191922473</v>
      </c>
      <c r="AO116" s="105">
        <f t="shared" si="220"/>
        <v>0.19975335044997983</v>
      </c>
      <c r="AP116" s="105">
        <f t="shared" si="220"/>
        <v>0.1620541679241545</v>
      </c>
      <c r="AQ116" s="105">
        <f t="shared" si="220"/>
        <v>0.13399784921819119</v>
      </c>
      <c r="AR116" s="105">
        <f t="shared" si="220"/>
        <v>9.5561304848244058E-2</v>
      </c>
      <c r="AS116" s="105">
        <f t="shared" si="220"/>
        <v>6.4716805375643789E-3</v>
      </c>
      <c r="AT116" s="105">
        <f t="shared" si="220"/>
        <v>-1.9207487786268473E-2</v>
      </c>
      <c r="AU116" s="105">
        <f t="shared" si="220"/>
        <v>-1.6840077820331496E-2</v>
      </c>
      <c r="AV116" s="105">
        <f t="shared" si="220"/>
        <v>-8.7967172236381071E-3</v>
      </c>
      <c r="AW116" s="105">
        <f t="shared" si="220"/>
        <v>3.3443906389519591E-3</v>
      </c>
      <c r="AX116" s="105">
        <f t="shared" si="220"/>
        <v>-2.4049574571206975E-2</v>
      </c>
      <c r="AY116" s="105">
        <f t="shared" si="220"/>
        <v>-2.148250141025625E-2</v>
      </c>
      <c r="AZ116" s="105">
        <f t="shared" si="220"/>
        <v>-1.2850098881578471E-2</v>
      </c>
      <c r="BA116" s="105">
        <f t="shared" si="220"/>
        <v>1.4112844287338547E-4</v>
      </c>
      <c r="BB116" s="105">
        <f t="shared" si="220"/>
        <v>-2.8752180562071104E-2</v>
      </c>
      <c r="BC116" s="105">
        <f t="shared" si="220"/>
        <v>-2.5968572292207785E-2</v>
      </c>
      <c r="BD116" s="105">
        <f t="shared" si="220"/>
        <v>-1.6701511422806285E-2</v>
      </c>
      <c r="BE116" s="105">
        <f t="shared" si="220"/>
        <v>-2.7505304881725546E-3</v>
      </c>
      <c r="BF116" s="105">
        <f t="shared" si="220"/>
        <v>-3.3957344254537981E-2</v>
      </c>
      <c r="BG116" s="105">
        <f t="shared" si="220"/>
        <v>-3.0941859282121398E-2</v>
      </c>
      <c r="BH116" s="105">
        <f t="shared" si="220"/>
        <v>-2.0993749640132269E-2</v>
      </c>
      <c r="BI116" s="105">
        <f t="shared" si="220"/>
        <v>-6.0354246857727825E-3</v>
      </c>
      <c r="BJ116" s="105">
        <f t="shared" si="220"/>
        <v>-3.9362635426014494E-2</v>
      </c>
      <c r="BK116" s="105">
        <f t="shared" si="220"/>
        <v>-3.6097186086336899E-2</v>
      </c>
      <c r="BL116" s="105">
        <f t="shared" si="220"/>
        <v>-2.5416337907768566E-2</v>
      </c>
      <c r="BM116" s="105">
        <f t="shared" si="220"/>
        <v>-9.3743868580443632E-3</v>
      </c>
      <c r="BN116" s="105">
        <f t="shared" si="220"/>
        <v>-4.4979745599831818E-2</v>
      </c>
      <c r="BO116" s="105">
        <f t="shared" si="220"/>
        <v>-4.1444745323259723E-2</v>
      </c>
      <c r="BP116" s="105">
        <f t="shared" si="220"/>
        <v>-2.9975194543101522E-2</v>
      </c>
      <c r="BQ116" s="105">
        <f t="shared" si="220"/>
        <v>-1.2795135524999947E-2</v>
      </c>
      <c r="BR116" s="105">
        <f t="shared" si="220"/>
        <v>-5.0404096713979649E-2</v>
      </c>
      <c r="BS116" s="105">
        <f t="shared" si="220"/>
        <v>-4.6576319666778346E-2</v>
      </c>
      <c r="BT116" s="105">
        <f t="shared" si="220"/>
        <v>-3.4255409248005873E-2</v>
      </c>
      <c r="BU116" s="105">
        <f t="shared" si="220"/>
        <v>-1.5789423958430436E-2</v>
      </c>
      <c r="BV116" s="105">
        <f t="shared" si="220"/>
        <v>-5.6475545638338995E-2</v>
      </c>
      <c r="BW116" s="105">
        <f t="shared" si="220"/>
        <v>-5.2333903115253433E-2</v>
      </c>
      <c r="BX116" s="105">
        <f t="shared" si="220"/>
        <v>-3.9097829408824447E-2</v>
      </c>
      <c r="BY116" s="105">
        <f t="shared" si="220"/>
        <v>-1.9278908657763147E-2</v>
      </c>
      <c r="BZ116" s="105">
        <f t="shared" si="220"/>
        <v>-6.279943188865468E-2</v>
      </c>
      <c r="CA116" s="105">
        <f t="shared" si="220"/>
        <v>-5.8318949459975018E-2</v>
      </c>
      <c r="CB116" s="105">
        <f t="shared" si="220"/>
        <v>-4.4096365473981609E-2</v>
      </c>
      <c r="CC116" s="105">
        <f t="shared" si="220"/>
        <v>-2.2819112529175584E-2</v>
      </c>
      <c r="CD116" s="105">
        <f t="shared" si="220"/>
        <v>-6.9391677194277038E-2</v>
      </c>
      <c r="CE116" s="105">
        <f t="shared" si="220"/>
        <v>-6.4545236055247548E-2</v>
      </c>
      <c r="CF116" s="105">
        <f t="shared" si="220"/>
        <v>-4.9258657599309315E-2</v>
      </c>
      <c r="CG116" s="105">
        <f t="shared" si="220"/>
        <v>-2.6445575322389291E-2</v>
      </c>
      <c r="CH116" s="105">
        <f t="shared" si="220"/>
        <v>-7.5720491381702129E-2</v>
      </c>
      <c r="CI116" s="105">
        <f t="shared" si="220"/>
        <v>-7.0475766484306576E-2</v>
      </c>
      <c r="CJ116" s="105">
        <f t="shared" si="220"/>
        <v>-5.4038087120128114E-2</v>
      </c>
      <c r="CK116" s="105">
        <f t="shared" si="220"/>
        <v>-2.9487757031387982E-2</v>
      </c>
      <c r="CL116" s="105">
        <f t="shared" si="220"/>
        <v>-8.289115081865335E-2</v>
      </c>
      <c r="CM116" s="105">
        <f t="shared" si="220"/>
        <v>-7.7218822932581074E-2</v>
      </c>
      <c r="CN116" s="105">
        <f t="shared" si="220"/>
        <v>-5.9541175113823473E-2</v>
      </c>
      <c r="CO116" s="90"/>
    </row>
    <row r="117" spans="1:93" ht="12.75" customHeight="1">
      <c r="A117" s="90"/>
      <c r="B117" s="96" t="s">
        <v>212</v>
      </c>
      <c r="C117" s="441">
        <f t="shared" si="219"/>
        <v>0.169106432073965</v>
      </c>
      <c r="D117" s="104">
        <f t="shared" ref="D117:CN117" si="221">(D179+D182)/D187</f>
        <v>0</v>
      </c>
      <c r="E117" s="105">
        <f t="shared" si="221"/>
        <v>-5.1390656163232042E-3</v>
      </c>
      <c r="F117" s="105">
        <f t="shared" si="221"/>
        <v>-1.0572176480267623E-2</v>
      </c>
      <c r="G117" s="105">
        <f t="shared" si="221"/>
        <v>-1.6325312718941037E-2</v>
      </c>
      <c r="H117" s="105">
        <f t="shared" si="221"/>
        <v>-2.2427607937590521E-2</v>
      </c>
      <c r="I117" s="105">
        <f t="shared" si="221"/>
        <v>-2.8911842656014514E-2</v>
      </c>
      <c r="J117" s="105">
        <f t="shared" si="221"/>
        <v>-3.5815033389948493E-2</v>
      </c>
      <c r="K117" s="105">
        <f t="shared" si="221"/>
        <v>-4.3179139728670296E-2</v>
      </c>
      <c r="L117" s="105">
        <f t="shared" si="221"/>
        <v>-5.1051917935674158E-2</v>
      </c>
      <c r="M117" s="105">
        <f t="shared" si="221"/>
        <v>-5.9487957763130199E-2</v>
      </c>
      <c r="N117" s="105">
        <f t="shared" si="221"/>
        <v>0.109495219735653</v>
      </c>
      <c r="O117" s="105">
        <f t="shared" si="221"/>
        <v>0.37704462581947901</v>
      </c>
      <c r="P117" s="105">
        <f t="shared" si="221"/>
        <v>0.52857297765378985</v>
      </c>
      <c r="Q117" s="105">
        <f t="shared" si="221"/>
        <v>0.65600200409611298</v>
      </c>
      <c r="R117" s="105">
        <f t="shared" si="221"/>
        <v>0.73023998867125584</v>
      </c>
      <c r="S117" s="105">
        <f t="shared" si="221"/>
        <v>0.81232060327214717</v>
      </c>
      <c r="T117" s="105">
        <f t="shared" si="221"/>
        <v>0.86119450327656977</v>
      </c>
      <c r="U117" s="105">
        <f t="shared" si="221"/>
        <v>0.87192654768754085</v>
      </c>
      <c r="V117" s="105">
        <f t="shared" si="221"/>
        <v>0.87959974756983939</v>
      </c>
      <c r="W117" s="105">
        <f t="shared" si="221"/>
        <v>0.86565281678097217</v>
      </c>
      <c r="X117" s="105">
        <f t="shared" si="221"/>
        <v>0.83983779362002986</v>
      </c>
      <c r="Y117" s="105">
        <f t="shared" si="221"/>
        <v>0.73601857518395353</v>
      </c>
      <c r="Z117" s="105">
        <f t="shared" si="221"/>
        <v>0.73438421094928674</v>
      </c>
      <c r="AA117" s="105">
        <f t="shared" si="221"/>
        <v>0.73607714523310186</v>
      </c>
      <c r="AB117" s="105">
        <f t="shared" si="221"/>
        <v>0.73598832393053237</v>
      </c>
      <c r="AC117" s="105">
        <f t="shared" si="221"/>
        <v>0.69304612601013105</v>
      </c>
      <c r="AD117" s="105">
        <f t="shared" si="221"/>
        <v>0.68727141682835058</v>
      </c>
      <c r="AE117" s="105">
        <f t="shared" si="221"/>
        <v>0.67772791876661043</v>
      </c>
      <c r="AF117" s="105">
        <f t="shared" si="221"/>
        <v>0.65635687834804146</v>
      </c>
      <c r="AG117" s="105">
        <f t="shared" si="221"/>
        <v>0.53306637363982901</v>
      </c>
      <c r="AH117" s="105">
        <f t="shared" si="221"/>
        <v>0.5239503959460412</v>
      </c>
      <c r="AI117" s="105">
        <f t="shared" si="221"/>
        <v>0.51039441775633021</v>
      </c>
      <c r="AJ117" s="105">
        <f t="shared" si="221"/>
        <v>0.4856392590509474</v>
      </c>
      <c r="AK117" s="105">
        <f t="shared" si="221"/>
        <v>0.35878122734599027</v>
      </c>
      <c r="AL117" s="105">
        <f t="shared" si="221"/>
        <v>0.34017244027187032</v>
      </c>
      <c r="AM117" s="105">
        <f t="shared" si="221"/>
        <v>0.32283642636839516</v>
      </c>
      <c r="AN117" s="105">
        <f t="shared" si="221"/>
        <v>0.29496614878883426</v>
      </c>
      <c r="AO117" s="105">
        <f t="shared" si="221"/>
        <v>0.16649534704367383</v>
      </c>
      <c r="AP117" s="105">
        <f t="shared" si="221"/>
        <v>0.13945491733284807</v>
      </c>
      <c r="AQ117" s="105">
        <f t="shared" si="221"/>
        <v>0.11816411231341659</v>
      </c>
      <c r="AR117" s="105">
        <f t="shared" si="221"/>
        <v>8.7225885420881222E-2</v>
      </c>
      <c r="AS117" s="105">
        <f t="shared" si="221"/>
        <v>6.4300671968314143E-3</v>
      </c>
      <c r="AT117" s="105">
        <f t="shared" si="221"/>
        <v>-1.9583640318496676E-2</v>
      </c>
      <c r="AU117" s="105">
        <f t="shared" si="221"/>
        <v>-1.7128523488830781E-2</v>
      </c>
      <c r="AV117" s="105">
        <f t="shared" si="221"/>
        <v>-8.8747862083330548E-3</v>
      </c>
      <c r="AW117" s="105">
        <f t="shared" si="221"/>
        <v>3.3332429723578537E-3</v>
      </c>
      <c r="AX117" s="105">
        <f t="shared" si="221"/>
        <v>-2.4642209219428914E-2</v>
      </c>
      <c r="AY117" s="105">
        <f t="shared" si="221"/>
        <v>-2.1954131061751269E-2</v>
      </c>
      <c r="AZ117" s="105">
        <f t="shared" si="221"/>
        <v>-1.3017373417167504E-2</v>
      </c>
      <c r="BA117" s="105">
        <f t="shared" si="221"/>
        <v>1.4110852844648967E-4</v>
      </c>
      <c r="BB117" s="105">
        <f t="shared" si="221"/>
        <v>-2.9603341172709439E-2</v>
      </c>
      <c r="BC117" s="105">
        <f t="shared" si="221"/>
        <v>-2.6660918275830326E-2</v>
      </c>
      <c r="BD117" s="105">
        <f t="shared" si="221"/>
        <v>-1.6985189763662631E-2</v>
      </c>
      <c r="BE117" s="105">
        <f t="shared" si="221"/>
        <v>-2.758116772445105E-3</v>
      </c>
      <c r="BF117" s="105">
        <f t="shared" si="221"/>
        <v>-3.5150978119422957E-2</v>
      </c>
      <c r="BG117" s="105">
        <f t="shared" si="221"/>
        <v>-3.1929827511896922E-2</v>
      </c>
      <c r="BH117" s="105">
        <f t="shared" si="221"/>
        <v>-2.1443938312360404E-2</v>
      </c>
      <c r="BI117" s="105">
        <f t="shared" si="221"/>
        <v>-6.0720722203452494E-3</v>
      </c>
      <c r="BJ117" s="105">
        <f t="shared" si="221"/>
        <v>-4.0975540695807375E-2</v>
      </c>
      <c r="BK117" s="105">
        <f t="shared" si="221"/>
        <v>-3.7448989218917386E-2</v>
      </c>
      <c r="BL117" s="105">
        <f t="shared" si="221"/>
        <v>-2.607917503275696E-2</v>
      </c>
      <c r="BM117" s="105">
        <f t="shared" si="221"/>
        <v>-9.4630975957826595E-3</v>
      </c>
      <c r="BN117" s="105">
        <f t="shared" si="221"/>
        <v>-4.7098211155828129E-2</v>
      </c>
      <c r="BO117" s="105">
        <f t="shared" si="221"/>
        <v>-4.3236678450254182E-2</v>
      </c>
      <c r="BP117" s="105">
        <f t="shared" si="221"/>
        <v>-3.0901472183469256E-2</v>
      </c>
      <c r="BQ117" s="105">
        <f t="shared" si="221"/>
        <v>-1.2960972930177422E-2</v>
      </c>
      <c r="BR117" s="105">
        <f t="shared" si="221"/>
        <v>-5.307952207834854E-2</v>
      </c>
      <c r="BS117" s="105">
        <f t="shared" si="221"/>
        <v>-4.8851649720405434E-2</v>
      </c>
      <c r="BT117" s="105">
        <f t="shared" si="221"/>
        <v>-3.5470464526580772E-2</v>
      </c>
      <c r="BU117" s="105">
        <f t="shared" si="221"/>
        <v>-1.6042729414608065E-2</v>
      </c>
      <c r="BV117" s="105">
        <f t="shared" si="221"/>
        <v>-5.985594265974524E-2</v>
      </c>
      <c r="BW117" s="105">
        <f t="shared" si="221"/>
        <v>-5.5223990060729367E-2</v>
      </c>
      <c r="BX117" s="105">
        <f t="shared" si="221"/>
        <v>-4.0688668009533482E-2</v>
      </c>
      <c r="BY117" s="105">
        <f t="shared" si="221"/>
        <v>-1.9657891349494281E-2</v>
      </c>
      <c r="BZ117" s="105">
        <f t="shared" si="221"/>
        <v>-6.7007462463673756E-2</v>
      </c>
      <c r="CA117" s="105">
        <f t="shared" si="221"/>
        <v>-6.1930681759530898E-2</v>
      </c>
      <c r="CB117" s="105">
        <f t="shared" si="221"/>
        <v>-4.6130555300008501E-2</v>
      </c>
      <c r="CC117" s="105">
        <f t="shared" si="221"/>
        <v>-2.3351984081715776E-2</v>
      </c>
      <c r="CD117" s="105">
        <f t="shared" si="221"/>
        <v>-7.456593229798944E-2</v>
      </c>
      <c r="CE117" s="105">
        <f t="shared" si="221"/>
        <v>-6.8998778501126498E-2</v>
      </c>
      <c r="CF117" s="105">
        <f t="shared" si="221"/>
        <v>-5.1810787437651169E-2</v>
      </c>
      <c r="CG117" s="105">
        <f t="shared" si="221"/>
        <v>-2.7163941380212674E-2</v>
      </c>
      <c r="CH117" s="105">
        <f t="shared" si="221"/>
        <v>-8.1923801918855052E-2</v>
      </c>
      <c r="CI117" s="105">
        <f t="shared" si="221"/>
        <v>-7.5819181408266878E-2</v>
      </c>
      <c r="CJ117" s="105">
        <f t="shared" si="221"/>
        <v>-5.7125013580742789E-2</v>
      </c>
      <c r="CK117" s="105">
        <f t="shared" si="221"/>
        <v>-3.0383704322153163E-2</v>
      </c>
      <c r="CL117" s="105">
        <f t="shared" si="221"/>
        <v>-9.0383110895337876E-2</v>
      </c>
      <c r="CM117" s="105">
        <f t="shared" si="221"/>
        <v>-8.3680535376741236E-2</v>
      </c>
      <c r="CN117" s="105">
        <f t="shared" si="221"/>
        <v>-6.3310772931531298E-2</v>
      </c>
      <c r="CO117" s="90"/>
    </row>
    <row r="118" spans="1:93" ht="12.75" customHeight="1">
      <c r="A118" s="90"/>
      <c r="B118" s="96" t="s">
        <v>213</v>
      </c>
      <c r="C118" s="441">
        <f t="shared" si="219"/>
        <v>4.5988172253076272</v>
      </c>
      <c r="D118" s="104" t="str">
        <f t="shared" ref="D118:X118" si="222">IF(D27=0,"-",(D179+D182)/D60)</f>
        <v>-</v>
      </c>
      <c r="E118" s="105" t="str">
        <f t="shared" si="222"/>
        <v>-</v>
      </c>
      <c r="F118" s="105" t="str">
        <f t="shared" si="222"/>
        <v>-</v>
      </c>
      <c r="G118" s="105" t="str">
        <f t="shared" si="222"/>
        <v>-</v>
      </c>
      <c r="H118" s="105" t="str">
        <f t="shared" si="222"/>
        <v>-</v>
      </c>
      <c r="I118" s="105" t="str">
        <f t="shared" si="222"/>
        <v>-</v>
      </c>
      <c r="J118" s="105" t="str">
        <f t="shared" si="222"/>
        <v>-</v>
      </c>
      <c r="K118" s="105" t="str">
        <f t="shared" si="222"/>
        <v>-</v>
      </c>
      <c r="L118" s="105" t="str">
        <f t="shared" si="222"/>
        <v>-</v>
      </c>
      <c r="M118" s="105" t="str">
        <f t="shared" si="222"/>
        <v>-</v>
      </c>
      <c r="N118" s="105" t="str">
        <f t="shared" si="222"/>
        <v>-</v>
      </c>
      <c r="O118" s="105" t="str">
        <f t="shared" si="222"/>
        <v>-</v>
      </c>
      <c r="P118" s="105" t="str">
        <f t="shared" si="222"/>
        <v>-</v>
      </c>
      <c r="Q118" s="105" t="str">
        <f t="shared" si="222"/>
        <v>-</v>
      </c>
      <c r="R118" s="105" t="str">
        <f t="shared" si="222"/>
        <v>-</v>
      </c>
      <c r="S118" s="105" t="str">
        <f t="shared" si="222"/>
        <v>-</v>
      </c>
      <c r="T118" s="105" t="str">
        <f t="shared" si="222"/>
        <v>-</v>
      </c>
      <c r="U118" s="105" t="str">
        <f t="shared" si="222"/>
        <v>-</v>
      </c>
      <c r="V118" s="105" t="str">
        <f t="shared" si="222"/>
        <v>-</v>
      </c>
      <c r="W118" s="105">
        <f t="shared" si="222"/>
        <v>35.563719718634836</v>
      </c>
      <c r="X118" s="105">
        <f t="shared" si="222"/>
        <v>23.078464779138699</v>
      </c>
      <c r="Y118" s="105">
        <f t="shared" ref="Y118:CJ118" si="223">IF(Y27=0,"-",(Y179+Y182)/Y60)</f>
        <v>5.2519597179228743</v>
      </c>
      <c r="Z118" s="105">
        <f t="shared" si="223"/>
        <v>54.327646289745651</v>
      </c>
      <c r="AA118" s="105">
        <f t="shared" si="223"/>
        <v>28.278204562093393</v>
      </c>
      <c r="AB118" s="105">
        <f t="shared" si="223"/>
        <v>18.358810407950585</v>
      </c>
      <c r="AC118" s="105">
        <f t="shared" si="223"/>
        <v>4.1135365195240379</v>
      </c>
      <c r="AD118" s="105">
        <f t="shared" si="223"/>
        <v>41.992006164068258</v>
      </c>
      <c r="AE118" s="105">
        <f t="shared" si="223"/>
        <v>21.957204740698003</v>
      </c>
      <c r="AF118" s="105">
        <f t="shared" si="223"/>
        <v>14.177566463318314</v>
      </c>
      <c r="AG118" s="105">
        <f t="shared" si="223"/>
        <v>3.043201409933169</v>
      </c>
      <c r="AH118" s="105">
        <f t="shared" si="223"/>
        <v>29.970331211193017</v>
      </c>
      <c r="AI118" s="105">
        <f t="shared" si="223"/>
        <v>15.654487008779631</v>
      </c>
      <c r="AJ118" s="105">
        <f t="shared" si="223"/>
        <v>9.9756390999652904</v>
      </c>
      <c r="AK118" s="105">
        <f t="shared" si="223"/>
        <v>1.9620707583648507</v>
      </c>
      <c r="AL118" s="105">
        <f t="shared" si="223"/>
        <v>18.442511571945367</v>
      </c>
      <c r="AM118" s="105">
        <f t="shared" si="223"/>
        <v>9.479691517741859</v>
      </c>
      <c r="AN118" s="105">
        <f t="shared" si="223"/>
        <v>5.8249848318774626</v>
      </c>
      <c r="AO118" s="105">
        <f t="shared" si="223"/>
        <v>0.88125501716266985</v>
      </c>
      <c r="AP118" s="105">
        <f t="shared" si="223"/>
        <v>7.1875990731969353</v>
      </c>
      <c r="AQ118" s="105">
        <f t="shared" si="223"/>
        <v>3.3291245230709485</v>
      </c>
      <c r="AR118" s="105">
        <f t="shared" si="223"/>
        <v>1.6592463058004046</v>
      </c>
      <c r="AS118" s="105">
        <f t="shared" si="223"/>
        <v>3.4603391157209146E-2</v>
      </c>
      <c r="AT118" s="105">
        <f t="shared" si="223"/>
        <v>-1.0010607495121193</v>
      </c>
      <c r="AU118" s="105">
        <f t="shared" si="223"/>
        <v>-0.48100474159030099</v>
      </c>
      <c r="AV118" s="105">
        <f t="shared" si="223"/>
        <v>-0.16823229915781454</v>
      </c>
      <c r="AW118" s="105">
        <f t="shared" si="223"/>
        <v>1.6710857075886723E-2</v>
      </c>
      <c r="AX118" s="105">
        <f t="shared" si="223"/>
        <v>-1.1535076155432031</v>
      </c>
      <c r="AY118" s="105">
        <f t="shared" si="223"/>
        <v>-0.56900486942512862</v>
      </c>
      <c r="AZ118" s="105">
        <f t="shared" si="223"/>
        <v>-0.22856418751574342</v>
      </c>
      <c r="BA118" s="105">
        <f t="shared" si="223"/>
        <v>6.5884383090453343E-4</v>
      </c>
      <c r="BB118" s="105">
        <f t="shared" si="223"/>
        <v>-1.2701086314658461</v>
      </c>
      <c r="BC118" s="105">
        <f t="shared" si="223"/>
        <v>-0.63796806476960533</v>
      </c>
      <c r="BD118" s="105">
        <f t="shared" si="223"/>
        <v>-0.27630031832730279</v>
      </c>
      <c r="BE118" s="105">
        <f t="shared" si="223"/>
        <v>-1.1994167935088638E-2</v>
      </c>
      <c r="BF118" s="105">
        <f t="shared" si="223"/>
        <v>-1.3824638362717756</v>
      </c>
      <c r="BG118" s="105">
        <f t="shared" si="223"/>
        <v>-0.70516618704466338</v>
      </c>
      <c r="BH118" s="105">
        <f t="shared" si="223"/>
        <v>-0.32302566484745676</v>
      </c>
      <c r="BI118" s="105">
        <f t="shared" si="223"/>
        <v>-2.4577631999794233E-2</v>
      </c>
      <c r="BJ118" s="105">
        <f t="shared" si="223"/>
        <v>-1.4777795898501627</v>
      </c>
      <c r="BK118" s="105">
        <f t="shared" si="223"/>
        <v>-0.76325311439660926</v>
      </c>
      <c r="BL118" s="105">
        <f t="shared" si="223"/>
        <v>-0.36371884296377882</v>
      </c>
      <c r="BM118" s="105">
        <f t="shared" si="223"/>
        <v>-3.5640151463838428E-2</v>
      </c>
      <c r="BN118" s="105">
        <f t="shared" si="223"/>
        <v>-1.5580045358614332</v>
      </c>
      <c r="BO118" s="105">
        <f t="shared" si="223"/>
        <v>-0.81311702579583622</v>
      </c>
      <c r="BP118" s="105">
        <f t="shared" si="223"/>
        <v>-0.39892586397619123</v>
      </c>
      <c r="BQ118" s="105">
        <f t="shared" si="223"/>
        <v>-4.5403032690867727E-2</v>
      </c>
      <c r="BR118" s="105">
        <f t="shared" si="223"/>
        <v>-1.6115076495938709</v>
      </c>
      <c r="BS118" s="105">
        <f t="shared" si="223"/>
        <v>-0.84792631600086832</v>
      </c>
      <c r="BT118" s="105">
        <f t="shared" si="223"/>
        <v>-0.42393139345698899</v>
      </c>
      <c r="BU118" s="105">
        <f t="shared" si="223"/>
        <v>-5.2278254062657861E-2</v>
      </c>
      <c r="BV118" s="105">
        <f t="shared" si="223"/>
        <v>-1.6672482351525475</v>
      </c>
      <c r="BW118" s="105">
        <f t="shared" si="223"/>
        <v>-0.88407644114471717</v>
      </c>
      <c r="BX118" s="105">
        <f t="shared" si="223"/>
        <v>-0.44988511215562127</v>
      </c>
      <c r="BY118" s="105">
        <f t="shared" si="223"/>
        <v>-5.9540980321307446E-2</v>
      </c>
      <c r="BZ118" s="105">
        <f t="shared" si="223"/>
        <v>-1.7123755697088627</v>
      </c>
      <c r="CA118" s="105">
        <f t="shared" si="223"/>
        <v>-0.91415171830662834</v>
      </c>
      <c r="CB118" s="105">
        <f t="shared" si="223"/>
        <v>-0.47170246950852596</v>
      </c>
      <c r="CC118" s="105">
        <f t="shared" si="223"/>
        <v>-6.5715389003866531E-2</v>
      </c>
      <c r="CD118" s="105">
        <f t="shared" si="223"/>
        <v>-1.7480650229695553</v>
      </c>
      <c r="CE118" s="105">
        <f t="shared" si="223"/>
        <v>-0.93874343498695767</v>
      </c>
      <c r="CF118" s="105">
        <f t="shared" si="223"/>
        <v>-0.48976261439326457</v>
      </c>
      <c r="CG118" s="105">
        <f t="shared" si="223"/>
        <v>-7.0991114830608049E-2</v>
      </c>
      <c r="CH118" s="105">
        <f t="shared" si="223"/>
        <v>-1.7625784320319193</v>
      </c>
      <c r="CI118" s="105">
        <f t="shared" si="223"/>
        <v>-0.9509401929298068</v>
      </c>
      <c r="CJ118" s="105">
        <f t="shared" si="223"/>
        <v>-0.49928611157645375</v>
      </c>
      <c r="CK118" s="105">
        <f t="shared" ref="CK118:CN118" si="224">IF(CK27=0,"-",(CK179+CK182)/CK60)</f>
        <v>-7.375893463826888E-2</v>
      </c>
      <c r="CL118" s="105">
        <f t="shared" si="224"/>
        <v>-1.7831241103255673</v>
      </c>
      <c r="CM118" s="105">
        <f t="shared" si="224"/>
        <v>-0.96651420253025588</v>
      </c>
      <c r="CN118" s="105">
        <f t="shared" si="224"/>
        <v>-0.51110419062252499</v>
      </c>
      <c r="CO118" s="90"/>
    </row>
    <row r="119" spans="1:93" ht="12.75" customHeight="1">
      <c r="A119" s="90"/>
      <c r="B119" s="96" t="s">
        <v>214</v>
      </c>
      <c r="C119" s="441">
        <f t="shared" si="219"/>
        <v>3.3197517840887252</v>
      </c>
      <c r="D119" s="104" t="str">
        <f t="array" ref="D119">IF(D164=0,"-",(D95+NPV(Assump!$D$37,Model2!E$120:$CN120))/D164)</f>
        <v>-</v>
      </c>
      <c r="E119" s="104" t="str">
        <f t="array" ref="E119">IF(E164=0,"-",(E95+NPV(Assump!$D$37,Model2!F$120:$CN120))/E164)</f>
        <v>-</v>
      </c>
      <c r="F119" s="104" t="str">
        <f t="array" ref="F119">IF(F164=0,"-",(F95+NPV(Assump!$D$37,Model2!G$120:$CN120))/F164)</f>
        <v>-</v>
      </c>
      <c r="G119" s="104" t="str">
        <f t="array" ref="G119">IF(G164=0,"-",(G95+NPV(Assump!$D$37,Model2!H$120:$CN120))/G164)</f>
        <v>-</v>
      </c>
      <c r="H119" s="104" t="str">
        <f t="array" ref="H119">IF(H164=0,"-",(H95+NPV(Assump!$D$37,Model2!I$120:$CN120))/H164)</f>
        <v>-</v>
      </c>
      <c r="I119" s="104" t="str">
        <f t="array" ref="I119">IF(I164=0,"-",(I95+NPV(Assump!$D$37,Model2!J$120:$CN120))/I164)</f>
        <v>-</v>
      </c>
      <c r="J119" s="104" t="str">
        <f t="array" ref="J119">IF(J164=0,"-",(J95+NPV(Assump!$D$37,Model2!K$120:$CN120))/J164)</f>
        <v>-</v>
      </c>
      <c r="K119" s="104" t="str">
        <f t="array" ref="K119">IF(K164=0,"-",(K95+NPV(Assump!$D$37,Model2!L$120:$CN120))/K164)</f>
        <v>-</v>
      </c>
      <c r="L119" s="104" t="str">
        <f t="array" ref="L119">IF(L164=0,"-",(L95+NPV(Assump!$D$37,Model2!M$120:$CN120))/L164)</f>
        <v>-</v>
      </c>
      <c r="M119" s="104" t="str">
        <f t="array" ref="M119">IF(M164=0,"-",(M95+NPV(Assump!$D$37,Model2!N$120:$CN120))/M164)</f>
        <v>-</v>
      </c>
      <c r="N119" s="104">
        <f t="array" ref="N119">IF(N164=0,"-",(N95+NPV(Assump!$D$37,Model2!O$120:$CN120))/N164)</f>
        <v>17.264194034581863</v>
      </c>
      <c r="O119" s="104">
        <f t="array" ref="O119">IF(O164=0,"-",(O95+NPV(Assump!$D$37,Model2!P$120:$CN120))/O164)</f>
        <v>5.2665035621285403</v>
      </c>
      <c r="P119" s="104">
        <f t="array" ref="P119">IF(P164=0,"-",(P95+NPV(Assump!$D$37,Model2!Q$120:$CN120))/P164)</f>
        <v>3.2804591402946963</v>
      </c>
      <c r="Q119" s="104">
        <f t="array" ref="Q119">IF(Q164=0,"-",(Q95+NPV(Assump!$D$37,Model2!R$120:$CN120))/Q164)</f>
        <v>2.1815492517933319</v>
      </c>
      <c r="R119" s="104">
        <f t="array" ref="R119">IF(R164=0,"-",(R95+NPV(Assump!$D$37,Model2!S$120:$CN120))/R164)</f>
        <v>1.7166490806074015</v>
      </c>
      <c r="S119" s="104">
        <f t="array" ref="S119">IF(S164=0,"-",(S95+NPV(Assump!$D$37,Model2!T$120:$CN120))/S164)</f>
        <v>1.201547319064487</v>
      </c>
      <c r="T119" s="104">
        <f t="array" ref="T119">IF(T164=0,"-",(T95+NPV(Assump!$D$37,Model2!U$120:$CN120))/T164)</f>
        <v>0.93611670746138353</v>
      </c>
      <c r="U119" s="104">
        <f t="array" ref="U119">IF(U164=0,"-",(U95+NPV(Assump!$D$37,Model2!V$120:$CN120))/U164)</f>
        <v>0.95365811940306378</v>
      </c>
      <c r="V119" s="104">
        <f t="array" ref="V119">IF(V164=0,"-",(V95+NPV(Assump!$D$37,Model2!W$120:$CN120))/V164)</f>
        <v>0.99893441464139765</v>
      </c>
      <c r="W119" s="104">
        <f t="array" ref="W119">IF(W164=0,"-",(W95+NPV(Assump!$D$37,Model2!X$120:$CN120))/W164)</f>
        <v>1.0464856781393999</v>
      </c>
      <c r="X119" s="104">
        <f t="array" ref="X119">IF(X164=0,"-",(X95+NPV(Assump!$D$37,Model2!Y$120:$CN120))/X164)</f>
        <v>1.0982432178527743</v>
      </c>
      <c r="Y119" s="104">
        <f t="array" ref="Y119">IF(Y164=0,"-",(Y95+NPV(Assump!$D$37,Model2!Z$120:$CN120))/Y164)</f>
        <v>1.1706847167970931</v>
      </c>
      <c r="Z119" s="104">
        <f t="array" ref="Z119">IF(Z164=0,"-",(Z95+NPV(Assump!$D$37,Model2!AA$120:$CN120))/Z164)</f>
        <v>1.2253210874250871</v>
      </c>
      <c r="AA119" s="104">
        <f t="array" ref="AA119">IF(AA164=0,"-",(AA95+NPV(Assump!$D$37,Model2!AB$120:$CN120))/AA164)</f>
        <v>1.2738237928869209</v>
      </c>
      <c r="AB119" s="104">
        <f t="array" ref="AB119">IF(AB164=0,"-",(AB95+NPV(Assump!$D$37,Model2!AC$120:$CN120))/AB164)</f>
        <v>1.3160943319684026</v>
      </c>
      <c r="AC119" s="104">
        <f t="array" ref="AC119">IF(AC164=0,"-",(AC95+NPV(Assump!$D$37,Model2!AD$120:$CN120))/AC164)</f>
        <v>1.2943148232225543</v>
      </c>
      <c r="AD119" s="104">
        <f t="array" ref="AD119">IF(AD164=0,"-",(AD95+NPV(Assump!$D$37,Model2!AE$120:$CN120))/AD164)</f>
        <v>1.3672385545844457</v>
      </c>
      <c r="AE119" s="104">
        <f t="array" ref="AE119">IF(AE164=0,"-",(AE95+NPV(Assump!$D$37,Model2!AF$120:$CN120))/AE164)</f>
        <v>1.4531890963633383</v>
      </c>
      <c r="AF119" s="104">
        <f t="array" ref="AF119">IF(AF164=0,"-",(AF95+NPV(Assump!$D$37,Model2!AG$120:$CN120))/AF164)</f>
        <v>1.5583443953176161</v>
      </c>
      <c r="AG119" s="104">
        <f t="array" ref="AG119">IF(AG164=0,"-",(AG95+NPV(Assump!$D$37,Model2!AH$120:$CN120))/AG164)</f>
        <v>1.7953292298115311</v>
      </c>
      <c r="AH119" s="104">
        <f t="array" ref="AH119">IF(AH164=0,"-",(AH95+NPV(Assump!$D$37,Model2!AI$120:$CN120))/AH164)</f>
        <v>1.8883038320810965</v>
      </c>
      <c r="AI119" s="104">
        <f t="array" ref="AI119">IF(AI164=0,"-",(AI95+NPV(Assump!$D$37,Model2!AJ$120:$CN120))/AI164)</f>
        <v>2.0302484051473861</v>
      </c>
      <c r="AJ119" s="104">
        <f t="array" ref="AJ119">IF(AJ164=0,"-",(AJ95+NPV(Assump!$D$37,Model2!AK$120:$CN120))/AJ164)</f>
        <v>2.2214092699374515</v>
      </c>
      <c r="AK119" s="104">
        <f t="array" ref="AK119">IF(AK164=0,"-",(AK95+NPV(Assump!$D$37,Model2!AL$120:$CN120))/AK164)</f>
        <v>2.8408843959092791</v>
      </c>
      <c r="AL119" s="104">
        <f t="array" ref="AL119">IF(AL164=0,"-",(AL95+NPV(Assump!$D$37,Model2!AM$120:$CN120))/AL164)</f>
        <v>3.0156089225475826</v>
      </c>
      <c r="AM119" s="104">
        <f t="array" ref="AM119">IF(AM164=0,"-",(AM95+NPV(Assump!$D$37,Model2!AN$120:$CN120))/AM164)</f>
        <v>3.3259884621706131</v>
      </c>
      <c r="AN119" s="104">
        <f t="array" ref="AN119">IF(AN164=0,"-",(AN95+NPV(Assump!$D$37,Model2!AO$120:$CN120))/AN164)</f>
        <v>3.8158431919192006</v>
      </c>
      <c r="AO119" s="104">
        <f t="array" ref="AO119">IF(AO164=0,"-",(AO95+NPV(Assump!$D$37,Model2!AP$120:$CN120))/AO164)</f>
        <v>6.6065556091278879</v>
      </c>
      <c r="AP119" s="104">
        <f t="array" ref="AP119">IF(AP164=0,"-",(AP95+NPV(Assump!$D$37,Model2!AQ$120:$CN120))/AP164)</f>
        <v>7.1712854529997383</v>
      </c>
      <c r="AQ119" s="104">
        <f t="array" ref="AQ119">IF(AQ164=0,"-",(AQ95+NPV(Assump!$D$37,Model2!AR$120:$CN120))/AQ164)</f>
        <v>8.7982236401508214</v>
      </c>
      <c r="AR119" s="104">
        <f t="array" ref="AR119">IF(AR164=0,"-",(AR95+NPV(Assump!$D$37,Model2!AS$120:$CN120))/AR164)</f>
        <v>12.799273570414094</v>
      </c>
      <c r="AS119" s="104" t="str">
        <f t="array" ref="AS119">IF(AS164=0,"-",(AS95+NPV(Assump!$D$37,Model2!AT$120:$CN120))/AS164)</f>
        <v>-</v>
      </c>
      <c r="AT119" s="104" t="str">
        <f t="array" ref="AT119">IF(AT164=0,"-",(AT95+NPV(Assump!$D$37,Model2!AU$120:$CN120))/AT164)</f>
        <v>-</v>
      </c>
      <c r="AU119" s="104" t="str">
        <f t="array" ref="AU119">IF(AU164=0,"-",(AU95+NPV(Assump!$D$37,Model2!AV$120:$CN120))/AU164)</f>
        <v>-</v>
      </c>
      <c r="AV119" s="104" t="str">
        <f t="array" ref="AV119">IF(AV164=0,"-",(AV95+NPV(Assump!$D$37,Model2!AW$120:$CN120))/AV164)</f>
        <v>-</v>
      </c>
      <c r="AW119" s="104" t="str">
        <f t="array" ref="AW119">IF(AW164=0,"-",(AW95+NPV(Assump!$D$37,Model2!AX$120:$CN120))/AW164)</f>
        <v>-</v>
      </c>
      <c r="AX119" s="104" t="str">
        <f t="array" ref="AX119">IF(AX164=0,"-",(AX95+NPV(Assump!$D$37,Model2!AY$120:$CN120))/AX164)</f>
        <v>-</v>
      </c>
      <c r="AY119" s="104" t="str">
        <f t="array" ref="AY119">IF(AY164=0,"-",(AY95+NPV(Assump!$D$37,Model2!AZ$120:$CN120))/AY164)</f>
        <v>-</v>
      </c>
      <c r="AZ119" s="104" t="str">
        <f t="array" ref="AZ119">IF(AZ164=0,"-",(AZ95+NPV(Assump!$D$37,Model2!BA$120:$CN120))/AZ164)</f>
        <v>-</v>
      </c>
      <c r="BA119" s="104" t="str">
        <f t="array" ref="BA119">IF(BA164=0,"-",(BA95+NPV(Assump!$D$37,Model2!BB$120:$CN120))/BA164)</f>
        <v>-</v>
      </c>
      <c r="BB119" s="104" t="str">
        <f t="array" ref="BB119">IF(BB164=0,"-",(BB95+NPV(Assump!$D$37,Model2!BC$120:$CN120))/BB164)</f>
        <v>-</v>
      </c>
      <c r="BC119" s="104" t="str">
        <f t="array" ref="BC119">IF(BC164=0,"-",(BC95+NPV(Assump!$D$37,Model2!BD$120:$CN120))/BC164)</f>
        <v>-</v>
      </c>
      <c r="BD119" s="104" t="str">
        <f t="array" ref="BD119">IF(BD164=0,"-",(BD95+NPV(Assump!$D$37,Model2!BE$120:$CN120))/BD164)</f>
        <v>-</v>
      </c>
      <c r="BE119" s="104" t="str">
        <f t="array" ref="BE119">IF(BE164=0,"-",(BE95+NPV(Assump!$D$37,Model2!BF$120:$CN120))/BE164)</f>
        <v>-</v>
      </c>
      <c r="BF119" s="104" t="str">
        <f t="array" ref="BF119">IF(BF164=0,"-",(BF95+NPV(Assump!$D$37,Model2!BG$120:$CN120))/BF164)</f>
        <v>-</v>
      </c>
      <c r="BG119" s="104" t="str">
        <f t="array" ref="BG119">IF(BG164=0,"-",(BG95+NPV(Assump!$D$37,Model2!BH$120:$CN120))/BG164)</f>
        <v>-</v>
      </c>
      <c r="BH119" s="104" t="str">
        <f t="array" ref="BH119">IF(BH164=0,"-",(BH95+NPV(Assump!$D$37,Model2!BI$120:$CN120))/BH164)</f>
        <v>-</v>
      </c>
      <c r="BI119" s="104" t="str">
        <f t="array" ref="BI119">IF(BI164=0,"-",(BI95+NPV(Assump!$D$37,Model2!BJ$120:$CN120))/BI164)</f>
        <v>-</v>
      </c>
      <c r="BJ119" s="104" t="str">
        <f t="array" ref="BJ119">IF(BJ164=0,"-",(BJ95+NPV(Assump!$D$37,Model2!BK$120:$CN120))/BJ164)</f>
        <v>-</v>
      </c>
      <c r="BK119" s="104" t="str">
        <f t="array" ref="BK119">IF(BK164=0,"-",(BK95+NPV(Assump!$D$37,Model2!BL$120:$CN120))/BK164)</f>
        <v>-</v>
      </c>
      <c r="BL119" s="104" t="str">
        <f t="array" ref="BL119">IF(BL164=0,"-",(BL95+NPV(Assump!$D$37,Model2!BM$120:$CN120))/BL164)</f>
        <v>-</v>
      </c>
      <c r="BM119" s="104" t="str">
        <f t="array" ref="BM119">IF(BM164=0,"-",(BM95+NPV(Assump!$D$37,Model2!BN$120:$CN120))/BM164)</f>
        <v>-</v>
      </c>
      <c r="BN119" s="104" t="str">
        <f t="array" ref="BN119">IF(BN164=0,"-",(BN95+NPV(Assump!$D$37,Model2!BO$120:$CN120))/BN164)</f>
        <v>-</v>
      </c>
      <c r="BO119" s="104" t="str">
        <f t="array" ref="BO119">IF(BO164=0,"-",(BO95+NPV(Assump!$D$37,Model2!BP$120:$CN120))/BO164)</f>
        <v>-</v>
      </c>
      <c r="BP119" s="104" t="str">
        <f t="array" ref="BP119">IF(BP164=0,"-",(BP95+NPV(Assump!$D$37,Model2!BQ$120:$CN120))/BP164)</f>
        <v>-</v>
      </c>
      <c r="BQ119" s="104" t="str">
        <f t="array" ref="BQ119">IF(BQ164=0,"-",(BQ95+NPV(Assump!$D$37,Model2!BR$120:$CN120))/BQ164)</f>
        <v>-</v>
      </c>
      <c r="BR119" s="104" t="str">
        <f t="array" ref="BR119">IF(BR164=0,"-",(BR95+NPV(Assump!$D$37,Model2!BS$120:$CN120))/BR164)</f>
        <v>-</v>
      </c>
      <c r="BS119" s="104" t="str">
        <f t="array" ref="BS119">IF(BS164=0,"-",(BS95+NPV(Assump!$D$37,Model2!BT$120:$CN120))/BS164)</f>
        <v>-</v>
      </c>
      <c r="BT119" s="104" t="str">
        <f t="array" ref="BT119">IF(BT164=0,"-",(BT95+NPV(Assump!$D$37,Model2!BU$120:$CN120))/BT164)</f>
        <v>-</v>
      </c>
      <c r="BU119" s="104" t="str">
        <f t="array" ref="BU119">IF(BU164=0,"-",(BU95+NPV(Assump!$D$37,Model2!BV$120:$CN120))/BU164)</f>
        <v>-</v>
      </c>
      <c r="BV119" s="104" t="str">
        <f t="array" ref="BV119">IF(BV164=0,"-",(BV95+NPV(Assump!$D$37,Model2!BW$120:$CN120))/BV164)</f>
        <v>-</v>
      </c>
      <c r="BW119" s="104" t="str">
        <f t="array" ref="BW119">IF(BW164=0,"-",(BW95+NPV(Assump!$D$37,Model2!BX$120:$CN120))/BW164)</f>
        <v>-</v>
      </c>
      <c r="BX119" s="104" t="str">
        <f t="array" ref="BX119">IF(BX164=0,"-",(BX95+NPV(Assump!$D$37,Model2!BY$120:$CN120))/BX164)</f>
        <v>-</v>
      </c>
      <c r="BY119" s="104" t="str">
        <f t="array" ref="BY119">IF(BY164=0,"-",(BY95+NPV(Assump!$D$37,Model2!BZ$120:$CN120))/BY164)</f>
        <v>-</v>
      </c>
      <c r="BZ119" s="104" t="str">
        <f t="array" ref="BZ119">IF(BZ164=0,"-",(BZ95+NPV(Assump!$D$37,Model2!CA$120:$CN120))/BZ164)</f>
        <v>-</v>
      </c>
      <c r="CA119" s="104" t="str">
        <f t="array" ref="CA119">IF(CA164=0,"-",(CA95+NPV(Assump!$D$37,Model2!CB$120:$CN120))/CA164)</f>
        <v>-</v>
      </c>
      <c r="CB119" s="104" t="str">
        <f t="array" ref="CB119">IF(CB164=0,"-",(CB95+NPV(Assump!$D$37,Model2!CC$120:$CN120))/CB164)</f>
        <v>-</v>
      </c>
      <c r="CC119" s="104" t="str">
        <f t="array" ref="CC119">IF(CC164=0,"-",(CC95+NPV(Assump!$D$37,Model2!CD$120:$CN120))/CC164)</f>
        <v>-</v>
      </c>
      <c r="CD119" s="104" t="str">
        <f t="array" ref="CD119">IF(CD164=0,"-",(CD95+NPV(Assump!$D$37,Model2!CE$120:$CN120))/CD164)</f>
        <v>-</v>
      </c>
      <c r="CE119" s="104" t="str">
        <f t="array" ref="CE119">IF(CE164=0,"-",(CE95+NPV(Assump!$D$37,Model2!CF$120:$CN120))/CE164)</f>
        <v>-</v>
      </c>
      <c r="CF119" s="104" t="str">
        <f t="array" ref="CF119">IF(CF164=0,"-",(CF95+NPV(Assump!$D$37,Model2!CG$120:$CN120))/CF164)</f>
        <v>-</v>
      </c>
      <c r="CG119" s="104" t="str">
        <f t="array" ref="CG119">IF(CG164=0,"-",(CG95+NPV(Assump!$D$37,Model2!CH$120:$CN120))/CG164)</f>
        <v>-</v>
      </c>
      <c r="CH119" s="104" t="str">
        <f t="array" ref="CH119">IF(CH164=0,"-",(CH95+NPV(Assump!$D$37,Model2!CI$120:$CN120))/CH164)</f>
        <v>-</v>
      </c>
      <c r="CI119" s="104" t="str">
        <f t="array" ref="CI119">IF(CI164=0,"-",(CI95+NPV(Assump!$D$37,Model2!CJ$120:$CN120))/CI164)</f>
        <v>-</v>
      </c>
      <c r="CJ119" s="104" t="str">
        <f t="array" ref="CJ119">IF(CJ164=0,"-",(CJ95+NPV(Assump!$D$37,Model2!CK$120:$CN120))/CJ164)</f>
        <v>-</v>
      </c>
      <c r="CK119" s="104" t="str">
        <f t="array" ref="CK119">IF(CK164=0,"-",(CK95+NPV(Assump!$D$37,Model2!CL$120:$CN120))/CK164)</f>
        <v>-</v>
      </c>
      <c r="CL119" s="104" t="str">
        <f t="array" ref="CL119">IF(CL164=0,"-",(CL95+NPV(Assump!$D$37,Model2!CM$120:$CN120))/CL164)</f>
        <v>-</v>
      </c>
      <c r="CM119" s="104" t="str">
        <f t="array" ref="CM119">IF(CM164=0,"-",(CM95+NPV(Assump!$D$37,Model2!CN$120:$CN120))/CM164)</f>
        <v>-</v>
      </c>
      <c r="CN119" s="104" t="str">
        <f t="array" ref="CN119">IF(CN164=0,"-",(CN95+NPV(Assump!$D$37,Model2!$CN$120:CO120))/CN164)</f>
        <v>-</v>
      </c>
      <c r="CO119" s="90"/>
    </row>
    <row r="120" spans="1:93" ht="12.75" customHeight="1">
      <c r="A120" s="90"/>
      <c r="B120" s="408" t="s">
        <v>215</v>
      </c>
      <c r="C120" s="96">
        <f t="shared" ref="C120" si="225">SUM(D120:CN120)</f>
        <v>3531633.2539108857</v>
      </c>
      <c r="D120" s="106">
        <f t="shared" ref="D120:X120" si="226">SUM(D71:D77)+D78+D87+D89+D85</f>
        <v>145596.67499999999</v>
      </c>
      <c r="E120" s="96">
        <f t="shared" si="226"/>
        <v>-300</v>
      </c>
      <c r="F120" s="96">
        <f t="shared" si="226"/>
        <v>-300</v>
      </c>
      <c r="G120" s="96">
        <f t="shared" si="226"/>
        <v>-300</v>
      </c>
      <c r="H120" s="96">
        <f t="shared" si="226"/>
        <v>-300</v>
      </c>
      <c r="I120" s="96">
        <f t="shared" si="226"/>
        <v>-300</v>
      </c>
      <c r="J120" s="96">
        <f t="shared" si="226"/>
        <v>-24566.112499999999</v>
      </c>
      <c r="K120" s="96">
        <f t="shared" si="226"/>
        <v>-24566.112499999999</v>
      </c>
      <c r="L120" s="96">
        <f t="shared" si="226"/>
        <v>-20521.760416666664</v>
      </c>
      <c r="M120" s="96">
        <f t="shared" si="226"/>
        <v>-36901.386354166658</v>
      </c>
      <c r="N120" s="96">
        <f t="shared" si="226"/>
        <v>-28408.246979166659</v>
      </c>
      <c r="O120" s="96">
        <f t="shared" si="226"/>
        <v>6474.2897395833425</v>
      </c>
      <c r="P120" s="96">
        <f t="shared" si="226"/>
        <v>8597.5745833333422</v>
      </c>
      <c r="Q120" s="96">
        <f t="shared" si="226"/>
        <v>8597.5745833333203</v>
      </c>
      <c r="R120" s="96">
        <f t="shared" si="226"/>
        <v>8597.5745833333203</v>
      </c>
      <c r="S120" s="96">
        <f t="shared" si="226"/>
        <v>12540.817864583398</v>
      </c>
      <c r="T120" s="96">
        <f t="shared" si="226"/>
        <v>11630.838645833341</v>
      </c>
      <c r="U120" s="96">
        <f t="shared" si="226"/>
        <v>23339.237927083472</v>
      </c>
      <c r="V120" s="96">
        <f t="shared" si="226"/>
        <v>24587.030787507119</v>
      </c>
      <c r="W120" s="96">
        <f t="shared" si="226"/>
        <v>21410.185937369009</v>
      </c>
      <c r="X120" s="96">
        <f t="shared" si="226"/>
        <v>26968.874847366078</v>
      </c>
      <c r="Y120" s="96">
        <f t="shared" ref="Y120:CJ120" si="227">SUM(Y71:Y77)+Y78+Y87+Y89+Y85</f>
        <v>90669.157092123191</v>
      </c>
      <c r="Z120" s="96">
        <f t="shared" si="227"/>
        <v>5020.7671499619755</v>
      </c>
      <c r="AA120" s="96">
        <f t="shared" si="227"/>
        <v>17128.314301003011</v>
      </c>
      <c r="AB120" s="96">
        <f t="shared" si="227"/>
        <v>26149.579862648825</v>
      </c>
      <c r="AC120" s="96">
        <f t="shared" si="227"/>
        <v>91386.810426001088</v>
      </c>
      <c r="AD120" s="96">
        <f t="shared" si="227"/>
        <v>5062.9703432770712</v>
      </c>
      <c r="AE120" s="96">
        <f t="shared" si="227"/>
        <v>17696.158483392399</v>
      </c>
      <c r="AF120" s="96">
        <f t="shared" si="227"/>
        <v>27190.369266252677</v>
      </c>
      <c r="AG120" s="96">
        <f t="shared" si="227"/>
        <v>95497.928957008509</v>
      </c>
      <c r="AH120" s="96">
        <f t="shared" si="227"/>
        <v>5195.438896892394</v>
      </c>
      <c r="AI120" s="96">
        <f t="shared" si="227"/>
        <v>18441.164876989766</v>
      </c>
      <c r="AJ120" s="96">
        <f t="shared" si="227"/>
        <v>28404.162339616061</v>
      </c>
      <c r="AK120" s="96">
        <f t="shared" si="227"/>
        <v>100114.43142105544</v>
      </c>
      <c r="AL120" s="96">
        <f t="shared" si="227"/>
        <v>5504.5929094059966</v>
      </c>
      <c r="AM120" s="96">
        <f t="shared" si="227"/>
        <v>19177.082944474132</v>
      </c>
      <c r="AN120" s="96">
        <f t="shared" si="227"/>
        <v>29658.869096347888</v>
      </c>
      <c r="AO120" s="96">
        <f t="shared" si="227"/>
        <v>104955.28855185966</v>
      </c>
      <c r="AP120" s="96">
        <f t="shared" si="227"/>
        <v>5387.3025478124382</v>
      </c>
      <c r="AQ120" s="96">
        <f t="shared" si="227"/>
        <v>19979.751765124631</v>
      </c>
      <c r="AR120" s="96">
        <f t="shared" si="227"/>
        <v>30950.750584917314</v>
      </c>
      <c r="AS120" s="96">
        <f t="shared" si="227"/>
        <v>110005.23016702647</v>
      </c>
      <c r="AT120" s="96">
        <f t="shared" si="227"/>
        <v>5546.4787652873747</v>
      </c>
      <c r="AU120" s="96">
        <f t="shared" si="227"/>
        <v>20874.862695334483</v>
      </c>
      <c r="AV120" s="96">
        <f t="shared" si="227"/>
        <v>32439.630490639298</v>
      </c>
      <c r="AW120" s="96">
        <f t="shared" si="227"/>
        <v>115520.7998504287</v>
      </c>
      <c r="AX120" s="96">
        <f t="shared" si="227"/>
        <v>6019.6473975348563</v>
      </c>
      <c r="AY120" s="96">
        <f t="shared" si="227"/>
        <v>22112.801164000844</v>
      </c>
      <c r="AZ120" s="96">
        <f t="shared" si="227"/>
        <v>34255.807349070892</v>
      </c>
      <c r="BA120" s="96">
        <f t="shared" si="227"/>
        <v>121482.95448040779</v>
      </c>
      <c r="BB120" s="96">
        <f t="shared" si="227"/>
        <v>6111.4556257537715</v>
      </c>
      <c r="BC120" s="96">
        <f t="shared" si="227"/>
        <v>22197.002003474412</v>
      </c>
      <c r="BD120" s="96">
        <f t="shared" si="227"/>
        <v>34407.358410603112</v>
      </c>
      <c r="BE120" s="96">
        <f t="shared" si="227"/>
        <v>121092.38612664542</v>
      </c>
      <c r="BF120" s="96">
        <f t="shared" si="227"/>
        <v>6339.2648436536674</v>
      </c>
      <c r="BG120" s="96">
        <f t="shared" si="227"/>
        <v>23524.132248775615</v>
      </c>
      <c r="BH120" s="96">
        <f t="shared" si="227"/>
        <v>36310.781085121096</v>
      </c>
      <c r="BI120" s="96">
        <f t="shared" si="227"/>
        <v>127330.06018696555</v>
      </c>
      <c r="BJ120" s="96">
        <f t="shared" si="227"/>
        <v>6840.8443641635422</v>
      </c>
      <c r="BK120" s="96">
        <f t="shared" si="227"/>
        <v>24883.393615202222</v>
      </c>
      <c r="BL120" s="96">
        <f t="shared" si="227"/>
        <v>38309.374893364991</v>
      </c>
      <c r="BM120" s="96">
        <f t="shared" si="227"/>
        <v>133879.61795030168</v>
      </c>
      <c r="BN120" s="96">
        <f t="shared" si="227"/>
        <v>7367.5028606989345</v>
      </c>
      <c r="BO120" s="96">
        <f t="shared" si="227"/>
        <v>26310.618049950175</v>
      </c>
      <c r="BP120" s="96">
        <f t="shared" si="227"/>
        <v>40407.898392021074</v>
      </c>
      <c r="BQ120" s="96">
        <f t="shared" si="227"/>
        <v>140746.83146477502</v>
      </c>
      <c r="BR120" s="96">
        <f t="shared" si="227"/>
        <v>8224.2317463264008</v>
      </c>
      <c r="BS120" s="96">
        <f t="shared" si="227"/>
        <v>27769.583538017469</v>
      </c>
      <c r="BT120" s="96">
        <f t="shared" si="227"/>
        <v>42611.348065609956</v>
      </c>
      <c r="BU120" s="96">
        <f t="shared" si="227"/>
        <v>147977.54103588266</v>
      </c>
      <c r="BV120" s="96">
        <f t="shared" si="227"/>
        <v>8501.1352744913456</v>
      </c>
      <c r="BW120" s="96">
        <f t="shared" si="227"/>
        <v>29382.718645745124</v>
      </c>
      <c r="BX120" s="96">
        <f t="shared" si="227"/>
        <v>44924.97022287827</v>
      </c>
      <c r="BY120" s="96">
        <f t="shared" si="227"/>
        <v>155559.47284166474</v>
      </c>
      <c r="BZ120" s="96">
        <f t="shared" si="227"/>
        <v>9110.808316543109</v>
      </c>
      <c r="CA120" s="96">
        <f t="shared" si="227"/>
        <v>31034.909332020194</v>
      </c>
      <c r="CB120" s="96">
        <f t="shared" si="227"/>
        <v>47354.273488010025</v>
      </c>
      <c r="CC120" s="96">
        <f t="shared" si="227"/>
        <v>163520.50123773571</v>
      </c>
      <c r="CD120" s="96">
        <f t="shared" si="227"/>
        <v>9750.9650106974732</v>
      </c>
      <c r="CE120" s="96">
        <f t="shared" si="227"/>
        <v>32769.709552609049</v>
      </c>
      <c r="CF120" s="96">
        <f t="shared" si="227"/>
        <v>49905.041916398346</v>
      </c>
      <c r="CG120" s="96">
        <f t="shared" si="227"/>
        <v>171867.64218466252</v>
      </c>
      <c r="CH120" s="96">
        <f t="shared" si="227"/>
        <v>10792.3243257332</v>
      </c>
      <c r="CI120" s="96">
        <f t="shared" si="227"/>
        <v>34543.091221889146</v>
      </c>
      <c r="CJ120" s="96">
        <f t="shared" si="227"/>
        <v>52583.348766206116</v>
      </c>
      <c r="CK120" s="96">
        <f t="shared" ref="CK120:CN120" si="228">SUM(CK71:CK77)+CK78+CK87+CK89+CK85</f>
        <v>180656.61486027864</v>
      </c>
      <c r="CL120" s="96">
        <f t="shared" si="228"/>
        <v>11128.902294864754</v>
      </c>
      <c r="CM120" s="96">
        <f t="shared" si="228"/>
        <v>36503.867027426531</v>
      </c>
      <c r="CN120" s="96">
        <f t="shared" si="228"/>
        <v>55395.57095850425</v>
      </c>
      <c r="CO120" s="90"/>
    </row>
    <row r="121" spans="1:93" ht="12.75" customHeight="1">
      <c r="A121" s="90"/>
      <c r="B121" s="96" t="s">
        <v>216</v>
      </c>
      <c r="C121" s="441">
        <f t="shared" ref="C121" si="229">AVERAGE(D121:CN121)</f>
        <v>1.1676610773471092</v>
      </c>
      <c r="D121" s="104" t="str">
        <f t="shared" ref="D121:X121" si="230">IF(D27=0,"-",(IF((-D163-D165)=0,"-",D120/(-D163-D165))))</f>
        <v>-</v>
      </c>
      <c r="E121" s="105" t="str">
        <f t="shared" si="230"/>
        <v>-</v>
      </c>
      <c r="F121" s="105" t="str">
        <f t="shared" si="230"/>
        <v>-</v>
      </c>
      <c r="G121" s="105" t="str">
        <f t="shared" si="230"/>
        <v>-</v>
      </c>
      <c r="H121" s="105" t="str">
        <f t="shared" si="230"/>
        <v>-</v>
      </c>
      <c r="I121" s="105" t="str">
        <f t="shared" si="230"/>
        <v>-</v>
      </c>
      <c r="J121" s="105" t="str">
        <f t="shared" si="230"/>
        <v>-</v>
      </c>
      <c r="K121" s="105" t="str">
        <f t="shared" si="230"/>
        <v>-</v>
      </c>
      <c r="L121" s="105" t="str">
        <f t="shared" si="230"/>
        <v>-</v>
      </c>
      <c r="M121" s="105" t="str">
        <f t="shared" si="230"/>
        <v>-</v>
      </c>
      <c r="N121" s="105" t="str">
        <f t="shared" si="230"/>
        <v>-</v>
      </c>
      <c r="O121" s="105" t="str">
        <f t="shared" si="230"/>
        <v>-</v>
      </c>
      <c r="P121" s="105" t="str">
        <f t="shared" si="230"/>
        <v>-</v>
      </c>
      <c r="Q121" s="105" t="str">
        <f t="shared" si="230"/>
        <v>-</v>
      </c>
      <c r="R121" s="105" t="str">
        <f t="shared" si="230"/>
        <v>-</v>
      </c>
      <c r="S121" s="105" t="str">
        <f t="shared" si="230"/>
        <v>-</v>
      </c>
      <c r="T121" s="105" t="str">
        <f t="shared" si="230"/>
        <v>-</v>
      </c>
      <c r="U121" s="105" t="str">
        <f t="shared" si="230"/>
        <v>-</v>
      </c>
      <c r="V121" s="105" t="str">
        <f t="shared" si="230"/>
        <v>-</v>
      </c>
      <c r="W121" s="105">
        <f t="shared" si="230"/>
        <v>1.3728515213716797</v>
      </c>
      <c r="X121" s="105">
        <f t="shared" si="230"/>
        <v>1.2</v>
      </c>
      <c r="Y121" s="105">
        <f t="shared" ref="Y121:CJ121" si="231">IF(Y27=0,"-",(IF((-Y163-Y165)=0,"-",Y120/(-Y163-Y165))))</f>
        <v>1.1999999999999997</v>
      </c>
      <c r="Z121" s="105">
        <f t="shared" si="231"/>
        <v>0.53434598080470475</v>
      </c>
      <c r="AA121" s="105">
        <f t="shared" si="231"/>
        <v>1.2</v>
      </c>
      <c r="AB121" s="105">
        <f t="shared" si="231"/>
        <v>1.2</v>
      </c>
      <c r="AC121" s="105">
        <f t="shared" si="231"/>
        <v>1.2</v>
      </c>
      <c r="AD121" s="105">
        <f t="shared" si="231"/>
        <v>0.64804584818171052</v>
      </c>
      <c r="AE121" s="105">
        <f t="shared" si="231"/>
        <v>1.2</v>
      </c>
      <c r="AF121" s="105">
        <f t="shared" si="231"/>
        <v>1.2000000000000002</v>
      </c>
      <c r="AG121" s="105">
        <f t="shared" si="231"/>
        <v>1.1999999999999997</v>
      </c>
      <c r="AH121" s="105">
        <f t="shared" si="231"/>
        <v>0.85896486728932586</v>
      </c>
      <c r="AI121" s="105">
        <f t="shared" si="231"/>
        <v>1.2</v>
      </c>
      <c r="AJ121" s="105">
        <f t="shared" si="231"/>
        <v>1.2</v>
      </c>
      <c r="AK121" s="105">
        <f t="shared" si="231"/>
        <v>1.2</v>
      </c>
      <c r="AL121" s="105">
        <f t="shared" si="231"/>
        <v>1.2000000000000002</v>
      </c>
      <c r="AM121" s="105">
        <f t="shared" si="231"/>
        <v>1.1999999999999997</v>
      </c>
      <c r="AN121" s="105">
        <f t="shared" si="231"/>
        <v>1.2</v>
      </c>
      <c r="AO121" s="105">
        <f t="shared" si="231"/>
        <v>1.2</v>
      </c>
      <c r="AP121" s="105">
        <f t="shared" si="231"/>
        <v>1.2</v>
      </c>
      <c r="AQ121" s="105">
        <f t="shared" si="231"/>
        <v>1.1999999999999997</v>
      </c>
      <c r="AR121" s="105">
        <f t="shared" si="231"/>
        <v>1.2</v>
      </c>
      <c r="AS121" s="105">
        <f t="shared" si="231"/>
        <v>1.8419965613360951</v>
      </c>
      <c r="AT121" s="105" t="str">
        <f t="shared" si="231"/>
        <v>-</v>
      </c>
      <c r="AU121" s="105" t="str">
        <f t="shared" si="231"/>
        <v>-</v>
      </c>
      <c r="AV121" s="105" t="str">
        <f t="shared" si="231"/>
        <v>-</v>
      </c>
      <c r="AW121" s="105" t="str">
        <f t="shared" si="231"/>
        <v>-</v>
      </c>
      <c r="AX121" s="105" t="str">
        <f t="shared" si="231"/>
        <v>-</v>
      </c>
      <c r="AY121" s="105" t="str">
        <f t="shared" si="231"/>
        <v>-</v>
      </c>
      <c r="AZ121" s="105" t="str">
        <f t="shared" si="231"/>
        <v>-</v>
      </c>
      <c r="BA121" s="105" t="str">
        <f t="shared" si="231"/>
        <v>-</v>
      </c>
      <c r="BB121" s="105" t="str">
        <f t="shared" si="231"/>
        <v>-</v>
      </c>
      <c r="BC121" s="105" t="str">
        <f t="shared" si="231"/>
        <v>-</v>
      </c>
      <c r="BD121" s="105" t="str">
        <f t="shared" si="231"/>
        <v>-</v>
      </c>
      <c r="BE121" s="105" t="str">
        <f t="shared" si="231"/>
        <v>-</v>
      </c>
      <c r="BF121" s="105" t="str">
        <f t="shared" si="231"/>
        <v>-</v>
      </c>
      <c r="BG121" s="105" t="str">
        <f t="shared" si="231"/>
        <v>-</v>
      </c>
      <c r="BH121" s="105" t="str">
        <f t="shared" si="231"/>
        <v>-</v>
      </c>
      <c r="BI121" s="105" t="str">
        <f t="shared" si="231"/>
        <v>-</v>
      </c>
      <c r="BJ121" s="105" t="str">
        <f t="shared" si="231"/>
        <v>-</v>
      </c>
      <c r="BK121" s="105" t="str">
        <f t="shared" si="231"/>
        <v>-</v>
      </c>
      <c r="BL121" s="105" t="str">
        <f t="shared" si="231"/>
        <v>-</v>
      </c>
      <c r="BM121" s="105" t="str">
        <f t="shared" si="231"/>
        <v>-</v>
      </c>
      <c r="BN121" s="105" t="str">
        <f t="shared" si="231"/>
        <v>-</v>
      </c>
      <c r="BO121" s="105" t="str">
        <f t="shared" si="231"/>
        <v>-</v>
      </c>
      <c r="BP121" s="105" t="str">
        <f t="shared" si="231"/>
        <v>-</v>
      </c>
      <c r="BQ121" s="105" t="str">
        <f t="shared" si="231"/>
        <v>-</v>
      </c>
      <c r="BR121" s="105" t="str">
        <f t="shared" si="231"/>
        <v>-</v>
      </c>
      <c r="BS121" s="105" t="str">
        <f t="shared" si="231"/>
        <v>-</v>
      </c>
      <c r="BT121" s="105" t="str">
        <f t="shared" si="231"/>
        <v>-</v>
      </c>
      <c r="BU121" s="105" t="str">
        <f t="shared" si="231"/>
        <v>-</v>
      </c>
      <c r="BV121" s="105" t="str">
        <f t="shared" si="231"/>
        <v>-</v>
      </c>
      <c r="BW121" s="105" t="str">
        <f t="shared" si="231"/>
        <v>-</v>
      </c>
      <c r="BX121" s="105" t="str">
        <f t="shared" si="231"/>
        <v>-</v>
      </c>
      <c r="BY121" s="105" t="str">
        <f t="shared" si="231"/>
        <v>-</v>
      </c>
      <c r="BZ121" s="105" t="str">
        <f t="shared" si="231"/>
        <v>-</v>
      </c>
      <c r="CA121" s="105" t="str">
        <f t="shared" si="231"/>
        <v>-</v>
      </c>
      <c r="CB121" s="105" t="str">
        <f t="shared" si="231"/>
        <v>-</v>
      </c>
      <c r="CC121" s="105" t="str">
        <f t="shared" si="231"/>
        <v>-</v>
      </c>
      <c r="CD121" s="105" t="str">
        <f t="shared" si="231"/>
        <v>-</v>
      </c>
      <c r="CE121" s="105" t="str">
        <f t="shared" si="231"/>
        <v>-</v>
      </c>
      <c r="CF121" s="105" t="str">
        <f t="shared" si="231"/>
        <v>-</v>
      </c>
      <c r="CG121" s="105" t="str">
        <f t="shared" si="231"/>
        <v>-</v>
      </c>
      <c r="CH121" s="105" t="str">
        <f t="shared" si="231"/>
        <v>-</v>
      </c>
      <c r="CI121" s="105" t="str">
        <f t="shared" si="231"/>
        <v>-</v>
      </c>
      <c r="CJ121" s="105" t="str">
        <f t="shared" si="231"/>
        <v>-</v>
      </c>
      <c r="CK121" s="105" t="str">
        <f t="shared" ref="CK121:CN121" si="232">IF(CK27=0,"-",(IF((-CK163-CK165)=0,"-",CK120/(-CK163-CK165))))</f>
        <v>-</v>
      </c>
      <c r="CL121" s="105" t="str">
        <f t="shared" si="232"/>
        <v>-</v>
      </c>
      <c r="CM121" s="105" t="str">
        <f t="shared" si="232"/>
        <v>-</v>
      </c>
      <c r="CN121" s="105" t="str">
        <f t="shared" si="232"/>
        <v>-</v>
      </c>
      <c r="CO121" s="90"/>
    </row>
    <row r="122" spans="1:93" ht="12.75" customHeight="1">
      <c r="A122" s="90"/>
      <c r="B122" s="96" t="s">
        <v>217</v>
      </c>
      <c r="C122" s="96">
        <f>SUM(D122:CN122)</f>
        <v>2785567.564410618</v>
      </c>
      <c r="D122" s="106">
        <f>-(D80+D78+D58+D57+D30+D31/(1+Assump!$D$24)*Assump!$D$24+D42*'ФОТ 2 этап'!I62)</f>
        <v>0</v>
      </c>
      <c r="E122" s="96">
        <f>-(E80+E78+E58+E57+E30+E31/(1+Assump!$D$24)*Assump!$D$24+E42*'ФОТ 2 этап'!I62)</f>
        <v>300</v>
      </c>
      <c r="F122" s="96">
        <f>-(F80+F78+F58+F57+F30+F31/(1+Assump!$D$24)*Assump!$D$24+F42*'ФОТ 2 этап'!I62)</f>
        <v>300</v>
      </c>
      <c r="G122" s="96">
        <f>-(G80+G78+G58+G57+G30+G31/(1+Assump!$D$24)*Assump!$D$24+G42*'ФОТ 2 этап'!I62)</f>
        <v>300</v>
      </c>
      <c r="H122" s="96">
        <f>-(H80+H78+H58+H57+H30+H31/(1+Assump!$D$24)*Assump!$D$24+H42*'ФОТ 2 этап'!I62)</f>
        <v>300</v>
      </c>
      <c r="I122" s="96">
        <f>-(I80+I78+I58+I57+I30+I31/(1+Assump!$D$24)*Assump!$D$24+I42*'ФОТ 2 этап'!I62)</f>
        <v>300</v>
      </c>
      <c r="J122" s="96">
        <f>-(J80+J78+J58+J57+J30+J31/(1+Assump!$D$24)*Assump!$D$24+J42*'ФОТ 2 этап'!I62)</f>
        <v>300</v>
      </c>
      <c r="K122" s="96">
        <f>-(K80+K78+K58+K57+K30+K31/(1+Assump!$D$24)*Assump!$D$24+K42*'ФОТ 2 этап'!I62)</f>
        <v>300</v>
      </c>
      <c r="L122" s="96">
        <f>-(L80+L78+L58+L57+L30+L31/(1+Assump!$D$24)*Assump!$D$24+L42*'ФОТ 2 этап'!I62)</f>
        <v>300</v>
      </c>
      <c r="M122" s="96">
        <f>-(M80+M78+M58+M57+M30+M31/(1+Assump!$D$24)*Assump!$D$24+M42*'ФОТ 2 этап'!I62)</f>
        <v>300</v>
      </c>
      <c r="N122" s="96">
        <f>-(N80+N78+N58+N57+N30+N31/(1+Assump!$D$24)*Assump!$D$24+N42*'ФОТ 2 этап'!I62)</f>
        <v>300</v>
      </c>
      <c r="O122" s="96">
        <f>-(O80+O78+O58+O57+O30+O31/(1+Assump!$D$24)*Assump!$D$24+O42*'ФОТ 2 этап'!I62)</f>
        <v>300</v>
      </c>
      <c r="P122" s="96">
        <f>-(P80+P78+P58+P57+P30+P31/(1+Assump!$D$24)*Assump!$D$24+P42*'ФОТ 2 этап'!I62)</f>
        <v>300</v>
      </c>
      <c r="Q122" s="96">
        <f>-(Q80+Q78+Q58+Q57+Q30+Q31/(1+Assump!$D$24)*Assump!$D$24+Q42*'ФОТ 2 этап'!I62)</f>
        <v>300</v>
      </c>
      <c r="R122" s="96">
        <f>-(R80+R78+R58+R57+R30+R31/(1+Assump!$D$24)*Assump!$D$24+R42*'ФОТ 2 этап'!I62)</f>
        <v>300</v>
      </c>
      <c r="S122" s="96">
        <f>-(S80+S78+S58+S57+S30+S31/(1+Assump!$D$24)*Assump!$D$24+S42*'ФОТ 2 этап'!I62)</f>
        <v>300</v>
      </c>
      <c r="T122" s="96">
        <f>-(T80+T78+T58+T57+T30+T31/(1+Assump!$D$24)*Assump!$D$24+T42*'ФОТ 2 этап'!I62)</f>
        <v>300</v>
      </c>
      <c r="U122" s="96">
        <f>-(U80+U78+U58+U57+U30+U31/(1+Assump!$D$24)*Assump!$D$24+U42*'ФОТ 2 этап'!I62)</f>
        <v>300</v>
      </c>
      <c r="V122" s="96">
        <f>-(V80+V78+V58+V57+V30+V31/(1+Assump!$D$24)*Assump!$D$24+V42*'ФОТ 2 этап'!I62)</f>
        <v>300</v>
      </c>
      <c r="W122" s="96">
        <f>-(W80+W78+W58+W57+W30+W31/(1+Assump!$D$24)*Assump!$D$24+W42*'ФОТ 2 этап'!I62)</f>
        <v>11524.286163987626</v>
      </c>
      <c r="X122" s="96">
        <f>-(X80+X78+X58+X57+X30+X31/(1+Assump!$D$24)*Assump!$D$24+X42*'ФОТ 2 этап'!I62)</f>
        <v>15084.825674779682</v>
      </c>
      <c r="Y122" s="96">
        <f>-(Y80+Y78+Y58+Y57+Y30+Y31/(1+Assump!$D$24)*Assump!$D$24+Y42*'ФОТ 2 этап'!I62)</f>
        <v>52773.520440466971</v>
      </c>
      <c r="Z122" s="96">
        <f>-(Z80+Z78+Z58+Z57+Z30+Z31/(1+Assump!$D$24)*Assump!$D$24+Z42*'ФОТ 2 этап'!I62)</f>
        <v>8721.1799492645077</v>
      </c>
      <c r="AA122" s="96">
        <f>-(AA80+AA78+AA58+AA57+AA30+AA31/(1+Assump!$D$24)*Assump!$D$24+AA42*'ФОТ 2 этап'!I62)</f>
        <v>13399.527199245578</v>
      </c>
      <c r="AB122" s="96">
        <f>-(AB80+AB78+AB58+AB57+AB30+AB31/(1+Assump!$D$24)*Assump!$D$24+AB42*'ФОТ 2 этап'!I62)</f>
        <v>18572.391929157853</v>
      </c>
      <c r="AC122" s="96">
        <f>-(AC80+AC78+AC58+AC57+AC30+AC31/(1+Assump!$D$24)*Assump!$D$24+AC42*'ФОТ 2 этап'!I62)</f>
        <v>61200.529530499414</v>
      </c>
      <c r="AD122" s="96">
        <f>-(AD80+AD78+AD58+AD57+AD30+AD31/(1+Assump!$D$24)*Assump!$D$24+AD42*'ФОТ 2 этап'!I62)</f>
        <v>9313.0571120753302</v>
      </c>
      <c r="AE122" s="96">
        <f>-(AE80+AE78+AE58+AE57+AE30+AE31/(1+Assump!$D$24)*Assump!$D$24+AE42*'ФОТ 2 этап'!I62)</f>
        <v>14345.808668387492</v>
      </c>
      <c r="AF122" s="96">
        <f>-(AF80+AF78+AF58+AF57+AF30+AF31/(1+Assump!$D$24)*Assump!$D$24+AF42*'ФОТ 2 этап'!I62)</f>
        <v>19687.144626654954</v>
      </c>
      <c r="AG122" s="96">
        <f>-(AG80+AG78+AG58+AG57+AG30+AG31/(1+Assump!$D$24)*Assump!$D$24+AG42*'ФОТ 2 этап'!I62)</f>
        <v>64327.009290527945</v>
      </c>
      <c r="AH122" s="96">
        <f>-(AH80+AH78+AH58+AH57+AH30+AH31/(1+Assump!$D$24)*Assump!$D$24+AH42*'ФОТ 2 этап'!I62)</f>
        <v>10053.98221036482</v>
      </c>
      <c r="AI122" s="96">
        <f>-(AI80+AI78+AI58+AI57+AI30+AI31/(1+Assump!$D$24)*Assump!$D$24+AI42*'ФОТ 2 этап'!I62)</f>
        <v>15340.020704576053</v>
      </c>
      <c r="AJ122" s="96">
        <f>-(AJ80+AJ78+AJ58+AJ57+AJ30+AJ31/(1+Assump!$D$24)*Assump!$D$24+AJ42*'ФОТ 2 этап'!I62)</f>
        <v>20954.347320133875</v>
      </c>
      <c r="AK122" s="96">
        <f>-(AK80+AK78+AK58+AK57+AK30+AK31/(1+Assump!$D$24)*Assump!$D$24+AK42*'ФОТ 2 этап'!I62)</f>
        <v>67832.225802093904</v>
      </c>
      <c r="AL122" s="96">
        <f>-(AL80+AL78+AL58+AL57+AL30+AL31/(1+Assump!$D$24)*Assump!$D$24+AL42*'ФОТ 2 этап'!I62)</f>
        <v>10850.000796948545</v>
      </c>
      <c r="AM122" s="96">
        <f>-(AM80+AM78+AM58+AM57+AM30+AM31/(1+Assump!$D$24)*Assump!$D$24+AM42*'ФОТ 2 этап'!I62)</f>
        <v>16403.465498851379</v>
      </c>
      <c r="AN122" s="96">
        <f>-(AN80+AN78+AN58+AN57+AN30+AN31/(1+Assump!$D$24)*Assump!$D$24+AN42*'ФОТ 2 этап'!I62)</f>
        <v>22304.686118586509</v>
      </c>
      <c r="AO122" s="96">
        <f>-(AO80+AO78+AO58+AO57+AO30+AO31/(1+Assump!$D$24)*Assump!$D$24+AO42*'ФОТ 2 этап'!I62)</f>
        <v>71532.802014052955</v>
      </c>
      <c r="AP122" s="96">
        <f>-(AP80+AP78+AP58+AP57+AP30+AP31/(1+Assump!$D$24)*Assump!$D$24+AP42*'ФОТ 2 этап'!I62)</f>
        <v>11706.280370942352</v>
      </c>
      <c r="AQ122" s="96">
        <f>-(AQ80+AQ78+AQ58+AQ57+AQ30+AQ31/(1+Assump!$D$24)*Assump!$D$24+AQ42*'ФОТ 2 этап'!I62)</f>
        <v>17545.101486555417</v>
      </c>
      <c r="AR122" s="96">
        <f>-(AR80+AR78+AR58+AR57+AR30+AR31/(1+Assump!$D$24)*Assump!$D$24+AR42*'ФОТ 2 этап'!I62)</f>
        <v>23748.102462960709</v>
      </c>
      <c r="AS122" s="96">
        <f>-(AS80+AS78+AS58+AS57+AS30+AS31/(1+Assump!$D$24)*Assump!$D$24+AS42*'ФОТ 2 этап'!I62)</f>
        <v>75444.384999378759</v>
      </c>
      <c r="AT122" s="96">
        <f>-(AT80+AT78+AT58+AT57+AT30+AT31/(1+Assump!$D$24)*Assump!$D$24+AT42*'ФОТ 2 этап'!I62)</f>
        <v>12538.903371602104</v>
      </c>
      <c r="AU122" s="96">
        <f>-(AU80+AU78+AU58+AU57+AU30+AU31/(1+Assump!$D$24)*Assump!$D$24+AU42*'ФОТ 2 этап'!I62)</f>
        <v>18663.353291126503</v>
      </c>
      <c r="AV122" s="96">
        <f>-(AV80+AV78+AV58+AV57+AV30+AV31/(1+Assump!$D$24)*Assump!$D$24+AV42*'ФОТ 2 этап'!I62)</f>
        <v>25131.285281829572</v>
      </c>
      <c r="AW122" s="96">
        <f>-(AW80+AW78+AW58+AW57+AW30+AW31/(1+Assump!$D$24)*Assump!$D$24+AW42*'ФОТ 2 этап'!I62)</f>
        <v>79338.416146493735</v>
      </c>
      <c r="AX122" s="96">
        <f>-(AX80+AX78+AX58+AX57+AX30+AX31/(1+Assump!$D$24)*Assump!$D$24+AX42*'ФОТ 2 этап'!I62)</f>
        <v>13107.123918396035</v>
      </c>
      <c r="AY122" s="96">
        <f>-(AY80+AY78+AY58+AY57+AY30+AY31/(1+Assump!$D$24)*Assump!$D$24+AY42*'ФОТ 2 этап'!I62)</f>
        <v>19539.44569398012</v>
      </c>
      <c r="AZ122" s="96">
        <f>-(AZ80+AZ78+AZ58+AZ57+AZ30+AZ31/(1+Assump!$D$24)*Assump!$D$24+AZ42*'ФОТ 2 этап'!I62)</f>
        <v>26330.774284218343</v>
      </c>
      <c r="BA122" s="96">
        <f>-(BA80+BA78+BA58+BA57+BA30+BA31/(1+Assump!$D$24)*Assump!$D$24+BA42*'ФОТ 2 этап'!I62)</f>
        <v>83248.261692115702</v>
      </c>
      <c r="BB122" s="96">
        <f>-(BB80+BB78+BB58+BB57+BB30+BB31/(1+Assump!$D$24)*Assump!$D$24+BB42*'ФОТ 2 этап'!I62)</f>
        <v>14358.65989170869</v>
      </c>
      <c r="BC122" s="96">
        <f>-(BC80+BC78+BC58+BC57+BC30+BC31/(1+Assump!$D$24)*Assump!$D$24+BC42*'ФОТ 2 этап'!I62)</f>
        <v>21642.381658993345</v>
      </c>
      <c r="BD122" s="96">
        <f>-(BD80+BD78+BD58+BD57+BD30+BD31/(1+Assump!$D$24)*Assump!$D$24+BD42*'ФОТ 2 этап'!I62)</f>
        <v>29345.672376547536</v>
      </c>
      <c r="BE122" s="96">
        <f>-(BE80+BE78+BE58+BE57+BE30+BE31/(1+Assump!$D$24)*Assump!$D$24+BE42*'ФОТ 2 этап'!I62)</f>
        <v>94020.995657965235</v>
      </c>
      <c r="BF122" s="96">
        <f>-(BF80+BF78+BF58+BF57+BF30+BF31/(1+Assump!$D$24)*Assump!$D$24+BF42*'ФОТ 2 этап'!I62)</f>
        <v>15029.096680163857</v>
      </c>
      <c r="BG122" s="96">
        <f>-(BG80+BG78+BG58+BG57+BG30+BG31/(1+Assump!$D$24)*Assump!$D$24+BG42*'ФОТ 2 этап'!I62)</f>
        <v>22678.566060152119</v>
      </c>
      <c r="BH122" s="96">
        <f>-(BH80+BH78+BH58+BH57+BH30+BH31/(1+Assump!$D$24)*Assump!$D$24+BH42*'ФОТ 2 этап'!I62)</f>
        <v>30767.02131358402</v>
      </c>
      <c r="BI122" s="96">
        <f>-(BI80+BI78+BI58+BI57+BI30+BI31/(1+Assump!$D$24)*Assump!$D$24+BI42*'ФОТ 2 этап'!I62)</f>
        <v>98676.110759072631</v>
      </c>
      <c r="BJ122" s="96">
        <f>-(BJ80+BJ78+BJ58+BJ57+BJ30+BJ31/(1+Assump!$D$24)*Assump!$D$24+BJ42*'ФОТ 2 этап'!I62)</f>
        <v>15733.055308041781</v>
      </c>
      <c r="BK122" s="96">
        <f>-(BK80+BK78+BK58+BK57+BK30+BK31/(1+Assump!$D$24)*Assump!$D$24+BK42*'ФОТ 2 этап'!I62)</f>
        <v>23766.559681368835</v>
      </c>
      <c r="BL122" s="96">
        <f>-(BL80+BL78+BL58+BL57+BL30+BL31/(1+Assump!$D$24)*Assump!$D$24+BL42*'ФОТ 2 этап'!I62)</f>
        <v>32259.437697472327</v>
      </c>
      <c r="BM122" s="96">
        <f>-(BM80+BM78+BM58+BM57+BM30+BM31/(1+Assump!$D$24)*Assump!$D$24+BM42*'ФОТ 2 этап'!I62)</f>
        <v>103563.98161523536</v>
      </c>
      <c r="BN122" s="96">
        <f>-(BN80+BN78+BN58+BN57+BN30+BN31/(1+Assump!$D$24)*Assump!$D$24+BN42*'ФОТ 2 этап'!I62)</f>
        <v>16472.211867313603</v>
      </c>
      <c r="BO122" s="96">
        <f>-(BO80+BO78+BO58+BO57+BO30+BO31/(1+Assump!$D$24)*Assump!$D$24+BO42*'ФОТ 2 этап'!I62)</f>
        <v>24908.952983646392</v>
      </c>
      <c r="BP122" s="96">
        <f>-(BP80+BP78+BP58+BP57+BP30+BP31/(1+Assump!$D$24)*Assump!$D$24+BP42*'ФОТ 2 этап'!I62)</f>
        <v>33826.474900555055</v>
      </c>
      <c r="BQ122" s="96">
        <f>-(BQ80+BQ78+BQ58+BQ57+BQ30+BQ31/(1+Assump!$D$24)*Assump!$D$24+BQ42*'ФОТ 2 этап'!I62)</f>
        <v>108696.24601420628</v>
      </c>
      <c r="BR122" s="96">
        <f>-(BR80+BR78+BR58+BR57+BR30+BR31/(1+Assump!$D$24)*Assump!$D$24+BR42*'ФОТ 2 этап'!I62)</f>
        <v>17248.326254549018</v>
      </c>
      <c r="BS122" s="96">
        <f>-(BS80+BS78+BS58+BS57+BS30+BS31/(1+Assump!$D$24)*Assump!$D$24+BS42*'ФОТ 2 этап'!I62)</f>
        <v>26108.465951037822</v>
      </c>
      <c r="BT122" s="96">
        <f>-(BT80+BT78+BT58+BT57+BT30+BT31/(1+Assump!$D$24)*Assump!$D$24+BT42*'ФОТ 2 этап'!I62)</f>
        <v>35471.863963791919</v>
      </c>
      <c r="BU122" s="96">
        <f>-(BU80+BU78+BU58+BU57+BU30+BU31/(1+Assump!$D$24)*Assump!$D$24+BU42*'ФОТ 2 этап'!I62)</f>
        <v>114085.12363312567</v>
      </c>
      <c r="BV122" s="96">
        <f>-(BV80+BV78+BV58+BV57+BV30+BV31/(1+Assump!$D$24)*Assump!$D$24+BV42*'ФОТ 2 этап'!I62)</f>
        <v>18063.246361146201</v>
      </c>
      <c r="BW122" s="96">
        <f>-(BW80+BW78+BW58+BW57+BW30+BW31/(1+Assump!$D$24)*Assump!$D$24+BW42*'ФОТ 2 этап'!I62)</f>
        <v>27367.95456679882</v>
      </c>
      <c r="BX122" s="96">
        <f>-(BX80+BX78+BX58+BX57+BX30+BX31/(1+Assump!$D$24)*Assump!$D$24+BX42*'ФОТ 2 этап'!I62)</f>
        <v>37199.522480190622</v>
      </c>
      <c r="BY122" s="96">
        <f>-(BY80+BY78+BY58+BY57+BY30+BY31/(1+Assump!$D$24)*Assump!$D$24+BY42*'ФОТ 2 этап'!I62)</f>
        <v>119743.4451329911</v>
      </c>
      <c r="BZ122" s="96">
        <f>-(BZ80+BZ78+BZ58+BZ57+BZ30+BZ31/(1+Assump!$D$24)*Assump!$D$24+BZ42*'ФОТ 2 этап'!I62)</f>
        <v>18918.912473073244</v>
      </c>
      <c r="CA122" s="96">
        <f>-(CA80+CA78+CA58+CA57+CA30+CA31/(1+Assump!$D$24)*Assump!$D$24+CA42*'ФОТ 2 этап'!I62)</f>
        <v>28690.417613347869</v>
      </c>
      <c r="CB122" s="96">
        <f>-(CB80+CB78+CB58+CB57+CB30+CB31/(1+Assump!$D$24)*Assump!$D$24+CB42*'ФОТ 2 этап'!I62)</f>
        <v>39013.563922409259</v>
      </c>
      <c r="CC122" s="96">
        <f>-(CC80+CC78+CC58+CC57+CC30+CC31/(1+Assump!$D$24)*Assump!$D$24+CC42*'ФОТ 2 этап'!I62)</f>
        <v>125684.68270784973</v>
      </c>
      <c r="CD122" s="96">
        <f>-(CD80+CD78+CD58+CD57+CD30+CD31/(1+Assump!$D$24)*Assump!$D$24+CD42*'ФОТ 2 этап'!I62)</f>
        <v>19817.36189059664</v>
      </c>
      <c r="CE122" s="96">
        <f>-(CE80+CE78+CE58+CE57+CE30+CE31/(1+Assump!$D$24)*Assump!$D$24+CE42*'ФОТ 2 этап'!I62)</f>
        <v>30079.003812224368</v>
      </c>
      <c r="CF122" s="96">
        <f>-(CF80+CF78+CF58+CF57+CF30+CF31/(1+Assump!$D$24)*Assump!$D$24+CF42*'ФОТ 2 этап'!I62)</f>
        <v>40918.30743673884</v>
      </c>
      <c r="CG122" s="96">
        <f>-(CG80+CG78+CG58+CG57+CG30+CG31/(1+Assump!$D$24)*Assump!$D$24+CG42*'ФОТ 2 этап'!I62)</f>
        <v>131922.98216145133</v>
      </c>
      <c r="CH122" s="96">
        <f>-(CH80+CH78+CH58+CH57+CH30+CH31/(1+Assump!$D$24)*Assump!$D$24+CH42*'ФОТ 2 этап'!I62)</f>
        <v>20760.733778996208</v>
      </c>
      <c r="CI122" s="96">
        <f>-(CI80+CI78+CI58+CI57+CI30+CI31/(1+Assump!$D$24)*Assump!$D$24+CI42*'ФОТ 2 этап'!I62)</f>
        <v>31537.019321044696</v>
      </c>
      <c r="CJ122" s="96">
        <f>-(CJ80+CJ78+CJ58+CJ57+CJ30+CJ31/(1+Assump!$D$24)*Assump!$D$24+CJ42*'ФОТ 2 этап'!I62)</f>
        <v>42918.288126784893</v>
      </c>
      <c r="CK122" s="96">
        <f>-(CK80+CK78+CK58+CK57+CK30+CK31/(1+Assump!$D$24)*Assump!$D$24+CK42*'ФОТ 2 этап'!I62)</f>
        <v>138473.19658773302</v>
      </c>
      <c r="CL122" s="96">
        <f>-(CL80+CL78+CL58+CL57+CL30+CL31/(1+Assump!$D$24)*Assump!$D$24+CL42*'ФОТ 2 этап'!I62)</f>
        <v>21751.274261815746</v>
      </c>
      <c r="CM122" s="96">
        <f>-(CM80+CM78+CM58+CM57+CM30+CM31/(1+Assump!$D$24)*Assump!$D$24+CM42*'ФОТ 2 этап'!I62)</f>
        <v>33067.935605306047</v>
      </c>
      <c r="CN122" s="96">
        <f>-(CN80+CN78+CN58+CN57+CN30+CN31/(1+Assump!$D$24)*Assump!$D$24+CN42*'ФОТ 2 этап'!I62)</f>
        <v>45018.267851333243</v>
      </c>
      <c r="CO122" s="90"/>
    </row>
    <row r="123" spans="1:93" ht="12.75" customHeight="1">
      <c r="A123" s="90"/>
      <c r="B123" s="96" t="s">
        <v>218</v>
      </c>
      <c r="C123" s="96">
        <f t="array" ref="C123">D122+NPV(Assump!D12,Model2!E122:CN122)</f>
        <v>579544.02981815906</v>
      </c>
      <c r="D123" s="92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</row>
    <row r="124" spans="1:93" ht="12.75" customHeight="1">
      <c r="A124" s="90"/>
      <c r="B124" s="96" t="s">
        <v>219</v>
      </c>
      <c r="C124" s="96">
        <f>SUM(D124:CN124)</f>
        <v>121330.5625</v>
      </c>
      <c r="D124" s="106">
        <f t="shared" ref="D124:CN124" si="233">D84</f>
        <v>0</v>
      </c>
      <c r="E124" s="96">
        <f t="shared" si="233"/>
        <v>0</v>
      </c>
      <c r="F124" s="96">
        <f t="shared" si="233"/>
        <v>0</v>
      </c>
      <c r="G124" s="96">
        <f t="shared" si="233"/>
        <v>0</v>
      </c>
      <c r="H124" s="96">
        <f t="shared" si="233"/>
        <v>0</v>
      </c>
      <c r="I124" s="96">
        <f t="shared" si="233"/>
        <v>0</v>
      </c>
      <c r="J124" s="96">
        <f t="shared" si="233"/>
        <v>0</v>
      </c>
      <c r="K124" s="96">
        <f t="shared" si="233"/>
        <v>0</v>
      </c>
      <c r="L124" s="96">
        <f t="shared" si="233"/>
        <v>4044.3520833333337</v>
      </c>
      <c r="M124" s="96">
        <f t="shared" si="233"/>
        <v>4044.3520833333337</v>
      </c>
      <c r="N124" s="96">
        <f t="shared" si="233"/>
        <v>4044.3520833333337</v>
      </c>
      <c r="O124" s="96">
        <f t="shared" si="233"/>
        <v>6774.2897395833324</v>
      </c>
      <c r="P124" s="96">
        <f t="shared" si="233"/>
        <v>8897.5745833333331</v>
      </c>
      <c r="Q124" s="96">
        <f t="shared" si="233"/>
        <v>8897.5745833333331</v>
      </c>
      <c r="R124" s="96">
        <f t="shared" si="233"/>
        <v>8897.5745833333331</v>
      </c>
      <c r="S124" s="96">
        <f t="shared" si="233"/>
        <v>12840.817864583332</v>
      </c>
      <c r="T124" s="96">
        <f t="shared" si="233"/>
        <v>11930.838645833333</v>
      </c>
      <c r="U124" s="96">
        <f t="shared" si="233"/>
        <v>23639.237927083333</v>
      </c>
      <c r="V124" s="96">
        <f t="shared" si="233"/>
        <v>24549.217145833332</v>
      </c>
      <c r="W124" s="96">
        <f t="shared" si="233"/>
        <v>2770.3811770833336</v>
      </c>
      <c r="X124" s="96">
        <f t="shared" si="233"/>
        <v>0</v>
      </c>
      <c r="Y124" s="96">
        <f t="shared" si="233"/>
        <v>0</v>
      </c>
      <c r="Z124" s="96">
        <f t="shared" si="233"/>
        <v>0</v>
      </c>
      <c r="AA124" s="96">
        <f t="shared" si="233"/>
        <v>0</v>
      </c>
      <c r="AB124" s="96">
        <f t="shared" si="233"/>
        <v>0</v>
      </c>
      <c r="AC124" s="96">
        <f t="shared" si="233"/>
        <v>0</v>
      </c>
      <c r="AD124" s="96">
        <f t="shared" si="233"/>
        <v>0</v>
      </c>
      <c r="AE124" s="96">
        <f t="shared" si="233"/>
        <v>0</v>
      </c>
      <c r="AF124" s="96">
        <f t="shared" si="233"/>
        <v>0</v>
      </c>
      <c r="AG124" s="96">
        <f t="shared" si="233"/>
        <v>0</v>
      </c>
      <c r="AH124" s="96">
        <f t="shared" si="233"/>
        <v>0</v>
      </c>
      <c r="AI124" s="96">
        <f t="shared" si="233"/>
        <v>0</v>
      </c>
      <c r="AJ124" s="96">
        <f t="shared" si="233"/>
        <v>0</v>
      </c>
      <c r="AK124" s="96">
        <f t="shared" si="233"/>
        <v>0</v>
      </c>
      <c r="AL124" s="96">
        <f t="shared" si="233"/>
        <v>0</v>
      </c>
      <c r="AM124" s="96">
        <f t="shared" si="233"/>
        <v>0</v>
      </c>
      <c r="AN124" s="96">
        <f t="shared" si="233"/>
        <v>0</v>
      </c>
      <c r="AO124" s="96">
        <f t="shared" si="233"/>
        <v>0</v>
      </c>
      <c r="AP124" s="96">
        <f t="shared" si="233"/>
        <v>0</v>
      </c>
      <c r="AQ124" s="96">
        <f t="shared" si="233"/>
        <v>0</v>
      </c>
      <c r="AR124" s="96">
        <f t="shared" si="233"/>
        <v>0</v>
      </c>
      <c r="AS124" s="96">
        <f t="shared" si="233"/>
        <v>0</v>
      </c>
      <c r="AT124" s="96">
        <f t="shared" si="233"/>
        <v>0</v>
      </c>
      <c r="AU124" s="96">
        <f t="shared" si="233"/>
        <v>0</v>
      </c>
      <c r="AV124" s="96">
        <f t="shared" si="233"/>
        <v>0</v>
      </c>
      <c r="AW124" s="96">
        <f t="shared" si="233"/>
        <v>0</v>
      </c>
      <c r="AX124" s="96">
        <f t="shared" si="233"/>
        <v>0</v>
      </c>
      <c r="AY124" s="96">
        <f t="shared" si="233"/>
        <v>0</v>
      </c>
      <c r="AZ124" s="96">
        <f t="shared" si="233"/>
        <v>0</v>
      </c>
      <c r="BA124" s="96">
        <f t="shared" si="233"/>
        <v>0</v>
      </c>
      <c r="BB124" s="96">
        <f t="shared" si="233"/>
        <v>0</v>
      </c>
      <c r="BC124" s="96">
        <f t="shared" si="233"/>
        <v>0</v>
      </c>
      <c r="BD124" s="96">
        <f t="shared" si="233"/>
        <v>0</v>
      </c>
      <c r="BE124" s="96">
        <f t="shared" si="233"/>
        <v>0</v>
      </c>
      <c r="BF124" s="96">
        <f t="shared" si="233"/>
        <v>0</v>
      </c>
      <c r="BG124" s="96">
        <f t="shared" si="233"/>
        <v>0</v>
      </c>
      <c r="BH124" s="96">
        <f t="shared" si="233"/>
        <v>0</v>
      </c>
      <c r="BI124" s="96">
        <f t="shared" si="233"/>
        <v>0</v>
      </c>
      <c r="BJ124" s="96">
        <f t="shared" si="233"/>
        <v>0</v>
      </c>
      <c r="BK124" s="96">
        <f t="shared" si="233"/>
        <v>0</v>
      </c>
      <c r="BL124" s="96">
        <f t="shared" si="233"/>
        <v>0</v>
      </c>
      <c r="BM124" s="96">
        <f t="shared" si="233"/>
        <v>0</v>
      </c>
      <c r="BN124" s="96">
        <f t="shared" si="233"/>
        <v>0</v>
      </c>
      <c r="BO124" s="96">
        <f t="shared" si="233"/>
        <v>0</v>
      </c>
      <c r="BP124" s="96">
        <f t="shared" si="233"/>
        <v>0</v>
      </c>
      <c r="BQ124" s="96">
        <f t="shared" si="233"/>
        <v>0</v>
      </c>
      <c r="BR124" s="96">
        <f t="shared" si="233"/>
        <v>0</v>
      </c>
      <c r="BS124" s="96">
        <f t="shared" si="233"/>
        <v>0</v>
      </c>
      <c r="BT124" s="96">
        <f t="shared" si="233"/>
        <v>0</v>
      </c>
      <c r="BU124" s="96">
        <f t="shared" si="233"/>
        <v>0</v>
      </c>
      <c r="BV124" s="96">
        <f t="shared" si="233"/>
        <v>0</v>
      </c>
      <c r="BW124" s="96">
        <f t="shared" si="233"/>
        <v>0</v>
      </c>
      <c r="BX124" s="96">
        <f t="shared" si="233"/>
        <v>0</v>
      </c>
      <c r="BY124" s="96">
        <f t="shared" si="233"/>
        <v>0</v>
      </c>
      <c r="BZ124" s="96">
        <f t="shared" si="233"/>
        <v>0</v>
      </c>
      <c r="CA124" s="96">
        <f t="shared" si="233"/>
        <v>0</v>
      </c>
      <c r="CB124" s="96">
        <f t="shared" si="233"/>
        <v>0</v>
      </c>
      <c r="CC124" s="96">
        <f t="shared" si="233"/>
        <v>0</v>
      </c>
      <c r="CD124" s="96">
        <f t="shared" si="233"/>
        <v>0</v>
      </c>
      <c r="CE124" s="96">
        <f t="shared" si="233"/>
        <v>0</v>
      </c>
      <c r="CF124" s="96">
        <f t="shared" si="233"/>
        <v>0</v>
      </c>
      <c r="CG124" s="96">
        <f t="shared" si="233"/>
        <v>0</v>
      </c>
      <c r="CH124" s="96">
        <f t="shared" si="233"/>
        <v>0</v>
      </c>
      <c r="CI124" s="96">
        <f t="shared" si="233"/>
        <v>0</v>
      </c>
      <c r="CJ124" s="96">
        <f t="shared" si="233"/>
        <v>0</v>
      </c>
      <c r="CK124" s="96">
        <f t="shared" si="233"/>
        <v>0</v>
      </c>
      <c r="CL124" s="96">
        <f t="shared" si="233"/>
        <v>0</v>
      </c>
      <c r="CM124" s="96">
        <f t="shared" si="233"/>
        <v>0</v>
      </c>
      <c r="CN124" s="96">
        <f t="shared" si="233"/>
        <v>0</v>
      </c>
      <c r="CO124" s="90"/>
    </row>
    <row r="125" spans="1:93" ht="12.75" customHeight="1">
      <c r="A125" s="90"/>
      <c r="B125" s="96" t="s">
        <v>220</v>
      </c>
      <c r="C125" s="96">
        <f t="array" ref="C125">D124+NPV(Assump!D12,Model2!E124:CN124)</f>
        <v>78275.561705568733</v>
      </c>
      <c r="D125" s="92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</row>
    <row r="126" spans="1:93" ht="12.75" customHeight="1">
      <c r="A126" s="90"/>
      <c r="B126" s="96" t="s">
        <v>221</v>
      </c>
      <c r="C126" s="96">
        <f>C123-C124</f>
        <v>458213.46731815906</v>
      </c>
      <c r="D126" s="92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>
        <f>MAX(-BB66,(Assump!$D$65-(BB81+BB85+BB87+BB89+BB90+BB91+BA95)))</f>
        <v>-11642.7448742938</v>
      </c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</row>
    <row r="127" spans="1:93" ht="12.75" customHeight="1">
      <c r="A127" s="35"/>
      <c r="B127" s="96" t="s">
        <v>222</v>
      </c>
      <c r="C127" s="107">
        <f>C123/C125</f>
        <v>7.4038948707656322</v>
      </c>
      <c r="D127" s="60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</row>
    <row r="128" spans="1:93" ht="12.75" customHeight="1">
      <c r="A128" s="35"/>
      <c r="B128" s="90"/>
      <c r="C128" s="90"/>
      <c r="D128" s="60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</row>
    <row r="129" spans="1:93" ht="12.75" customHeight="1" outlineLevel="1">
      <c r="A129" s="35"/>
      <c r="B129" s="35" t="s">
        <v>223</v>
      </c>
      <c r="C129" s="35"/>
      <c r="D129" s="60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</row>
    <row r="130" spans="1:93" ht="12.75" customHeight="1" outlineLevel="1">
      <c r="A130" s="35"/>
      <c r="B130" s="37" t="s">
        <v>224</v>
      </c>
      <c r="C130" s="37"/>
      <c r="D130" s="92">
        <f>-SUM(Y80:BL80)-SUM(Y78:BL78)-SUM(Y57:BL57)-SUM(Y58:BL58)-SUM(Y30:BL30)-SUM(Y31:BL31)/(1+Assump!D24)*Assump!D24-SUM(Y42:BL42)*'ФОТ 2 этап'!I62</f>
        <v>1302230.6892965576</v>
      </c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</row>
    <row r="131" spans="1:93" ht="12.75" customHeight="1" outlineLevel="1">
      <c r="A131" s="35"/>
      <c r="B131" s="35"/>
      <c r="C131" s="35"/>
      <c r="D131" s="60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</row>
    <row r="132" spans="1:93" ht="12.75" customHeight="1" outlineLevel="1">
      <c r="A132" s="35"/>
      <c r="B132" s="35" t="s">
        <v>164</v>
      </c>
      <c r="C132" s="35"/>
      <c r="D132" s="60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</row>
    <row r="133" spans="1:93" ht="12.75" customHeight="1" outlineLevel="1">
      <c r="A133" s="35"/>
      <c r="B133" s="49" t="s">
        <v>160</v>
      </c>
      <c r="C133" s="50">
        <f t="shared" ref="C133:C140" si="234">SUM(D133:CN133)</f>
        <v>4136856.9415455265</v>
      </c>
      <c r="D133" s="53">
        <f t="shared" ref="D133:AI133" si="235">D60</f>
        <v>0</v>
      </c>
      <c r="E133" s="50">
        <f t="shared" si="235"/>
        <v>-300</v>
      </c>
      <c r="F133" s="50">
        <f t="shared" si="235"/>
        <v>-300</v>
      </c>
      <c r="G133" s="50">
        <f t="shared" si="235"/>
        <v>-300</v>
      </c>
      <c r="H133" s="50">
        <f t="shared" si="235"/>
        <v>-300</v>
      </c>
      <c r="I133" s="50">
        <f t="shared" si="235"/>
        <v>-300</v>
      </c>
      <c r="J133" s="50">
        <f t="shared" si="235"/>
        <v>-300</v>
      </c>
      <c r="K133" s="50">
        <f t="shared" si="235"/>
        <v>-300</v>
      </c>
      <c r="L133" s="50">
        <f t="shared" si="235"/>
        <v>-300</v>
      </c>
      <c r="M133" s="50">
        <f t="shared" si="235"/>
        <v>-300</v>
      </c>
      <c r="N133" s="50">
        <f t="shared" si="235"/>
        <v>-300</v>
      </c>
      <c r="O133" s="50">
        <f t="shared" si="235"/>
        <v>-300</v>
      </c>
      <c r="P133" s="50">
        <f t="shared" si="235"/>
        <v>-300</v>
      </c>
      <c r="Q133" s="50">
        <f t="shared" si="235"/>
        <v>-300</v>
      </c>
      <c r="R133" s="50">
        <f t="shared" si="235"/>
        <v>-300</v>
      </c>
      <c r="S133" s="50">
        <f t="shared" si="235"/>
        <v>-300</v>
      </c>
      <c r="T133" s="50">
        <f t="shared" si="235"/>
        <v>-300</v>
      </c>
      <c r="U133" s="50">
        <f t="shared" si="235"/>
        <v>-300</v>
      </c>
      <c r="V133" s="50">
        <f t="shared" si="235"/>
        <v>-300</v>
      </c>
      <c r="W133" s="50">
        <f t="shared" si="235"/>
        <v>16344.065871547817</v>
      </c>
      <c r="X133" s="50">
        <f t="shared" si="235"/>
        <v>24941.492067799816</v>
      </c>
      <c r="Y133" s="50">
        <f t="shared" si="235"/>
        <v>98340.908726592708</v>
      </c>
      <c r="Z133" s="50">
        <f t="shared" si="235"/>
        <v>9256.7793584639694</v>
      </c>
      <c r="AA133" s="50">
        <f t="shared" si="235"/>
        <v>17652.12076812645</v>
      </c>
      <c r="AB133" s="50">
        <f t="shared" si="235"/>
        <v>26735.09295380197</v>
      </c>
      <c r="AC133" s="50">
        <f t="shared" si="235"/>
        <v>104532.29974293528</v>
      </c>
      <c r="AD133" s="50">
        <f t="shared" si="235"/>
        <v>9893.5059048842013</v>
      </c>
      <c r="AE133" s="50">
        <f t="shared" si="235"/>
        <v>18661.238228235088</v>
      </c>
      <c r="AF133" s="50">
        <f t="shared" si="235"/>
        <v>28153.026732011676</v>
      </c>
      <c r="AG133" s="50">
        <f t="shared" si="235"/>
        <v>109605.94453909231</v>
      </c>
      <c r="AH133" s="50">
        <f t="shared" si="235"/>
        <v>10622.701548037425</v>
      </c>
      <c r="AI133" s="50">
        <f t="shared" si="235"/>
        <v>19826.868582131625</v>
      </c>
      <c r="AJ133" s="50">
        <f t="shared" ref="AJ133:BO133" si="236">AJ60</f>
        <v>29793.246511097037</v>
      </c>
      <c r="AK133" s="50">
        <f t="shared" si="236"/>
        <v>115318.81020853172</v>
      </c>
      <c r="AL133" s="50">
        <f t="shared" si="236"/>
        <v>11388.356973348284</v>
      </c>
      <c r="AM133" s="50">
        <f t="shared" si="236"/>
        <v>21050.780453722989</v>
      </c>
      <c r="AN133" s="50">
        <f t="shared" si="236"/>
        <v>31515.477279136692</v>
      </c>
      <c r="AO133" s="50">
        <f t="shared" si="236"/>
        <v>121317.31916144307</v>
      </c>
      <c r="AP133" s="50">
        <f t="shared" si="236"/>
        <v>12192.29516992471</v>
      </c>
      <c r="AQ133" s="50">
        <f t="shared" si="236"/>
        <v>22335.887918893946</v>
      </c>
      <c r="AR133" s="50">
        <f t="shared" si="236"/>
        <v>33323.819585578298</v>
      </c>
      <c r="AS133" s="50">
        <f t="shared" si="236"/>
        <v>127615.75356200001</v>
      </c>
      <c r="AT133" s="50">
        <f t="shared" si="236"/>
        <v>13036.43027632996</v>
      </c>
      <c r="AU133" s="50">
        <f t="shared" si="236"/>
        <v>23685.250757323418</v>
      </c>
      <c r="AV133" s="50">
        <f t="shared" si="236"/>
        <v>35222.579007342014</v>
      </c>
      <c r="AW133" s="50">
        <f t="shared" si="236"/>
        <v>134229.10968258482</v>
      </c>
      <c r="AX133" s="50">
        <f t="shared" si="236"/>
        <v>13922.772138055469</v>
      </c>
      <c r="AY133" s="50">
        <f t="shared" si="236"/>
        <v>25102.081737674373</v>
      </c>
      <c r="AZ133" s="50">
        <f t="shared" si="236"/>
        <v>37216.276400193885</v>
      </c>
      <c r="BA133" s="50">
        <f t="shared" si="236"/>
        <v>141173.13360919885</v>
      </c>
      <c r="BB133" s="50">
        <f t="shared" si="236"/>
        <v>14853.431092867249</v>
      </c>
      <c r="BC133" s="50">
        <f t="shared" si="236"/>
        <v>26589.754267042881</v>
      </c>
      <c r="BD133" s="50">
        <f t="shared" si="236"/>
        <v>39309.658662688373</v>
      </c>
      <c r="BE133" s="50">
        <f t="shared" si="236"/>
        <v>148464.35873214353</v>
      </c>
      <c r="BF133" s="50">
        <f t="shared" si="236"/>
        <v>15830.622995419617</v>
      </c>
      <c r="BG133" s="50">
        <f t="shared" si="236"/>
        <v>28151.810422879811</v>
      </c>
      <c r="BH133" s="50">
        <f t="shared" si="236"/>
        <v>41507.710038307574</v>
      </c>
      <c r="BI133" s="50">
        <f t="shared" si="236"/>
        <v>156120.14511123556</v>
      </c>
      <c r="BJ133" s="50">
        <f t="shared" si="236"/>
        <v>16856.674493099599</v>
      </c>
      <c r="BK133" s="50">
        <f t="shared" si="236"/>
        <v>29791.969386508586</v>
      </c>
      <c r="BL133" s="50">
        <f t="shared" si="236"/>
        <v>43815.663982707752</v>
      </c>
      <c r="BM133" s="50">
        <f t="shared" si="236"/>
        <v>164158.72080928212</v>
      </c>
      <c r="BN133" s="50">
        <f t="shared" si="236"/>
        <v>17934.028565663582</v>
      </c>
      <c r="BO133" s="50">
        <f t="shared" si="236"/>
        <v>31514.136298318823</v>
      </c>
      <c r="BP133" s="50">
        <f t="shared" ref="BP133:CN133" si="237">BP60</f>
        <v>46239.015624327927</v>
      </c>
      <c r="BQ133" s="50">
        <f t="shared" si="237"/>
        <v>172599.22529223104</v>
      </c>
      <c r="BR133" s="50">
        <f t="shared" si="237"/>
        <v>19065.250341855775</v>
      </c>
      <c r="BS133" s="50">
        <f t="shared" si="237"/>
        <v>33322.411555719547</v>
      </c>
      <c r="BT133" s="50">
        <f t="shared" si="237"/>
        <v>48783.534848029114</v>
      </c>
      <c r="BU133" s="50">
        <f t="shared" si="237"/>
        <v>181461.75499932733</v>
      </c>
      <c r="BV133" s="50">
        <f t="shared" si="237"/>
        <v>20253.033206857566</v>
      </c>
      <c r="BW133" s="50">
        <f t="shared" si="237"/>
        <v>35221.10057599032</v>
      </c>
      <c r="BX133" s="50">
        <f t="shared" si="237"/>
        <v>51455.28003291534</v>
      </c>
      <c r="BY133" s="50">
        <f t="shared" si="237"/>
        <v>190767.41119177858</v>
      </c>
      <c r="BZ133" s="50">
        <f t="shared" si="237"/>
        <v>21500.205215109447</v>
      </c>
      <c r="CA133" s="50">
        <f t="shared" si="237"/>
        <v>37214.724047274605</v>
      </c>
      <c r="CB133" s="50">
        <f t="shared" si="237"/>
        <v>54260.612477045914</v>
      </c>
      <c r="CC133" s="50">
        <f t="shared" si="237"/>
        <v>200538.35019385224</v>
      </c>
      <c r="CD133" s="50">
        <f t="shared" si="237"/>
        <v>22809.735823773924</v>
      </c>
      <c r="CE133" s="50">
        <f t="shared" si="237"/>
        <v>39308.028692123138</v>
      </c>
      <c r="CF133" s="50">
        <f t="shared" si="237"/>
        <v>57206.211543382989</v>
      </c>
      <c r="CG133" s="50">
        <f t="shared" si="237"/>
        <v>210797.83614602964</v>
      </c>
      <c r="CH133" s="50">
        <f t="shared" si="237"/>
        <v>24184.742962871635</v>
      </c>
      <c r="CI133" s="50">
        <f t="shared" si="237"/>
        <v>41505.998569214076</v>
      </c>
      <c r="CJ133" s="50">
        <f t="shared" si="237"/>
        <v>60299.090563036953</v>
      </c>
      <c r="CK133" s="50">
        <f t="shared" si="237"/>
        <v>221570.29639581594</v>
      </c>
      <c r="CL133" s="50">
        <f t="shared" si="237"/>
        <v>25628.500458924231</v>
      </c>
      <c r="CM133" s="50">
        <f t="shared" si="237"/>
        <v>43813.866940159569</v>
      </c>
      <c r="CN133" s="50">
        <f t="shared" si="237"/>
        <v>63546.613533673575</v>
      </c>
      <c r="CO133" s="35"/>
    </row>
    <row r="134" spans="1:93" ht="12.75" customHeight="1" outlineLevel="1">
      <c r="A134" s="35"/>
      <c r="B134" s="63" t="s">
        <v>55</v>
      </c>
      <c r="C134" s="35">
        <f t="shared" si="234"/>
        <v>-21000</v>
      </c>
      <c r="D134" s="60">
        <f t="shared" ref="D134:AI134" si="238">D62</f>
        <v>0</v>
      </c>
      <c r="E134" s="35">
        <f t="shared" si="238"/>
        <v>0</v>
      </c>
      <c r="F134" s="35">
        <f t="shared" si="238"/>
        <v>0</v>
      </c>
      <c r="G134" s="35">
        <f t="shared" si="238"/>
        <v>0</v>
      </c>
      <c r="H134" s="35">
        <f t="shared" si="238"/>
        <v>0</v>
      </c>
      <c r="I134" s="35">
        <f t="shared" si="238"/>
        <v>0</v>
      </c>
      <c r="J134" s="35">
        <f t="shared" si="238"/>
        <v>0</v>
      </c>
      <c r="K134" s="35">
        <f t="shared" si="238"/>
        <v>0</v>
      </c>
      <c r="L134" s="35">
        <f t="shared" si="238"/>
        <v>0</v>
      </c>
      <c r="M134" s="35">
        <f t="shared" si="238"/>
        <v>0</v>
      </c>
      <c r="N134" s="35">
        <f t="shared" si="238"/>
        <v>0</v>
      </c>
      <c r="O134" s="35">
        <f t="shared" si="238"/>
        <v>0</v>
      </c>
      <c r="P134" s="35">
        <f t="shared" si="238"/>
        <v>0</v>
      </c>
      <c r="Q134" s="35">
        <f t="shared" si="238"/>
        <v>0</v>
      </c>
      <c r="R134" s="35">
        <f t="shared" si="238"/>
        <v>0</v>
      </c>
      <c r="S134" s="35">
        <f t="shared" si="238"/>
        <v>0</v>
      </c>
      <c r="T134" s="35">
        <f t="shared" si="238"/>
        <v>0</v>
      </c>
      <c r="U134" s="35">
        <f t="shared" si="238"/>
        <v>0</v>
      </c>
      <c r="V134" s="35">
        <f t="shared" si="238"/>
        <v>0</v>
      </c>
      <c r="W134" s="35">
        <f t="shared" si="238"/>
        <v>-300</v>
      </c>
      <c r="X134" s="35">
        <f t="shared" si="238"/>
        <v>-300</v>
      </c>
      <c r="Y134" s="35">
        <f t="shared" si="238"/>
        <v>-300</v>
      </c>
      <c r="Z134" s="35">
        <f t="shared" si="238"/>
        <v>-300</v>
      </c>
      <c r="AA134" s="35">
        <f t="shared" si="238"/>
        <v>-300</v>
      </c>
      <c r="AB134" s="35">
        <f t="shared" si="238"/>
        <v>-300</v>
      </c>
      <c r="AC134" s="35">
        <f t="shared" si="238"/>
        <v>-300</v>
      </c>
      <c r="AD134" s="35">
        <f t="shared" si="238"/>
        <v>-300</v>
      </c>
      <c r="AE134" s="35">
        <f t="shared" si="238"/>
        <v>-300</v>
      </c>
      <c r="AF134" s="35">
        <f t="shared" si="238"/>
        <v>-300</v>
      </c>
      <c r="AG134" s="35">
        <f t="shared" si="238"/>
        <v>-300</v>
      </c>
      <c r="AH134" s="35">
        <f t="shared" si="238"/>
        <v>-300</v>
      </c>
      <c r="AI134" s="35">
        <f t="shared" si="238"/>
        <v>-300</v>
      </c>
      <c r="AJ134" s="35">
        <f t="shared" ref="AJ134:BO134" si="239">AJ62</f>
        <v>-300</v>
      </c>
      <c r="AK134" s="35">
        <f t="shared" si="239"/>
        <v>-300</v>
      </c>
      <c r="AL134" s="35">
        <f t="shared" si="239"/>
        <v>-300</v>
      </c>
      <c r="AM134" s="35">
        <f t="shared" si="239"/>
        <v>-300</v>
      </c>
      <c r="AN134" s="35">
        <f t="shared" si="239"/>
        <v>-300</v>
      </c>
      <c r="AO134" s="35">
        <f t="shared" si="239"/>
        <v>-300</v>
      </c>
      <c r="AP134" s="35">
        <f t="shared" si="239"/>
        <v>-300</v>
      </c>
      <c r="AQ134" s="35">
        <f t="shared" si="239"/>
        <v>-300</v>
      </c>
      <c r="AR134" s="35">
        <f t="shared" si="239"/>
        <v>-300</v>
      </c>
      <c r="AS134" s="35">
        <f t="shared" si="239"/>
        <v>-300</v>
      </c>
      <c r="AT134" s="35">
        <f t="shared" si="239"/>
        <v>-300</v>
      </c>
      <c r="AU134" s="35">
        <f t="shared" si="239"/>
        <v>-300</v>
      </c>
      <c r="AV134" s="35">
        <f t="shared" si="239"/>
        <v>-300</v>
      </c>
      <c r="AW134" s="35">
        <f t="shared" si="239"/>
        <v>-300</v>
      </c>
      <c r="AX134" s="35">
        <f t="shared" si="239"/>
        <v>-300</v>
      </c>
      <c r="AY134" s="35">
        <f t="shared" si="239"/>
        <v>-300</v>
      </c>
      <c r="AZ134" s="35">
        <f t="shared" si="239"/>
        <v>-300</v>
      </c>
      <c r="BA134" s="35">
        <f t="shared" si="239"/>
        <v>-300</v>
      </c>
      <c r="BB134" s="35">
        <f t="shared" si="239"/>
        <v>-300</v>
      </c>
      <c r="BC134" s="35">
        <f t="shared" si="239"/>
        <v>-300</v>
      </c>
      <c r="BD134" s="35">
        <f t="shared" si="239"/>
        <v>-300</v>
      </c>
      <c r="BE134" s="35">
        <f t="shared" si="239"/>
        <v>-300</v>
      </c>
      <c r="BF134" s="35">
        <f t="shared" si="239"/>
        <v>-300</v>
      </c>
      <c r="BG134" s="35">
        <f t="shared" si="239"/>
        <v>-300</v>
      </c>
      <c r="BH134" s="35">
        <f t="shared" si="239"/>
        <v>-300</v>
      </c>
      <c r="BI134" s="35">
        <f t="shared" si="239"/>
        <v>-300</v>
      </c>
      <c r="BJ134" s="35">
        <f t="shared" si="239"/>
        <v>-300</v>
      </c>
      <c r="BK134" s="35">
        <f t="shared" si="239"/>
        <v>-300</v>
      </c>
      <c r="BL134" s="35">
        <f t="shared" si="239"/>
        <v>-300</v>
      </c>
      <c r="BM134" s="35">
        <f t="shared" si="239"/>
        <v>-300</v>
      </c>
      <c r="BN134" s="35">
        <f t="shared" si="239"/>
        <v>-300</v>
      </c>
      <c r="BO134" s="35">
        <f t="shared" si="239"/>
        <v>-300</v>
      </c>
      <c r="BP134" s="35">
        <f t="shared" ref="BP134:CN134" si="240">BP62</f>
        <v>-300</v>
      </c>
      <c r="BQ134" s="35">
        <f t="shared" si="240"/>
        <v>-300</v>
      </c>
      <c r="BR134" s="35">
        <f t="shared" si="240"/>
        <v>-300</v>
      </c>
      <c r="BS134" s="35">
        <f t="shared" si="240"/>
        <v>-300</v>
      </c>
      <c r="BT134" s="35">
        <f t="shared" si="240"/>
        <v>-300</v>
      </c>
      <c r="BU134" s="35">
        <f t="shared" si="240"/>
        <v>-300</v>
      </c>
      <c r="BV134" s="35">
        <f t="shared" si="240"/>
        <v>-300</v>
      </c>
      <c r="BW134" s="35">
        <f t="shared" si="240"/>
        <v>-300</v>
      </c>
      <c r="BX134" s="35">
        <f t="shared" si="240"/>
        <v>-300</v>
      </c>
      <c r="BY134" s="35">
        <f t="shared" si="240"/>
        <v>-300</v>
      </c>
      <c r="BZ134" s="35">
        <f t="shared" si="240"/>
        <v>-300</v>
      </c>
      <c r="CA134" s="35">
        <f t="shared" si="240"/>
        <v>-300</v>
      </c>
      <c r="CB134" s="35">
        <f t="shared" si="240"/>
        <v>-300</v>
      </c>
      <c r="CC134" s="35">
        <f t="shared" si="240"/>
        <v>-300</v>
      </c>
      <c r="CD134" s="35">
        <f t="shared" si="240"/>
        <v>-300</v>
      </c>
      <c r="CE134" s="35">
        <f t="shared" si="240"/>
        <v>-300</v>
      </c>
      <c r="CF134" s="35">
        <f t="shared" si="240"/>
        <v>-300</v>
      </c>
      <c r="CG134" s="35">
        <f t="shared" si="240"/>
        <v>-300</v>
      </c>
      <c r="CH134" s="35">
        <f t="shared" si="240"/>
        <v>-300</v>
      </c>
      <c r="CI134" s="35">
        <f t="shared" si="240"/>
        <v>-300</v>
      </c>
      <c r="CJ134" s="35">
        <f t="shared" si="240"/>
        <v>-300</v>
      </c>
      <c r="CK134" s="35">
        <f t="shared" si="240"/>
        <v>-300</v>
      </c>
      <c r="CL134" s="35">
        <f t="shared" si="240"/>
        <v>-300</v>
      </c>
      <c r="CM134" s="35">
        <f t="shared" si="240"/>
        <v>-300</v>
      </c>
      <c r="CN134" s="35">
        <f t="shared" si="240"/>
        <v>-300</v>
      </c>
      <c r="CO134" s="35"/>
    </row>
    <row r="135" spans="1:93" ht="12.75" customHeight="1" outlineLevel="1">
      <c r="A135" s="35"/>
      <c r="B135" s="63" t="s">
        <v>162</v>
      </c>
      <c r="C135" s="35">
        <f t="shared" si="234"/>
        <v>-188173.39816270935</v>
      </c>
      <c r="D135" s="60">
        <f t="shared" ref="D135:CN135" si="241">D165</f>
        <v>0</v>
      </c>
      <c r="E135" s="35">
        <f t="shared" si="241"/>
        <v>0</v>
      </c>
      <c r="F135" s="35">
        <f t="shared" si="241"/>
        <v>0</v>
      </c>
      <c r="G135" s="35">
        <f t="shared" si="241"/>
        <v>0</v>
      </c>
      <c r="H135" s="35">
        <f t="shared" si="241"/>
        <v>0</v>
      </c>
      <c r="I135" s="35">
        <f t="shared" si="241"/>
        <v>0</v>
      </c>
      <c r="J135" s="35">
        <f t="shared" si="241"/>
        <v>0</v>
      </c>
      <c r="K135" s="35">
        <f t="shared" si="241"/>
        <v>0</v>
      </c>
      <c r="L135" s="35">
        <f t="shared" si="241"/>
        <v>0</v>
      </c>
      <c r="M135" s="35">
        <f t="shared" si="241"/>
        <v>0</v>
      </c>
      <c r="N135" s="35">
        <f t="shared" si="241"/>
        <v>0</v>
      </c>
      <c r="O135" s="35">
        <f t="shared" si="241"/>
        <v>-398.11590820312523</v>
      </c>
      <c r="P135" s="35">
        <f t="shared" si="241"/>
        <v>-1399.0930488281253</v>
      </c>
      <c r="Q135" s="35">
        <f t="shared" si="241"/>
        <v>-2400.0701894531253</v>
      </c>
      <c r="R135" s="35">
        <f t="shared" si="241"/>
        <v>-3844.6621992187502</v>
      </c>
      <c r="S135" s="35">
        <f t="shared" si="241"/>
        <v>-5186.8815468749999</v>
      </c>
      <c r="T135" s="35">
        <f t="shared" si="241"/>
        <v>-7846.2958136718753</v>
      </c>
      <c r="U135" s="35">
        <f t="shared" si="241"/>
        <v>-10608.082742578126</v>
      </c>
      <c r="V135" s="35">
        <f t="shared" si="241"/>
        <v>-10919.750625000002</v>
      </c>
      <c r="W135" s="35">
        <f t="shared" si="241"/>
        <v>-10919.750625000002</v>
      </c>
      <c r="X135" s="35">
        <f t="shared" si="241"/>
        <v>-10832.08196265408</v>
      </c>
      <c r="Y135" s="35">
        <f t="shared" si="241"/>
        <v>-10613.794829963748</v>
      </c>
      <c r="Z135" s="35">
        <f t="shared" si="241"/>
        <v>-9396.0979034611446</v>
      </c>
      <c r="AA135" s="35">
        <f t="shared" si="241"/>
        <v>-9396.0979034611446</v>
      </c>
      <c r="AB135" s="35">
        <f t="shared" si="241"/>
        <v>-9304.6448281978683</v>
      </c>
      <c r="AC135" s="35">
        <f t="shared" si="241"/>
        <v>-9070.5197333726901</v>
      </c>
      <c r="AD135" s="35">
        <f t="shared" si="241"/>
        <v>-7812.6730654671619</v>
      </c>
      <c r="AE135" s="35">
        <f t="shared" si="241"/>
        <v>-7812.6730654671619</v>
      </c>
      <c r="AF135" s="35">
        <f t="shared" si="241"/>
        <v>-7682.6582091416649</v>
      </c>
      <c r="AG135" s="35">
        <f t="shared" si="241"/>
        <v>-7401.8585307778721</v>
      </c>
      <c r="AH135" s="35">
        <f t="shared" si="241"/>
        <v>-6048.4882382767</v>
      </c>
      <c r="AI135" s="35">
        <f t="shared" si="241"/>
        <v>-6048.4882382767</v>
      </c>
      <c r="AJ135" s="35">
        <f t="shared" si="241"/>
        <v>-5873.7541915414231</v>
      </c>
      <c r="AK135" s="35">
        <f t="shared" si="241"/>
        <v>-5540.0720460763241</v>
      </c>
      <c r="AL135" s="35">
        <f t="shared" si="241"/>
        <v>-4079.6604059862639</v>
      </c>
      <c r="AM135" s="35">
        <f t="shared" si="241"/>
        <v>-4070.1447743890376</v>
      </c>
      <c r="AN135" s="35">
        <f t="shared" si="241"/>
        <v>-3846.818067901424</v>
      </c>
      <c r="AO135" s="35">
        <f t="shared" si="241"/>
        <v>-3455.5260770441396</v>
      </c>
      <c r="AP135" s="35">
        <f t="shared" si="241"/>
        <v>-1880.39080736591</v>
      </c>
      <c r="AQ135" s="35">
        <f t="shared" si="241"/>
        <v>-1831.4715326944518</v>
      </c>
      <c r="AR135" s="35">
        <f t="shared" si="241"/>
        <v>-1553.6280026024003</v>
      </c>
      <c r="AS135" s="35">
        <f t="shared" si="241"/>
        <v>-1099.1530497618621</v>
      </c>
      <c r="AT135" s="35">
        <f t="shared" si="241"/>
        <v>0</v>
      </c>
      <c r="AU135" s="35">
        <f t="shared" si="241"/>
        <v>0</v>
      </c>
      <c r="AV135" s="35">
        <f t="shared" si="241"/>
        <v>0</v>
      </c>
      <c r="AW135" s="35">
        <f t="shared" si="241"/>
        <v>0</v>
      </c>
      <c r="AX135" s="35">
        <f t="shared" si="241"/>
        <v>0</v>
      </c>
      <c r="AY135" s="35">
        <f t="shared" si="241"/>
        <v>0</v>
      </c>
      <c r="AZ135" s="35">
        <f t="shared" si="241"/>
        <v>0</v>
      </c>
      <c r="BA135" s="35">
        <f t="shared" si="241"/>
        <v>0</v>
      </c>
      <c r="BB135" s="35">
        <f t="shared" si="241"/>
        <v>0</v>
      </c>
      <c r="BC135" s="35">
        <f t="shared" si="241"/>
        <v>0</v>
      </c>
      <c r="BD135" s="35">
        <f t="shared" si="241"/>
        <v>0</v>
      </c>
      <c r="BE135" s="35">
        <f t="shared" si="241"/>
        <v>0</v>
      </c>
      <c r="BF135" s="35">
        <f t="shared" si="241"/>
        <v>0</v>
      </c>
      <c r="BG135" s="35">
        <f t="shared" si="241"/>
        <v>0</v>
      </c>
      <c r="BH135" s="35">
        <f t="shared" si="241"/>
        <v>0</v>
      </c>
      <c r="BI135" s="35">
        <f t="shared" si="241"/>
        <v>0</v>
      </c>
      <c r="BJ135" s="35">
        <f t="shared" si="241"/>
        <v>0</v>
      </c>
      <c r="BK135" s="35">
        <f t="shared" si="241"/>
        <v>0</v>
      </c>
      <c r="BL135" s="35">
        <f t="shared" si="241"/>
        <v>0</v>
      </c>
      <c r="BM135" s="35">
        <f t="shared" si="241"/>
        <v>0</v>
      </c>
      <c r="BN135" s="35">
        <f t="shared" si="241"/>
        <v>0</v>
      </c>
      <c r="BO135" s="35">
        <f t="shared" si="241"/>
        <v>0</v>
      </c>
      <c r="BP135" s="35">
        <f t="shared" si="241"/>
        <v>0</v>
      </c>
      <c r="BQ135" s="35">
        <f t="shared" si="241"/>
        <v>0</v>
      </c>
      <c r="BR135" s="35">
        <f t="shared" si="241"/>
        <v>0</v>
      </c>
      <c r="BS135" s="35">
        <f t="shared" si="241"/>
        <v>0</v>
      </c>
      <c r="BT135" s="35">
        <f t="shared" si="241"/>
        <v>0</v>
      </c>
      <c r="BU135" s="35">
        <f t="shared" si="241"/>
        <v>0</v>
      </c>
      <c r="BV135" s="35">
        <f t="shared" si="241"/>
        <v>0</v>
      </c>
      <c r="BW135" s="35">
        <f t="shared" si="241"/>
        <v>0</v>
      </c>
      <c r="BX135" s="35">
        <f t="shared" si="241"/>
        <v>0</v>
      </c>
      <c r="BY135" s="35">
        <f t="shared" si="241"/>
        <v>0</v>
      </c>
      <c r="BZ135" s="35">
        <f t="shared" si="241"/>
        <v>0</v>
      </c>
      <c r="CA135" s="35">
        <f t="shared" si="241"/>
        <v>0</v>
      </c>
      <c r="CB135" s="35">
        <f t="shared" si="241"/>
        <v>0</v>
      </c>
      <c r="CC135" s="35">
        <f t="shared" si="241"/>
        <v>0</v>
      </c>
      <c r="CD135" s="35">
        <f t="shared" si="241"/>
        <v>0</v>
      </c>
      <c r="CE135" s="35">
        <f t="shared" si="241"/>
        <v>0</v>
      </c>
      <c r="CF135" s="35">
        <f t="shared" si="241"/>
        <v>0</v>
      </c>
      <c r="CG135" s="35">
        <f t="shared" si="241"/>
        <v>0</v>
      </c>
      <c r="CH135" s="35">
        <f t="shared" si="241"/>
        <v>0</v>
      </c>
      <c r="CI135" s="35">
        <f t="shared" si="241"/>
        <v>0</v>
      </c>
      <c r="CJ135" s="35">
        <f t="shared" si="241"/>
        <v>0</v>
      </c>
      <c r="CK135" s="35">
        <f t="shared" si="241"/>
        <v>0</v>
      </c>
      <c r="CL135" s="35">
        <f t="shared" si="241"/>
        <v>0</v>
      </c>
      <c r="CM135" s="35">
        <f t="shared" si="241"/>
        <v>0</v>
      </c>
      <c r="CN135" s="35">
        <f t="shared" si="241"/>
        <v>0</v>
      </c>
      <c r="CO135" s="35"/>
    </row>
    <row r="136" spans="1:93" ht="12.75" customHeight="1" outlineLevel="1">
      <c r="A136" s="35"/>
      <c r="B136" s="70" t="s">
        <v>225</v>
      </c>
      <c r="C136" s="70">
        <f t="shared" si="234"/>
        <v>3927683.5433828169</v>
      </c>
      <c r="D136" s="71">
        <f t="shared" ref="D136:CN136" si="242">SUM(D133:D135)</f>
        <v>0</v>
      </c>
      <c r="E136" s="70">
        <f t="shared" si="242"/>
        <v>-300</v>
      </c>
      <c r="F136" s="70">
        <f t="shared" si="242"/>
        <v>-300</v>
      </c>
      <c r="G136" s="70">
        <f t="shared" si="242"/>
        <v>-300</v>
      </c>
      <c r="H136" s="70">
        <f t="shared" si="242"/>
        <v>-300</v>
      </c>
      <c r="I136" s="70">
        <f t="shared" si="242"/>
        <v>-300</v>
      </c>
      <c r="J136" s="70">
        <f t="shared" si="242"/>
        <v>-300</v>
      </c>
      <c r="K136" s="70">
        <f t="shared" si="242"/>
        <v>-300</v>
      </c>
      <c r="L136" s="70">
        <f t="shared" si="242"/>
        <v>-300</v>
      </c>
      <c r="M136" s="70">
        <f t="shared" si="242"/>
        <v>-300</v>
      </c>
      <c r="N136" s="70">
        <f t="shared" si="242"/>
        <v>-300</v>
      </c>
      <c r="O136" s="70">
        <f t="shared" si="242"/>
        <v>-698.11590820312517</v>
      </c>
      <c r="P136" s="70">
        <f t="shared" si="242"/>
        <v>-1699.0930488281253</v>
      </c>
      <c r="Q136" s="70">
        <f t="shared" si="242"/>
        <v>-2700.0701894531253</v>
      </c>
      <c r="R136" s="70">
        <f t="shared" si="242"/>
        <v>-4144.6621992187502</v>
      </c>
      <c r="S136" s="70">
        <f t="shared" si="242"/>
        <v>-5486.8815468749999</v>
      </c>
      <c r="T136" s="70">
        <f t="shared" si="242"/>
        <v>-8146.2958136718753</v>
      </c>
      <c r="U136" s="70">
        <f t="shared" si="242"/>
        <v>-10908.082742578126</v>
      </c>
      <c r="V136" s="70">
        <f t="shared" si="242"/>
        <v>-11219.750625000002</v>
      </c>
      <c r="W136" s="70">
        <f t="shared" si="242"/>
        <v>5124.3152465478142</v>
      </c>
      <c r="X136" s="70">
        <f t="shared" si="242"/>
        <v>13809.410105145736</v>
      </c>
      <c r="Y136" s="70">
        <f t="shared" si="242"/>
        <v>87427.113896628958</v>
      </c>
      <c r="Z136" s="70">
        <f t="shared" si="242"/>
        <v>-439.3185449971752</v>
      </c>
      <c r="AA136" s="70">
        <f t="shared" si="242"/>
        <v>7956.022864665305</v>
      </c>
      <c r="AB136" s="70">
        <f t="shared" si="242"/>
        <v>17130.448125604104</v>
      </c>
      <c r="AC136" s="70">
        <f t="shared" si="242"/>
        <v>95161.780009562586</v>
      </c>
      <c r="AD136" s="70">
        <f t="shared" si="242"/>
        <v>1780.8328394170394</v>
      </c>
      <c r="AE136" s="70">
        <f t="shared" si="242"/>
        <v>10548.565162767925</v>
      </c>
      <c r="AF136" s="70">
        <f t="shared" si="242"/>
        <v>20170.368522870012</v>
      </c>
      <c r="AG136" s="70">
        <f t="shared" si="242"/>
        <v>101904.08600831444</v>
      </c>
      <c r="AH136" s="70">
        <f t="shared" si="242"/>
        <v>4274.2133097607248</v>
      </c>
      <c r="AI136" s="70">
        <f t="shared" si="242"/>
        <v>13478.380343854926</v>
      </c>
      <c r="AJ136" s="70">
        <f t="shared" si="242"/>
        <v>23619.492319555615</v>
      </c>
      <c r="AK136" s="70">
        <f t="shared" si="242"/>
        <v>109478.7381624554</v>
      </c>
      <c r="AL136" s="70">
        <f t="shared" si="242"/>
        <v>7008.6965673620198</v>
      </c>
      <c r="AM136" s="70">
        <f t="shared" si="242"/>
        <v>16680.635679333951</v>
      </c>
      <c r="AN136" s="70">
        <f t="shared" si="242"/>
        <v>27368.659211235266</v>
      </c>
      <c r="AO136" s="70">
        <f t="shared" si="242"/>
        <v>117561.79308439893</v>
      </c>
      <c r="AP136" s="70">
        <f t="shared" si="242"/>
        <v>10011.9043625588</v>
      </c>
      <c r="AQ136" s="70">
        <f t="shared" si="242"/>
        <v>20204.416386199493</v>
      </c>
      <c r="AR136" s="70">
        <f t="shared" si="242"/>
        <v>31470.191582975898</v>
      </c>
      <c r="AS136" s="70">
        <f t="shared" si="242"/>
        <v>126216.60051223815</v>
      </c>
      <c r="AT136" s="70">
        <f t="shared" si="242"/>
        <v>12736.43027632996</v>
      </c>
      <c r="AU136" s="70">
        <f t="shared" si="242"/>
        <v>23385.250757323418</v>
      </c>
      <c r="AV136" s="70">
        <f t="shared" si="242"/>
        <v>34922.579007342014</v>
      </c>
      <c r="AW136" s="70">
        <f t="shared" si="242"/>
        <v>133929.10968258482</v>
      </c>
      <c r="AX136" s="70">
        <f t="shared" si="242"/>
        <v>13622.772138055469</v>
      </c>
      <c r="AY136" s="70">
        <f t="shared" si="242"/>
        <v>24802.081737674373</v>
      </c>
      <c r="AZ136" s="70">
        <f t="shared" si="242"/>
        <v>36916.276400193885</v>
      </c>
      <c r="BA136" s="70">
        <f t="shared" si="242"/>
        <v>140873.13360919885</v>
      </c>
      <c r="BB136" s="70">
        <f t="shared" si="242"/>
        <v>14553.431092867249</v>
      </c>
      <c r="BC136" s="70">
        <f t="shared" si="242"/>
        <v>26289.754267042881</v>
      </c>
      <c r="BD136" s="70">
        <f t="shared" si="242"/>
        <v>39009.658662688373</v>
      </c>
      <c r="BE136" s="70">
        <f t="shared" si="242"/>
        <v>148164.35873214353</v>
      </c>
      <c r="BF136" s="70">
        <f t="shared" si="242"/>
        <v>15530.622995419617</v>
      </c>
      <c r="BG136" s="70">
        <f t="shared" si="242"/>
        <v>27851.810422879811</v>
      </c>
      <c r="BH136" s="70">
        <f t="shared" si="242"/>
        <v>41207.710038307574</v>
      </c>
      <c r="BI136" s="70">
        <f t="shared" si="242"/>
        <v>155820.14511123556</v>
      </c>
      <c r="BJ136" s="70">
        <f t="shared" si="242"/>
        <v>16556.674493099599</v>
      </c>
      <c r="BK136" s="70">
        <f t="shared" si="242"/>
        <v>29491.969386508586</v>
      </c>
      <c r="BL136" s="70">
        <f t="shared" si="242"/>
        <v>43515.663982707752</v>
      </c>
      <c r="BM136" s="70">
        <f t="shared" si="242"/>
        <v>163858.72080928212</v>
      </c>
      <c r="BN136" s="70">
        <f t="shared" si="242"/>
        <v>17634.028565663582</v>
      </c>
      <c r="BO136" s="70">
        <f t="shared" si="242"/>
        <v>31214.136298318823</v>
      </c>
      <c r="BP136" s="70">
        <f t="shared" si="242"/>
        <v>45939.015624327927</v>
      </c>
      <c r="BQ136" s="70">
        <f t="shared" si="242"/>
        <v>172299.22529223104</v>
      </c>
      <c r="BR136" s="70">
        <f t="shared" si="242"/>
        <v>18765.250341855775</v>
      </c>
      <c r="BS136" s="70">
        <f t="shared" si="242"/>
        <v>33022.411555719547</v>
      </c>
      <c r="BT136" s="70">
        <f t="shared" si="242"/>
        <v>48483.534848029114</v>
      </c>
      <c r="BU136" s="70">
        <f t="shared" si="242"/>
        <v>181161.75499932733</v>
      </c>
      <c r="BV136" s="70">
        <f t="shared" si="242"/>
        <v>19953.033206857566</v>
      </c>
      <c r="BW136" s="70">
        <f t="shared" si="242"/>
        <v>34921.10057599032</v>
      </c>
      <c r="BX136" s="70">
        <f t="shared" si="242"/>
        <v>51155.28003291534</v>
      </c>
      <c r="BY136" s="70">
        <f t="shared" si="242"/>
        <v>190467.41119177858</v>
      </c>
      <c r="BZ136" s="70">
        <f t="shared" si="242"/>
        <v>21200.205215109447</v>
      </c>
      <c r="CA136" s="70">
        <f t="shared" si="242"/>
        <v>36914.724047274605</v>
      </c>
      <c r="CB136" s="70">
        <f t="shared" si="242"/>
        <v>53960.612477045914</v>
      </c>
      <c r="CC136" s="70">
        <f t="shared" si="242"/>
        <v>200238.35019385224</v>
      </c>
      <c r="CD136" s="70">
        <f t="shared" si="242"/>
        <v>22509.735823773924</v>
      </c>
      <c r="CE136" s="70">
        <f t="shared" si="242"/>
        <v>39008.028692123138</v>
      </c>
      <c r="CF136" s="70">
        <f t="shared" si="242"/>
        <v>56906.211543382989</v>
      </c>
      <c r="CG136" s="70">
        <f t="shared" si="242"/>
        <v>210497.83614602964</v>
      </c>
      <c r="CH136" s="70">
        <f t="shared" si="242"/>
        <v>23884.742962871635</v>
      </c>
      <c r="CI136" s="70">
        <f t="shared" si="242"/>
        <v>41205.998569214076</v>
      </c>
      <c r="CJ136" s="70">
        <f t="shared" si="242"/>
        <v>59999.090563036953</v>
      </c>
      <c r="CK136" s="70">
        <f t="shared" si="242"/>
        <v>221270.29639581594</v>
      </c>
      <c r="CL136" s="70">
        <f t="shared" si="242"/>
        <v>25328.500458924231</v>
      </c>
      <c r="CM136" s="70">
        <f t="shared" si="242"/>
        <v>43513.866940159569</v>
      </c>
      <c r="CN136" s="70">
        <f t="shared" si="242"/>
        <v>63246.613533673575</v>
      </c>
      <c r="CO136" s="35"/>
    </row>
    <row r="137" spans="1:93" ht="12.75" customHeight="1" outlineLevel="1">
      <c r="A137" s="35"/>
      <c r="B137" s="63" t="s">
        <v>226</v>
      </c>
      <c r="C137" s="35">
        <f t="shared" si="234"/>
        <v>-48442.270618825307</v>
      </c>
      <c r="D137" s="60">
        <f t="shared" ref="D137:CN137" si="243">D145</f>
        <v>0</v>
      </c>
      <c r="E137" s="35">
        <f t="shared" si="243"/>
        <v>0</v>
      </c>
      <c r="F137" s="35">
        <f t="shared" si="243"/>
        <v>0</v>
      </c>
      <c r="G137" s="35">
        <f t="shared" si="243"/>
        <v>0</v>
      </c>
      <c r="H137" s="35">
        <f t="shared" si="243"/>
        <v>0</v>
      </c>
      <c r="I137" s="35">
        <f t="shared" si="243"/>
        <v>0</v>
      </c>
      <c r="J137" s="35">
        <f t="shared" si="243"/>
        <v>0</v>
      </c>
      <c r="K137" s="35">
        <f t="shared" si="243"/>
        <v>0</v>
      </c>
      <c r="L137" s="35">
        <f t="shared" si="243"/>
        <v>0</v>
      </c>
      <c r="M137" s="35">
        <f t="shared" si="243"/>
        <v>0</v>
      </c>
      <c r="N137" s="35">
        <f t="shared" si="243"/>
        <v>0</v>
      </c>
      <c r="O137" s="35">
        <f t="shared" si="243"/>
        <v>0</v>
      </c>
      <c r="P137" s="35">
        <f t="shared" si="243"/>
        <v>0</v>
      </c>
      <c r="Q137" s="35">
        <f t="shared" si="243"/>
        <v>0</v>
      </c>
      <c r="R137" s="35">
        <f t="shared" si="243"/>
        <v>0</v>
      </c>
      <c r="S137" s="35">
        <f t="shared" si="243"/>
        <v>0</v>
      </c>
      <c r="T137" s="35">
        <f t="shared" si="243"/>
        <v>0</v>
      </c>
      <c r="U137" s="35">
        <f t="shared" si="243"/>
        <v>0</v>
      </c>
      <c r="V137" s="35">
        <f t="shared" si="243"/>
        <v>0</v>
      </c>
      <c r="W137" s="35">
        <f t="shared" si="243"/>
        <v>-5124.3152465478142</v>
      </c>
      <c r="X137" s="35">
        <f t="shared" si="243"/>
        <v>-13809.410105145736</v>
      </c>
      <c r="Y137" s="35">
        <f t="shared" si="243"/>
        <v>-29069.226722134579</v>
      </c>
      <c r="Z137" s="35">
        <f t="shared" si="243"/>
        <v>0</v>
      </c>
      <c r="AA137" s="35">
        <f t="shared" si="243"/>
        <v>-439.3185449971752</v>
      </c>
      <c r="AB137" s="35">
        <f t="shared" si="243"/>
        <v>0</v>
      </c>
      <c r="AC137" s="35">
        <f t="shared" si="243"/>
        <v>0</v>
      </c>
      <c r="AD137" s="35">
        <f t="shared" si="243"/>
        <v>0</v>
      </c>
      <c r="AE137" s="35">
        <f t="shared" si="243"/>
        <v>0</v>
      </c>
      <c r="AF137" s="35">
        <f t="shared" si="243"/>
        <v>0</v>
      </c>
      <c r="AG137" s="35">
        <f t="shared" si="243"/>
        <v>0</v>
      </c>
      <c r="AH137" s="35">
        <f t="shared" si="243"/>
        <v>0</v>
      </c>
      <c r="AI137" s="35">
        <f t="shared" si="243"/>
        <v>0</v>
      </c>
      <c r="AJ137" s="35">
        <f t="shared" si="243"/>
        <v>0</v>
      </c>
      <c r="AK137" s="35">
        <f t="shared" si="243"/>
        <v>0</v>
      </c>
      <c r="AL137" s="35">
        <f t="shared" si="243"/>
        <v>0</v>
      </c>
      <c r="AM137" s="35">
        <f t="shared" si="243"/>
        <v>0</v>
      </c>
      <c r="AN137" s="35">
        <f t="shared" si="243"/>
        <v>0</v>
      </c>
      <c r="AO137" s="35">
        <f t="shared" si="243"/>
        <v>0</v>
      </c>
      <c r="AP137" s="35">
        <f t="shared" si="243"/>
        <v>0</v>
      </c>
      <c r="AQ137" s="35">
        <f t="shared" si="243"/>
        <v>0</v>
      </c>
      <c r="AR137" s="35">
        <f t="shared" si="243"/>
        <v>0</v>
      </c>
      <c r="AS137" s="35">
        <f t="shared" si="243"/>
        <v>0</v>
      </c>
      <c r="AT137" s="35">
        <f t="shared" si="243"/>
        <v>0</v>
      </c>
      <c r="AU137" s="35">
        <f t="shared" si="243"/>
        <v>0</v>
      </c>
      <c r="AV137" s="35">
        <f t="shared" si="243"/>
        <v>0</v>
      </c>
      <c r="AW137" s="35">
        <f t="shared" si="243"/>
        <v>0</v>
      </c>
      <c r="AX137" s="35">
        <f t="shared" si="243"/>
        <v>0</v>
      </c>
      <c r="AY137" s="35">
        <f t="shared" si="243"/>
        <v>0</v>
      </c>
      <c r="AZ137" s="35">
        <f t="shared" si="243"/>
        <v>0</v>
      </c>
      <c r="BA137" s="35">
        <f t="shared" si="243"/>
        <v>0</v>
      </c>
      <c r="BB137" s="35">
        <f t="shared" si="243"/>
        <v>0</v>
      </c>
      <c r="BC137" s="35">
        <f t="shared" si="243"/>
        <v>0</v>
      </c>
      <c r="BD137" s="35">
        <f t="shared" si="243"/>
        <v>0</v>
      </c>
      <c r="BE137" s="35">
        <f t="shared" si="243"/>
        <v>0</v>
      </c>
      <c r="BF137" s="35">
        <f t="shared" si="243"/>
        <v>0</v>
      </c>
      <c r="BG137" s="35">
        <f t="shared" si="243"/>
        <v>0</v>
      </c>
      <c r="BH137" s="35">
        <f t="shared" si="243"/>
        <v>0</v>
      </c>
      <c r="BI137" s="35">
        <f t="shared" si="243"/>
        <v>0</v>
      </c>
      <c r="BJ137" s="35">
        <f t="shared" si="243"/>
        <v>0</v>
      </c>
      <c r="BK137" s="35">
        <f t="shared" si="243"/>
        <v>0</v>
      </c>
      <c r="BL137" s="35">
        <f t="shared" si="243"/>
        <v>0</v>
      </c>
      <c r="BM137" s="35">
        <f t="shared" si="243"/>
        <v>0</v>
      </c>
      <c r="BN137" s="35">
        <f t="shared" si="243"/>
        <v>0</v>
      </c>
      <c r="BO137" s="35">
        <f t="shared" si="243"/>
        <v>0</v>
      </c>
      <c r="BP137" s="35">
        <f t="shared" si="243"/>
        <v>0</v>
      </c>
      <c r="BQ137" s="35">
        <f t="shared" si="243"/>
        <v>0</v>
      </c>
      <c r="BR137" s="35">
        <f t="shared" si="243"/>
        <v>0</v>
      </c>
      <c r="BS137" s="35">
        <f t="shared" si="243"/>
        <v>0</v>
      </c>
      <c r="BT137" s="35">
        <f t="shared" si="243"/>
        <v>0</v>
      </c>
      <c r="BU137" s="35">
        <f t="shared" si="243"/>
        <v>0</v>
      </c>
      <c r="BV137" s="35">
        <f t="shared" si="243"/>
        <v>0</v>
      </c>
      <c r="BW137" s="35">
        <f t="shared" si="243"/>
        <v>0</v>
      </c>
      <c r="BX137" s="35">
        <f t="shared" si="243"/>
        <v>0</v>
      </c>
      <c r="BY137" s="35">
        <f t="shared" si="243"/>
        <v>0</v>
      </c>
      <c r="BZ137" s="35">
        <f t="shared" si="243"/>
        <v>0</v>
      </c>
      <c r="CA137" s="35">
        <f t="shared" si="243"/>
        <v>0</v>
      </c>
      <c r="CB137" s="35">
        <f t="shared" si="243"/>
        <v>0</v>
      </c>
      <c r="CC137" s="35">
        <f t="shared" si="243"/>
        <v>0</v>
      </c>
      <c r="CD137" s="35">
        <f t="shared" si="243"/>
        <v>0</v>
      </c>
      <c r="CE137" s="35">
        <f t="shared" si="243"/>
        <v>0</v>
      </c>
      <c r="CF137" s="35">
        <f t="shared" si="243"/>
        <v>0</v>
      </c>
      <c r="CG137" s="35">
        <f t="shared" si="243"/>
        <v>0</v>
      </c>
      <c r="CH137" s="35">
        <f t="shared" si="243"/>
        <v>0</v>
      </c>
      <c r="CI137" s="35">
        <f t="shared" si="243"/>
        <v>0</v>
      </c>
      <c r="CJ137" s="35">
        <f t="shared" si="243"/>
        <v>0</v>
      </c>
      <c r="CK137" s="35">
        <f t="shared" si="243"/>
        <v>0</v>
      </c>
      <c r="CL137" s="35">
        <f t="shared" si="243"/>
        <v>0</v>
      </c>
      <c r="CM137" s="35">
        <f t="shared" si="243"/>
        <v>0</v>
      </c>
      <c r="CN137" s="35">
        <f t="shared" si="243"/>
        <v>0</v>
      </c>
      <c r="CO137" s="35"/>
    </row>
    <row r="138" spans="1:93" ht="12.75" customHeight="1" outlineLevel="1">
      <c r="A138" s="35"/>
      <c r="B138" s="70" t="s">
        <v>227</v>
      </c>
      <c r="C138" s="70">
        <f t="shared" si="234"/>
        <v>3879241.2727639917</v>
      </c>
      <c r="D138" s="71">
        <f t="shared" ref="D138:CN138" si="244">SUM(D136:D137)</f>
        <v>0</v>
      </c>
      <c r="E138" s="70">
        <f t="shared" si="244"/>
        <v>-300</v>
      </c>
      <c r="F138" s="70">
        <f t="shared" si="244"/>
        <v>-300</v>
      </c>
      <c r="G138" s="70">
        <f t="shared" si="244"/>
        <v>-300</v>
      </c>
      <c r="H138" s="70">
        <f t="shared" si="244"/>
        <v>-300</v>
      </c>
      <c r="I138" s="70">
        <f t="shared" si="244"/>
        <v>-300</v>
      </c>
      <c r="J138" s="70">
        <f t="shared" si="244"/>
        <v>-300</v>
      </c>
      <c r="K138" s="70">
        <f t="shared" si="244"/>
        <v>-300</v>
      </c>
      <c r="L138" s="70">
        <f t="shared" si="244"/>
        <v>-300</v>
      </c>
      <c r="M138" s="70">
        <f t="shared" si="244"/>
        <v>-300</v>
      </c>
      <c r="N138" s="70">
        <f t="shared" si="244"/>
        <v>-300</v>
      </c>
      <c r="O138" s="70">
        <f t="shared" si="244"/>
        <v>-698.11590820312517</v>
      </c>
      <c r="P138" s="70">
        <f t="shared" si="244"/>
        <v>-1699.0930488281253</v>
      </c>
      <c r="Q138" s="70">
        <f t="shared" si="244"/>
        <v>-2700.0701894531253</v>
      </c>
      <c r="R138" s="70">
        <f t="shared" si="244"/>
        <v>-4144.6621992187502</v>
      </c>
      <c r="S138" s="70">
        <f t="shared" si="244"/>
        <v>-5486.8815468749999</v>
      </c>
      <c r="T138" s="70">
        <f t="shared" si="244"/>
        <v>-8146.2958136718753</v>
      </c>
      <c r="U138" s="70">
        <f t="shared" si="244"/>
        <v>-10908.082742578126</v>
      </c>
      <c r="V138" s="70">
        <f t="shared" si="244"/>
        <v>-11219.750625000002</v>
      </c>
      <c r="W138" s="70">
        <f t="shared" si="244"/>
        <v>0</v>
      </c>
      <c r="X138" s="70">
        <f t="shared" si="244"/>
        <v>0</v>
      </c>
      <c r="Y138" s="70">
        <f t="shared" si="244"/>
        <v>58357.887174494375</v>
      </c>
      <c r="Z138" s="70">
        <f t="shared" si="244"/>
        <v>-439.3185449971752</v>
      </c>
      <c r="AA138" s="70">
        <f t="shared" si="244"/>
        <v>7516.7043196681298</v>
      </c>
      <c r="AB138" s="70">
        <f t="shared" si="244"/>
        <v>17130.448125604104</v>
      </c>
      <c r="AC138" s="70">
        <f t="shared" si="244"/>
        <v>95161.780009562586</v>
      </c>
      <c r="AD138" s="70">
        <f t="shared" si="244"/>
        <v>1780.8328394170394</v>
      </c>
      <c r="AE138" s="70">
        <f t="shared" si="244"/>
        <v>10548.565162767925</v>
      </c>
      <c r="AF138" s="70">
        <f t="shared" si="244"/>
        <v>20170.368522870012</v>
      </c>
      <c r="AG138" s="70">
        <f t="shared" si="244"/>
        <v>101904.08600831444</v>
      </c>
      <c r="AH138" s="70">
        <f t="shared" si="244"/>
        <v>4274.2133097607248</v>
      </c>
      <c r="AI138" s="70">
        <f t="shared" si="244"/>
        <v>13478.380343854926</v>
      </c>
      <c r="AJ138" s="70">
        <f t="shared" si="244"/>
        <v>23619.492319555615</v>
      </c>
      <c r="AK138" s="70">
        <f t="shared" si="244"/>
        <v>109478.7381624554</v>
      </c>
      <c r="AL138" s="70">
        <f t="shared" si="244"/>
        <v>7008.6965673620198</v>
      </c>
      <c r="AM138" s="70">
        <f t="shared" si="244"/>
        <v>16680.635679333951</v>
      </c>
      <c r="AN138" s="70">
        <f t="shared" si="244"/>
        <v>27368.659211235266</v>
      </c>
      <c r="AO138" s="70">
        <f t="shared" si="244"/>
        <v>117561.79308439893</v>
      </c>
      <c r="AP138" s="70">
        <f t="shared" si="244"/>
        <v>10011.9043625588</v>
      </c>
      <c r="AQ138" s="70">
        <f t="shared" si="244"/>
        <v>20204.416386199493</v>
      </c>
      <c r="AR138" s="70">
        <f t="shared" si="244"/>
        <v>31470.191582975898</v>
      </c>
      <c r="AS138" s="70">
        <f t="shared" si="244"/>
        <v>126216.60051223815</v>
      </c>
      <c r="AT138" s="70">
        <f t="shared" si="244"/>
        <v>12736.43027632996</v>
      </c>
      <c r="AU138" s="70">
        <f t="shared" si="244"/>
        <v>23385.250757323418</v>
      </c>
      <c r="AV138" s="70">
        <f t="shared" si="244"/>
        <v>34922.579007342014</v>
      </c>
      <c r="AW138" s="70">
        <f t="shared" si="244"/>
        <v>133929.10968258482</v>
      </c>
      <c r="AX138" s="70">
        <f t="shared" si="244"/>
        <v>13622.772138055469</v>
      </c>
      <c r="AY138" s="70">
        <f t="shared" si="244"/>
        <v>24802.081737674373</v>
      </c>
      <c r="AZ138" s="70">
        <f t="shared" si="244"/>
        <v>36916.276400193885</v>
      </c>
      <c r="BA138" s="70">
        <f t="shared" si="244"/>
        <v>140873.13360919885</v>
      </c>
      <c r="BB138" s="70">
        <f t="shared" si="244"/>
        <v>14553.431092867249</v>
      </c>
      <c r="BC138" s="70">
        <f t="shared" si="244"/>
        <v>26289.754267042881</v>
      </c>
      <c r="BD138" s="70">
        <f t="shared" si="244"/>
        <v>39009.658662688373</v>
      </c>
      <c r="BE138" s="70">
        <f t="shared" si="244"/>
        <v>148164.35873214353</v>
      </c>
      <c r="BF138" s="70">
        <f t="shared" si="244"/>
        <v>15530.622995419617</v>
      </c>
      <c r="BG138" s="70">
        <f t="shared" si="244"/>
        <v>27851.810422879811</v>
      </c>
      <c r="BH138" s="70">
        <f t="shared" si="244"/>
        <v>41207.710038307574</v>
      </c>
      <c r="BI138" s="70">
        <f t="shared" si="244"/>
        <v>155820.14511123556</v>
      </c>
      <c r="BJ138" s="70">
        <f t="shared" si="244"/>
        <v>16556.674493099599</v>
      </c>
      <c r="BK138" s="70">
        <f t="shared" si="244"/>
        <v>29491.969386508586</v>
      </c>
      <c r="BL138" s="70">
        <f t="shared" si="244"/>
        <v>43515.663982707752</v>
      </c>
      <c r="BM138" s="70">
        <f t="shared" si="244"/>
        <v>163858.72080928212</v>
      </c>
      <c r="BN138" s="70">
        <f t="shared" si="244"/>
        <v>17634.028565663582</v>
      </c>
      <c r="BO138" s="70">
        <f t="shared" si="244"/>
        <v>31214.136298318823</v>
      </c>
      <c r="BP138" s="70">
        <f t="shared" si="244"/>
        <v>45939.015624327927</v>
      </c>
      <c r="BQ138" s="70">
        <f t="shared" si="244"/>
        <v>172299.22529223104</v>
      </c>
      <c r="BR138" s="70">
        <f t="shared" si="244"/>
        <v>18765.250341855775</v>
      </c>
      <c r="BS138" s="70">
        <f t="shared" si="244"/>
        <v>33022.411555719547</v>
      </c>
      <c r="BT138" s="70">
        <f t="shared" si="244"/>
        <v>48483.534848029114</v>
      </c>
      <c r="BU138" s="70">
        <f t="shared" si="244"/>
        <v>181161.75499932733</v>
      </c>
      <c r="BV138" s="70">
        <f t="shared" si="244"/>
        <v>19953.033206857566</v>
      </c>
      <c r="BW138" s="70">
        <f t="shared" si="244"/>
        <v>34921.10057599032</v>
      </c>
      <c r="BX138" s="70">
        <f t="shared" si="244"/>
        <v>51155.28003291534</v>
      </c>
      <c r="BY138" s="70">
        <f t="shared" si="244"/>
        <v>190467.41119177858</v>
      </c>
      <c r="BZ138" s="70">
        <f t="shared" si="244"/>
        <v>21200.205215109447</v>
      </c>
      <c r="CA138" s="70">
        <f t="shared" si="244"/>
        <v>36914.724047274605</v>
      </c>
      <c r="CB138" s="70">
        <f t="shared" si="244"/>
        <v>53960.612477045914</v>
      </c>
      <c r="CC138" s="70">
        <f t="shared" si="244"/>
        <v>200238.35019385224</v>
      </c>
      <c r="CD138" s="70">
        <f t="shared" si="244"/>
        <v>22509.735823773924</v>
      </c>
      <c r="CE138" s="70">
        <f t="shared" si="244"/>
        <v>39008.028692123138</v>
      </c>
      <c r="CF138" s="70">
        <f t="shared" si="244"/>
        <v>56906.211543382989</v>
      </c>
      <c r="CG138" s="70">
        <f t="shared" si="244"/>
        <v>210497.83614602964</v>
      </c>
      <c r="CH138" s="70">
        <f t="shared" si="244"/>
        <v>23884.742962871635</v>
      </c>
      <c r="CI138" s="70">
        <f t="shared" si="244"/>
        <v>41205.998569214076</v>
      </c>
      <c r="CJ138" s="70">
        <f t="shared" si="244"/>
        <v>59999.090563036953</v>
      </c>
      <c r="CK138" s="70">
        <f t="shared" si="244"/>
        <v>221270.29639581594</v>
      </c>
      <c r="CL138" s="70">
        <f t="shared" si="244"/>
        <v>25328.500458924231</v>
      </c>
      <c r="CM138" s="70">
        <f t="shared" si="244"/>
        <v>43513.866940159569</v>
      </c>
      <c r="CN138" s="70">
        <f t="shared" si="244"/>
        <v>63246.613533673575</v>
      </c>
      <c r="CO138" s="35"/>
    </row>
    <row r="139" spans="1:93" ht="12.75" customHeight="1" outlineLevel="1">
      <c r="A139" s="35"/>
      <c r="B139" s="108" t="s">
        <v>164</v>
      </c>
      <c r="C139" s="74">
        <f t="shared" si="234"/>
        <v>-729685.76744836313</v>
      </c>
      <c r="D139" s="109">
        <f>-MAX(D138,0)*Assump!$D$27</f>
        <v>0</v>
      </c>
      <c r="E139" s="74">
        <f>-MAX(E138,0)*Assump!$D$27</f>
        <v>0</v>
      </c>
      <c r="F139" s="74">
        <f>-MAX(F138,0)*Assump!$D$27</f>
        <v>0</v>
      </c>
      <c r="G139" s="74">
        <f>-MAX(G138,0)*Assump!$D$27</f>
        <v>0</v>
      </c>
      <c r="H139" s="74">
        <f>-MAX(H138,0)*Assump!$D$27</f>
        <v>0</v>
      </c>
      <c r="I139" s="74">
        <f>-MAX(I138,0)*Assump!$D$27</f>
        <v>0</v>
      </c>
      <c r="J139" s="74">
        <f>-MAX(J138,0)*Assump!$D$27</f>
        <v>0</v>
      </c>
      <c r="K139" s="74">
        <f>-MAX(K138,0)*Assump!$D$27</f>
        <v>0</v>
      </c>
      <c r="L139" s="74">
        <f>-MAX(L138,0)*Assump!$D$27</f>
        <v>0</v>
      </c>
      <c r="M139" s="74">
        <f>-MAX(M138,0)*Assump!$D$27</f>
        <v>0</v>
      </c>
      <c r="N139" s="74">
        <f>-MAX(N138,0)*Assump!$D$27</f>
        <v>0</v>
      </c>
      <c r="O139" s="74">
        <f>-MAX(O138,0)*Assump!$D$27</f>
        <v>0</v>
      </c>
      <c r="P139" s="74">
        <f>-MAX(P138,0)*Assump!$D$27</f>
        <v>0</v>
      </c>
      <c r="Q139" s="74">
        <f>-MAX(Q138,0)*Assump!$D$27</f>
        <v>0</v>
      </c>
      <c r="R139" s="74">
        <f>-MAX(R138,0)*Assump!$D$27</f>
        <v>0</v>
      </c>
      <c r="S139" s="74">
        <f>-MAX(S138,0)*Assump!$D$27</f>
        <v>0</v>
      </c>
      <c r="T139" s="74">
        <f>-MAX(T138,0)*Assump!$D$27</f>
        <v>0</v>
      </c>
      <c r="U139" s="74">
        <f>-MAX(U138,0)*Assump!$D$27</f>
        <v>0</v>
      </c>
      <c r="V139" s="74">
        <f>-MAX(V138,0)*Assump!$D$27</f>
        <v>0</v>
      </c>
      <c r="W139" s="74">
        <f>-MAX(W138,0)*Assump!$D$27</f>
        <v>0</v>
      </c>
      <c r="X139" s="74">
        <f>-MAX(X138,0)*Assump!$D$27</f>
        <v>0</v>
      </c>
      <c r="Y139" s="74" cm="1">
        <f t="array" ref="Y139">_xlfn.IFS(Model2!Y9&lt;=Assump!$D$54+28,-MAX(Y138,0)*Assump!$D$26,Model2!Y9&gt;Assump!$D$54+28,-MAX(Y138,0)*Assump!$D$27)</f>
        <v>-9045.4725120466283</v>
      </c>
      <c r="Z139" s="74" cm="1">
        <f t="array" ref="Z139">_xlfn.IFS(Model2!Z9&lt;=Assump!$D$54+28,-MAX(Z138,0)*Assump!$D$26,Model2!Z9&gt;Assump!$D$54+28,-MAX(Z138,0)*Assump!$D$27)</f>
        <v>0</v>
      </c>
      <c r="AA139" s="74" cm="1">
        <f t="array" ref="AA139">_xlfn.IFS(Model2!AA9&lt;=Assump!$D$54+28,-MAX(AA138,0)*Assump!$D$26,Model2!AA9&gt;Assump!$D$54+28,-MAX(AA138,0)*Assump!$D$27)</f>
        <v>-1165.08916954856</v>
      </c>
      <c r="AB139" s="74" cm="1">
        <f t="array" ref="AB139">_xlfn.IFS(Model2!AB9&lt;=Assump!$D$54+28,-MAX(AB138,0)*Assump!$D$26,Model2!AB9&gt;Assump!$D$54+28,-MAX(AB138,0)*Assump!$D$27)</f>
        <v>-2655.2194594686362</v>
      </c>
      <c r="AC139" s="74" cm="1">
        <f t="array" ref="AC139">_xlfn.IFS(Model2!AC9&lt;=Assump!$D$54+28,-MAX(AC138,0)*Assump!$D$26,Model2!AC9&gt;Assump!$D$54+28,-MAX(AC138,0)*Assump!$D$27)</f>
        <v>-14750.075901482202</v>
      </c>
      <c r="AD139" s="74" cm="1">
        <f t="array" ref="AD139">_xlfn.IFS(Model2!AD9&lt;=Assump!$D$54+28,-MAX(AD138,0)*Assump!$D$26,Model2!AD9&gt;Assump!$D$54+28,-MAX(AD138,0)*Assump!$D$27)</f>
        <v>-276.02909010964112</v>
      </c>
      <c r="AE139" s="74" cm="1">
        <f t="array" ref="AE139">_xlfn.IFS(Model2!AE9&lt;=Assump!$D$54+28,-MAX(AE138,0)*Assump!$D$26,Model2!AE9&gt;Assump!$D$54+28,-MAX(AE138,0)*Assump!$D$27)</f>
        <v>-1635.0276002290284</v>
      </c>
      <c r="AF139" s="74" cm="1">
        <f t="array" ref="AF139">_xlfn.IFS(Model2!AF9&lt;=Assump!$D$54+28,-MAX(AF138,0)*Assump!$D$26,Model2!AF9&gt;Assump!$D$54+28,-MAX(AF138,0)*Assump!$D$27)</f>
        <v>-3126.4071210448519</v>
      </c>
      <c r="AG139" s="74" cm="1">
        <f t="array" ref="AG139">_xlfn.IFS(Model2!AG9&lt;=Assump!$D$54+28,-MAX(AG138,0)*Assump!$D$26,Model2!AG9&gt;Assump!$D$54+28,-MAX(AG138,0)*Assump!$D$27)</f>
        <v>-15795.133331288738</v>
      </c>
      <c r="AH139" s="74" cm="1">
        <f t="array" ref="AH139">_xlfn.IFS(Model2!AH9&lt;=Assump!$D$54+28,-MAX(AH138,0)*Assump!$D$26,Model2!AH9&gt;Assump!$D$54+28,-MAX(AH138,0)*Assump!$D$27)</f>
        <v>-662.50306301291232</v>
      </c>
      <c r="AI139" s="74" cm="1">
        <f t="array" ref="AI139">_xlfn.IFS(Model2!AI9&lt;=Assump!$D$54+28,-MAX(AI138,0)*Assump!$D$26,Model2!AI9&gt;Assump!$D$54+28,-MAX(AI138,0)*Assump!$D$27)</f>
        <v>-2089.1489532975133</v>
      </c>
      <c r="AJ139" s="74" cm="1">
        <f t="array" ref="AJ139">_xlfn.IFS(Model2!AJ9&lt;=Assump!$D$54+28,-MAX(AJ138,0)*Assump!$D$26,Model2!AJ9&gt;Assump!$D$54+28,-MAX(AJ138,0)*Assump!$D$27)</f>
        <v>-3661.0213095311201</v>
      </c>
      <c r="AK139" s="74" cm="1">
        <f t="array" ref="AK139">_xlfn.IFS(Model2!AK9&lt;=Assump!$D$54+28,-MAX(AK138,0)*Assump!$D$26,Model2!AK9&gt;Assump!$D$54+28,-MAX(AK138,0)*Assump!$D$27)</f>
        <v>-16969.204415180586</v>
      </c>
      <c r="AL139" s="74" cm="1">
        <f t="array" ref="AL139">_xlfn.IFS(Model2!AL9&lt;=Assump!$D$54+28,-MAX(AL138,0)*Assump!$D$26,Model2!AL9&gt;Assump!$D$54+28,-MAX(AL138,0)*Assump!$D$27)</f>
        <v>-1086.347967941113</v>
      </c>
      <c r="AM139" s="74" cm="1">
        <f t="array" ref="AM139">_xlfn.IFS(Model2!AM9&lt;=Assump!$D$54+28,-MAX(AM138,0)*Assump!$D$26,Model2!AM9&gt;Assump!$D$54+28,-MAX(AM138,0)*Assump!$D$27)</f>
        <v>-2585.4985302967625</v>
      </c>
      <c r="AN139" s="74" cm="1">
        <f t="array" ref="AN139">_xlfn.IFS(Model2!AN9&lt;=Assump!$D$54+28,-MAX(AN138,0)*Assump!$D$26,Model2!AN9&gt;Assump!$D$54+28,-MAX(AN138,0)*Assump!$D$27)</f>
        <v>-4242.1421777414662</v>
      </c>
      <c r="AO139" s="74" cm="1">
        <f t="array" ref="AO139">_xlfn.IFS(Model2!AO9&lt;=Assump!$D$54+28,-MAX(AO138,0)*Assump!$D$26,Model2!AO9&gt;Assump!$D$54+28,-MAX(AO138,0)*Assump!$D$27)</f>
        <v>-18222.077928081835</v>
      </c>
      <c r="AP139" s="74" cm="1">
        <f t="array" ref="AP139">_xlfn.IFS(Model2!AP9&lt;=Assump!$D$54+28,-MAX(AP138,0)*Assump!$D$26,Model2!AP9&gt;Assump!$D$54+28,-MAX(AP138,0)*Assump!$D$27)</f>
        <v>-1551.8451761966139</v>
      </c>
      <c r="AQ139" s="74" cm="1">
        <f t="array" ref="AQ139">_xlfn.IFS(Model2!AQ9&lt;=Assump!$D$54+28,-MAX(AQ138,0)*Assump!$D$26,Model2!AQ9&gt;Assump!$D$54+28,-MAX(AQ138,0)*Assump!$D$27)</f>
        <v>-3131.6845398609212</v>
      </c>
      <c r="AR139" s="74" cm="1">
        <f t="array" ref="AR139">_xlfn.IFS(Model2!AR9&lt;=Assump!$D$54+28,-MAX(AR138,0)*Assump!$D$26,Model2!AR9&gt;Assump!$D$54+28,-MAX(AR138,0)*Assump!$D$27)</f>
        <v>-4877.8796953612646</v>
      </c>
      <c r="AS139" s="74" cm="1">
        <f t="array" ref="AS139">_xlfn.IFS(Model2!AS9&lt;=Assump!$D$54+28,-MAX(AS138,0)*Assump!$D$26,Model2!AS9&gt;Assump!$D$54+28,-MAX(AS138,0)*Assump!$D$27)</f>
        <v>-19563.573079396912</v>
      </c>
      <c r="AT139" s="74" cm="1">
        <f t="array" ref="AT139">_xlfn.IFS(Model2!AT9&lt;=Assump!$D$54+28,-MAX(AT138,0)*Assump!$D$26,Model2!AT9&gt;Assump!$D$54+28,-MAX(AT138,0)*Assump!$D$27)</f>
        <v>-1974.1466928311438</v>
      </c>
      <c r="AU139" s="74" cm="1">
        <f t="array" ref="AU139">_xlfn.IFS(Model2!AU9&lt;=Assump!$D$54+28,-MAX(AU138,0)*Assump!$D$26,Model2!AU9&gt;Assump!$D$54+28,-MAX(AU138,0)*Assump!$D$27)</f>
        <v>-3624.7138673851296</v>
      </c>
      <c r="AV139" s="74" cm="1">
        <f t="array" ref="AV139">_xlfn.IFS(Model2!AV9&lt;=Assump!$D$54+28,-MAX(AV138,0)*Assump!$D$26,Model2!AV9&gt;Assump!$D$54+28,-MAX(AV138,0)*Assump!$D$27)</f>
        <v>-5412.9997461380117</v>
      </c>
      <c r="AW139" s="74" cm="1">
        <f t="array" ref="AW139">_xlfn.IFS(Model2!AW9&lt;=Assump!$D$54+28,-MAX(AW138,0)*Assump!$D$26,Model2!AW9&gt;Assump!$D$54+28,-MAX(AW138,0)*Assump!$D$27)</f>
        <v>-20759.012000800649</v>
      </c>
      <c r="AX139" s="74" cm="1">
        <f t="array" ref="AX139">_xlfn.IFS(Model2!AX9&lt;=Assump!$D$54+28,-MAX(AX138,0)*Assump!$D$26,Model2!AX9&gt;Assump!$D$54+28,-MAX(AX138,0)*Assump!$D$27)</f>
        <v>-2111.5296813985974</v>
      </c>
      <c r="AY139" s="74" cm="1">
        <f t="array" ref="AY139">_xlfn.IFS(Model2!AY9&lt;=Assump!$D$54+28,-MAX(AY138,0)*Assump!$D$26,Model2!AY9&gt;Assump!$D$54+28,-MAX(AY138,0)*Assump!$D$27)</f>
        <v>-3844.3226693395277</v>
      </c>
      <c r="AZ139" s="74" cm="1">
        <f t="array" ref="AZ139">_xlfn.IFS(Model2!AZ9&lt;=Assump!$D$54+28,-MAX(AZ138,0)*Assump!$D$26,Model2!AZ9&gt;Assump!$D$54+28,-MAX(AZ138,0)*Assump!$D$27)</f>
        <v>-5722.0228420300518</v>
      </c>
      <c r="BA139" s="74" cm="1">
        <f t="array" ref="BA139">_xlfn.IFS(Model2!BA9&lt;=Assump!$D$54+28,-MAX(BA138,0)*Assump!$D$26,Model2!BA9&gt;Assump!$D$54+28,-MAX(BA138,0)*Assump!$D$27)</f>
        <v>-21835.335709425821</v>
      </c>
      <c r="BB139" s="74" cm="1">
        <f t="array" ref="BB139">_xlfn.IFS(Model2!BB9&lt;=Assump!$D$54+28,-MAX(BB138,0)*Assump!$D$26,Model2!BB9&gt;Assump!$D$54+28,-MAX(BB138,0)*Assump!$D$27)</f>
        <v>-2910.6862185734499</v>
      </c>
      <c r="BC139" s="74" cm="1">
        <f t="array" ref="BC139">_xlfn.IFS(Model2!BC9&lt;=Assump!$D$54+28,-MAX(BC138,0)*Assump!$D$26,Model2!BC9&gt;Assump!$D$54+28,-MAX(BC138,0)*Assump!$D$27)</f>
        <v>-5257.9508534085762</v>
      </c>
      <c r="BD139" s="74" cm="1">
        <f t="array" ref="BD139">_xlfn.IFS(Model2!BD9&lt;=Assump!$D$54+28,-MAX(BD138,0)*Assump!$D$26,Model2!BD9&gt;Assump!$D$54+28,-MAX(BD138,0)*Assump!$D$27)</f>
        <v>-7801.9317325376751</v>
      </c>
      <c r="BE139" s="74" cm="1">
        <f t="array" ref="BE139">_xlfn.IFS(Model2!BE9&lt;=Assump!$D$54+28,-MAX(BE138,0)*Assump!$D$26,Model2!BE9&gt;Assump!$D$54+28,-MAX(BE138,0)*Assump!$D$27)</f>
        <v>-29632.871746428707</v>
      </c>
      <c r="BF139" s="74" cm="1">
        <f t="array" ref="BF139">_xlfn.IFS(Model2!BF9&lt;=Assump!$D$54+28,-MAX(BF138,0)*Assump!$D$26,Model2!BF9&gt;Assump!$D$54+28,-MAX(BF138,0)*Assump!$D$27)</f>
        <v>-3106.1245990839234</v>
      </c>
      <c r="BG139" s="74" cm="1">
        <f t="array" ref="BG139">_xlfn.IFS(Model2!BG9&lt;=Assump!$D$54+28,-MAX(BG138,0)*Assump!$D$26,Model2!BG9&gt;Assump!$D$54+28,-MAX(BG138,0)*Assump!$D$27)</f>
        <v>-5570.3620845759624</v>
      </c>
      <c r="BH139" s="74" cm="1">
        <f t="array" ref="BH139">_xlfn.IFS(Model2!BH9&lt;=Assump!$D$54+28,-MAX(BH138,0)*Assump!$D$26,Model2!BH9&gt;Assump!$D$54+28,-MAX(BH138,0)*Assump!$D$27)</f>
        <v>-8241.5420076615155</v>
      </c>
      <c r="BI139" s="74" cm="1">
        <f t="array" ref="BI139">_xlfn.IFS(Model2!BI9&lt;=Assump!$D$54+28,-MAX(BI138,0)*Assump!$D$26,Model2!BI9&gt;Assump!$D$54+28,-MAX(BI138,0)*Assump!$D$27)</f>
        <v>-31164.029022247112</v>
      </c>
      <c r="BJ139" s="74" cm="1">
        <f t="array" ref="BJ139">_xlfn.IFS(Model2!BJ9&lt;=Assump!$D$54+28,-MAX(BJ138,0)*Assump!$D$26,Model2!BJ9&gt;Assump!$D$54+28,-MAX(BJ138,0)*Assump!$D$27)</f>
        <v>-3311.3348986199198</v>
      </c>
      <c r="BK139" s="74" cm="1">
        <f t="array" ref="BK139">_xlfn.IFS(Model2!BK9&lt;=Assump!$D$54+28,-MAX(BK138,0)*Assump!$D$26,Model2!BK9&gt;Assump!$D$54+28,-MAX(BK138,0)*Assump!$D$27)</f>
        <v>-5898.393877301718</v>
      </c>
      <c r="BL139" s="74" cm="1">
        <f t="array" ref="BL139">_xlfn.IFS(Model2!BL9&lt;=Assump!$D$54+28,-MAX(BL138,0)*Assump!$D$26,Model2!BL9&gt;Assump!$D$54+28,-MAX(BL138,0)*Assump!$D$27)</f>
        <v>-8703.1327965415512</v>
      </c>
      <c r="BM139" s="74" cm="1">
        <f t="array" ref="BM139">_xlfn.IFS(Model2!BM9&lt;=Assump!$D$54+28,-MAX(BM138,0)*Assump!$D$26,Model2!BM9&gt;Assump!$D$54+28,-MAX(BM138,0)*Assump!$D$27)</f>
        <v>-32771.744161856426</v>
      </c>
      <c r="BN139" s="74" cm="1">
        <f t="array" ref="BN139">_xlfn.IFS(Model2!BN9&lt;=Assump!$D$54+28,-MAX(BN138,0)*Assump!$D$26,Model2!BN9&gt;Assump!$D$54+28,-MAX(BN138,0)*Assump!$D$27)</f>
        <v>-3526.8057131327168</v>
      </c>
      <c r="BO139" s="74" cm="1">
        <f t="array" ref="BO139">_xlfn.IFS(Model2!BO9&lt;=Assump!$D$54+28,-MAX(BO138,0)*Assump!$D$26,Model2!BO9&gt;Assump!$D$54+28,-MAX(BO138,0)*Assump!$D$27)</f>
        <v>-6242.8272596637653</v>
      </c>
      <c r="BP139" s="74" cm="1">
        <f t="array" ref="BP139">_xlfn.IFS(Model2!BP9&lt;=Assump!$D$54+28,-MAX(BP138,0)*Assump!$D$26,Model2!BP9&gt;Assump!$D$54+28,-MAX(BP138,0)*Assump!$D$27)</f>
        <v>-9187.8031248655861</v>
      </c>
      <c r="BQ139" s="74" cm="1">
        <f t="array" ref="BQ139">_xlfn.IFS(Model2!BQ9&lt;=Assump!$D$54+28,-MAX(BQ138,0)*Assump!$D$26,Model2!BQ9&gt;Assump!$D$54+28,-MAX(BQ138,0)*Assump!$D$27)</f>
        <v>-34459.845058446212</v>
      </c>
      <c r="BR139" s="74" cm="1">
        <f t="array" ref="BR139">_xlfn.IFS(Model2!BR9&lt;=Assump!$D$54+28,-MAX(BR138,0)*Assump!$D$26,Model2!BR9&gt;Assump!$D$54+28,-MAX(BR138,0)*Assump!$D$27)</f>
        <v>-3753.0500683711552</v>
      </c>
      <c r="BS139" s="74" cm="1">
        <f t="array" ref="BS139">_xlfn.IFS(Model2!BS9&lt;=Assump!$D$54+28,-MAX(BS138,0)*Assump!$D$26,Model2!BS9&gt;Assump!$D$54+28,-MAX(BS138,0)*Assump!$D$27)</f>
        <v>-6604.48231114391</v>
      </c>
      <c r="BT139" s="74" cm="1">
        <f t="array" ref="BT139">_xlfn.IFS(Model2!BT9&lt;=Assump!$D$54+28,-MAX(BT138,0)*Assump!$D$26,Model2!BT9&gt;Assump!$D$54+28,-MAX(BT138,0)*Assump!$D$27)</f>
        <v>-9696.7069696058225</v>
      </c>
      <c r="BU139" s="74" cm="1">
        <f t="array" ref="BU139">_xlfn.IFS(Model2!BU9&lt;=Assump!$D$54+28,-MAX(BU138,0)*Assump!$D$26,Model2!BU9&gt;Assump!$D$54+28,-MAX(BU138,0)*Assump!$D$27)</f>
        <v>-36232.35099986547</v>
      </c>
      <c r="BV139" s="74" cm="1">
        <f t="array" ref="BV139">_xlfn.IFS(Model2!BV9&lt;=Assump!$D$54+28,-MAX(BV138,0)*Assump!$D$26,Model2!BV9&gt;Assump!$D$54+28,-MAX(BV138,0)*Assump!$D$27)</f>
        <v>-3990.6066413715134</v>
      </c>
      <c r="BW139" s="74" cm="1">
        <f t="array" ref="BW139">_xlfn.IFS(Model2!BW9&lt;=Assump!$D$54+28,-MAX(BW138,0)*Assump!$D$26,Model2!BW9&gt;Assump!$D$54+28,-MAX(BW138,0)*Assump!$D$27)</f>
        <v>-6984.2201151980644</v>
      </c>
      <c r="BX139" s="74" cm="1">
        <f t="array" ref="BX139">_xlfn.IFS(Model2!BX9&lt;=Assump!$D$54+28,-MAX(BX138,0)*Assump!$D$26,Model2!BX9&gt;Assump!$D$54+28,-MAX(BX138,0)*Assump!$D$27)</f>
        <v>-10231.056006583069</v>
      </c>
      <c r="BY139" s="74" cm="1">
        <f t="array" ref="BY139">_xlfn.IFS(Model2!BY9&lt;=Assump!$D$54+28,-MAX(BY138,0)*Assump!$D$26,Model2!BY9&gt;Assump!$D$54+28,-MAX(BY138,0)*Assump!$D$27)</f>
        <v>-38093.482238355718</v>
      </c>
      <c r="BZ139" s="74" cm="1">
        <f t="array" ref="BZ139">_xlfn.IFS(Model2!BZ9&lt;=Assump!$D$54+28,-MAX(BZ138,0)*Assump!$D$26,Model2!BZ9&gt;Assump!$D$54+28,-MAX(BZ138,0)*Assump!$D$27)</f>
        <v>-4240.0410430218899</v>
      </c>
      <c r="CA139" s="74" cm="1">
        <f t="array" ref="CA139">_xlfn.IFS(Model2!CA9&lt;=Assump!$D$54+28,-MAX(CA138,0)*Assump!$D$26,Model2!CA9&gt;Assump!$D$54+28,-MAX(CA138,0)*Assump!$D$27)</f>
        <v>-7382.9448094549216</v>
      </c>
      <c r="CB139" s="74" cm="1">
        <f t="array" ref="CB139">_xlfn.IFS(Model2!CB9&lt;=Assump!$D$54+28,-MAX(CB138,0)*Assump!$D$26,Model2!CB9&gt;Assump!$D$54+28,-MAX(CB138,0)*Assump!$D$27)</f>
        <v>-10792.122495409183</v>
      </c>
      <c r="CC139" s="74" cm="1">
        <f t="array" ref="CC139">_xlfn.IFS(Model2!CC9&lt;=Assump!$D$54+28,-MAX(CC138,0)*Assump!$D$26,Model2!CC9&gt;Assump!$D$54+28,-MAX(CC138,0)*Assump!$D$27)</f>
        <v>-40047.670038770448</v>
      </c>
      <c r="CD139" s="74" cm="1">
        <f t="array" ref="CD139">_xlfn.IFS(Model2!CD9&lt;=Assump!$D$54+28,-MAX(CD138,0)*Assump!$D$26,Model2!CD9&gt;Assump!$D$54+28,-MAX(CD138,0)*Assump!$D$27)</f>
        <v>-4501.9471647547853</v>
      </c>
      <c r="CE139" s="74" cm="1">
        <f t="array" ref="CE139">_xlfn.IFS(Model2!CE9&lt;=Assump!$D$54+28,-MAX(CE138,0)*Assump!$D$26,Model2!CE9&gt;Assump!$D$54+28,-MAX(CE138,0)*Assump!$D$27)</f>
        <v>-7801.6057384246278</v>
      </c>
      <c r="CF139" s="74" cm="1">
        <f t="array" ref="CF139">_xlfn.IFS(Model2!CF9&lt;=Assump!$D$54+28,-MAX(CF138,0)*Assump!$D$26,Model2!CF9&gt;Assump!$D$54+28,-MAX(CF138,0)*Assump!$D$27)</f>
        <v>-11381.242308676599</v>
      </c>
      <c r="CG139" s="74" cm="1">
        <f t="array" ref="CG139">_xlfn.IFS(Model2!CG9&lt;=Assump!$D$54+28,-MAX(CG138,0)*Assump!$D$26,Model2!CG9&gt;Assump!$D$54+28,-MAX(CG138,0)*Assump!$D$27)</f>
        <v>-42099.567229205932</v>
      </c>
      <c r="CH139" s="74" cm="1">
        <f t="array" ref="CH139">_xlfn.IFS(Model2!CH9&lt;=Assump!$D$54+28,-MAX(CH138,0)*Assump!$D$26,Model2!CH9&gt;Assump!$D$54+28,-MAX(CH138,0)*Assump!$D$27)</f>
        <v>-4776.9485925743274</v>
      </c>
      <c r="CI139" s="74" cm="1">
        <f t="array" ref="CI139">_xlfn.IFS(Model2!CI9&lt;=Assump!$D$54+28,-MAX(CI138,0)*Assump!$D$26,Model2!CI9&gt;Assump!$D$54+28,-MAX(CI138,0)*Assump!$D$27)</f>
        <v>-8241.199713842816</v>
      </c>
      <c r="CJ139" s="74" cm="1">
        <f t="array" ref="CJ139">_xlfn.IFS(Model2!CJ9&lt;=Assump!$D$54+28,-MAX(CJ138,0)*Assump!$D$26,Model2!CJ9&gt;Assump!$D$54+28,-MAX(CJ138,0)*Assump!$D$27)</f>
        <v>-11999.818112607391</v>
      </c>
      <c r="CK139" s="74" cm="1">
        <f t="array" ref="CK139">_xlfn.IFS(Model2!CK9&lt;=Assump!$D$54+28,-MAX(CK138,0)*Assump!$D$26,Model2!CK9&gt;Assump!$D$54+28,-MAX(CK138,0)*Assump!$D$27)</f>
        <v>-44254.059279163193</v>
      </c>
      <c r="CL139" s="74" cm="1">
        <f t="array" ref="CL139">_xlfn.IFS(Model2!CL9&lt;=Assump!$D$54+28,-MAX(CL138,0)*Assump!$D$26,Model2!CL9&gt;Assump!$D$54+28,-MAX(CL138,0)*Assump!$D$27)</f>
        <v>-5065.7000917848463</v>
      </c>
      <c r="CM139" s="74" cm="1">
        <f t="array" ref="CM139">_xlfn.IFS(Model2!CM9&lt;=Assump!$D$54+28,-MAX(CM138,0)*Assump!$D$26,Model2!CM9&gt;Assump!$D$54+28,-MAX(CM138,0)*Assump!$D$27)</f>
        <v>-8702.7733880319138</v>
      </c>
      <c r="CN139" s="74" cm="1">
        <f t="array" ref="CN139">_xlfn.IFS(Model2!CN9&lt;=Assump!$D$54+28,-MAX(CN138,0)*Assump!$D$26,Model2!CN9&gt;Assump!$D$54+28,-MAX(CN138,0)*Assump!$D$27)</f>
        <v>-12649.322706734716</v>
      </c>
      <c r="CO139" s="35"/>
    </row>
    <row r="140" spans="1:93" ht="12.75" customHeight="1" outlineLevel="1">
      <c r="A140" s="35"/>
      <c r="B140" s="444" t="s">
        <v>630</v>
      </c>
      <c r="C140" s="74">
        <f t="shared" si="234"/>
        <v>51191.580067703639</v>
      </c>
      <c r="D140" s="109"/>
      <c r="E140" s="74">
        <f>IF(E9&lt;Assump!$D$54,Model2!E165*Assump!$D$27+'операционные расходы 2 этап'!$B$34*Assump!$D$27,'операционные расходы 2 этап'!$B$34*Assump!$D$27)</f>
        <v>727.98337500000002</v>
      </c>
      <c r="F140" s="74">
        <f>IF(F9&lt;Assump!$D$54,Model2!F165*Assump!$D$27+'операционные расходы 2 этап'!$B$34*Assump!$D$27,'операционные расходы 2 этап'!$B$34*Assump!$D$27)</f>
        <v>727.98337500000002</v>
      </c>
      <c r="G140" s="74">
        <f>IF(G9&lt;Assump!$D$54,Model2!G165*Assump!$D$27+'операционные расходы 2 этап'!$B$34*Assump!$D$27,'операционные расходы 2 этап'!$B$34*Assump!$D$27)</f>
        <v>727.98337500000002</v>
      </c>
      <c r="H140" s="74">
        <f>IF(H9&lt;Assump!$D$54,Model2!H165*Assump!$D$27+'операционные расходы 2 этап'!$B$34*Assump!$D$27,'операционные расходы 2 этап'!$B$34*Assump!$D$27)</f>
        <v>727.98337500000002</v>
      </c>
      <c r="I140" s="74">
        <f>IF(I9&lt;Assump!$D$54,Model2!I165*Assump!$D$27+'операционные расходы 2 этап'!$B$34*Assump!$D$27,'операционные расходы 2 этап'!$B$34*Assump!$D$27)</f>
        <v>727.98337500000002</v>
      </c>
      <c r="J140" s="74">
        <f>IF(J9&lt;Assump!$D$54,Model2!J165*Assump!$D$27+'операционные расходы 2 этап'!$B$34*Assump!$D$27,'операционные расходы 2 этап'!$B$34*Assump!$D$27)</f>
        <v>727.98337500000002</v>
      </c>
      <c r="K140" s="74">
        <f>IF(K9&lt;Assump!$D$54,Model2!K165*Assump!$D$27+'операционные расходы 2 этап'!$B$34*Assump!$D$27,'операционные расходы 2 этап'!$B$34*Assump!$D$27)</f>
        <v>727.98337500000002</v>
      </c>
      <c r="L140" s="74">
        <f>IF(L9&lt;Assump!$D$54,Model2!L165*Assump!$D$27+'операционные расходы 2 этап'!$B$34*Assump!$D$27,'операционные расходы 2 этап'!$B$34*Assump!$D$27)</f>
        <v>727.98337500000002</v>
      </c>
      <c r="M140" s="74">
        <f>IF(M9&lt;Assump!$D$54,Model2!M165*Assump!$D$27+'операционные расходы 2 этап'!$B$34*Assump!$D$27,'операционные расходы 2 этап'!$B$34*Assump!$D$27)</f>
        <v>727.98337500000002</v>
      </c>
      <c r="N140" s="74">
        <f>IF(N9&lt;Assump!$D$54,Model2!N165*Assump!$D$27+'операционные расходы 2 этап'!$B$34*Assump!$D$27,'операционные расходы 2 этап'!$B$34*Assump!$D$27)</f>
        <v>727.98337500000002</v>
      </c>
      <c r="O140" s="74">
        <f>IF(O9&lt;Assump!$D$54,Model2!O165*Assump!$D$27+'операционные расходы 2 этап'!$B$34*Assump!$D$27,'операционные расходы 2 этап'!$B$34*Assump!$D$27)</f>
        <v>648.36019335937499</v>
      </c>
      <c r="P140" s="74">
        <f>IF(P9&lt;Assump!$D$54,Model2!P165*Assump!$D$27+'операционные расходы 2 этап'!$B$34*Assump!$D$27,'операционные расходы 2 этап'!$B$34*Assump!$D$27)</f>
        <v>448.16476523437495</v>
      </c>
      <c r="Q140" s="74">
        <f>IF(Q9&lt;Assump!$D$54,Model2!Q165*Assump!$D$27+'операционные расходы 2 этап'!$B$34*Assump!$D$27,'операционные расходы 2 этап'!$B$34*Assump!$D$27)</f>
        <v>247.96933710937492</v>
      </c>
      <c r="R140" s="74">
        <f>IF(R9&lt;Assump!$D$54,Model2!R165*Assump!$D$27+'операционные расходы 2 этап'!$B$34*Assump!$D$27,'операционные расходы 2 этап'!$B$34*Assump!$D$27)</f>
        <v>-40.949064843750079</v>
      </c>
      <c r="S140" s="74">
        <f>IF(S9&lt;Assump!$D$54,Model2!S165*Assump!$D$27+'операционные расходы 2 этап'!$B$34*Assump!$D$27,'операционные расходы 2 этап'!$B$34*Assump!$D$27)</f>
        <v>-309.3929343750001</v>
      </c>
      <c r="T140" s="74">
        <f>IF(T9&lt;Assump!$D$54,Model2!T165*Assump!$D$27+'операционные расходы 2 этап'!$B$34*Assump!$D$27,'операционные расходы 2 этап'!$B$34*Assump!$D$27)</f>
        <v>-841.27578773437517</v>
      </c>
      <c r="U140" s="74">
        <f>IF(U9&lt;Assump!$D$54,Model2!U165*Assump!$D$27+'операционные расходы 2 этап'!$B$34*Assump!$D$27,'операционные расходы 2 этап'!$B$34*Assump!$D$27)</f>
        <v>-1393.6331735156252</v>
      </c>
      <c r="V140" s="74">
        <f>IF(V9&lt;Assump!$D$54,Model2!V165*Assump!$D$27+'операционные расходы 2 этап'!$B$34*Assump!$D$27,'операционные расходы 2 этап'!$B$34*Assump!$D$27)</f>
        <v>-1455.9667500000007</v>
      </c>
      <c r="W140" s="74">
        <f>IF(W9&lt;Assump!$D$54,Model2!W165*Assump!$D$27+'операционные расходы 2 этап'!$B$34*Assump!$D$27,'операционные расходы 2 этап'!$B$34*Assump!$D$27)</f>
        <v>-1455.9667500000007</v>
      </c>
      <c r="X140" s="74">
        <f>IF(X9&lt;Assump!$D$54,Model2!X165*Assump!$D$27+'операционные расходы 2 этап'!$B$34*Assump!$D$27,'операционные расходы 2 этап'!$B$34*Assump!$D$27)</f>
        <v>-1438.4330175308162</v>
      </c>
      <c r="Y140" s="74">
        <f>IF(Y9&lt;Assump!$D$54,Model2!Y165*Assump!$D$27+'операционные расходы 2 этап'!$B$34*Assump!$D$27,'операционные расходы 2 этап'!$B$34*Assump!$D$27)</f>
        <v>727.98337500000002</v>
      </c>
      <c r="Z140" s="74">
        <f>IF(Z9&lt;Assump!$D$54,Model2!Z165*Assump!$D$27+'операционные расходы 2 этап'!$B$34*Assump!$D$27,'операционные расходы 2 этап'!$B$34*Assump!$D$27)</f>
        <v>727.98337500000002</v>
      </c>
      <c r="AA140" s="74">
        <f>IF(AA9&lt;Assump!$D$54,Model2!AA165*Assump!$D$27+'операционные расходы 2 этап'!$B$34*Assump!$D$27,'операционные расходы 2 этап'!$B$34*Assump!$D$27)</f>
        <v>727.98337500000002</v>
      </c>
      <c r="AB140" s="74">
        <f>IF(AB9&lt;Assump!$D$54,Model2!AB165*Assump!$D$27+'операционные расходы 2 этап'!$B$34*Assump!$D$27,'операционные расходы 2 этап'!$B$34*Assump!$D$27)</f>
        <v>727.98337500000002</v>
      </c>
      <c r="AC140" s="74">
        <f>IF(AC9&lt;Assump!$D$54,Model2!AC165*Assump!$D$27+'операционные расходы 2 этап'!$B$34*Assump!$D$27,'операционные расходы 2 этап'!$B$34*Assump!$D$27)</f>
        <v>727.98337500000002</v>
      </c>
      <c r="AD140" s="74">
        <f>IF(AD9&lt;Assump!$D$54,Model2!AD165*Assump!$D$27+'операционные расходы 2 этап'!$B$34*Assump!$D$27,'операционные расходы 2 этап'!$B$34*Assump!$D$27)</f>
        <v>727.98337500000002</v>
      </c>
      <c r="AE140" s="74">
        <f>IF(AE9&lt;Assump!$D$54,Model2!AE165*Assump!$D$27+'операционные расходы 2 этап'!$B$34*Assump!$D$27,'операционные расходы 2 этап'!$B$34*Assump!$D$27)</f>
        <v>727.98337500000002</v>
      </c>
      <c r="AF140" s="74">
        <f>IF(AF9&lt;Assump!$D$54,Model2!AF165*Assump!$D$27+'операционные расходы 2 этап'!$B$34*Assump!$D$27,'операционные расходы 2 этап'!$B$34*Assump!$D$27)</f>
        <v>727.98337500000002</v>
      </c>
      <c r="AG140" s="74">
        <f>IF(AG9&lt;Assump!$D$54,Model2!AG165*Assump!$D$27+'операционные расходы 2 этап'!$B$34*Assump!$D$27,'операционные расходы 2 этап'!$B$34*Assump!$D$27)</f>
        <v>727.98337500000002</v>
      </c>
      <c r="AH140" s="74">
        <f>IF(AH9&lt;Assump!$D$54,Model2!AH165*Assump!$D$27+'операционные расходы 2 этап'!$B$34*Assump!$D$27,'операционные расходы 2 этап'!$B$34*Assump!$D$27)</f>
        <v>727.98337500000002</v>
      </c>
      <c r="AI140" s="74">
        <f>IF(AI9&lt;Assump!$D$54,Model2!AI165*Assump!$D$27+'операционные расходы 2 этап'!$B$34*Assump!$D$27,'операционные расходы 2 этап'!$B$34*Assump!$D$27)</f>
        <v>727.98337500000002</v>
      </c>
      <c r="AJ140" s="74">
        <f>IF(AJ9&lt;Assump!$D$54,Model2!AJ165*Assump!$D$27+'операционные расходы 2 этап'!$B$34*Assump!$D$27,'операционные расходы 2 этап'!$B$34*Assump!$D$27)</f>
        <v>727.98337500000002</v>
      </c>
      <c r="AK140" s="74">
        <f>IF(AK9&lt;Assump!$D$54,Model2!AK165*Assump!$D$27+'операционные расходы 2 этап'!$B$34*Assump!$D$27,'операционные расходы 2 этап'!$B$34*Assump!$D$27)</f>
        <v>727.98337500000002</v>
      </c>
      <c r="AL140" s="74">
        <f>IF(AL9&lt;Assump!$D$54,Model2!AL165*Assump!$D$27+'операционные расходы 2 этап'!$B$34*Assump!$D$27,'операционные расходы 2 этап'!$B$34*Assump!$D$27)</f>
        <v>727.98337500000002</v>
      </c>
      <c r="AM140" s="74">
        <f>IF(AM9&lt;Assump!$D$54,Model2!AM165*Assump!$D$27+'операционные расходы 2 этап'!$B$34*Assump!$D$27,'операционные расходы 2 этап'!$B$34*Assump!$D$27)</f>
        <v>727.98337500000002</v>
      </c>
      <c r="AN140" s="74">
        <f>IF(AN9&lt;Assump!$D$54,Model2!AN165*Assump!$D$27+'операционные расходы 2 этап'!$B$34*Assump!$D$27,'операционные расходы 2 этап'!$B$34*Assump!$D$27)</f>
        <v>727.98337500000002</v>
      </c>
      <c r="AO140" s="74">
        <f>IF(AO9&lt;Assump!$D$54,Model2!AO165*Assump!$D$27+'операционные расходы 2 этап'!$B$34*Assump!$D$27,'операционные расходы 2 этап'!$B$34*Assump!$D$27)</f>
        <v>727.98337500000002</v>
      </c>
      <c r="AP140" s="74">
        <f>IF(AP9&lt;Assump!$D$54,Model2!AP165*Assump!$D$27+'операционные расходы 2 этап'!$B$34*Assump!$D$27,'операционные расходы 2 этап'!$B$34*Assump!$D$27)</f>
        <v>727.98337500000002</v>
      </c>
      <c r="AQ140" s="74">
        <f>IF(AQ9&lt;Assump!$D$54,Model2!AQ165*Assump!$D$27+'операционные расходы 2 этап'!$B$34*Assump!$D$27,'операционные расходы 2 этап'!$B$34*Assump!$D$27)</f>
        <v>727.98337500000002</v>
      </c>
      <c r="AR140" s="74">
        <f>IF(AR9&lt;Assump!$D$54,Model2!AR165*Assump!$D$27+'операционные расходы 2 этап'!$B$34*Assump!$D$27,'операционные расходы 2 этап'!$B$34*Assump!$D$27)</f>
        <v>727.98337500000002</v>
      </c>
      <c r="AS140" s="74">
        <f>IF(AS9&lt;Assump!$D$54,Model2!AS165*Assump!$D$27+'операционные расходы 2 этап'!$B$34*Assump!$D$27,'операционные расходы 2 этап'!$B$34*Assump!$D$27)</f>
        <v>727.98337500000002</v>
      </c>
      <c r="AT140" s="74">
        <f>IF(AT9&lt;Assump!$D$54,Model2!AT165*Assump!$D$27+'операционные расходы 2 этап'!$B$34*Assump!$D$27,'операционные расходы 2 этап'!$B$34*Assump!$D$27)</f>
        <v>727.98337500000002</v>
      </c>
      <c r="AU140" s="74">
        <f>IF(AU9&lt;Assump!$D$54,Model2!AU165*Assump!$D$27+'операционные расходы 2 этап'!$B$34*Assump!$D$27,'операционные расходы 2 этап'!$B$34*Assump!$D$27)</f>
        <v>727.98337500000002</v>
      </c>
      <c r="AV140" s="74">
        <f>IF(AV9&lt;Assump!$D$54,Model2!AV165*Assump!$D$27+'операционные расходы 2 этап'!$B$34*Assump!$D$27,'операционные расходы 2 этап'!$B$34*Assump!$D$27)</f>
        <v>727.98337500000002</v>
      </c>
      <c r="AW140" s="74">
        <f>IF(AW9&lt;Assump!$D$54,Model2!AW165*Assump!$D$27+'операционные расходы 2 этап'!$B$34*Assump!$D$27,'операционные расходы 2 этап'!$B$34*Assump!$D$27)</f>
        <v>727.98337500000002</v>
      </c>
      <c r="AX140" s="74">
        <f>IF(AX9&lt;Assump!$D$54,Model2!AX165*Assump!$D$27+'операционные расходы 2 этап'!$B$34*Assump!$D$27,'операционные расходы 2 этап'!$B$34*Assump!$D$27)</f>
        <v>727.98337500000002</v>
      </c>
      <c r="AY140" s="74">
        <f>IF(AY9&lt;Assump!$D$54,Model2!AY165*Assump!$D$27+'операционные расходы 2 этап'!$B$34*Assump!$D$27,'операционные расходы 2 этап'!$B$34*Assump!$D$27)</f>
        <v>727.98337500000002</v>
      </c>
      <c r="AZ140" s="74">
        <f>IF(AZ9&lt;Assump!$D$54,Model2!AZ165*Assump!$D$27+'операционные расходы 2 этап'!$B$34*Assump!$D$27,'операционные расходы 2 этап'!$B$34*Assump!$D$27)</f>
        <v>727.98337500000002</v>
      </c>
      <c r="BA140" s="74">
        <f>IF(BA9&lt;Assump!$D$54,Model2!BA165*Assump!$D$27+'операционные расходы 2 этап'!$B$34*Assump!$D$27,'операционные расходы 2 этап'!$B$34*Assump!$D$27)</f>
        <v>727.98337500000002</v>
      </c>
      <c r="BB140" s="74">
        <f>IF(BB9&lt;Assump!$D$54,Model2!BB165*Assump!$D$27+'операционные расходы 2 этап'!$B$34*Assump!$D$27,'операционные расходы 2 этап'!$B$34*Assump!$D$27)</f>
        <v>727.98337500000002</v>
      </c>
      <c r="BC140" s="74">
        <f>IF(BC9&lt;Assump!$D$54,Model2!BC165*Assump!$D$27+'операционные расходы 2 этап'!$B$34*Assump!$D$27,'операционные расходы 2 этап'!$B$34*Assump!$D$27)</f>
        <v>727.98337500000002</v>
      </c>
      <c r="BD140" s="74">
        <f>IF(BD9&lt;Assump!$D$54,Model2!BD165*Assump!$D$27+'операционные расходы 2 этап'!$B$34*Assump!$D$27,'операционные расходы 2 этап'!$B$34*Assump!$D$27)</f>
        <v>727.98337500000002</v>
      </c>
      <c r="BE140" s="74">
        <f>IF(BE9&lt;Assump!$D$54,Model2!BE165*Assump!$D$27+'операционные расходы 2 этап'!$B$34*Assump!$D$27,'операционные расходы 2 этап'!$B$34*Assump!$D$27)</f>
        <v>727.98337500000002</v>
      </c>
      <c r="BF140" s="74">
        <f>IF(BF9&lt;Assump!$D$54,Model2!BF165*Assump!$D$27+'операционные расходы 2 этап'!$B$34*Assump!$D$27,'операционные расходы 2 этап'!$B$34*Assump!$D$27)</f>
        <v>727.98337500000002</v>
      </c>
      <c r="BG140" s="74">
        <f>IF(BG9&lt;Assump!$D$54,Model2!BG165*Assump!$D$27+'операционные расходы 2 этап'!$B$34*Assump!$D$27,'операционные расходы 2 этап'!$B$34*Assump!$D$27)</f>
        <v>727.98337500000002</v>
      </c>
      <c r="BH140" s="74">
        <f>IF(BH9&lt;Assump!$D$54,Model2!BH165*Assump!$D$27+'операционные расходы 2 этап'!$B$34*Assump!$D$27,'операционные расходы 2 этап'!$B$34*Assump!$D$27)</f>
        <v>727.98337500000002</v>
      </c>
      <c r="BI140" s="74">
        <f>IF(BI9&lt;Assump!$D$54,Model2!BI165*Assump!$D$27+'операционные расходы 2 этап'!$B$34*Assump!$D$27,'операционные расходы 2 этап'!$B$34*Assump!$D$27)</f>
        <v>727.98337500000002</v>
      </c>
      <c r="BJ140" s="74">
        <f>IF(BJ9&lt;Assump!$D$54,Model2!BJ165*Assump!$D$27+'операционные расходы 2 этап'!$B$34*Assump!$D$27,'операционные расходы 2 этап'!$B$34*Assump!$D$27)</f>
        <v>727.98337500000002</v>
      </c>
      <c r="BK140" s="74">
        <f>IF(BK9&lt;Assump!$D$54,Model2!BK165*Assump!$D$27+'операционные расходы 2 этап'!$B$34*Assump!$D$27,'операционные расходы 2 этап'!$B$34*Assump!$D$27)</f>
        <v>727.98337500000002</v>
      </c>
      <c r="BL140" s="74">
        <f>IF(BL9&lt;Assump!$D$54,Model2!BL165*Assump!$D$27+'операционные расходы 2 этап'!$B$34*Assump!$D$27,'операционные расходы 2 этап'!$B$34*Assump!$D$27)</f>
        <v>727.98337500000002</v>
      </c>
      <c r="BM140" s="74">
        <f>IF(BM9&lt;Assump!$D$54,Model2!BM165*Assump!$D$27+'операционные расходы 2 этап'!$B$34*Assump!$D$27,'операционные расходы 2 этап'!$B$34*Assump!$D$27)</f>
        <v>727.98337500000002</v>
      </c>
      <c r="BN140" s="74">
        <f>IF(BN9&lt;Assump!$D$54,Model2!BN165*Assump!$D$27+'операционные расходы 2 этап'!$B$34*Assump!$D$27,'операционные расходы 2 этап'!$B$34*Assump!$D$27)</f>
        <v>727.98337500000002</v>
      </c>
      <c r="BO140" s="74">
        <f>IF(BO9&lt;Assump!$D$54,Model2!BO165*Assump!$D$27+'операционные расходы 2 этап'!$B$34*Assump!$D$27,'операционные расходы 2 этап'!$B$34*Assump!$D$27)</f>
        <v>727.98337500000002</v>
      </c>
      <c r="BP140" s="74">
        <f>IF(BP9&lt;Assump!$D$54,Model2!BP165*Assump!$D$27+'операционные расходы 2 этап'!$B$34*Assump!$D$27,'операционные расходы 2 этап'!$B$34*Assump!$D$27)</f>
        <v>727.98337500000002</v>
      </c>
      <c r="BQ140" s="74">
        <f>IF(BQ9&lt;Assump!$D$54,Model2!BQ165*Assump!$D$27+'операционные расходы 2 этап'!$B$34*Assump!$D$27,'операционные расходы 2 этап'!$B$34*Assump!$D$27)</f>
        <v>727.98337500000002</v>
      </c>
      <c r="BR140" s="74">
        <f>IF(BR9&lt;Assump!$D$54,Model2!BR165*Assump!$D$27+'операционные расходы 2 этап'!$B$34*Assump!$D$27,'операционные расходы 2 этап'!$B$34*Assump!$D$27)</f>
        <v>727.98337500000002</v>
      </c>
      <c r="BS140" s="74">
        <f>IF(BS9&lt;Assump!$D$54,Model2!BS165*Assump!$D$27+'операционные расходы 2 этап'!$B$34*Assump!$D$27,'операционные расходы 2 этап'!$B$34*Assump!$D$27)</f>
        <v>727.98337500000002</v>
      </c>
      <c r="BT140" s="74">
        <f>IF(BT9&lt;Assump!$D$54,Model2!BT165*Assump!$D$27+'операционные расходы 2 этап'!$B$34*Assump!$D$27,'операционные расходы 2 этап'!$B$34*Assump!$D$27)</f>
        <v>727.98337500000002</v>
      </c>
      <c r="BU140" s="74">
        <f>IF(BU9&lt;Assump!$D$54,Model2!BU165*Assump!$D$27+'операционные расходы 2 этап'!$B$34*Assump!$D$27,'операционные расходы 2 этап'!$B$34*Assump!$D$27)</f>
        <v>727.98337500000002</v>
      </c>
      <c r="BV140" s="74">
        <f>IF(BV9&lt;Assump!$D$54,Model2!BV165*Assump!$D$27+'операционные расходы 2 этап'!$B$34*Assump!$D$27,'операционные расходы 2 этап'!$B$34*Assump!$D$27)</f>
        <v>727.98337500000002</v>
      </c>
      <c r="BW140" s="74">
        <f>IF(BW9&lt;Assump!$D$54,Model2!BW165*Assump!$D$27+'операционные расходы 2 этап'!$B$34*Assump!$D$27,'операционные расходы 2 этап'!$B$34*Assump!$D$27)</f>
        <v>727.98337500000002</v>
      </c>
      <c r="BX140" s="74">
        <f>IF(BX9&lt;Assump!$D$54,Model2!BX165*Assump!$D$27+'операционные расходы 2 этап'!$B$34*Assump!$D$27,'операционные расходы 2 этап'!$B$34*Assump!$D$27)</f>
        <v>727.98337500000002</v>
      </c>
      <c r="BY140" s="74">
        <f>IF(BY9&lt;Assump!$D$54,Model2!BY165*Assump!$D$27+'операционные расходы 2 этап'!$B$34*Assump!$D$27,'операционные расходы 2 этап'!$B$34*Assump!$D$27)</f>
        <v>727.98337500000002</v>
      </c>
      <c r="BZ140" s="74">
        <f>IF(BZ9&lt;Assump!$D$54,Model2!BZ165*Assump!$D$27+'операционные расходы 2 этап'!$B$34*Assump!$D$27,'операционные расходы 2 этап'!$B$34*Assump!$D$27)</f>
        <v>727.98337500000002</v>
      </c>
      <c r="CA140" s="74">
        <f>IF(CA9&lt;Assump!$D$54,Model2!CA165*Assump!$D$27+'операционные расходы 2 этап'!$B$34*Assump!$D$27,'операционные расходы 2 этап'!$B$34*Assump!$D$27)</f>
        <v>727.98337500000002</v>
      </c>
      <c r="CB140" s="74">
        <f>IF(CB9&lt;Assump!$D$54,Model2!CB165*Assump!$D$27+'операционные расходы 2 этап'!$B$34*Assump!$D$27,'операционные расходы 2 этап'!$B$34*Assump!$D$27)</f>
        <v>727.98337500000002</v>
      </c>
      <c r="CC140" s="74">
        <f>IF(CC9&lt;Assump!$D$54,Model2!CC165*Assump!$D$27+'операционные расходы 2 этап'!$B$34*Assump!$D$27,'операционные расходы 2 этап'!$B$34*Assump!$D$27)</f>
        <v>727.98337500000002</v>
      </c>
      <c r="CD140" s="74">
        <f>IF(CD9&lt;Assump!$D$54,Model2!CD165*Assump!$D$27+'операционные расходы 2 этап'!$B$34*Assump!$D$27,'операционные расходы 2 этап'!$B$34*Assump!$D$27)</f>
        <v>727.98337500000002</v>
      </c>
      <c r="CE140" s="74">
        <f>IF(CE9&lt;Assump!$D$54,Model2!CE165*Assump!$D$27+'операционные расходы 2 этап'!$B$34*Assump!$D$27,'операционные расходы 2 этап'!$B$34*Assump!$D$27)</f>
        <v>727.98337500000002</v>
      </c>
      <c r="CF140" s="74">
        <f>IF(CF9&lt;Assump!$D$54,Model2!CF165*Assump!$D$27+'операционные расходы 2 этап'!$B$34*Assump!$D$27,'операционные расходы 2 этап'!$B$34*Assump!$D$27)</f>
        <v>727.98337500000002</v>
      </c>
      <c r="CG140" s="74">
        <f>IF(CG9&lt;Assump!$D$54,Model2!CG165*Assump!$D$27+'операционные расходы 2 этап'!$B$34*Assump!$D$27,'операционные расходы 2 этап'!$B$34*Assump!$D$27)</f>
        <v>727.98337500000002</v>
      </c>
      <c r="CH140" s="74">
        <f>IF(CH9&lt;Assump!$D$54,Model2!CH165*Assump!$D$27+'операционные расходы 2 этап'!$B$34*Assump!$D$27,'операционные расходы 2 этап'!$B$34*Assump!$D$27)</f>
        <v>727.98337500000002</v>
      </c>
      <c r="CI140" s="74">
        <f>IF(CI9&lt;Assump!$D$54,Model2!CI165*Assump!$D$27+'операционные расходы 2 этап'!$B$34*Assump!$D$27,'операционные расходы 2 этап'!$B$34*Assump!$D$27)</f>
        <v>727.98337500000002</v>
      </c>
      <c r="CJ140" s="74">
        <f>IF(CJ9&lt;Assump!$D$54,Model2!CJ165*Assump!$D$27+'операционные расходы 2 этап'!$B$34*Assump!$D$27,'операционные расходы 2 этап'!$B$34*Assump!$D$27)</f>
        <v>727.98337500000002</v>
      </c>
      <c r="CK140" s="74">
        <f>IF(CK9&lt;Assump!$D$54,Model2!CK165*Assump!$D$27+'операционные расходы 2 этап'!$B$34*Assump!$D$27,'операционные расходы 2 этап'!$B$34*Assump!$D$27)</f>
        <v>727.98337500000002</v>
      </c>
      <c r="CL140" s="74">
        <f>IF(CL9&lt;Assump!$D$54,Model2!CL165*Assump!$D$27+'операционные расходы 2 этап'!$B$34*Assump!$D$27,'операционные расходы 2 этап'!$B$34*Assump!$D$27)</f>
        <v>727.98337500000002</v>
      </c>
      <c r="CM140" s="74">
        <f>IF(CM9&lt;Assump!$D$54,Model2!CM165*Assump!$D$27+'операционные расходы 2 этап'!$B$34*Assump!$D$27,'операционные расходы 2 этап'!$B$34*Assump!$D$27)</f>
        <v>727.98337500000002</v>
      </c>
      <c r="CN140" s="74">
        <f>IF(CN9&lt;Assump!$D$54,Model2!CN165*Assump!$D$27+'операционные расходы 2 этап'!$B$34*Assump!$D$27,'операционные расходы 2 этап'!$B$34*Assump!$D$27)</f>
        <v>727.98337500000002</v>
      </c>
      <c r="CO140" s="35"/>
    </row>
    <row r="141" spans="1:93" ht="12.75" customHeight="1" outlineLevel="1">
      <c r="A141" s="35"/>
      <c r="B141" s="63"/>
      <c r="C141" s="35"/>
      <c r="D141" s="60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</row>
    <row r="142" spans="1:93" ht="12.75" customHeight="1" outlineLevel="1">
      <c r="A142" s="35"/>
      <c r="B142" s="35" t="s">
        <v>226</v>
      </c>
      <c r="C142" s="35"/>
      <c r="D142" s="60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</row>
    <row r="143" spans="1:93" ht="12.75" customHeight="1" outlineLevel="1">
      <c r="A143" s="35"/>
      <c r="B143" s="49" t="s">
        <v>228</v>
      </c>
      <c r="C143" s="50"/>
      <c r="D143" s="53"/>
      <c r="E143" s="50">
        <f t="shared" ref="E143:BP143" si="245">D146</f>
        <v>0</v>
      </c>
      <c r="F143" s="50">
        <f t="shared" si="245"/>
        <v>300</v>
      </c>
      <c r="G143" s="50">
        <f t="shared" si="245"/>
        <v>600</v>
      </c>
      <c r="H143" s="50">
        <f t="shared" si="245"/>
        <v>900</v>
      </c>
      <c r="I143" s="50">
        <f t="shared" si="245"/>
        <v>1200</v>
      </c>
      <c r="J143" s="50">
        <f t="shared" si="245"/>
        <v>1500</v>
      </c>
      <c r="K143" s="50">
        <f t="shared" si="245"/>
        <v>1800</v>
      </c>
      <c r="L143" s="50">
        <f t="shared" si="245"/>
        <v>2100</v>
      </c>
      <c r="M143" s="50">
        <f t="shared" si="245"/>
        <v>2400</v>
      </c>
      <c r="N143" s="50">
        <f t="shared" si="245"/>
        <v>2700</v>
      </c>
      <c r="O143" s="50">
        <f t="shared" si="245"/>
        <v>3000</v>
      </c>
      <c r="P143" s="50">
        <f t="shared" si="245"/>
        <v>3698.1159082031254</v>
      </c>
      <c r="Q143" s="50">
        <f t="shared" si="245"/>
        <v>5397.208957031251</v>
      </c>
      <c r="R143" s="50">
        <f t="shared" si="245"/>
        <v>8097.2791464843758</v>
      </c>
      <c r="S143" s="50">
        <f t="shared" si="245"/>
        <v>12241.941345703126</v>
      </c>
      <c r="T143" s="50">
        <f t="shared" si="245"/>
        <v>17728.822892578126</v>
      </c>
      <c r="U143" s="50">
        <f t="shared" si="245"/>
        <v>25875.118706250003</v>
      </c>
      <c r="V143" s="50">
        <f t="shared" si="245"/>
        <v>36783.201448828127</v>
      </c>
      <c r="W143" s="50">
        <f t="shared" si="245"/>
        <v>48002.952073828128</v>
      </c>
      <c r="X143" s="50">
        <f t="shared" si="245"/>
        <v>42878.636827280316</v>
      </c>
      <c r="Y143" s="50">
        <f t="shared" si="245"/>
        <v>29069.226722134579</v>
      </c>
      <c r="Z143" s="50">
        <f t="shared" si="245"/>
        <v>0</v>
      </c>
      <c r="AA143" s="50">
        <f t="shared" si="245"/>
        <v>439.3185449971752</v>
      </c>
      <c r="AB143" s="50">
        <f t="shared" si="245"/>
        <v>0</v>
      </c>
      <c r="AC143" s="50">
        <f t="shared" si="245"/>
        <v>0</v>
      </c>
      <c r="AD143" s="50">
        <f t="shared" si="245"/>
        <v>0</v>
      </c>
      <c r="AE143" s="50">
        <f t="shared" si="245"/>
        <v>0</v>
      </c>
      <c r="AF143" s="50">
        <f t="shared" si="245"/>
        <v>0</v>
      </c>
      <c r="AG143" s="50">
        <f t="shared" si="245"/>
        <v>0</v>
      </c>
      <c r="AH143" s="50">
        <f t="shared" si="245"/>
        <v>0</v>
      </c>
      <c r="AI143" s="50">
        <f t="shared" si="245"/>
        <v>0</v>
      </c>
      <c r="AJ143" s="50">
        <f t="shared" si="245"/>
        <v>0</v>
      </c>
      <c r="AK143" s="50">
        <f t="shared" si="245"/>
        <v>0</v>
      </c>
      <c r="AL143" s="50">
        <f t="shared" si="245"/>
        <v>0</v>
      </c>
      <c r="AM143" s="50">
        <f t="shared" si="245"/>
        <v>0</v>
      </c>
      <c r="AN143" s="50">
        <f t="shared" si="245"/>
        <v>0</v>
      </c>
      <c r="AO143" s="50">
        <f t="shared" si="245"/>
        <v>0</v>
      </c>
      <c r="AP143" s="50">
        <f t="shared" si="245"/>
        <v>0</v>
      </c>
      <c r="AQ143" s="50">
        <f t="shared" si="245"/>
        <v>0</v>
      </c>
      <c r="AR143" s="50">
        <f t="shared" si="245"/>
        <v>0</v>
      </c>
      <c r="AS143" s="50">
        <f t="shared" si="245"/>
        <v>0</v>
      </c>
      <c r="AT143" s="50">
        <f t="shared" si="245"/>
        <v>0</v>
      </c>
      <c r="AU143" s="50">
        <f t="shared" si="245"/>
        <v>0</v>
      </c>
      <c r="AV143" s="50">
        <f t="shared" si="245"/>
        <v>0</v>
      </c>
      <c r="AW143" s="50">
        <f t="shared" si="245"/>
        <v>0</v>
      </c>
      <c r="AX143" s="50">
        <f t="shared" si="245"/>
        <v>0</v>
      </c>
      <c r="AY143" s="50">
        <f t="shared" si="245"/>
        <v>0</v>
      </c>
      <c r="AZ143" s="50">
        <f t="shared" si="245"/>
        <v>0</v>
      </c>
      <c r="BA143" s="50">
        <f t="shared" si="245"/>
        <v>0</v>
      </c>
      <c r="BB143" s="50">
        <f t="shared" si="245"/>
        <v>0</v>
      </c>
      <c r="BC143" s="50">
        <f t="shared" si="245"/>
        <v>0</v>
      </c>
      <c r="BD143" s="50">
        <f t="shared" si="245"/>
        <v>0</v>
      </c>
      <c r="BE143" s="50">
        <f t="shared" si="245"/>
        <v>0</v>
      </c>
      <c r="BF143" s="50">
        <f t="shared" si="245"/>
        <v>0</v>
      </c>
      <c r="BG143" s="50">
        <f t="shared" si="245"/>
        <v>0</v>
      </c>
      <c r="BH143" s="50">
        <f t="shared" si="245"/>
        <v>0</v>
      </c>
      <c r="BI143" s="50">
        <f t="shared" si="245"/>
        <v>0</v>
      </c>
      <c r="BJ143" s="50">
        <f t="shared" si="245"/>
        <v>0</v>
      </c>
      <c r="BK143" s="50">
        <f t="shared" si="245"/>
        <v>0</v>
      </c>
      <c r="BL143" s="50">
        <f t="shared" si="245"/>
        <v>0</v>
      </c>
      <c r="BM143" s="50">
        <f t="shared" si="245"/>
        <v>0</v>
      </c>
      <c r="BN143" s="50">
        <f t="shared" si="245"/>
        <v>0</v>
      </c>
      <c r="BO143" s="50">
        <f t="shared" si="245"/>
        <v>0</v>
      </c>
      <c r="BP143" s="50">
        <f t="shared" si="245"/>
        <v>0</v>
      </c>
      <c r="BQ143" s="50">
        <f t="shared" ref="BQ143:CN143" si="246">BP146</f>
        <v>0</v>
      </c>
      <c r="BR143" s="50">
        <f t="shared" si="246"/>
        <v>0</v>
      </c>
      <c r="BS143" s="50">
        <f t="shared" si="246"/>
        <v>0</v>
      </c>
      <c r="BT143" s="50">
        <f t="shared" si="246"/>
        <v>0</v>
      </c>
      <c r="BU143" s="50">
        <f t="shared" si="246"/>
        <v>0</v>
      </c>
      <c r="BV143" s="50">
        <f t="shared" si="246"/>
        <v>0</v>
      </c>
      <c r="BW143" s="50">
        <f t="shared" si="246"/>
        <v>0</v>
      </c>
      <c r="BX143" s="50">
        <f t="shared" si="246"/>
        <v>0</v>
      </c>
      <c r="BY143" s="50">
        <f t="shared" si="246"/>
        <v>0</v>
      </c>
      <c r="BZ143" s="50">
        <f t="shared" si="246"/>
        <v>0</v>
      </c>
      <c r="CA143" s="50">
        <f t="shared" si="246"/>
        <v>0</v>
      </c>
      <c r="CB143" s="50">
        <f t="shared" si="246"/>
        <v>0</v>
      </c>
      <c r="CC143" s="50">
        <f t="shared" si="246"/>
        <v>0</v>
      </c>
      <c r="CD143" s="50">
        <f t="shared" si="246"/>
        <v>0</v>
      </c>
      <c r="CE143" s="50">
        <f t="shared" si="246"/>
        <v>0</v>
      </c>
      <c r="CF143" s="50">
        <f t="shared" si="246"/>
        <v>0</v>
      </c>
      <c r="CG143" s="50">
        <f t="shared" si="246"/>
        <v>0</v>
      </c>
      <c r="CH143" s="50">
        <f t="shared" si="246"/>
        <v>0</v>
      </c>
      <c r="CI143" s="50">
        <f t="shared" si="246"/>
        <v>0</v>
      </c>
      <c r="CJ143" s="50">
        <f t="shared" si="246"/>
        <v>0</v>
      </c>
      <c r="CK143" s="50">
        <f t="shared" si="246"/>
        <v>0</v>
      </c>
      <c r="CL143" s="50">
        <f t="shared" si="246"/>
        <v>0</v>
      </c>
      <c r="CM143" s="50">
        <f t="shared" si="246"/>
        <v>0</v>
      </c>
      <c r="CN143" s="50">
        <f t="shared" si="246"/>
        <v>0</v>
      </c>
      <c r="CO143" s="35"/>
    </row>
    <row r="144" spans="1:93" ht="12.75" customHeight="1" outlineLevel="1">
      <c r="A144" s="35"/>
      <c r="B144" s="63" t="s">
        <v>226</v>
      </c>
      <c r="C144" s="35">
        <f t="shared" ref="C144:C145" si="247">SUM(D144:CN144)</f>
        <v>48442.270618825307</v>
      </c>
      <c r="D144" s="60">
        <f t="shared" ref="D144:CN144" si="248">-MIN(D136,0)</f>
        <v>0</v>
      </c>
      <c r="E144" s="35">
        <f t="shared" si="248"/>
        <v>300</v>
      </c>
      <c r="F144" s="35">
        <f t="shared" si="248"/>
        <v>300</v>
      </c>
      <c r="G144" s="35">
        <f t="shared" si="248"/>
        <v>300</v>
      </c>
      <c r="H144" s="35">
        <f t="shared" si="248"/>
        <v>300</v>
      </c>
      <c r="I144" s="35">
        <f t="shared" si="248"/>
        <v>300</v>
      </c>
      <c r="J144" s="35">
        <f t="shared" si="248"/>
        <v>300</v>
      </c>
      <c r="K144" s="35">
        <f t="shared" si="248"/>
        <v>300</v>
      </c>
      <c r="L144" s="35">
        <f t="shared" si="248"/>
        <v>300</v>
      </c>
      <c r="M144" s="35">
        <f t="shared" si="248"/>
        <v>300</v>
      </c>
      <c r="N144" s="35">
        <f t="shared" si="248"/>
        <v>300</v>
      </c>
      <c r="O144" s="35">
        <f t="shared" si="248"/>
        <v>698.11590820312517</v>
      </c>
      <c r="P144" s="35">
        <f t="shared" si="248"/>
        <v>1699.0930488281253</v>
      </c>
      <c r="Q144" s="35">
        <f t="shared" si="248"/>
        <v>2700.0701894531253</v>
      </c>
      <c r="R144" s="35">
        <f t="shared" si="248"/>
        <v>4144.6621992187502</v>
      </c>
      <c r="S144" s="35">
        <f t="shared" si="248"/>
        <v>5486.8815468749999</v>
      </c>
      <c r="T144" s="35">
        <f t="shared" si="248"/>
        <v>8146.2958136718753</v>
      </c>
      <c r="U144" s="35">
        <f t="shared" si="248"/>
        <v>10908.082742578126</v>
      </c>
      <c r="V144" s="35">
        <f t="shared" si="248"/>
        <v>11219.750625000002</v>
      </c>
      <c r="W144" s="35">
        <f t="shared" si="248"/>
        <v>0</v>
      </c>
      <c r="X144" s="35">
        <f t="shared" si="248"/>
        <v>0</v>
      </c>
      <c r="Y144" s="35">
        <f t="shared" si="248"/>
        <v>0</v>
      </c>
      <c r="Z144" s="35">
        <f t="shared" si="248"/>
        <v>439.3185449971752</v>
      </c>
      <c r="AA144" s="35">
        <f t="shared" si="248"/>
        <v>0</v>
      </c>
      <c r="AB144" s="35">
        <f t="shared" si="248"/>
        <v>0</v>
      </c>
      <c r="AC144" s="35">
        <f t="shared" si="248"/>
        <v>0</v>
      </c>
      <c r="AD144" s="35">
        <f t="shared" si="248"/>
        <v>0</v>
      </c>
      <c r="AE144" s="35">
        <f t="shared" si="248"/>
        <v>0</v>
      </c>
      <c r="AF144" s="35">
        <f t="shared" si="248"/>
        <v>0</v>
      </c>
      <c r="AG144" s="35">
        <f t="shared" si="248"/>
        <v>0</v>
      </c>
      <c r="AH144" s="35">
        <f t="shared" si="248"/>
        <v>0</v>
      </c>
      <c r="AI144" s="35">
        <f t="shared" si="248"/>
        <v>0</v>
      </c>
      <c r="AJ144" s="35">
        <f t="shared" si="248"/>
        <v>0</v>
      </c>
      <c r="AK144" s="35">
        <f t="shared" si="248"/>
        <v>0</v>
      </c>
      <c r="AL144" s="35">
        <f t="shared" si="248"/>
        <v>0</v>
      </c>
      <c r="AM144" s="35">
        <f t="shared" si="248"/>
        <v>0</v>
      </c>
      <c r="AN144" s="35">
        <f t="shared" si="248"/>
        <v>0</v>
      </c>
      <c r="AO144" s="35">
        <f t="shared" si="248"/>
        <v>0</v>
      </c>
      <c r="AP144" s="35">
        <f t="shared" si="248"/>
        <v>0</v>
      </c>
      <c r="AQ144" s="35">
        <f t="shared" si="248"/>
        <v>0</v>
      </c>
      <c r="AR144" s="35">
        <f t="shared" si="248"/>
        <v>0</v>
      </c>
      <c r="AS144" s="35">
        <f t="shared" si="248"/>
        <v>0</v>
      </c>
      <c r="AT144" s="35">
        <f t="shared" si="248"/>
        <v>0</v>
      </c>
      <c r="AU144" s="35">
        <f t="shared" si="248"/>
        <v>0</v>
      </c>
      <c r="AV144" s="35">
        <f t="shared" si="248"/>
        <v>0</v>
      </c>
      <c r="AW144" s="35">
        <f t="shared" si="248"/>
        <v>0</v>
      </c>
      <c r="AX144" s="35">
        <f t="shared" si="248"/>
        <v>0</v>
      </c>
      <c r="AY144" s="35">
        <f t="shared" si="248"/>
        <v>0</v>
      </c>
      <c r="AZ144" s="35">
        <f t="shared" si="248"/>
        <v>0</v>
      </c>
      <c r="BA144" s="35">
        <f t="shared" si="248"/>
        <v>0</v>
      </c>
      <c r="BB144" s="35">
        <f t="shared" si="248"/>
        <v>0</v>
      </c>
      <c r="BC144" s="35">
        <f t="shared" si="248"/>
        <v>0</v>
      </c>
      <c r="BD144" s="35">
        <f t="shared" si="248"/>
        <v>0</v>
      </c>
      <c r="BE144" s="35">
        <f t="shared" si="248"/>
        <v>0</v>
      </c>
      <c r="BF144" s="35">
        <f t="shared" si="248"/>
        <v>0</v>
      </c>
      <c r="BG144" s="35">
        <f t="shared" si="248"/>
        <v>0</v>
      </c>
      <c r="BH144" s="35">
        <f t="shared" si="248"/>
        <v>0</v>
      </c>
      <c r="BI144" s="35">
        <f t="shared" si="248"/>
        <v>0</v>
      </c>
      <c r="BJ144" s="35">
        <f t="shared" si="248"/>
        <v>0</v>
      </c>
      <c r="BK144" s="35">
        <f t="shared" si="248"/>
        <v>0</v>
      </c>
      <c r="BL144" s="35">
        <f t="shared" si="248"/>
        <v>0</v>
      </c>
      <c r="BM144" s="35">
        <f t="shared" si="248"/>
        <v>0</v>
      </c>
      <c r="BN144" s="35">
        <f t="shared" si="248"/>
        <v>0</v>
      </c>
      <c r="BO144" s="35">
        <f t="shared" si="248"/>
        <v>0</v>
      </c>
      <c r="BP144" s="35">
        <f t="shared" si="248"/>
        <v>0</v>
      </c>
      <c r="BQ144" s="35">
        <f t="shared" si="248"/>
        <v>0</v>
      </c>
      <c r="BR144" s="35">
        <f t="shared" si="248"/>
        <v>0</v>
      </c>
      <c r="BS144" s="35">
        <f t="shared" si="248"/>
        <v>0</v>
      </c>
      <c r="BT144" s="35">
        <f t="shared" si="248"/>
        <v>0</v>
      </c>
      <c r="BU144" s="35">
        <f t="shared" si="248"/>
        <v>0</v>
      </c>
      <c r="BV144" s="35">
        <f t="shared" si="248"/>
        <v>0</v>
      </c>
      <c r="BW144" s="35">
        <f t="shared" si="248"/>
        <v>0</v>
      </c>
      <c r="BX144" s="35">
        <f t="shared" si="248"/>
        <v>0</v>
      </c>
      <c r="BY144" s="35">
        <f t="shared" si="248"/>
        <v>0</v>
      </c>
      <c r="BZ144" s="35">
        <f t="shared" si="248"/>
        <v>0</v>
      </c>
      <c r="CA144" s="35">
        <f t="shared" si="248"/>
        <v>0</v>
      </c>
      <c r="CB144" s="35">
        <f t="shared" si="248"/>
        <v>0</v>
      </c>
      <c r="CC144" s="35">
        <f t="shared" si="248"/>
        <v>0</v>
      </c>
      <c r="CD144" s="35">
        <f t="shared" si="248"/>
        <v>0</v>
      </c>
      <c r="CE144" s="35">
        <f t="shared" si="248"/>
        <v>0</v>
      </c>
      <c r="CF144" s="35">
        <f t="shared" si="248"/>
        <v>0</v>
      </c>
      <c r="CG144" s="35">
        <f t="shared" si="248"/>
        <v>0</v>
      </c>
      <c r="CH144" s="35">
        <f t="shared" si="248"/>
        <v>0</v>
      </c>
      <c r="CI144" s="35">
        <f t="shared" si="248"/>
        <v>0</v>
      </c>
      <c r="CJ144" s="35">
        <f t="shared" si="248"/>
        <v>0</v>
      </c>
      <c r="CK144" s="35">
        <f t="shared" si="248"/>
        <v>0</v>
      </c>
      <c r="CL144" s="35">
        <f t="shared" si="248"/>
        <v>0</v>
      </c>
      <c r="CM144" s="35">
        <f t="shared" si="248"/>
        <v>0</v>
      </c>
      <c r="CN144" s="35">
        <f t="shared" si="248"/>
        <v>0</v>
      </c>
      <c r="CO144" s="35"/>
    </row>
    <row r="145" spans="1:93" ht="12.75" customHeight="1" outlineLevel="1">
      <c r="A145" s="35"/>
      <c r="B145" s="63" t="s">
        <v>229</v>
      </c>
      <c r="C145" s="35">
        <f t="shared" si="247"/>
        <v>-48442.270618825307</v>
      </c>
      <c r="D145" s="60">
        <f t="shared" ref="D145:CN145" si="249">IF(D136&gt;0,-MIN(SUM(D143:D144),D136),0)</f>
        <v>0</v>
      </c>
      <c r="E145" s="35">
        <f t="shared" si="249"/>
        <v>0</v>
      </c>
      <c r="F145" s="35">
        <f t="shared" si="249"/>
        <v>0</v>
      </c>
      <c r="G145" s="35">
        <f t="shared" si="249"/>
        <v>0</v>
      </c>
      <c r="H145" s="35">
        <f t="shared" si="249"/>
        <v>0</v>
      </c>
      <c r="I145" s="35">
        <f t="shared" si="249"/>
        <v>0</v>
      </c>
      <c r="J145" s="35">
        <f t="shared" si="249"/>
        <v>0</v>
      </c>
      <c r="K145" s="35">
        <f t="shared" si="249"/>
        <v>0</v>
      </c>
      <c r="L145" s="35">
        <f t="shared" si="249"/>
        <v>0</v>
      </c>
      <c r="M145" s="35">
        <f t="shared" si="249"/>
        <v>0</v>
      </c>
      <c r="N145" s="35">
        <f t="shared" si="249"/>
        <v>0</v>
      </c>
      <c r="O145" s="35">
        <f t="shared" si="249"/>
        <v>0</v>
      </c>
      <c r="P145" s="35">
        <f t="shared" si="249"/>
        <v>0</v>
      </c>
      <c r="Q145" s="35">
        <f t="shared" si="249"/>
        <v>0</v>
      </c>
      <c r="R145" s="35">
        <f t="shared" si="249"/>
        <v>0</v>
      </c>
      <c r="S145" s="35">
        <f t="shared" si="249"/>
        <v>0</v>
      </c>
      <c r="T145" s="35">
        <f t="shared" si="249"/>
        <v>0</v>
      </c>
      <c r="U145" s="35">
        <f t="shared" si="249"/>
        <v>0</v>
      </c>
      <c r="V145" s="35">
        <f t="shared" si="249"/>
        <v>0</v>
      </c>
      <c r="W145" s="35">
        <f t="shared" si="249"/>
        <v>-5124.3152465478142</v>
      </c>
      <c r="X145" s="35">
        <f t="shared" si="249"/>
        <v>-13809.410105145736</v>
      </c>
      <c r="Y145" s="35">
        <f t="shared" si="249"/>
        <v>-29069.226722134579</v>
      </c>
      <c r="Z145" s="35">
        <f t="shared" si="249"/>
        <v>0</v>
      </c>
      <c r="AA145" s="35">
        <f t="shared" si="249"/>
        <v>-439.3185449971752</v>
      </c>
      <c r="AB145" s="35">
        <f t="shared" si="249"/>
        <v>0</v>
      </c>
      <c r="AC145" s="35">
        <f t="shared" si="249"/>
        <v>0</v>
      </c>
      <c r="AD145" s="35">
        <f t="shared" si="249"/>
        <v>0</v>
      </c>
      <c r="AE145" s="35">
        <f t="shared" si="249"/>
        <v>0</v>
      </c>
      <c r="AF145" s="35">
        <f t="shared" si="249"/>
        <v>0</v>
      </c>
      <c r="AG145" s="35">
        <f t="shared" si="249"/>
        <v>0</v>
      </c>
      <c r="AH145" s="35">
        <f t="shared" si="249"/>
        <v>0</v>
      </c>
      <c r="AI145" s="35">
        <f t="shared" si="249"/>
        <v>0</v>
      </c>
      <c r="AJ145" s="35">
        <f t="shared" si="249"/>
        <v>0</v>
      </c>
      <c r="AK145" s="35">
        <f t="shared" si="249"/>
        <v>0</v>
      </c>
      <c r="AL145" s="35">
        <f t="shared" si="249"/>
        <v>0</v>
      </c>
      <c r="AM145" s="35">
        <f t="shared" si="249"/>
        <v>0</v>
      </c>
      <c r="AN145" s="35">
        <f t="shared" si="249"/>
        <v>0</v>
      </c>
      <c r="AO145" s="35">
        <f t="shared" si="249"/>
        <v>0</v>
      </c>
      <c r="AP145" s="35">
        <f t="shared" si="249"/>
        <v>0</v>
      </c>
      <c r="AQ145" s="35">
        <f t="shared" si="249"/>
        <v>0</v>
      </c>
      <c r="AR145" s="35">
        <f t="shared" si="249"/>
        <v>0</v>
      </c>
      <c r="AS145" s="35">
        <f t="shared" si="249"/>
        <v>0</v>
      </c>
      <c r="AT145" s="35">
        <f t="shared" si="249"/>
        <v>0</v>
      </c>
      <c r="AU145" s="35">
        <f t="shared" si="249"/>
        <v>0</v>
      </c>
      <c r="AV145" s="35">
        <f t="shared" si="249"/>
        <v>0</v>
      </c>
      <c r="AW145" s="35">
        <f t="shared" si="249"/>
        <v>0</v>
      </c>
      <c r="AX145" s="35">
        <f t="shared" si="249"/>
        <v>0</v>
      </c>
      <c r="AY145" s="35">
        <f t="shared" si="249"/>
        <v>0</v>
      </c>
      <c r="AZ145" s="35">
        <f t="shared" si="249"/>
        <v>0</v>
      </c>
      <c r="BA145" s="35">
        <f t="shared" si="249"/>
        <v>0</v>
      </c>
      <c r="BB145" s="35">
        <f t="shared" si="249"/>
        <v>0</v>
      </c>
      <c r="BC145" s="35">
        <f t="shared" si="249"/>
        <v>0</v>
      </c>
      <c r="BD145" s="35">
        <f t="shared" si="249"/>
        <v>0</v>
      </c>
      <c r="BE145" s="35">
        <f t="shared" si="249"/>
        <v>0</v>
      </c>
      <c r="BF145" s="35">
        <f t="shared" si="249"/>
        <v>0</v>
      </c>
      <c r="BG145" s="35">
        <f t="shared" si="249"/>
        <v>0</v>
      </c>
      <c r="BH145" s="35">
        <f t="shared" si="249"/>
        <v>0</v>
      </c>
      <c r="BI145" s="35">
        <f t="shared" si="249"/>
        <v>0</v>
      </c>
      <c r="BJ145" s="35">
        <f t="shared" si="249"/>
        <v>0</v>
      </c>
      <c r="BK145" s="35">
        <f t="shared" si="249"/>
        <v>0</v>
      </c>
      <c r="BL145" s="35">
        <f t="shared" si="249"/>
        <v>0</v>
      </c>
      <c r="BM145" s="35">
        <f t="shared" si="249"/>
        <v>0</v>
      </c>
      <c r="BN145" s="35">
        <f t="shared" si="249"/>
        <v>0</v>
      </c>
      <c r="BO145" s="35">
        <f t="shared" si="249"/>
        <v>0</v>
      </c>
      <c r="BP145" s="35">
        <f t="shared" si="249"/>
        <v>0</v>
      </c>
      <c r="BQ145" s="35">
        <f t="shared" si="249"/>
        <v>0</v>
      </c>
      <c r="BR145" s="35">
        <f t="shared" si="249"/>
        <v>0</v>
      </c>
      <c r="BS145" s="35">
        <f t="shared" si="249"/>
        <v>0</v>
      </c>
      <c r="BT145" s="35">
        <f t="shared" si="249"/>
        <v>0</v>
      </c>
      <c r="BU145" s="35">
        <f t="shared" si="249"/>
        <v>0</v>
      </c>
      <c r="BV145" s="35">
        <f t="shared" si="249"/>
        <v>0</v>
      </c>
      <c r="BW145" s="35">
        <f t="shared" si="249"/>
        <v>0</v>
      </c>
      <c r="BX145" s="35">
        <f t="shared" si="249"/>
        <v>0</v>
      </c>
      <c r="BY145" s="35">
        <f t="shared" si="249"/>
        <v>0</v>
      </c>
      <c r="BZ145" s="35">
        <f t="shared" si="249"/>
        <v>0</v>
      </c>
      <c r="CA145" s="35">
        <f t="shared" si="249"/>
        <v>0</v>
      </c>
      <c r="CB145" s="35">
        <f t="shared" si="249"/>
        <v>0</v>
      </c>
      <c r="CC145" s="35">
        <f t="shared" si="249"/>
        <v>0</v>
      </c>
      <c r="CD145" s="35">
        <f t="shared" si="249"/>
        <v>0</v>
      </c>
      <c r="CE145" s="35">
        <f t="shared" si="249"/>
        <v>0</v>
      </c>
      <c r="CF145" s="35">
        <f t="shared" si="249"/>
        <v>0</v>
      </c>
      <c r="CG145" s="35">
        <f t="shared" si="249"/>
        <v>0</v>
      </c>
      <c r="CH145" s="35">
        <f t="shared" si="249"/>
        <v>0</v>
      </c>
      <c r="CI145" s="35">
        <f t="shared" si="249"/>
        <v>0</v>
      </c>
      <c r="CJ145" s="35">
        <f t="shared" si="249"/>
        <v>0</v>
      </c>
      <c r="CK145" s="35">
        <f t="shared" si="249"/>
        <v>0</v>
      </c>
      <c r="CL145" s="35">
        <f t="shared" si="249"/>
        <v>0</v>
      </c>
      <c r="CM145" s="35">
        <f t="shared" si="249"/>
        <v>0</v>
      </c>
      <c r="CN145" s="35">
        <f t="shared" si="249"/>
        <v>0</v>
      </c>
      <c r="CO145" s="35"/>
    </row>
    <row r="146" spans="1:93" ht="12.75" customHeight="1" outlineLevel="1">
      <c r="A146" s="35"/>
      <c r="B146" s="54" t="s">
        <v>230</v>
      </c>
      <c r="C146" s="55"/>
      <c r="D146" s="58">
        <f t="shared" ref="D146:CN146" si="250">SUM(D143:D145)</f>
        <v>0</v>
      </c>
      <c r="E146" s="55">
        <f t="shared" si="250"/>
        <v>300</v>
      </c>
      <c r="F146" s="55">
        <f t="shared" si="250"/>
        <v>600</v>
      </c>
      <c r="G146" s="55">
        <f t="shared" si="250"/>
        <v>900</v>
      </c>
      <c r="H146" s="55">
        <f t="shared" si="250"/>
        <v>1200</v>
      </c>
      <c r="I146" s="55">
        <f t="shared" si="250"/>
        <v>1500</v>
      </c>
      <c r="J146" s="55">
        <f t="shared" si="250"/>
        <v>1800</v>
      </c>
      <c r="K146" s="55">
        <f t="shared" si="250"/>
        <v>2100</v>
      </c>
      <c r="L146" s="55">
        <f t="shared" si="250"/>
        <v>2400</v>
      </c>
      <c r="M146" s="55">
        <f t="shared" si="250"/>
        <v>2700</v>
      </c>
      <c r="N146" s="55">
        <f t="shared" si="250"/>
        <v>3000</v>
      </c>
      <c r="O146" s="55">
        <f t="shared" si="250"/>
        <v>3698.1159082031254</v>
      </c>
      <c r="P146" s="55">
        <f t="shared" si="250"/>
        <v>5397.208957031251</v>
      </c>
      <c r="Q146" s="55">
        <f t="shared" si="250"/>
        <v>8097.2791464843758</v>
      </c>
      <c r="R146" s="55">
        <f t="shared" si="250"/>
        <v>12241.941345703126</v>
      </c>
      <c r="S146" s="55">
        <f t="shared" si="250"/>
        <v>17728.822892578126</v>
      </c>
      <c r="T146" s="55">
        <f t="shared" si="250"/>
        <v>25875.118706250003</v>
      </c>
      <c r="U146" s="55">
        <f t="shared" si="250"/>
        <v>36783.201448828127</v>
      </c>
      <c r="V146" s="55">
        <f t="shared" si="250"/>
        <v>48002.952073828128</v>
      </c>
      <c r="W146" s="55">
        <f t="shared" si="250"/>
        <v>42878.636827280316</v>
      </c>
      <c r="X146" s="55">
        <f t="shared" si="250"/>
        <v>29069.226722134579</v>
      </c>
      <c r="Y146" s="55">
        <f t="shared" si="250"/>
        <v>0</v>
      </c>
      <c r="Z146" s="55">
        <f t="shared" si="250"/>
        <v>439.3185449971752</v>
      </c>
      <c r="AA146" s="55">
        <f t="shared" si="250"/>
        <v>0</v>
      </c>
      <c r="AB146" s="55">
        <f t="shared" si="250"/>
        <v>0</v>
      </c>
      <c r="AC146" s="55">
        <f t="shared" si="250"/>
        <v>0</v>
      </c>
      <c r="AD146" s="55">
        <f t="shared" si="250"/>
        <v>0</v>
      </c>
      <c r="AE146" s="55">
        <f t="shared" si="250"/>
        <v>0</v>
      </c>
      <c r="AF146" s="55">
        <f t="shared" si="250"/>
        <v>0</v>
      </c>
      <c r="AG146" s="55">
        <f t="shared" si="250"/>
        <v>0</v>
      </c>
      <c r="AH146" s="55">
        <f t="shared" si="250"/>
        <v>0</v>
      </c>
      <c r="AI146" s="55">
        <f t="shared" si="250"/>
        <v>0</v>
      </c>
      <c r="AJ146" s="55">
        <f t="shared" si="250"/>
        <v>0</v>
      </c>
      <c r="AK146" s="55">
        <f t="shared" si="250"/>
        <v>0</v>
      </c>
      <c r="AL146" s="55">
        <f t="shared" si="250"/>
        <v>0</v>
      </c>
      <c r="AM146" s="55">
        <f t="shared" si="250"/>
        <v>0</v>
      </c>
      <c r="AN146" s="55">
        <f t="shared" si="250"/>
        <v>0</v>
      </c>
      <c r="AO146" s="55">
        <f t="shared" si="250"/>
        <v>0</v>
      </c>
      <c r="AP146" s="55">
        <f t="shared" si="250"/>
        <v>0</v>
      </c>
      <c r="AQ146" s="55">
        <f t="shared" si="250"/>
        <v>0</v>
      </c>
      <c r="AR146" s="55">
        <f t="shared" si="250"/>
        <v>0</v>
      </c>
      <c r="AS146" s="55">
        <f t="shared" si="250"/>
        <v>0</v>
      </c>
      <c r="AT146" s="55">
        <f t="shared" si="250"/>
        <v>0</v>
      </c>
      <c r="AU146" s="55">
        <f t="shared" si="250"/>
        <v>0</v>
      </c>
      <c r="AV146" s="55">
        <f t="shared" si="250"/>
        <v>0</v>
      </c>
      <c r="AW146" s="55">
        <f t="shared" si="250"/>
        <v>0</v>
      </c>
      <c r="AX146" s="55">
        <f t="shared" si="250"/>
        <v>0</v>
      </c>
      <c r="AY146" s="55">
        <f t="shared" si="250"/>
        <v>0</v>
      </c>
      <c r="AZ146" s="55">
        <f t="shared" si="250"/>
        <v>0</v>
      </c>
      <c r="BA146" s="55">
        <f t="shared" si="250"/>
        <v>0</v>
      </c>
      <c r="BB146" s="55">
        <f t="shared" si="250"/>
        <v>0</v>
      </c>
      <c r="BC146" s="55">
        <f t="shared" si="250"/>
        <v>0</v>
      </c>
      <c r="BD146" s="55">
        <f t="shared" si="250"/>
        <v>0</v>
      </c>
      <c r="BE146" s="55">
        <f t="shared" si="250"/>
        <v>0</v>
      </c>
      <c r="BF146" s="55">
        <f t="shared" si="250"/>
        <v>0</v>
      </c>
      <c r="BG146" s="55">
        <f t="shared" si="250"/>
        <v>0</v>
      </c>
      <c r="BH146" s="55">
        <f t="shared" si="250"/>
        <v>0</v>
      </c>
      <c r="BI146" s="55">
        <f t="shared" si="250"/>
        <v>0</v>
      </c>
      <c r="BJ146" s="55">
        <f t="shared" si="250"/>
        <v>0</v>
      </c>
      <c r="BK146" s="55">
        <f t="shared" si="250"/>
        <v>0</v>
      </c>
      <c r="BL146" s="55">
        <f t="shared" si="250"/>
        <v>0</v>
      </c>
      <c r="BM146" s="55">
        <f t="shared" si="250"/>
        <v>0</v>
      </c>
      <c r="BN146" s="55">
        <f t="shared" si="250"/>
        <v>0</v>
      </c>
      <c r="BO146" s="55">
        <f t="shared" si="250"/>
        <v>0</v>
      </c>
      <c r="BP146" s="55">
        <f t="shared" si="250"/>
        <v>0</v>
      </c>
      <c r="BQ146" s="55">
        <f t="shared" si="250"/>
        <v>0</v>
      </c>
      <c r="BR146" s="55">
        <f t="shared" si="250"/>
        <v>0</v>
      </c>
      <c r="BS146" s="55">
        <f t="shared" si="250"/>
        <v>0</v>
      </c>
      <c r="BT146" s="55">
        <f t="shared" si="250"/>
        <v>0</v>
      </c>
      <c r="BU146" s="55">
        <f t="shared" si="250"/>
        <v>0</v>
      </c>
      <c r="BV146" s="55">
        <f t="shared" si="250"/>
        <v>0</v>
      </c>
      <c r="BW146" s="55">
        <f t="shared" si="250"/>
        <v>0</v>
      </c>
      <c r="BX146" s="55">
        <f t="shared" si="250"/>
        <v>0</v>
      </c>
      <c r="BY146" s="55">
        <f t="shared" si="250"/>
        <v>0</v>
      </c>
      <c r="BZ146" s="55">
        <f t="shared" si="250"/>
        <v>0</v>
      </c>
      <c r="CA146" s="55">
        <f t="shared" si="250"/>
        <v>0</v>
      </c>
      <c r="CB146" s="55">
        <f t="shared" si="250"/>
        <v>0</v>
      </c>
      <c r="CC146" s="55">
        <f t="shared" si="250"/>
        <v>0</v>
      </c>
      <c r="CD146" s="55">
        <f t="shared" si="250"/>
        <v>0</v>
      </c>
      <c r="CE146" s="55">
        <f t="shared" si="250"/>
        <v>0</v>
      </c>
      <c r="CF146" s="55">
        <f t="shared" si="250"/>
        <v>0</v>
      </c>
      <c r="CG146" s="55">
        <f t="shared" si="250"/>
        <v>0</v>
      </c>
      <c r="CH146" s="55">
        <f t="shared" si="250"/>
        <v>0</v>
      </c>
      <c r="CI146" s="55">
        <f t="shared" si="250"/>
        <v>0</v>
      </c>
      <c r="CJ146" s="55">
        <f t="shared" si="250"/>
        <v>0</v>
      </c>
      <c r="CK146" s="55">
        <f t="shared" si="250"/>
        <v>0</v>
      </c>
      <c r="CL146" s="55">
        <f t="shared" si="250"/>
        <v>0</v>
      </c>
      <c r="CM146" s="55">
        <f t="shared" si="250"/>
        <v>0</v>
      </c>
      <c r="CN146" s="55">
        <f t="shared" si="250"/>
        <v>0</v>
      </c>
      <c r="CO146" s="35"/>
    </row>
    <row r="147" spans="1:93" ht="12.75" customHeight="1" outlineLevel="1">
      <c r="A147" s="35"/>
      <c r="B147" s="35"/>
      <c r="C147" s="35"/>
      <c r="D147" s="60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</row>
    <row r="148" spans="1:93" ht="12.75" customHeight="1" outlineLevel="1">
      <c r="A148" s="35"/>
      <c r="B148" s="35" t="s">
        <v>231</v>
      </c>
      <c r="C148" s="35"/>
      <c r="D148" s="60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</row>
    <row r="149" spans="1:93" ht="12.75" customHeight="1" outlineLevel="1">
      <c r="A149" s="35"/>
      <c r="B149" s="49" t="s">
        <v>228</v>
      </c>
      <c r="C149" s="50"/>
      <c r="D149" s="53">
        <v>0</v>
      </c>
      <c r="E149" s="50">
        <f t="shared" ref="E149:BP149" si="251">D152</f>
        <v>0</v>
      </c>
      <c r="F149" s="50">
        <f t="shared" si="251"/>
        <v>0</v>
      </c>
      <c r="G149" s="50">
        <f t="shared" si="251"/>
        <v>0</v>
      </c>
      <c r="H149" s="50">
        <f t="shared" si="251"/>
        <v>0</v>
      </c>
      <c r="I149" s="50">
        <f t="shared" si="251"/>
        <v>0</v>
      </c>
      <c r="J149" s="50">
        <f t="shared" si="251"/>
        <v>0</v>
      </c>
      <c r="K149" s="50">
        <f t="shared" si="251"/>
        <v>0</v>
      </c>
      <c r="L149" s="50">
        <f t="shared" si="251"/>
        <v>0</v>
      </c>
      <c r="M149" s="50">
        <f t="shared" si="251"/>
        <v>0</v>
      </c>
      <c r="N149" s="50">
        <f t="shared" si="251"/>
        <v>0</v>
      </c>
      <c r="O149" s="50">
        <f t="shared" si="251"/>
        <v>0</v>
      </c>
      <c r="P149" s="50">
        <f t="shared" si="251"/>
        <v>0</v>
      </c>
      <c r="Q149" s="50">
        <f t="shared" si="251"/>
        <v>0</v>
      </c>
      <c r="R149" s="50">
        <f t="shared" si="251"/>
        <v>0</v>
      </c>
      <c r="S149" s="50">
        <f t="shared" si="251"/>
        <v>0</v>
      </c>
      <c r="T149" s="50">
        <f t="shared" si="251"/>
        <v>0</v>
      </c>
      <c r="U149" s="50">
        <f t="shared" si="251"/>
        <v>0</v>
      </c>
      <c r="V149" s="50">
        <f t="shared" si="251"/>
        <v>0</v>
      </c>
      <c r="W149" s="50">
        <f t="shared" si="251"/>
        <v>74.690379853385437</v>
      </c>
      <c r="X149" s="50">
        <f t="shared" si="251"/>
        <v>0</v>
      </c>
      <c r="Y149" s="50">
        <f t="shared" si="251"/>
        <v>0</v>
      </c>
      <c r="Z149" s="50">
        <f t="shared" si="251"/>
        <v>0</v>
      </c>
      <c r="AA149" s="50">
        <f t="shared" si="251"/>
        <v>0</v>
      </c>
      <c r="AB149" s="50">
        <f t="shared" si="251"/>
        <v>0</v>
      </c>
      <c r="AC149" s="50">
        <f t="shared" si="251"/>
        <v>0</v>
      </c>
      <c r="AD149" s="50">
        <f t="shared" si="251"/>
        <v>0</v>
      </c>
      <c r="AE149" s="50">
        <f t="shared" si="251"/>
        <v>0</v>
      </c>
      <c r="AF149" s="50">
        <f t="shared" si="251"/>
        <v>0</v>
      </c>
      <c r="AG149" s="50">
        <f t="shared" si="251"/>
        <v>0</v>
      </c>
      <c r="AH149" s="50">
        <f t="shared" si="251"/>
        <v>0</v>
      </c>
      <c r="AI149" s="50">
        <f t="shared" si="251"/>
        <v>0</v>
      </c>
      <c r="AJ149" s="50">
        <f t="shared" si="251"/>
        <v>0</v>
      </c>
      <c r="AK149" s="50">
        <f t="shared" si="251"/>
        <v>0</v>
      </c>
      <c r="AL149" s="50">
        <f t="shared" si="251"/>
        <v>0</v>
      </c>
      <c r="AM149" s="50">
        <f t="shared" si="251"/>
        <v>0</v>
      </c>
      <c r="AN149" s="50">
        <f t="shared" si="251"/>
        <v>0</v>
      </c>
      <c r="AO149" s="50">
        <f t="shared" si="251"/>
        <v>0</v>
      </c>
      <c r="AP149" s="50">
        <f t="shared" si="251"/>
        <v>0</v>
      </c>
      <c r="AQ149" s="50">
        <f t="shared" si="251"/>
        <v>0</v>
      </c>
      <c r="AR149" s="50">
        <f t="shared" si="251"/>
        <v>0</v>
      </c>
      <c r="AS149" s="50">
        <f t="shared" si="251"/>
        <v>0</v>
      </c>
      <c r="AT149" s="50">
        <f t="shared" si="251"/>
        <v>0</v>
      </c>
      <c r="AU149" s="50">
        <f t="shared" si="251"/>
        <v>0</v>
      </c>
      <c r="AV149" s="50">
        <f t="shared" si="251"/>
        <v>0</v>
      </c>
      <c r="AW149" s="50">
        <f t="shared" si="251"/>
        <v>0</v>
      </c>
      <c r="AX149" s="50">
        <f t="shared" si="251"/>
        <v>0</v>
      </c>
      <c r="AY149" s="50">
        <f t="shared" si="251"/>
        <v>0</v>
      </c>
      <c r="AZ149" s="50">
        <f t="shared" si="251"/>
        <v>0</v>
      </c>
      <c r="BA149" s="50">
        <f t="shared" si="251"/>
        <v>0</v>
      </c>
      <c r="BB149" s="50">
        <f t="shared" si="251"/>
        <v>0</v>
      </c>
      <c r="BC149" s="50">
        <f t="shared" si="251"/>
        <v>0</v>
      </c>
      <c r="BD149" s="50">
        <f t="shared" si="251"/>
        <v>0</v>
      </c>
      <c r="BE149" s="50">
        <f t="shared" si="251"/>
        <v>0</v>
      </c>
      <c r="BF149" s="50">
        <f t="shared" si="251"/>
        <v>0</v>
      </c>
      <c r="BG149" s="50">
        <f t="shared" si="251"/>
        <v>0</v>
      </c>
      <c r="BH149" s="50">
        <f t="shared" si="251"/>
        <v>0</v>
      </c>
      <c r="BI149" s="50">
        <f t="shared" si="251"/>
        <v>0</v>
      </c>
      <c r="BJ149" s="50">
        <f t="shared" si="251"/>
        <v>0</v>
      </c>
      <c r="BK149" s="50">
        <f t="shared" si="251"/>
        <v>0</v>
      </c>
      <c r="BL149" s="50">
        <f t="shared" si="251"/>
        <v>0</v>
      </c>
      <c r="BM149" s="50">
        <f t="shared" si="251"/>
        <v>0</v>
      </c>
      <c r="BN149" s="50">
        <f t="shared" si="251"/>
        <v>0</v>
      </c>
      <c r="BO149" s="50">
        <f t="shared" si="251"/>
        <v>0</v>
      </c>
      <c r="BP149" s="50">
        <f t="shared" si="251"/>
        <v>0</v>
      </c>
      <c r="BQ149" s="50">
        <f t="shared" ref="BQ149:CN149" si="252">BP152</f>
        <v>0</v>
      </c>
      <c r="BR149" s="50">
        <f t="shared" si="252"/>
        <v>0</v>
      </c>
      <c r="BS149" s="50">
        <f t="shared" si="252"/>
        <v>0</v>
      </c>
      <c r="BT149" s="50">
        <f t="shared" si="252"/>
        <v>0</v>
      </c>
      <c r="BU149" s="50">
        <f t="shared" si="252"/>
        <v>0</v>
      </c>
      <c r="BV149" s="50">
        <f t="shared" si="252"/>
        <v>0</v>
      </c>
      <c r="BW149" s="50">
        <f t="shared" si="252"/>
        <v>0</v>
      </c>
      <c r="BX149" s="50">
        <f t="shared" si="252"/>
        <v>0</v>
      </c>
      <c r="BY149" s="50">
        <f t="shared" si="252"/>
        <v>0</v>
      </c>
      <c r="BZ149" s="50">
        <f t="shared" si="252"/>
        <v>0</v>
      </c>
      <c r="CA149" s="50">
        <f t="shared" si="252"/>
        <v>0</v>
      </c>
      <c r="CB149" s="50">
        <f t="shared" si="252"/>
        <v>0</v>
      </c>
      <c r="CC149" s="50">
        <f t="shared" si="252"/>
        <v>0</v>
      </c>
      <c r="CD149" s="50">
        <f t="shared" si="252"/>
        <v>0</v>
      </c>
      <c r="CE149" s="50">
        <f t="shared" si="252"/>
        <v>0</v>
      </c>
      <c r="CF149" s="50">
        <f t="shared" si="252"/>
        <v>0</v>
      </c>
      <c r="CG149" s="50">
        <f t="shared" si="252"/>
        <v>0</v>
      </c>
      <c r="CH149" s="50">
        <f t="shared" si="252"/>
        <v>0</v>
      </c>
      <c r="CI149" s="50">
        <f t="shared" si="252"/>
        <v>0</v>
      </c>
      <c r="CJ149" s="50">
        <f t="shared" si="252"/>
        <v>0</v>
      </c>
      <c r="CK149" s="50">
        <f t="shared" si="252"/>
        <v>0</v>
      </c>
      <c r="CL149" s="50">
        <f t="shared" si="252"/>
        <v>0</v>
      </c>
      <c r="CM149" s="50">
        <f t="shared" si="252"/>
        <v>0</v>
      </c>
      <c r="CN149" s="50">
        <f t="shared" si="252"/>
        <v>0</v>
      </c>
      <c r="CO149" s="35"/>
    </row>
    <row r="150" spans="1:93" ht="12.75" customHeight="1" outlineLevel="1">
      <c r="A150" s="35"/>
      <c r="B150" s="63" t="s">
        <v>232</v>
      </c>
      <c r="C150" s="35">
        <f t="shared" ref="C150:C151" si="253">SUM(D150:CN150)</f>
        <v>339724.27161255415</v>
      </c>
      <c r="D150" s="60">
        <f>-SUM(D32:D35,D37:D40,D43:D55)*Assump!$D$25-D75/(1+Assump!$D$25)*Assump!$D$25</f>
        <v>0</v>
      </c>
      <c r="E150" s="35">
        <f>-SUM(E32:E35,E37:E40,E43:E55)*Assump!$D$25-E75/(1+Assump!$D$25)*Assump!$D$25</f>
        <v>0</v>
      </c>
      <c r="F150" s="35">
        <f>-SUM(F32:F35,F37:F40,F43:F55)*Assump!$D$25-F75/(1+Assump!$D$25)*Assump!$D$25</f>
        <v>0</v>
      </c>
      <c r="G150" s="35">
        <f>-SUM(G32:G35,G37:G40,G43:G55)*Assump!$D$25-G75/(1+Assump!$D$25)*Assump!$D$25</f>
        <v>0</v>
      </c>
      <c r="H150" s="35">
        <f>-SUM(H32:H35,H37:H40,H43:H55)*Assump!$D$25-H75/(1+Assump!$D$25)*Assump!$D$25</f>
        <v>0</v>
      </c>
      <c r="I150" s="35">
        <f>-SUM(I32:I35,I37:I40,I43:I55)*Assump!$D$25-I75/(1+Assump!$D$25)*Assump!$D$25</f>
        <v>0</v>
      </c>
      <c r="J150" s="35">
        <f>-SUM(J32:J35,J37:J40,J43:J55)*Assump!$D$25-J75/(1+Assump!$D$25)*Assump!$D$25</f>
        <v>0</v>
      </c>
      <c r="K150" s="35">
        <f>-SUM(K32:K35,K37:K40,K43:K55)*Assump!$D$25-K75/(1+Assump!$D$25)*Assump!$D$25</f>
        <v>0</v>
      </c>
      <c r="L150" s="35">
        <f>-SUM(L32:L35,L37:L40,L43:L55)*Assump!$D$25-L75/(1+Assump!$D$25)*Assump!$D$25</f>
        <v>0</v>
      </c>
      <c r="M150" s="35">
        <f>-SUM(M32:M35,M37:M40,M43:M55)*Assump!$D$25-M75/(1+Assump!$D$25)*Assump!$D$25</f>
        <v>0</v>
      </c>
      <c r="N150" s="35">
        <f>-SUM(N32:N35,N37:N40,N43:N55)*Assump!$D$25-N75/(1+Assump!$D$25)*Assump!$D$25</f>
        <v>0</v>
      </c>
      <c r="O150" s="35">
        <f>-SUM(O32:O35,O37:O40,O43:O55)*Assump!$D$25-O75/(1+Assump!$D$25)*Assump!$D$25</f>
        <v>0</v>
      </c>
      <c r="P150" s="35">
        <f>-SUM(P32:P35,P37:P40,P43:P55)*Assump!$D$25-P75/(1+Assump!$D$25)*Assump!$D$25</f>
        <v>0</v>
      </c>
      <c r="Q150" s="35">
        <f>-SUM(Q32:Q35,Q37:Q40,Q43:Q55)*Assump!$D$25-Q75/(1+Assump!$D$25)*Assump!$D$25</f>
        <v>0</v>
      </c>
      <c r="R150" s="35">
        <f>-SUM(R32:R35,R37:R40,R43:R55)*Assump!$D$25-R75/(1+Assump!$D$25)*Assump!$D$25</f>
        <v>0</v>
      </c>
      <c r="S150" s="35">
        <f>-SUM(S32:S35,S37:S40,S43:S55)*Assump!$D$25-S75/(1+Assump!$D$25)*Assump!$D$25</f>
        <v>0</v>
      </c>
      <c r="T150" s="35">
        <f>-SUM(T32:T35,T37:T40,T43:T55)*Assump!$D$25-T75/(1+Assump!$D$25)*Assump!$D$25</f>
        <v>0</v>
      </c>
      <c r="U150" s="35">
        <f>-SUM(U32:U35,U37:U40,U43:U55)*Assump!$D$25-U75/(1+Assump!$D$25)*Assump!$D$25</f>
        <v>0</v>
      </c>
      <c r="V150" s="35">
        <f>-SUM(V32:V35,V37:V40,V43:V55)*Assump!$D$25-V75/(1+Assump!$D$25)*Assump!$D$25</f>
        <v>74.690379853385437</v>
      </c>
      <c r="W150" s="35">
        <f>-SUM(W32:W35,W37:W40,W43:W55)*Assump!$D$25-W75/(1+Assump!$D$25)*Assump!$D$25</f>
        <v>2370.0378169590872</v>
      </c>
      <c r="X150" s="35">
        <f>-SUM(X32:X35,X37:X40,X43:X55)*Assump!$D$25-X75/(1+Assump!$D$25)*Assump!$D$25</f>
        <v>3117.2441929522811</v>
      </c>
      <c r="Y150" s="35">
        <f>-SUM(Y32:Y35,Y37:Y40,Y43:Y55)*Assump!$D$25-Y75/(1+Assump!$D$25)*Assump!$D$25</f>
        <v>4767.4394949956713</v>
      </c>
      <c r="Z150" s="35">
        <f>-SUM(Z32:Z35,Z37:Z40,Z43:Z55)*Assump!$D$25-Z75/(1+Assump!$D$25)*Assump!$D$25</f>
        <v>1994.8297939848587</v>
      </c>
      <c r="AA150" s="35">
        <f>-SUM(AA32:AA35,AA37:AA40,AA43:AA55)*Assump!$D$25-AA75/(1+Assump!$D$25)*Assump!$D$25</f>
        <v>2562.0145016752122</v>
      </c>
      <c r="AB150" s="35">
        <f>-SUM(AB32:AB35,AB37:AB40,AB43:AB55)*Assump!$D$25-AB75/(1+Assump!$D$25)*Assump!$D$25</f>
        <v>3379.7306094474834</v>
      </c>
      <c r="AC150" s="35">
        <f>-SUM(AC32:AC35,AC37:AC40,AC43:AC55)*Assump!$D$25-AC75/(1+Assump!$D$25)*Assump!$D$25</f>
        <v>5265.7730606676769</v>
      </c>
      <c r="AD150" s="35">
        <f>-SUM(AD32:AD35,AD37:AD40,AD43:AD55)*Assump!$D$25-AD75/(1+Assump!$D$25)*Assump!$D$25</f>
        <v>2093.517357918613</v>
      </c>
      <c r="AE150" s="35">
        <f>-SUM(AE32:AE35,AE37:AE40,AE43:AE55)*Assump!$D$25-AE75/(1+Assump!$D$25)*Assump!$D$25</f>
        <v>2688.3025213573701</v>
      </c>
      <c r="AF150" s="35">
        <f>-SUM(AF32:AF35,AF37:AF40,AF43:AF55)*Assump!$D$25-AF75/(1+Assump!$D$25)*Assump!$D$25</f>
        <v>3545.9767305337591</v>
      </c>
      <c r="AG150" s="35">
        <f>-SUM(AG32:AG35,AG37:AG40,AG43:AG55)*Assump!$D$25-AG75/(1+Assump!$D$25)*Assump!$D$25</f>
        <v>5522.9687340215223</v>
      </c>
      <c r="AH150" s="35">
        <f>-SUM(AH32:AH35,AH37:AH40,AH43:AH55)*Assump!$D$25-AH75/(1+Assump!$D$25)*Assump!$D$25</f>
        <v>2198.1932258145439</v>
      </c>
      <c r="AI150" s="35">
        <f>-SUM(AI32:AI35,AI37:AI40,AI43:AI55)*Assump!$D$25-AI75/(1+Assump!$D$25)*Assump!$D$25</f>
        <v>2822.7176474252387</v>
      </c>
      <c r="AJ150" s="35">
        <f>-SUM(AJ32:AJ35,AJ37:AJ40,AJ43:AJ55)*Assump!$D$25-AJ75/(1+Assump!$D$25)*Assump!$D$25</f>
        <v>3723.2755670604465</v>
      </c>
      <c r="AK150" s="35">
        <f>-SUM(AK32:AK35,AK37:AK40,AK43:AK55)*Assump!$D$25-AK75/(1+Assump!$D$25)*Assump!$D$25</f>
        <v>5799.1171707225994</v>
      </c>
      <c r="AL150" s="35">
        <f>-SUM(AL32:AL35,AL37:AL40,AL43:AL55)*Assump!$D$25-AL75/(1+Assump!$D$25)*Assump!$D$25</f>
        <v>2308.1028871052708</v>
      </c>
      <c r="AM150" s="35">
        <f>-SUM(AM32:AM35,AM37:AM40,AM43:AM55)*Assump!$D$25-AM75/(1+Assump!$D$25)*Assump!$D$25</f>
        <v>2963.8535297965009</v>
      </c>
      <c r="AN150" s="35">
        <f>-SUM(AN32:AN35,AN37:AN40,AN43:AN55)*Assump!$D$25-AN75/(1+Assump!$D$25)*Assump!$D$25</f>
        <v>3909.4393454134693</v>
      </c>
      <c r="AO150" s="35">
        <f>-SUM(AO32:AO35,AO37:AO40,AO43:AO55)*Assump!$D$25-AO75/(1+Assump!$D$25)*Assump!$D$25</f>
        <v>6089.0730292587295</v>
      </c>
      <c r="AP150" s="35">
        <f>-SUM(AP32:AP35,AP37:AP40,AP43:AP55)*Assump!$D$25-AP75/(1+Assump!$D$25)*Assump!$D$25</f>
        <v>2423.5080314605348</v>
      </c>
      <c r="AQ150" s="35">
        <f>-SUM(AQ32:AQ35,AQ37:AQ40,AQ43:AQ55)*Assump!$D$25-AQ75/(1+Assump!$D$25)*Assump!$D$25</f>
        <v>3112.0462062863257</v>
      </c>
      <c r="AR150" s="35">
        <f>-SUM(AR32:AR35,AR37:AR40,AR43:AR55)*Assump!$D$25-AR75/(1+Assump!$D$25)*Assump!$D$25</f>
        <v>4104.911312684143</v>
      </c>
      <c r="AS150" s="35">
        <f>-SUM(AS32:AS35,AS37:AS40,AS43:AS55)*Assump!$D$25-AS75/(1+Assump!$D$25)*Assump!$D$25</f>
        <v>6393.5266807216676</v>
      </c>
      <c r="AT150" s="35">
        <f>-SUM(AT32:AT35,AT37:AT40,AT43:AT55)*Assump!$D$25-AT75/(1+Assump!$D$25)*Assump!$D$25</f>
        <v>2544.683433033561</v>
      </c>
      <c r="AU150" s="35">
        <f>-SUM(AU32:AU35,AU37:AU40,AU43:AU55)*Assump!$D$25-AU75/(1+Assump!$D$25)*Assump!$D$25</f>
        <v>3267.6485166006419</v>
      </c>
      <c r="AV150" s="35">
        <f>-SUM(AV32:AV35,AV37:AV40,AV43:AV55)*Assump!$D$25-AV75/(1+Assump!$D$25)*Assump!$D$25</f>
        <v>4310.1568783183502</v>
      </c>
      <c r="AW150" s="35">
        <f>-SUM(AW32:AW35,AW37:AW40,AW43:AW55)*Assump!$D$25-AW75/(1+Assump!$D$25)*Assump!$D$25</f>
        <v>6713.203014757748</v>
      </c>
      <c r="AX150" s="35">
        <f>-SUM(AX32:AX35,AX37:AX40,AX43:AX55)*Assump!$D$25-AX75/(1+Assump!$D$25)*Assump!$D$25</f>
        <v>2671.9176046852399</v>
      </c>
      <c r="AY150" s="35">
        <f>-SUM(AY32:AY35,AY37:AY40,AY43:AY55)*Assump!$D$25-AY75/(1+Assump!$D$25)*Assump!$D$25</f>
        <v>3431.0309424306743</v>
      </c>
      <c r="AZ150" s="35">
        <f>-SUM(AZ32:AZ35,AZ37:AZ40,AZ43:AZ55)*Assump!$D$25-AZ75/(1+Assump!$D$25)*Assump!$D$25</f>
        <v>4525.6647222342681</v>
      </c>
      <c r="BA150" s="35">
        <f>-SUM(BA32:BA35,BA37:BA40,BA43:BA55)*Assump!$D$25-BA75/(1+Assump!$D$25)*Assump!$D$25</f>
        <v>7048.8631654956371</v>
      </c>
      <c r="BB150" s="35">
        <f>-SUM(BB32:BB35,BB37:BB40,BB43:BB55)*Assump!$D$25-BB75/(1+Assump!$D$25)*Assump!$D$25</f>
        <v>2805.5134849195024</v>
      </c>
      <c r="BC150" s="35">
        <f>-SUM(BC32:BC35,BC37:BC40,BC43:BC55)*Assump!$D$25-BC75/(1+Assump!$D$25)*Assump!$D$25</f>
        <v>3602.5824895522087</v>
      </c>
      <c r="BD150" s="35">
        <f>-SUM(BD32:BD35,BD37:BD40,BD43:BD55)*Assump!$D$25-BD75/(1+Assump!$D$25)*Assump!$D$25</f>
        <v>4751.9479583459806</v>
      </c>
      <c r="BE150" s="35">
        <f>-SUM(BE32:BE35,BE37:BE40,BE43:BE55)*Assump!$D$25-BE75/(1+Assump!$D$25)*Assump!$D$25</f>
        <v>7401.3063237704173</v>
      </c>
      <c r="BF150" s="35">
        <f>-SUM(BF32:BF35,BF37:BF40,BF43:BF55)*Assump!$D$25-BF75/(1+Assump!$D$25)*Assump!$D$25</f>
        <v>2945.7891591654766</v>
      </c>
      <c r="BG150" s="35">
        <f>-SUM(BG32:BG35,BG37:BG40,BG43:BG55)*Assump!$D$25-BG75/(1+Assump!$D$25)*Assump!$D$25</f>
        <v>3782.7116140298185</v>
      </c>
      <c r="BH150" s="35">
        <f>-SUM(BH32:BH35,BH37:BH40,BH43:BH55)*Assump!$D$25-BH75/(1+Assump!$D$25)*Assump!$D$25</f>
        <v>4989.5453562632802</v>
      </c>
      <c r="BI150" s="35">
        <f>-SUM(BI32:BI35,BI37:BI40,BI43:BI55)*Assump!$D$25-BI75/(1+Assump!$D$25)*Assump!$D$25</f>
        <v>7771.3716399589402</v>
      </c>
      <c r="BJ150" s="35">
        <f>-SUM(BJ32:BJ35,BJ37:BJ40,BJ43:BJ55)*Assump!$D$25-BJ75/(1+Assump!$D$25)*Assump!$D$25</f>
        <v>3093.0786171237501</v>
      </c>
      <c r="BK150" s="35">
        <f>-SUM(BK32:BK35,BK37:BK40,BK43:BK55)*Assump!$D$25-BK75/(1+Assump!$D$25)*Assump!$D$25</f>
        <v>3971.8471947313101</v>
      </c>
      <c r="BL150" s="35">
        <f>-SUM(BL32:BL35,BL37:BL40,BL43:BL55)*Assump!$D$25-BL75/(1+Assump!$D$25)*Assump!$D$25</f>
        <v>5239.022624076445</v>
      </c>
      <c r="BM150" s="35">
        <f>-SUM(BM32:BM35,BM37:BM40,BM43:BM55)*Assump!$D$25-BM75/(1+Assump!$D$25)*Assump!$D$25</f>
        <v>8159.9402219568883</v>
      </c>
      <c r="BN150" s="35">
        <f>-SUM(BN32:BN35,BN37:BN40,BN43:BN55)*Assump!$D$25-BN75/(1+Assump!$D$25)*Assump!$D$25</f>
        <v>3247.7325479799388</v>
      </c>
      <c r="BO150" s="35">
        <f>-SUM(BO32:BO35,BO37:BO40,BO43:BO55)*Assump!$D$25-BO75/(1+Assump!$D$25)*Assump!$D$25</f>
        <v>4170.4395544678746</v>
      </c>
      <c r="BP150" s="35">
        <f>-SUM(BP32:BP35,BP37:BP40,BP43:BP55)*Assump!$D$25-BP75/(1+Assump!$D$25)*Assump!$D$25</f>
        <v>5500.9737552802671</v>
      </c>
      <c r="BQ150" s="35">
        <f>-SUM(BQ32:BQ35,BQ37:BQ40,BQ43:BQ55)*Assump!$D$25-BQ75/(1+Assump!$D$25)*Assump!$D$25</f>
        <v>8567.9372330547321</v>
      </c>
      <c r="BR150" s="35">
        <f>-SUM(BR32:BR35,BR37:BR40,BR43:BR55)*Assump!$D$25-BR75/(1+Assump!$D$25)*Assump!$D$25</f>
        <v>3410.1191753789362</v>
      </c>
      <c r="BS150" s="35">
        <f>-SUM(BS32:BS35,BS37:BS40,BS43:BS55)*Assump!$D$25-BS75/(1+Assump!$D$25)*Assump!$D$25</f>
        <v>4378.9615321912688</v>
      </c>
      <c r="BT150" s="35">
        <f>-SUM(BT32:BT35,BT37:BT40,BT43:BT55)*Assump!$D$25-BT75/(1+Assump!$D$25)*Assump!$D$25</f>
        <v>5776.0224430442804</v>
      </c>
      <c r="BU150" s="35">
        <f>-SUM(BU32:BU35,BU37:BU40,BU43:BU55)*Assump!$D$25-BU75/(1+Assump!$D$25)*Assump!$D$25</f>
        <v>8996.3340947074685</v>
      </c>
      <c r="BV150" s="35">
        <f>-SUM(BV32:BV35,BV37:BV40,BV43:BV55)*Assump!$D$25-BV75/(1+Assump!$D$25)*Assump!$D$25</f>
        <v>3580.6251341478828</v>
      </c>
      <c r="BW150" s="35">
        <f>-SUM(BW32:BW35,BW37:BW40,BW43:BW55)*Assump!$D$25-BW75/(1+Assump!$D$25)*Assump!$D$25</f>
        <v>4597.9096088008328</v>
      </c>
      <c r="BX150" s="35">
        <f>-SUM(BX32:BX35,BX37:BX40,BX43:BX55)*Assump!$D$25-BX75/(1+Assump!$D$25)*Assump!$D$25</f>
        <v>6064.8235651964942</v>
      </c>
      <c r="BY150" s="35">
        <f>-SUM(BY32:BY35,BY37:BY40,BY43:BY55)*Assump!$D$25-BY75/(1+Assump!$D$25)*Assump!$D$25</f>
        <v>9446.1507994428448</v>
      </c>
      <c r="BZ150" s="35">
        <f>-SUM(BZ32:BZ35,BZ37:BZ40,BZ43:BZ55)*Assump!$D$25-BZ75/(1+Assump!$D$25)*Assump!$D$25</f>
        <v>3759.6563908552762</v>
      </c>
      <c r="CA150" s="35">
        <f>-SUM(CA32:CA35,CA37:CA40,CA43:CA55)*Assump!$D$25-CA75/(1+Assump!$D$25)*Assump!$D$25</f>
        <v>4827.8050892408755</v>
      </c>
      <c r="CB150" s="35">
        <f>-SUM(CB32:CB35,CB37:CB40,CB43:CB55)*Assump!$D$25-CB75/(1+Assump!$D$25)*Assump!$D$25</f>
        <v>6368.0647434563207</v>
      </c>
      <c r="CC150" s="35">
        <f>-SUM(CC32:CC35,CC37:CC40,CC43:CC55)*Assump!$D$25-CC75/(1+Assump!$D$25)*Assump!$D$25</f>
        <v>9918.4583394149849</v>
      </c>
      <c r="CD150" s="35">
        <f>-SUM(CD32:CD35,CD37:CD40,CD43:CD55)*Assump!$D$25-CD75/(1+Assump!$D$25)*Assump!$D$25</f>
        <v>3947.6392103980402</v>
      </c>
      <c r="CE150" s="35">
        <f>-SUM(CE32:CE35,CE37:CE40,CE43:CE55)*Assump!$D$25-CE75/(1+Assump!$D$25)*Assump!$D$25</f>
        <v>5069.1953437029206</v>
      </c>
      <c r="CF150" s="35">
        <f>-SUM(CF32:CF35,CF37:CF40,CF43:CF55)*Assump!$D$25-CF75/(1+Assump!$D$25)*Assump!$D$25</f>
        <v>6686.4679806291351</v>
      </c>
      <c r="CG150" s="35">
        <f>-SUM(CG32:CG35,CG37:CG40,CG43:CG55)*Assump!$D$25-CG75/(1+Assump!$D$25)*Assump!$D$25</f>
        <v>10414.381256385739</v>
      </c>
      <c r="CH150" s="35">
        <f>-SUM(CH32:CH35,CH37:CH40,CH43:CH55)*Assump!$D$25-CH75/(1+Assump!$D$25)*Assump!$D$25</f>
        <v>4145.021170917943</v>
      </c>
      <c r="CI150" s="35">
        <f>-SUM(CI32:CI35,CI37:CI40,CI43:CI55)*Assump!$D$25-CI75/(1+Assump!$D$25)*Assump!$D$25</f>
        <v>5322.6551108880667</v>
      </c>
      <c r="CJ150" s="35">
        <f>-SUM(CJ32:CJ35,CJ37:CJ40,CJ43:CJ55)*Assump!$D$25-CJ75/(1+Assump!$D$25)*Assump!$D$25</f>
        <v>7020.7913796605935</v>
      </c>
      <c r="CK150" s="35">
        <f>-SUM(CK32:CK35,CK37:CK40,CK43:CK55)*Assump!$D$25-CK75/(1+Assump!$D$25)*Assump!$D$25</f>
        <v>10935.100319205021</v>
      </c>
      <c r="CL150" s="35">
        <f>-SUM(CL32:CL35,CL37:CL40,CL43:CL55)*Assump!$D$25-CL75/(1+Assump!$D$25)*Assump!$D$25</f>
        <v>4352.2722294638415</v>
      </c>
      <c r="CM150" s="35">
        <f>-SUM(CM32:CM35,CM37:CM40,CM43:CM55)*Assump!$D$25-CM75/(1+Assump!$D$25)*Assump!$D$25</f>
        <v>5588.787866432468</v>
      </c>
      <c r="CN150" s="35">
        <f>-SUM(CN32:CN35,CN37:CN40,CN43:CN55)*Assump!$D$25-CN75/(1+Assump!$D$25)*Assump!$D$25</f>
        <v>7371.8309486436219</v>
      </c>
      <c r="CO150" s="35"/>
    </row>
    <row r="151" spans="1:93" ht="12.75" customHeight="1" outlineLevel="1">
      <c r="A151" s="35"/>
      <c r="B151" s="63" t="s">
        <v>233</v>
      </c>
      <c r="C151" s="35">
        <f t="shared" si="253"/>
        <v>-1773201.1262315635</v>
      </c>
      <c r="D151" s="60">
        <f>-SUM(D19:D26)*Assump!$D$25</f>
        <v>0</v>
      </c>
      <c r="E151" s="35">
        <f>-SUM(E19:E26)*Assump!$D$25</f>
        <v>0</v>
      </c>
      <c r="F151" s="35">
        <f>-SUM(F19:F26)*Assump!$D$25</f>
        <v>0</v>
      </c>
      <c r="G151" s="35">
        <f>-SUM(G19:G26)*Assump!$D$25</f>
        <v>0</v>
      </c>
      <c r="H151" s="35">
        <f>-SUM(H19:H26)*Assump!$D$25</f>
        <v>0</v>
      </c>
      <c r="I151" s="35">
        <f>-SUM(I19:I26)*Assump!$D$25</f>
        <v>0</v>
      </c>
      <c r="J151" s="35">
        <f>-SUM(J19:J26)*Assump!$D$25</f>
        <v>0</v>
      </c>
      <c r="K151" s="35">
        <f>-SUM(K19:K26)*Assump!$D$25</f>
        <v>0</v>
      </c>
      <c r="L151" s="35">
        <f>-SUM(L19:L26)*Assump!$D$25</f>
        <v>0</v>
      </c>
      <c r="M151" s="35">
        <f>-SUM(M19:M26)*Assump!$D$25</f>
        <v>0</v>
      </c>
      <c r="N151" s="35">
        <f>-SUM(N19:N26)*Assump!$D$25</f>
        <v>0</v>
      </c>
      <c r="O151" s="35">
        <f>-SUM(O19:O26)*Assump!$D$25</f>
        <v>0</v>
      </c>
      <c r="P151" s="35">
        <f>-SUM(P19:P26)*Assump!$D$25</f>
        <v>0</v>
      </c>
      <c r="Q151" s="35">
        <f>-SUM(Q19:Q26)*Assump!$D$25</f>
        <v>0</v>
      </c>
      <c r="R151" s="35">
        <f>-SUM(R19:R26)*Assump!$D$25</f>
        <v>0</v>
      </c>
      <c r="S151" s="35">
        <f>-SUM(S19:S26)*Assump!$D$25</f>
        <v>0</v>
      </c>
      <c r="T151" s="35">
        <f>-SUM(T19:T26)*Assump!$D$25</f>
        <v>0</v>
      </c>
      <c r="U151" s="35">
        <f>-SUM(U19:U26)*Assump!$D$25</f>
        <v>0</v>
      </c>
      <c r="V151" s="35">
        <f>-SUM(V19:V26)*Assump!$D$25</f>
        <v>0</v>
      </c>
      <c r="W151" s="35">
        <f>-SUM(W19:W26)*Assump!$D$25</f>
        <v>-9479.4758068749998</v>
      </c>
      <c r="X151" s="35">
        <f>-SUM(X19:X26)*Assump!$D$25</f>
        <v>-12806.7553288125</v>
      </c>
      <c r="Y151" s="35">
        <f>-SUM(Y19:Y26)*Assump!$D$25</f>
        <v>-36618.082092062497</v>
      </c>
      <c r="Z151" s="35">
        <f>-SUM(Z19:Z26)*Assump!$D$25</f>
        <v>-6891.8540925500001</v>
      </c>
      <c r="AA151" s="35">
        <f>-SUM(AA19:AA26)*Assump!$D$25</f>
        <v>-10129.861344249999</v>
      </c>
      <c r="AB151" s="35">
        <f>-SUM(AB19:AB26)*Assump!$D$25</f>
        <v>-13667.319552050001</v>
      </c>
      <c r="AC151" s="35">
        <f>-SUM(AC19:AC26)*Assump!$D$25</f>
        <v>-39149.657638049997</v>
      </c>
      <c r="AD151" s="35">
        <f>-SUM(AD19:AD26)*Assump!$D$25</f>
        <v>-7217.6886894812487</v>
      </c>
      <c r="AE151" s="35">
        <f>-SUM(AE19:AE26)*Assump!$D$25</f>
        <v>-10603.543292375</v>
      </c>
      <c r="AF151" s="35">
        <f>-SUM(AF19:AF26)*Assump!$D$25</f>
        <v>-14303.849849121252</v>
      </c>
      <c r="AG151" s="35">
        <f>-SUM(AG19:AG26)*Assump!$D$25</f>
        <v>-40987.86547165626</v>
      </c>
      <c r="AH151" s="35">
        <f>-SUM(AH19:AH26)*Assump!$D$25</f>
        <v>-7578.5731239553133</v>
      </c>
      <c r="AI151" s="35">
        <f>-SUM(AI19:AI26)*Assump!$D$25</f>
        <v>-11133.720456993751</v>
      </c>
      <c r="AJ151" s="35">
        <f>-SUM(AJ19:AJ26)*Assump!$D$25</f>
        <v>-15019.042341577315</v>
      </c>
      <c r="AK151" s="35">
        <f>-SUM(AK19:AK26)*Assump!$D$25</f>
        <v>-43037.258745239073</v>
      </c>
      <c r="AL151" s="35">
        <f>-SUM(AL19:AL26)*Assump!$D$25</f>
        <v>-7957.5017801530776</v>
      </c>
      <c r="AM151" s="35">
        <f>-SUM(AM19:AM26)*Assump!$D$25</f>
        <v>-11690.406479843439</v>
      </c>
      <c r="AN151" s="35">
        <f>-SUM(AN19:AN26)*Assump!$D$25</f>
        <v>-15769.994458656183</v>
      </c>
      <c r="AO151" s="35">
        <f>-SUM(AO19:AO26)*Assump!$D$25</f>
        <v>-45189.12168250102</v>
      </c>
      <c r="AP151" s="35">
        <f>-SUM(AP19:AP26)*Assump!$D$25</f>
        <v>-8355.3768691607329</v>
      </c>
      <c r="AQ151" s="35">
        <f>-SUM(AQ19:AQ26)*Assump!$D$25</f>
        <v>-12274.926803835611</v>
      </c>
      <c r="AR151" s="35">
        <f>-SUM(AR19:AR26)*Assump!$D$25</f>
        <v>-16558.494181588991</v>
      </c>
      <c r="AS151" s="35">
        <f>-SUM(AS19:AS26)*Assump!$D$25</f>
        <v>-47448.577766626076</v>
      </c>
      <c r="AT151" s="35">
        <f>-SUM(AT19:AT26)*Assump!$D$25</f>
        <v>-8773.1457126187724</v>
      </c>
      <c r="AU151" s="35">
        <f>-SUM(AU19:AU26)*Assump!$D$25</f>
        <v>-12888.673144027392</v>
      </c>
      <c r="AV151" s="35">
        <f>-SUM(AV19:AV26)*Assump!$D$25</f>
        <v>-17386.418890668439</v>
      </c>
      <c r="AW151" s="35">
        <f>-SUM(AW19:AW26)*Assump!$D$25</f>
        <v>-49821.006654957382</v>
      </c>
      <c r="AX151" s="35">
        <f>-SUM(AX19:AX26)*Assump!$D$25</f>
        <v>-9211.8029982497101</v>
      </c>
      <c r="AY151" s="35">
        <f>-SUM(AY19:AY26)*Assump!$D$25</f>
        <v>-13533.106801228761</v>
      </c>
      <c r="AZ151" s="35">
        <f>-SUM(AZ19:AZ26)*Assump!$D$25</f>
        <v>-18255.739835201861</v>
      </c>
      <c r="BA151" s="35">
        <f>-SUM(BA19:BA26)*Assump!$D$25</f>
        <v>-52312.056987705248</v>
      </c>
      <c r="BB151" s="35">
        <f>-SUM(BB19:BB26)*Assump!$D$25</f>
        <v>-9672.3931481621967</v>
      </c>
      <c r="BC151" s="35">
        <f>-SUM(BC19:BC26)*Assump!$D$25</f>
        <v>-14209.762141290201</v>
      </c>
      <c r="BD151" s="35">
        <f>-SUM(BD19:BD26)*Assump!$D$25</f>
        <v>-19168.526826961956</v>
      </c>
      <c r="BE151" s="35">
        <f>-SUM(BE19:BE26)*Assump!$D$25</f>
        <v>-54927.659837090505</v>
      </c>
      <c r="BF151" s="35">
        <f>-SUM(BF19:BF26)*Assump!$D$25</f>
        <v>-10156.012805570306</v>
      </c>
      <c r="BG151" s="35">
        <f>-SUM(BG19:BG26)*Assump!$D$25</f>
        <v>-14920.250248354709</v>
      </c>
      <c r="BH151" s="35">
        <f>-SUM(BH19:BH26)*Assump!$D$25</f>
        <v>-20126.953168310054</v>
      </c>
      <c r="BI151" s="35">
        <f>-SUM(BI19:BI26)*Assump!$D$25</f>
        <v>-57674.04282894505</v>
      </c>
      <c r="BJ151" s="35">
        <f>-SUM(BJ19:BJ26)*Assump!$D$25</f>
        <v>-10663.81344584882</v>
      </c>
      <c r="BK151" s="35">
        <f>-SUM(BK19:BK26)*Assump!$D$25</f>
        <v>-15666.262760772446</v>
      </c>
      <c r="BL151" s="35">
        <f>-SUM(BL19:BL26)*Assump!$D$25</f>
        <v>-21133.300826725557</v>
      </c>
      <c r="BM151" s="35">
        <f>-SUM(BM19:BM26)*Assump!$D$25</f>
        <v>-60557.744970392298</v>
      </c>
      <c r="BN151" s="35">
        <f>-SUM(BN19:BN26)*Assump!$D$25</f>
        <v>-11197.004118141263</v>
      </c>
      <c r="BO151" s="35">
        <f>-SUM(BO19:BO26)*Assump!$D$25</f>
        <v>-16449.575898811072</v>
      </c>
      <c r="BP151" s="35">
        <f>-SUM(BP19:BP26)*Assump!$D$25</f>
        <v>-22189.965868061838</v>
      </c>
      <c r="BQ151" s="35">
        <f>-SUM(BQ19:BQ26)*Assump!$D$25</f>
        <v>-63585.632218911924</v>
      </c>
      <c r="BR151" s="35">
        <f>-SUM(BR19:BR26)*Assump!$D$25</f>
        <v>-11756.854324048327</v>
      </c>
      <c r="BS151" s="35">
        <f>-SUM(BS19:BS26)*Assump!$D$25</f>
        <v>-17272.054693751626</v>
      </c>
      <c r="BT151" s="35">
        <f>-SUM(BT19:BT26)*Assump!$D$25</f>
        <v>-23299.46416146493</v>
      </c>
      <c r="BU151" s="35">
        <f>-SUM(BU19:BU26)*Assump!$D$25</f>
        <v>-66764.913829857513</v>
      </c>
      <c r="BV151" s="35">
        <f>-SUM(BV19:BV26)*Assump!$D$25</f>
        <v>-12344.697040250743</v>
      </c>
      <c r="BW151" s="35">
        <f>-SUM(BW19:BW26)*Assump!$D$25</f>
        <v>-18135.657428439208</v>
      </c>
      <c r="BX151" s="35">
        <f>-SUM(BX19:BX26)*Assump!$D$25</f>
        <v>-24464.437369538176</v>
      </c>
      <c r="BY151" s="35">
        <f>-SUM(BY19:BY26)*Assump!$D$25</f>
        <v>-70103.159521350404</v>
      </c>
      <c r="BZ151" s="35">
        <f>-SUM(BZ19:BZ26)*Assump!$D$25</f>
        <v>-12961.931892263281</v>
      </c>
      <c r="CA151" s="35">
        <f>-SUM(CA19:CA26)*Assump!$D$25</f>
        <v>-19042.440299861169</v>
      </c>
      <c r="CB151" s="35">
        <f>-SUM(CB19:CB26)*Assump!$D$25</f>
        <v>-25687.659238015087</v>
      </c>
      <c r="CC151" s="35">
        <f>-SUM(CC19:CC26)*Assump!$D$25</f>
        <v>-73608.317497417913</v>
      </c>
      <c r="CD151" s="35">
        <f>-SUM(CD19:CD26)*Assump!$D$25</f>
        <v>-13610.028486876447</v>
      </c>
      <c r="CE151" s="35">
        <f>-SUM(CE19:CE26)*Assump!$D$25</f>
        <v>-19994.562314854225</v>
      </c>
      <c r="CF151" s="35">
        <f>-SUM(CF19:CF26)*Assump!$D$25</f>
        <v>-26972.042199915843</v>
      </c>
      <c r="CG151" s="35">
        <f>-SUM(CG19:CG26)*Assump!$D$25</f>
        <v>-77288.7333722888</v>
      </c>
      <c r="CH151" s="35">
        <f>-SUM(CH19:CH26)*Assump!$D$25</f>
        <v>-14290.52991122027</v>
      </c>
      <c r="CI151" s="35">
        <f>-SUM(CI19:CI26)*Assump!$D$25</f>
        <v>-20994.290430596939</v>
      </c>
      <c r="CJ151" s="35">
        <f>-SUM(CJ19:CJ26)*Assump!$D$25</f>
        <v>-28320.644309911633</v>
      </c>
      <c r="CK151" s="35">
        <f>-SUM(CK19:CK26)*Assump!$D$25</f>
        <v>-81153.170040903264</v>
      </c>
      <c r="CL151" s="35">
        <f>-SUM(CL19:CL26)*Assump!$D$25</f>
        <v>-15005.056406781281</v>
      </c>
      <c r="CM151" s="35">
        <f>-SUM(CM19:CM26)*Assump!$D$25</f>
        <v>-22044.00495212679</v>
      </c>
      <c r="CN151" s="35">
        <f>-SUM(CN19:CN26)*Assump!$D$25</f>
        <v>-29736.676525407216</v>
      </c>
      <c r="CO151" s="35"/>
    </row>
    <row r="152" spans="1:93" ht="12.75" customHeight="1" outlineLevel="1">
      <c r="A152" s="88"/>
      <c r="B152" s="110" t="s">
        <v>230</v>
      </c>
      <c r="C152" s="111"/>
      <c r="D152" s="58">
        <f t="shared" ref="D152:CN152" si="254">MAX(SUM(D149:D151),0)</f>
        <v>0</v>
      </c>
      <c r="E152" s="111">
        <f t="shared" si="254"/>
        <v>0</v>
      </c>
      <c r="F152" s="111">
        <f t="shared" si="254"/>
        <v>0</v>
      </c>
      <c r="G152" s="111">
        <f t="shared" si="254"/>
        <v>0</v>
      </c>
      <c r="H152" s="111">
        <f t="shared" si="254"/>
        <v>0</v>
      </c>
      <c r="I152" s="111">
        <f t="shared" si="254"/>
        <v>0</v>
      </c>
      <c r="J152" s="111">
        <f t="shared" si="254"/>
        <v>0</v>
      </c>
      <c r="K152" s="111">
        <f t="shared" si="254"/>
        <v>0</v>
      </c>
      <c r="L152" s="111">
        <f t="shared" si="254"/>
        <v>0</v>
      </c>
      <c r="M152" s="111">
        <f t="shared" si="254"/>
        <v>0</v>
      </c>
      <c r="N152" s="111">
        <f t="shared" si="254"/>
        <v>0</v>
      </c>
      <c r="O152" s="111">
        <f t="shared" si="254"/>
        <v>0</v>
      </c>
      <c r="P152" s="111">
        <f t="shared" si="254"/>
        <v>0</v>
      </c>
      <c r="Q152" s="111">
        <f t="shared" si="254"/>
        <v>0</v>
      </c>
      <c r="R152" s="111">
        <f t="shared" si="254"/>
        <v>0</v>
      </c>
      <c r="S152" s="111">
        <f t="shared" si="254"/>
        <v>0</v>
      </c>
      <c r="T152" s="111">
        <f t="shared" si="254"/>
        <v>0</v>
      </c>
      <c r="U152" s="111">
        <f t="shared" si="254"/>
        <v>0</v>
      </c>
      <c r="V152" s="111">
        <f t="shared" si="254"/>
        <v>74.690379853385437</v>
      </c>
      <c r="W152" s="111">
        <f t="shared" si="254"/>
        <v>0</v>
      </c>
      <c r="X152" s="111">
        <f t="shared" si="254"/>
        <v>0</v>
      </c>
      <c r="Y152" s="111">
        <f t="shared" si="254"/>
        <v>0</v>
      </c>
      <c r="Z152" s="111">
        <f t="shared" si="254"/>
        <v>0</v>
      </c>
      <c r="AA152" s="111">
        <f t="shared" si="254"/>
        <v>0</v>
      </c>
      <c r="AB152" s="111">
        <f t="shared" si="254"/>
        <v>0</v>
      </c>
      <c r="AC152" s="111">
        <f t="shared" si="254"/>
        <v>0</v>
      </c>
      <c r="AD152" s="111">
        <f t="shared" si="254"/>
        <v>0</v>
      </c>
      <c r="AE152" s="111">
        <f t="shared" si="254"/>
        <v>0</v>
      </c>
      <c r="AF152" s="111">
        <f t="shared" si="254"/>
        <v>0</v>
      </c>
      <c r="AG152" s="111">
        <f t="shared" si="254"/>
        <v>0</v>
      </c>
      <c r="AH152" s="111">
        <f t="shared" si="254"/>
        <v>0</v>
      </c>
      <c r="AI152" s="111">
        <f t="shared" si="254"/>
        <v>0</v>
      </c>
      <c r="AJ152" s="111">
        <f t="shared" si="254"/>
        <v>0</v>
      </c>
      <c r="AK152" s="55">
        <f t="shared" si="254"/>
        <v>0</v>
      </c>
      <c r="AL152" s="111">
        <f t="shared" si="254"/>
        <v>0</v>
      </c>
      <c r="AM152" s="111">
        <f t="shared" si="254"/>
        <v>0</v>
      </c>
      <c r="AN152" s="111">
        <f t="shared" si="254"/>
        <v>0</v>
      </c>
      <c r="AO152" s="111">
        <f t="shared" si="254"/>
        <v>0</v>
      </c>
      <c r="AP152" s="111">
        <f t="shared" si="254"/>
        <v>0</v>
      </c>
      <c r="AQ152" s="111">
        <f t="shared" si="254"/>
        <v>0</v>
      </c>
      <c r="AR152" s="111">
        <f t="shared" si="254"/>
        <v>0</v>
      </c>
      <c r="AS152" s="111">
        <f t="shared" si="254"/>
        <v>0</v>
      </c>
      <c r="AT152" s="111">
        <f t="shared" si="254"/>
        <v>0</v>
      </c>
      <c r="AU152" s="111">
        <f t="shared" si="254"/>
        <v>0</v>
      </c>
      <c r="AV152" s="111">
        <f t="shared" si="254"/>
        <v>0</v>
      </c>
      <c r="AW152" s="111">
        <f t="shared" si="254"/>
        <v>0</v>
      </c>
      <c r="AX152" s="111">
        <f t="shared" si="254"/>
        <v>0</v>
      </c>
      <c r="AY152" s="111">
        <f t="shared" si="254"/>
        <v>0</v>
      </c>
      <c r="AZ152" s="111">
        <f t="shared" si="254"/>
        <v>0</v>
      </c>
      <c r="BA152" s="111">
        <f t="shared" si="254"/>
        <v>0</v>
      </c>
      <c r="BB152" s="111">
        <f t="shared" si="254"/>
        <v>0</v>
      </c>
      <c r="BC152" s="111">
        <f t="shared" si="254"/>
        <v>0</v>
      </c>
      <c r="BD152" s="111">
        <f t="shared" si="254"/>
        <v>0</v>
      </c>
      <c r="BE152" s="111">
        <f t="shared" si="254"/>
        <v>0</v>
      </c>
      <c r="BF152" s="111">
        <f t="shared" si="254"/>
        <v>0</v>
      </c>
      <c r="BG152" s="111">
        <f t="shared" si="254"/>
        <v>0</v>
      </c>
      <c r="BH152" s="111">
        <f t="shared" si="254"/>
        <v>0</v>
      </c>
      <c r="BI152" s="111">
        <f t="shared" si="254"/>
        <v>0</v>
      </c>
      <c r="BJ152" s="111">
        <f t="shared" si="254"/>
        <v>0</v>
      </c>
      <c r="BK152" s="111">
        <f t="shared" si="254"/>
        <v>0</v>
      </c>
      <c r="BL152" s="111">
        <f t="shared" si="254"/>
        <v>0</v>
      </c>
      <c r="BM152" s="111">
        <f t="shared" si="254"/>
        <v>0</v>
      </c>
      <c r="BN152" s="111">
        <f t="shared" si="254"/>
        <v>0</v>
      </c>
      <c r="BO152" s="111">
        <f t="shared" si="254"/>
        <v>0</v>
      </c>
      <c r="BP152" s="111">
        <f t="shared" si="254"/>
        <v>0</v>
      </c>
      <c r="BQ152" s="111">
        <f t="shared" si="254"/>
        <v>0</v>
      </c>
      <c r="BR152" s="111">
        <f t="shared" si="254"/>
        <v>0</v>
      </c>
      <c r="BS152" s="111">
        <f t="shared" si="254"/>
        <v>0</v>
      </c>
      <c r="BT152" s="111">
        <f t="shared" si="254"/>
        <v>0</v>
      </c>
      <c r="BU152" s="111">
        <f t="shared" si="254"/>
        <v>0</v>
      </c>
      <c r="BV152" s="111">
        <f t="shared" si="254"/>
        <v>0</v>
      </c>
      <c r="BW152" s="111">
        <f t="shared" si="254"/>
        <v>0</v>
      </c>
      <c r="BX152" s="111">
        <f t="shared" si="254"/>
        <v>0</v>
      </c>
      <c r="BY152" s="111">
        <f t="shared" si="254"/>
        <v>0</v>
      </c>
      <c r="BZ152" s="111">
        <f t="shared" si="254"/>
        <v>0</v>
      </c>
      <c r="CA152" s="111">
        <f t="shared" si="254"/>
        <v>0</v>
      </c>
      <c r="CB152" s="111">
        <f t="shared" si="254"/>
        <v>0</v>
      </c>
      <c r="CC152" s="111">
        <f t="shared" si="254"/>
        <v>0</v>
      </c>
      <c r="CD152" s="111">
        <f t="shared" si="254"/>
        <v>0</v>
      </c>
      <c r="CE152" s="111">
        <f t="shared" si="254"/>
        <v>0</v>
      </c>
      <c r="CF152" s="111">
        <f t="shared" si="254"/>
        <v>0</v>
      </c>
      <c r="CG152" s="111">
        <f t="shared" si="254"/>
        <v>0</v>
      </c>
      <c r="CH152" s="111">
        <f t="shared" si="254"/>
        <v>0</v>
      </c>
      <c r="CI152" s="111">
        <f t="shared" si="254"/>
        <v>0</v>
      </c>
      <c r="CJ152" s="111">
        <f t="shared" si="254"/>
        <v>0</v>
      </c>
      <c r="CK152" s="111">
        <f t="shared" si="254"/>
        <v>0</v>
      </c>
      <c r="CL152" s="111">
        <f t="shared" si="254"/>
        <v>0</v>
      </c>
      <c r="CM152" s="111">
        <f t="shared" si="254"/>
        <v>0</v>
      </c>
      <c r="CN152" s="111">
        <f t="shared" si="254"/>
        <v>0</v>
      </c>
      <c r="CO152" s="88"/>
    </row>
    <row r="153" spans="1:93" ht="12.75" customHeight="1" outlineLevel="1">
      <c r="A153" s="88"/>
      <c r="B153" s="89"/>
      <c r="C153" s="88"/>
      <c r="D153" s="60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35"/>
      <c r="AL153" s="88"/>
      <c r="AM153" s="88"/>
      <c r="AN153" s="88"/>
      <c r="AO153" s="88"/>
      <c r="AP153" s="88"/>
      <c r="AQ153" s="88"/>
      <c r="AR153" s="88"/>
      <c r="AS153" s="88"/>
      <c r="AT153" s="88"/>
      <c r="AU153" s="88"/>
      <c r="AV153" s="88"/>
      <c r="AW153" s="88"/>
      <c r="AX153" s="88"/>
      <c r="AY153" s="88"/>
      <c r="AZ153" s="88"/>
      <c r="BA153" s="88"/>
      <c r="BB153" s="88"/>
      <c r="BC153" s="88"/>
      <c r="BD153" s="88"/>
      <c r="BE153" s="88"/>
      <c r="BF153" s="88"/>
      <c r="BG153" s="88"/>
      <c r="BH153" s="88"/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88"/>
      <c r="BT153" s="88"/>
      <c r="BU153" s="88"/>
      <c r="BV153" s="88"/>
      <c r="BW153" s="88"/>
      <c r="BX153" s="88"/>
      <c r="BY153" s="88"/>
      <c r="BZ153" s="88"/>
      <c r="CA153" s="88"/>
      <c r="CB153" s="88"/>
      <c r="CC153" s="88"/>
      <c r="CD153" s="88"/>
      <c r="CE153" s="88"/>
      <c r="CF153" s="88"/>
      <c r="CG153" s="88"/>
      <c r="CH153" s="88"/>
      <c r="CI153" s="88"/>
      <c r="CJ153" s="88"/>
      <c r="CK153" s="88"/>
      <c r="CL153" s="88"/>
      <c r="CM153" s="88"/>
      <c r="CN153" s="88"/>
      <c r="CO153" s="88"/>
    </row>
    <row r="154" spans="1:93" ht="12.75" customHeight="1" outlineLevel="1">
      <c r="A154" s="35"/>
      <c r="B154" s="35" t="s">
        <v>234</v>
      </c>
      <c r="C154" s="35"/>
      <c r="D154" s="60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</row>
    <row r="155" spans="1:93" ht="12.75" customHeight="1" outlineLevel="1">
      <c r="A155" s="35"/>
      <c r="B155" s="49" t="s">
        <v>228</v>
      </c>
      <c r="C155" s="50"/>
      <c r="D155" s="53">
        <v>0</v>
      </c>
      <c r="E155" s="50">
        <f t="shared" ref="E155:BP155" si="255">D158</f>
        <v>0</v>
      </c>
      <c r="F155" s="50">
        <f t="shared" si="255"/>
        <v>0</v>
      </c>
      <c r="G155" s="50">
        <f t="shared" si="255"/>
        <v>0</v>
      </c>
      <c r="H155" s="50">
        <f t="shared" si="255"/>
        <v>0</v>
      </c>
      <c r="I155" s="50">
        <f t="shared" si="255"/>
        <v>0</v>
      </c>
      <c r="J155" s="50">
        <f t="shared" si="255"/>
        <v>0</v>
      </c>
      <c r="K155" s="50">
        <f t="shared" si="255"/>
        <v>-4044.3520833333337</v>
      </c>
      <c r="L155" s="50">
        <f t="shared" si="255"/>
        <v>-8088.7041666666673</v>
      </c>
      <c r="M155" s="50">
        <f t="shared" si="255"/>
        <v>-8088.7041666666682</v>
      </c>
      <c r="N155" s="50">
        <f t="shared" si="255"/>
        <v>-10818.641822916668</v>
      </c>
      <c r="O155" s="50">
        <f t="shared" si="255"/>
        <v>-15671.864322916668</v>
      </c>
      <c r="P155" s="50">
        <f t="shared" si="255"/>
        <v>-17795.14916666667</v>
      </c>
      <c r="Q155" s="50">
        <f t="shared" si="255"/>
        <v>-17795.14916666667</v>
      </c>
      <c r="R155" s="50">
        <f t="shared" si="255"/>
        <v>-21738.392447916667</v>
      </c>
      <c r="S155" s="50">
        <f t="shared" si="255"/>
        <v>-24771.656510416666</v>
      </c>
      <c r="T155" s="50">
        <f t="shared" si="255"/>
        <v>-35570.076572916667</v>
      </c>
      <c r="U155" s="50">
        <f t="shared" si="255"/>
        <v>-48188.455072916666</v>
      </c>
      <c r="V155" s="50">
        <f t="shared" si="255"/>
        <v>-27319.598322916667</v>
      </c>
      <c r="W155" s="50">
        <f t="shared" si="255"/>
        <v>-2770.3811770833345</v>
      </c>
      <c r="X155" s="50">
        <f t="shared" si="255"/>
        <v>0</v>
      </c>
      <c r="Y155" s="50">
        <f t="shared" si="255"/>
        <v>0</v>
      </c>
      <c r="Z155" s="50">
        <f t="shared" si="255"/>
        <v>0</v>
      </c>
      <c r="AA155" s="50">
        <f t="shared" si="255"/>
        <v>0</v>
      </c>
      <c r="AB155" s="50">
        <f t="shared" si="255"/>
        <v>0</v>
      </c>
      <c r="AC155" s="50">
        <f t="shared" si="255"/>
        <v>0</v>
      </c>
      <c r="AD155" s="50">
        <f t="shared" si="255"/>
        <v>0</v>
      </c>
      <c r="AE155" s="50">
        <f t="shared" si="255"/>
        <v>0</v>
      </c>
      <c r="AF155" s="50">
        <f t="shared" si="255"/>
        <v>0</v>
      </c>
      <c r="AG155" s="50">
        <f t="shared" si="255"/>
        <v>0</v>
      </c>
      <c r="AH155" s="50">
        <f t="shared" si="255"/>
        <v>0</v>
      </c>
      <c r="AI155" s="50">
        <f t="shared" si="255"/>
        <v>0</v>
      </c>
      <c r="AJ155" s="50">
        <f t="shared" si="255"/>
        <v>0</v>
      </c>
      <c r="AK155" s="50">
        <f t="shared" si="255"/>
        <v>0</v>
      </c>
      <c r="AL155" s="50">
        <f t="shared" si="255"/>
        <v>0</v>
      </c>
      <c r="AM155" s="50">
        <f t="shared" si="255"/>
        <v>0</v>
      </c>
      <c r="AN155" s="50">
        <f t="shared" si="255"/>
        <v>0</v>
      </c>
      <c r="AO155" s="50">
        <f t="shared" si="255"/>
        <v>0</v>
      </c>
      <c r="AP155" s="50">
        <f t="shared" si="255"/>
        <v>0</v>
      </c>
      <c r="AQ155" s="50">
        <f t="shared" si="255"/>
        <v>0</v>
      </c>
      <c r="AR155" s="50">
        <f t="shared" si="255"/>
        <v>0</v>
      </c>
      <c r="AS155" s="50">
        <f t="shared" si="255"/>
        <v>0</v>
      </c>
      <c r="AT155" s="50">
        <f t="shared" si="255"/>
        <v>0</v>
      </c>
      <c r="AU155" s="50">
        <f t="shared" si="255"/>
        <v>0</v>
      </c>
      <c r="AV155" s="50">
        <f t="shared" si="255"/>
        <v>0</v>
      </c>
      <c r="AW155" s="50">
        <f t="shared" si="255"/>
        <v>0</v>
      </c>
      <c r="AX155" s="50">
        <f t="shared" si="255"/>
        <v>0</v>
      </c>
      <c r="AY155" s="50">
        <f t="shared" si="255"/>
        <v>0</v>
      </c>
      <c r="AZ155" s="50">
        <f t="shared" si="255"/>
        <v>0</v>
      </c>
      <c r="BA155" s="50">
        <f t="shared" si="255"/>
        <v>0</v>
      </c>
      <c r="BB155" s="50">
        <f t="shared" si="255"/>
        <v>0</v>
      </c>
      <c r="BC155" s="50">
        <f t="shared" si="255"/>
        <v>0</v>
      </c>
      <c r="BD155" s="50">
        <f t="shared" si="255"/>
        <v>0</v>
      </c>
      <c r="BE155" s="50">
        <f t="shared" si="255"/>
        <v>0</v>
      </c>
      <c r="BF155" s="50">
        <f t="shared" si="255"/>
        <v>0</v>
      </c>
      <c r="BG155" s="50">
        <f t="shared" si="255"/>
        <v>0</v>
      </c>
      <c r="BH155" s="50">
        <f t="shared" si="255"/>
        <v>0</v>
      </c>
      <c r="BI155" s="50">
        <f t="shared" si="255"/>
        <v>0</v>
      </c>
      <c r="BJ155" s="50">
        <f t="shared" si="255"/>
        <v>0</v>
      </c>
      <c r="BK155" s="50">
        <f t="shared" si="255"/>
        <v>0</v>
      </c>
      <c r="BL155" s="50">
        <f t="shared" si="255"/>
        <v>0</v>
      </c>
      <c r="BM155" s="50">
        <f t="shared" si="255"/>
        <v>0</v>
      </c>
      <c r="BN155" s="50">
        <f t="shared" si="255"/>
        <v>0</v>
      </c>
      <c r="BO155" s="50">
        <f t="shared" si="255"/>
        <v>0</v>
      </c>
      <c r="BP155" s="50">
        <f t="shared" si="255"/>
        <v>0</v>
      </c>
      <c r="BQ155" s="50">
        <f t="shared" ref="BQ155:CN155" si="256">BP158</f>
        <v>0</v>
      </c>
      <c r="BR155" s="50">
        <f t="shared" si="256"/>
        <v>0</v>
      </c>
      <c r="BS155" s="50">
        <f t="shared" si="256"/>
        <v>0</v>
      </c>
      <c r="BT155" s="50">
        <f t="shared" si="256"/>
        <v>0</v>
      </c>
      <c r="BU155" s="50">
        <f t="shared" si="256"/>
        <v>0</v>
      </c>
      <c r="BV155" s="50">
        <f t="shared" si="256"/>
        <v>0</v>
      </c>
      <c r="BW155" s="50">
        <f t="shared" si="256"/>
        <v>0</v>
      </c>
      <c r="BX155" s="50">
        <f t="shared" si="256"/>
        <v>0</v>
      </c>
      <c r="BY155" s="50">
        <f t="shared" si="256"/>
        <v>0</v>
      </c>
      <c r="BZ155" s="50">
        <f t="shared" si="256"/>
        <v>0</v>
      </c>
      <c r="CA155" s="50">
        <f t="shared" si="256"/>
        <v>0</v>
      </c>
      <c r="CB155" s="50">
        <f t="shared" si="256"/>
        <v>0</v>
      </c>
      <c r="CC155" s="50">
        <f t="shared" si="256"/>
        <v>0</v>
      </c>
      <c r="CD155" s="50">
        <f t="shared" si="256"/>
        <v>0</v>
      </c>
      <c r="CE155" s="50">
        <f t="shared" si="256"/>
        <v>0</v>
      </c>
      <c r="CF155" s="50">
        <f t="shared" si="256"/>
        <v>0</v>
      </c>
      <c r="CG155" s="50">
        <f t="shared" si="256"/>
        <v>0</v>
      </c>
      <c r="CH155" s="50">
        <f t="shared" si="256"/>
        <v>0</v>
      </c>
      <c r="CI155" s="50">
        <f t="shared" si="256"/>
        <v>0</v>
      </c>
      <c r="CJ155" s="50">
        <f t="shared" si="256"/>
        <v>0</v>
      </c>
      <c r="CK155" s="50">
        <f t="shared" si="256"/>
        <v>0</v>
      </c>
      <c r="CL155" s="50">
        <f t="shared" si="256"/>
        <v>0</v>
      </c>
      <c r="CM155" s="50">
        <f t="shared" si="256"/>
        <v>0</v>
      </c>
      <c r="CN155" s="50">
        <f t="shared" si="256"/>
        <v>0</v>
      </c>
      <c r="CO155" s="35"/>
    </row>
    <row r="156" spans="1:93" ht="12.75" customHeight="1" outlineLevel="1">
      <c r="A156" s="35"/>
      <c r="B156" s="63" t="s">
        <v>235</v>
      </c>
      <c r="C156" s="35">
        <f t="shared" ref="C156:C157" si="257">SUM(D156:CN156)</f>
        <v>-121330.5625</v>
      </c>
      <c r="D156" s="60">
        <f>D83/(1+Assump!$D$25)*Assump!$D$25</f>
        <v>0</v>
      </c>
      <c r="E156" s="35">
        <f>E83/(1+Assump!$D$25)*Assump!$D$25</f>
        <v>0</v>
      </c>
      <c r="F156" s="35">
        <f>F83/(1+Assump!$D$25)*Assump!$D$25</f>
        <v>0</v>
      </c>
      <c r="G156" s="35">
        <f>G83/(1+Assump!$D$25)*Assump!$D$25</f>
        <v>0</v>
      </c>
      <c r="H156" s="35">
        <f>H83/(1+Assump!$D$25)*Assump!$D$25</f>
        <v>0</v>
      </c>
      <c r="I156" s="35">
        <f>I83/(1+Assump!$D$25)*Assump!$D$25</f>
        <v>0</v>
      </c>
      <c r="J156" s="35">
        <f>J83/(1+Assump!$D$25)*Assump!$D$25</f>
        <v>-4044.3520833333337</v>
      </c>
      <c r="K156" s="35">
        <f>K83/(1+Assump!$D$25)*Assump!$D$25</f>
        <v>-4044.3520833333337</v>
      </c>
      <c r="L156" s="35">
        <f>L83/(1+Assump!$D$25)*Assump!$D$25</f>
        <v>-4044.3520833333337</v>
      </c>
      <c r="M156" s="35">
        <f>M83/(1+Assump!$D$25)*Assump!$D$25</f>
        <v>-6774.2897395833324</v>
      </c>
      <c r="N156" s="35">
        <f>N83/(1+Assump!$D$25)*Assump!$D$25</f>
        <v>-8897.5745833333331</v>
      </c>
      <c r="O156" s="35">
        <f>O83/(1+Assump!$D$25)*Assump!$D$25</f>
        <v>-8897.5745833333331</v>
      </c>
      <c r="P156" s="35">
        <f>P83/(1+Assump!$D$25)*Assump!$D$25</f>
        <v>-8897.5745833333331</v>
      </c>
      <c r="Q156" s="35">
        <f>Q83/(1+Assump!$D$25)*Assump!$D$25</f>
        <v>-12840.817864583332</v>
      </c>
      <c r="R156" s="35">
        <f>R83/(1+Assump!$D$25)*Assump!$D$25</f>
        <v>-11930.838645833333</v>
      </c>
      <c r="S156" s="35">
        <f>S83/(1+Assump!$D$25)*Assump!$D$25</f>
        <v>-23639.237927083333</v>
      </c>
      <c r="T156" s="35">
        <f>T83/(1+Assump!$D$25)*Assump!$D$25</f>
        <v>-24549.217145833332</v>
      </c>
      <c r="U156" s="35">
        <f>U83/(1+Assump!$D$25)*Assump!$D$25</f>
        <v>-2770.3811770833336</v>
      </c>
      <c r="V156" s="35">
        <f>V83/(1+Assump!$D$25)*Assump!$D$25</f>
        <v>0</v>
      </c>
      <c r="W156" s="35">
        <f>W83/(1+Assump!$D$25)*Assump!$D$25</f>
        <v>0</v>
      </c>
      <c r="X156" s="35">
        <f>X83/(1+Assump!$D$25)*Assump!$D$25</f>
        <v>0</v>
      </c>
      <c r="Y156" s="35">
        <f>Y83/(1+Assump!$D$25)*Assump!$D$25</f>
        <v>0</v>
      </c>
      <c r="Z156" s="35">
        <f>Z83/(1+Assump!$D$25)*Assump!$D$25</f>
        <v>0</v>
      </c>
      <c r="AA156" s="35">
        <f>AA83/(1+Assump!$D$25)*Assump!$D$25</f>
        <v>0</v>
      </c>
      <c r="AB156" s="35">
        <f>AB83/(1+Assump!$D$25)*Assump!$D$25</f>
        <v>0</v>
      </c>
      <c r="AC156" s="35">
        <f>AC83/(1+Assump!$D$25)*Assump!$D$25</f>
        <v>0</v>
      </c>
      <c r="AD156" s="35">
        <f>AD83/(1+Assump!$D$25)*Assump!$D$25</f>
        <v>0</v>
      </c>
      <c r="AE156" s="35">
        <f>AE83/(1+Assump!$D$25)*Assump!$D$25</f>
        <v>0</v>
      </c>
      <c r="AF156" s="35">
        <f>AF83/(1+Assump!$D$25)*Assump!$D$25</f>
        <v>0</v>
      </c>
      <c r="AG156" s="35">
        <f>AG83/(1+Assump!$D$25)*Assump!$D$25</f>
        <v>0</v>
      </c>
      <c r="AH156" s="35">
        <f>AH83/(1+Assump!$D$25)*Assump!$D$25</f>
        <v>0</v>
      </c>
      <c r="AI156" s="35">
        <f>AI83/(1+Assump!$D$25)*Assump!$D$25</f>
        <v>0</v>
      </c>
      <c r="AJ156" s="35">
        <f>AJ83/(1+Assump!$D$25)*Assump!$D$25</f>
        <v>0</v>
      </c>
      <c r="AK156" s="35">
        <f>AK83/(1+Assump!$D$25)*Assump!$D$25</f>
        <v>0</v>
      </c>
      <c r="AL156" s="35">
        <f>AL83/(1+Assump!$D$25)*Assump!$D$25</f>
        <v>0</v>
      </c>
      <c r="AM156" s="35">
        <f>AM83/(1+Assump!$D$25)*Assump!$D$25</f>
        <v>0</v>
      </c>
      <c r="AN156" s="35">
        <f>AN83/(1+Assump!$D$25)*Assump!$D$25</f>
        <v>0</v>
      </c>
      <c r="AO156" s="35">
        <f>AO83/(1+Assump!$D$25)*Assump!$D$25</f>
        <v>0</v>
      </c>
      <c r="AP156" s="35">
        <f>AP83/(1+Assump!$D$25)*Assump!$D$25</f>
        <v>0</v>
      </c>
      <c r="AQ156" s="35">
        <f>AQ83/(1+Assump!$D$25)*Assump!$D$25</f>
        <v>0</v>
      </c>
      <c r="AR156" s="35">
        <f>AR83/(1+Assump!$D$25)*Assump!$D$25</f>
        <v>0</v>
      </c>
      <c r="AS156" s="35">
        <f>AS83/(1+Assump!$D$25)*Assump!$D$25</f>
        <v>0</v>
      </c>
      <c r="AT156" s="35">
        <f>AT83/(1+Assump!$D$25)*Assump!$D$25</f>
        <v>0</v>
      </c>
      <c r="AU156" s="35">
        <f>AU83/(1+Assump!$D$25)*Assump!$D$25</f>
        <v>0</v>
      </c>
      <c r="AV156" s="35">
        <f>AV83/(1+Assump!$D$25)*Assump!$D$25</f>
        <v>0</v>
      </c>
      <c r="AW156" s="35">
        <f>AW83/(1+Assump!$D$25)*Assump!$D$25</f>
        <v>0</v>
      </c>
      <c r="AX156" s="35">
        <f>AX83/(1+Assump!$D$25)*Assump!$D$25</f>
        <v>0</v>
      </c>
      <c r="AY156" s="35">
        <f>AY83/(1+Assump!$D$25)*Assump!$D$25</f>
        <v>0</v>
      </c>
      <c r="AZ156" s="35">
        <f>AZ83/(1+Assump!$D$25)*Assump!$D$25</f>
        <v>0</v>
      </c>
      <c r="BA156" s="35">
        <f>BA83/(1+Assump!$D$25)*Assump!$D$25</f>
        <v>0</v>
      </c>
      <c r="BB156" s="35">
        <f>BB83/(1+Assump!$D$25)*Assump!$D$25</f>
        <v>0</v>
      </c>
      <c r="BC156" s="35">
        <f>BC83/(1+Assump!$D$25)*Assump!$D$25</f>
        <v>0</v>
      </c>
      <c r="BD156" s="35">
        <f>BD83/(1+Assump!$D$25)*Assump!$D$25</f>
        <v>0</v>
      </c>
      <c r="BE156" s="35">
        <f>BE83/(1+Assump!$D$25)*Assump!$D$25</f>
        <v>0</v>
      </c>
      <c r="BF156" s="35">
        <f>BF83/(1+Assump!$D$25)*Assump!$D$25</f>
        <v>0</v>
      </c>
      <c r="BG156" s="35">
        <f>BG83/(1+Assump!$D$25)*Assump!$D$25</f>
        <v>0</v>
      </c>
      <c r="BH156" s="35">
        <f>BH83/(1+Assump!$D$25)*Assump!$D$25</f>
        <v>0</v>
      </c>
      <c r="BI156" s="35">
        <f>BI83/(1+Assump!$D$25)*Assump!$D$25</f>
        <v>0</v>
      </c>
      <c r="BJ156" s="35">
        <f>BJ83/(1+Assump!$D$25)*Assump!$D$25</f>
        <v>0</v>
      </c>
      <c r="BK156" s="35">
        <f>BK83/(1+Assump!$D$25)*Assump!$D$25</f>
        <v>0</v>
      </c>
      <c r="BL156" s="35">
        <f>BL83/(1+Assump!$D$25)*Assump!$D$25</f>
        <v>0</v>
      </c>
      <c r="BM156" s="35">
        <f>BM83/(1+Assump!$D$25)*Assump!$D$25</f>
        <v>0</v>
      </c>
      <c r="BN156" s="35">
        <f>BN83/(1+Assump!$D$25)*Assump!$D$25</f>
        <v>0</v>
      </c>
      <c r="BO156" s="35">
        <f>BO83/(1+Assump!$D$25)*Assump!$D$25</f>
        <v>0</v>
      </c>
      <c r="BP156" s="35">
        <f>BP83/(1+Assump!$D$25)*Assump!$D$25</f>
        <v>0</v>
      </c>
      <c r="BQ156" s="35">
        <f>BQ83/(1+Assump!$D$25)*Assump!$D$25</f>
        <v>0</v>
      </c>
      <c r="BR156" s="35">
        <f>BR83/(1+Assump!$D$25)*Assump!$D$25</f>
        <v>0</v>
      </c>
      <c r="BS156" s="35">
        <f>BS83/(1+Assump!$D$25)*Assump!$D$25</f>
        <v>0</v>
      </c>
      <c r="BT156" s="35">
        <f>BT83/(1+Assump!$D$25)*Assump!$D$25</f>
        <v>0</v>
      </c>
      <c r="BU156" s="35">
        <f>BU83/(1+Assump!$D$25)*Assump!$D$25</f>
        <v>0</v>
      </c>
      <c r="BV156" s="35">
        <f>BV83/(1+Assump!$D$25)*Assump!$D$25</f>
        <v>0</v>
      </c>
      <c r="BW156" s="35">
        <f>BW83/(1+Assump!$D$25)*Assump!$D$25</f>
        <v>0</v>
      </c>
      <c r="BX156" s="35">
        <f>BX83/(1+Assump!$D$25)*Assump!$D$25</f>
        <v>0</v>
      </c>
      <c r="BY156" s="35">
        <f>BY83/(1+Assump!$D$25)*Assump!$D$25</f>
        <v>0</v>
      </c>
      <c r="BZ156" s="35">
        <f>BZ83/(1+Assump!$D$25)*Assump!$D$25</f>
        <v>0</v>
      </c>
      <c r="CA156" s="35">
        <f>CA83/(1+Assump!$D$25)*Assump!$D$25</f>
        <v>0</v>
      </c>
      <c r="CB156" s="35">
        <f>CB83/(1+Assump!$D$25)*Assump!$D$25</f>
        <v>0</v>
      </c>
      <c r="CC156" s="35">
        <f>CC83/(1+Assump!$D$25)*Assump!$D$25</f>
        <v>0</v>
      </c>
      <c r="CD156" s="35">
        <f>CD83/(1+Assump!$D$25)*Assump!$D$25</f>
        <v>0</v>
      </c>
      <c r="CE156" s="35">
        <f>CE83/(1+Assump!$D$25)*Assump!$D$25</f>
        <v>0</v>
      </c>
      <c r="CF156" s="35">
        <f>CF83/(1+Assump!$D$25)*Assump!$D$25</f>
        <v>0</v>
      </c>
      <c r="CG156" s="35">
        <f>CG83/(1+Assump!$D$25)*Assump!$D$25</f>
        <v>0</v>
      </c>
      <c r="CH156" s="35">
        <f>CH83/(1+Assump!$D$25)*Assump!$D$25</f>
        <v>0</v>
      </c>
      <c r="CI156" s="35">
        <f>CI83/(1+Assump!$D$25)*Assump!$D$25</f>
        <v>0</v>
      </c>
      <c r="CJ156" s="35">
        <f>CJ83/(1+Assump!$D$25)*Assump!$D$25</f>
        <v>0</v>
      </c>
      <c r="CK156" s="35">
        <f>CK83/(1+Assump!$D$25)*Assump!$D$25</f>
        <v>0</v>
      </c>
      <c r="CL156" s="35">
        <f>CL83/(1+Assump!$D$25)*Assump!$D$25</f>
        <v>0</v>
      </c>
      <c r="CM156" s="35">
        <f>CM83/(1+Assump!$D$25)*Assump!$D$25</f>
        <v>0</v>
      </c>
      <c r="CN156" s="35">
        <f>CN83/(1+Assump!$D$25)*Assump!$D$25</f>
        <v>0</v>
      </c>
      <c r="CO156" s="35"/>
    </row>
    <row r="157" spans="1:93" ht="12.75" customHeight="1" outlineLevel="1">
      <c r="A157" s="35"/>
      <c r="B157" s="63" t="s">
        <v>236</v>
      </c>
      <c r="C157" s="35">
        <f t="shared" si="257"/>
        <v>121330.5625</v>
      </c>
      <c r="D157" s="60">
        <f t="shared" ref="D157:CN157" si="258">D84</f>
        <v>0</v>
      </c>
      <c r="E157" s="35">
        <f t="shared" si="258"/>
        <v>0</v>
      </c>
      <c r="F157" s="35">
        <f t="shared" si="258"/>
        <v>0</v>
      </c>
      <c r="G157" s="35">
        <f t="shared" si="258"/>
        <v>0</v>
      </c>
      <c r="H157" s="35">
        <f t="shared" si="258"/>
        <v>0</v>
      </c>
      <c r="I157" s="35">
        <f t="shared" si="258"/>
        <v>0</v>
      </c>
      <c r="J157" s="35">
        <f t="shared" si="258"/>
        <v>0</v>
      </c>
      <c r="K157" s="35">
        <f t="shared" si="258"/>
        <v>0</v>
      </c>
      <c r="L157" s="35">
        <f t="shared" si="258"/>
        <v>4044.3520833333337</v>
      </c>
      <c r="M157" s="35">
        <f t="shared" si="258"/>
        <v>4044.3520833333337</v>
      </c>
      <c r="N157" s="35">
        <f t="shared" si="258"/>
        <v>4044.3520833333337</v>
      </c>
      <c r="O157" s="35">
        <f t="shared" si="258"/>
        <v>6774.2897395833324</v>
      </c>
      <c r="P157" s="35">
        <f t="shared" si="258"/>
        <v>8897.5745833333331</v>
      </c>
      <c r="Q157" s="35">
        <f t="shared" si="258"/>
        <v>8897.5745833333331</v>
      </c>
      <c r="R157" s="35">
        <f t="shared" si="258"/>
        <v>8897.5745833333331</v>
      </c>
      <c r="S157" s="35">
        <f t="shared" si="258"/>
        <v>12840.817864583332</v>
      </c>
      <c r="T157" s="35">
        <f t="shared" si="258"/>
        <v>11930.838645833333</v>
      </c>
      <c r="U157" s="35">
        <f t="shared" si="258"/>
        <v>23639.237927083333</v>
      </c>
      <c r="V157" s="35">
        <f t="shared" si="258"/>
        <v>24549.217145833332</v>
      </c>
      <c r="W157" s="35">
        <f t="shared" si="258"/>
        <v>2770.3811770833336</v>
      </c>
      <c r="X157" s="35">
        <f t="shared" si="258"/>
        <v>0</v>
      </c>
      <c r="Y157" s="35">
        <f t="shared" si="258"/>
        <v>0</v>
      </c>
      <c r="Z157" s="35">
        <f t="shared" si="258"/>
        <v>0</v>
      </c>
      <c r="AA157" s="35">
        <f t="shared" si="258"/>
        <v>0</v>
      </c>
      <c r="AB157" s="35">
        <f t="shared" si="258"/>
        <v>0</v>
      </c>
      <c r="AC157" s="35">
        <f t="shared" si="258"/>
        <v>0</v>
      </c>
      <c r="AD157" s="35">
        <f t="shared" si="258"/>
        <v>0</v>
      </c>
      <c r="AE157" s="35">
        <f t="shared" si="258"/>
        <v>0</v>
      </c>
      <c r="AF157" s="35">
        <f t="shared" si="258"/>
        <v>0</v>
      </c>
      <c r="AG157" s="35">
        <f t="shared" si="258"/>
        <v>0</v>
      </c>
      <c r="AH157" s="35">
        <f t="shared" si="258"/>
        <v>0</v>
      </c>
      <c r="AI157" s="35">
        <f t="shared" si="258"/>
        <v>0</v>
      </c>
      <c r="AJ157" s="35">
        <f t="shared" si="258"/>
        <v>0</v>
      </c>
      <c r="AK157" s="35">
        <f t="shared" si="258"/>
        <v>0</v>
      </c>
      <c r="AL157" s="35">
        <f t="shared" si="258"/>
        <v>0</v>
      </c>
      <c r="AM157" s="35">
        <f t="shared" si="258"/>
        <v>0</v>
      </c>
      <c r="AN157" s="35">
        <f t="shared" si="258"/>
        <v>0</v>
      </c>
      <c r="AO157" s="35">
        <f t="shared" si="258"/>
        <v>0</v>
      </c>
      <c r="AP157" s="35">
        <f t="shared" si="258"/>
        <v>0</v>
      </c>
      <c r="AQ157" s="35">
        <f t="shared" si="258"/>
        <v>0</v>
      </c>
      <c r="AR157" s="35">
        <f t="shared" si="258"/>
        <v>0</v>
      </c>
      <c r="AS157" s="35">
        <f t="shared" si="258"/>
        <v>0</v>
      </c>
      <c r="AT157" s="35">
        <f t="shared" si="258"/>
        <v>0</v>
      </c>
      <c r="AU157" s="35">
        <f t="shared" si="258"/>
        <v>0</v>
      </c>
      <c r="AV157" s="35">
        <f t="shared" si="258"/>
        <v>0</v>
      </c>
      <c r="AW157" s="35">
        <f t="shared" si="258"/>
        <v>0</v>
      </c>
      <c r="AX157" s="35">
        <f t="shared" si="258"/>
        <v>0</v>
      </c>
      <c r="AY157" s="35">
        <f t="shared" si="258"/>
        <v>0</v>
      </c>
      <c r="AZ157" s="35">
        <f t="shared" si="258"/>
        <v>0</v>
      </c>
      <c r="BA157" s="35">
        <f t="shared" si="258"/>
        <v>0</v>
      </c>
      <c r="BB157" s="35">
        <f t="shared" si="258"/>
        <v>0</v>
      </c>
      <c r="BC157" s="35">
        <f t="shared" si="258"/>
        <v>0</v>
      </c>
      <c r="BD157" s="35">
        <f t="shared" si="258"/>
        <v>0</v>
      </c>
      <c r="BE157" s="35">
        <f t="shared" si="258"/>
        <v>0</v>
      </c>
      <c r="BF157" s="35">
        <f t="shared" si="258"/>
        <v>0</v>
      </c>
      <c r="BG157" s="35">
        <f t="shared" si="258"/>
        <v>0</v>
      </c>
      <c r="BH157" s="35">
        <f t="shared" si="258"/>
        <v>0</v>
      </c>
      <c r="BI157" s="35">
        <f t="shared" si="258"/>
        <v>0</v>
      </c>
      <c r="BJ157" s="35">
        <f t="shared" si="258"/>
        <v>0</v>
      </c>
      <c r="BK157" s="35">
        <f t="shared" si="258"/>
        <v>0</v>
      </c>
      <c r="BL157" s="35">
        <f t="shared" si="258"/>
        <v>0</v>
      </c>
      <c r="BM157" s="35">
        <f t="shared" si="258"/>
        <v>0</v>
      </c>
      <c r="BN157" s="35">
        <f t="shared" si="258"/>
        <v>0</v>
      </c>
      <c r="BO157" s="35">
        <f t="shared" si="258"/>
        <v>0</v>
      </c>
      <c r="BP157" s="35">
        <f t="shared" si="258"/>
        <v>0</v>
      </c>
      <c r="BQ157" s="35">
        <f t="shared" si="258"/>
        <v>0</v>
      </c>
      <c r="BR157" s="35">
        <f t="shared" si="258"/>
        <v>0</v>
      </c>
      <c r="BS157" s="35">
        <f t="shared" si="258"/>
        <v>0</v>
      </c>
      <c r="BT157" s="35">
        <f t="shared" si="258"/>
        <v>0</v>
      </c>
      <c r="BU157" s="35">
        <f t="shared" si="258"/>
        <v>0</v>
      </c>
      <c r="BV157" s="35">
        <f t="shared" si="258"/>
        <v>0</v>
      </c>
      <c r="BW157" s="35">
        <f t="shared" si="258"/>
        <v>0</v>
      </c>
      <c r="BX157" s="35">
        <f t="shared" si="258"/>
        <v>0</v>
      </c>
      <c r="BY157" s="35">
        <f t="shared" si="258"/>
        <v>0</v>
      </c>
      <c r="BZ157" s="35">
        <f t="shared" si="258"/>
        <v>0</v>
      </c>
      <c r="CA157" s="35">
        <f t="shared" si="258"/>
        <v>0</v>
      </c>
      <c r="CB157" s="35">
        <f t="shared" si="258"/>
        <v>0</v>
      </c>
      <c r="CC157" s="35">
        <f t="shared" si="258"/>
        <v>0</v>
      </c>
      <c r="CD157" s="35">
        <f t="shared" si="258"/>
        <v>0</v>
      </c>
      <c r="CE157" s="35">
        <f t="shared" si="258"/>
        <v>0</v>
      </c>
      <c r="CF157" s="35">
        <f t="shared" si="258"/>
        <v>0</v>
      </c>
      <c r="CG157" s="35">
        <f t="shared" si="258"/>
        <v>0</v>
      </c>
      <c r="CH157" s="35">
        <f t="shared" si="258"/>
        <v>0</v>
      </c>
      <c r="CI157" s="35">
        <f t="shared" si="258"/>
        <v>0</v>
      </c>
      <c r="CJ157" s="35">
        <f t="shared" si="258"/>
        <v>0</v>
      </c>
      <c r="CK157" s="35">
        <f t="shared" si="258"/>
        <v>0</v>
      </c>
      <c r="CL157" s="35">
        <f t="shared" si="258"/>
        <v>0</v>
      </c>
      <c r="CM157" s="35">
        <f t="shared" si="258"/>
        <v>0</v>
      </c>
      <c r="CN157" s="35">
        <f t="shared" si="258"/>
        <v>0</v>
      </c>
      <c r="CO157" s="35"/>
    </row>
    <row r="158" spans="1:93" ht="12.75" customHeight="1" outlineLevel="1">
      <c r="A158" s="88"/>
      <c r="B158" s="110" t="s">
        <v>230</v>
      </c>
      <c r="C158" s="111"/>
      <c r="D158" s="58">
        <f t="shared" ref="D158:CN158" si="259">SUM(D155:D157)</f>
        <v>0</v>
      </c>
      <c r="E158" s="111">
        <f t="shared" si="259"/>
        <v>0</v>
      </c>
      <c r="F158" s="111">
        <f t="shared" si="259"/>
        <v>0</v>
      </c>
      <c r="G158" s="111">
        <f t="shared" si="259"/>
        <v>0</v>
      </c>
      <c r="H158" s="111">
        <f t="shared" si="259"/>
        <v>0</v>
      </c>
      <c r="I158" s="111">
        <f t="shared" si="259"/>
        <v>0</v>
      </c>
      <c r="J158" s="111">
        <f t="shared" si="259"/>
        <v>-4044.3520833333337</v>
      </c>
      <c r="K158" s="111">
        <f t="shared" si="259"/>
        <v>-8088.7041666666673</v>
      </c>
      <c r="L158" s="111">
        <f t="shared" si="259"/>
        <v>-8088.7041666666682</v>
      </c>
      <c r="M158" s="111">
        <f t="shared" si="259"/>
        <v>-10818.641822916668</v>
      </c>
      <c r="N158" s="111">
        <f t="shared" si="259"/>
        <v>-15671.864322916668</v>
      </c>
      <c r="O158" s="111">
        <f t="shared" si="259"/>
        <v>-17795.14916666667</v>
      </c>
      <c r="P158" s="111">
        <f t="shared" si="259"/>
        <v>-17795.14916666667</v>
      </c>
      <c r="Q158" s="111">
        <f t="shared" si="259"/>
        <v>-21738.392447916667</v>
      </c>
      <c r="R158" s="111">
        <f t="shared" si="259"/>
        <v>-24771.656510416666</v>
      </c>
      <c r="S158" s="111">
        <f t="shared" si="259"/>
        <v>-35570.076572916667</v>
      </c>
      <c r="T158" s="111">
        <f t="shared" si="259"/>
        <v>-48188.455072916666</v>
      </c>
      <c r="U158" s="111">
        <f t="shared" si="259"/>
        <v>-27319.598322916667</v>
      </c>
      <c r="V158" s="111">
        <f t="shared" si="259"/>
        <v>-2770.3811770833345</v>
      </c>
      <c r="W158" s="111">
        <f t="shared" si="259"/>
        <v>0</v>
      </c>
      <c r="X158" s="111">
        <f t="shared" si="259"/>
        <v>0</v>
      </c>
      <c r="Y158" s="111">
        <f t="shared" si="259"/>
        <v>0</v>
      </c>
      <c r="Z158" s="111">
        <f t="shared" si="259"/>
        <v>0</v>
      </c>
      <c r="AA158" s="111">
        <f t="shared" si="259"/>
        <v>0</v>
      </c>
      <c r="AB158" s="111">
        <f t="shared" si="259"/>
        <v>0</v>
      </c>
      <c r="AC158" s="111">
        <f t="shared" si="259"/>
        <v>0</v>
      </c>
      <c r="AD158" s="111">
        <f t="shared" si="259"/>
        <v>0</v>
      </c>
      <c r="AE158" s="111">
        <f t="shared" si="259"/>
        <v>0</v>
      </c>
      <c r="AF158" s="111">
        <f t="shared" si="259"/>
        <v>0</v>
      </c>
      <c r="AG158" s="111">
        <f t="shared" si="259"/>
        <v>0</v>
      </c>
      <c r="AH158" s="111">
        <f t="shared" si="259"/>
        <v>0</v>
      </c>
      <c r="AI158" s="111">
        <f t="shared" si="259"/>
        <v>0</v>
      </c>
      <c r="AJ158" s="111">
        <f t="shared" si="259"/>
        <v>0</v>
      </c>
      <c r="AK158" s="55">
        <f t="shared" si="259"/>
        <v>0</v>
      </c>
      <c r="AL158" s="111">
        <f t="shared" si="259"/>
        <v>0</v>
      </c>
      <c r="AM158" s="111">
        <f t="shared" si="259"/>
        <v>0</v>
      </c>
      <c r="AN158" s="111">
        <f t="shared" si="259"/>
        <v>0</v>
      </c>
      <c r="AO158" s="111">
        <f t="shared" si="259"/>
        <v>0</v>
      </c>
      <c r="AP158" s="111">
        <f t="shared" si="259"/>
        <v>0</v>
      </c>
      <c r="AQ158" s="111">
        <f t="shared" si="259"/>
        <v>0</v>
      </c>
      <c r="AR158" s="111">
        <f t="shared" si="259"/>
        <v>0</v>
      </c>
      <c r="AS158" s="111">
        <f t="shared" si="259"/>
        <v>0</v>
      </c>
      <c r="AT158" s="111">
        <f t="shared" si="259"/>
        <v>0</v>
      </c>
      <c r="AU158" s="111">
        <f t="shared" si="259"/>
        <v>0</v>
      </c>
      <c r="AV158" s="111">
        <f t="shared" si="259"/>
        <v>0</v>
      </c>
      <c r="AW158" s="111">
        <f t="shared" si="259"/>
        <v>0</v>
      </c>
      <c r="AX158" s="111">
        <f t="shared" si="259"/>
        <v>0</v>
      </c>
      <c r="AY158" s="111">
        <f t="shared" si="259"/>
        <v>0</v>
      </c>
      <c r="AZ158" s="111">
        <f t="shared" si="259"/>
        <v>0</v>
      </c>
      <c r="BA158" s="111">
        <f t="shared" si="259"/>
        <v>0</v>
      </c>
      <c r="BB158" s="111">
        <f t="shared" si="259"/>
        <v>0</v>
      </c>
      <c r="BC158" s="111">
        <f t="shared" si="259"/>
        <v>0</v>
      </c>
      <c r="BD158" s="111">
        <f t="shared" si="259"/>
        <v>0</v>
      </c>
      <c r="BE158" s="111">
        <f t="shared" si="259"/>
        <v>0</v>
      </c>
      <c r="BF158" s="111">
        <f t="shared" si="259"/>
        <v>0</v>
      </c>
      <c r="BG158" s="111">
        <f t="shared" si="259"/>
        <v>0</v>
      </c>
      <c r="BH158" s="111">
        <f t="shared" si="259"/>
        <v>0</v>
      </c>
      <c r="BI158" s="111">
        <f t="shared" si="259"/>
        <v>0</v>
      </c>
      <c r="BJ158" s="111">
        <f t="shared" si="259"/>
        <v>0</v>
      </c>
      <c r="BK158" s="111">
        <f t="shared" si="259"/>
        <v>0</v>
      </c>
      <c r="BL158" s="111">
        <f t="shared" si="259"/>
        <v>0</v>
      </c>
      <c r="BM158" s="111">
        <f t="shared" si="259"/>
        <v>0</v>
      </c>
      <c r="BN158" s="111">
        <f t="shared" si="259"/>
        <v>0</v>
      </c>
      <c r="BO158" s="111">
        <f t="shared" si="259"/>
        <v>0</v>
      </c>
      <c r="BP158" s="111">
        <f t="shared" si="259"/>
        <v>0</v>
      </c>
      <c r="BQ158" s="111">
        <f t="shared" si="259"/>
        <v>0</v>
      </c>
      <c r="BR158" s="111">
        <f t="shared" si="259"/>
        <v>0</v>
      </c>
      <c r="BS158" s="111">
        <f t="shared" si="259"/>
        <v>0</v>
      </c>
      <c r="BT158" s="111">
        <f t="shared" si="259"/>
        <v>0</v>
      </c>
      <c r="BU158" s="111">
        <f t="shared" si="259"/>
        <v>0</v>
      </c>
      <c r="BV158" s="111">
        <f t="shared" si="259"/>
        <v>0</v>
      </c>
      <c r="BW158" s="111">
        <f t="shared" si="259"/>
        <v>0</v>
      </c>
      <c r="BX158" s="111">
        <f t="shared" si="259"/>
        <v>0</v>
      </c>
      <c r="BY158" s="111">
        <f t="shared" si="259"/>
        <v>0</v>
      </c>
      <c r="BZ158" s="111">
        <f t="shared" si="259"/>
        <v>0</v>
      </c>
      <c r="CA158" s="111">
        <f t="shared" si="259"/>
        <v>0</v>
      </c>
      <c r="CB158" s="111">
        <f t="shared" si="259"/>
        <v>0</v>
      </c>
      <c r="CC158" s="111">
        <f t="shared" si="259"/>
        <v>0</v>
      </c>
      <c r="CD158" s="111">
        <f t="shared" si="259"/>
        <v>0</v>
      </c>
      <c r="CE158" s="111">
        <f t="shared" si="259"/>
        <v>0</v>
      </c>
      <c r="CF158" s="111">
        <f t="shared" si="259"/>
        <v>0</v>
      </c>
      <c r="CG158" s="111">
        <f t="shared" si="259"/>
        <v>0</v>
      </c>
      <c r="CH158" s="111">
        <f t="shared" si="259"/>
        <v>0</v>
      </c>
      <c r="CI158" s="111">
        <f t="shared" si="259"/>
        <v>0</v>
      </c>
      <c r="CJ158" s="111">
        <f t="shared" si="259"/>
        <v>0</v>
      </c>
      <c r="CK158" s="111">
        <f t="shared" si="259"/>
        <v>0</v>
      </c>
      <c r="CL158" s="111">
        <f t="shared" si="259"/>
        <v>0</v>
      </c>
      <c r="CM158" s="111">
        <f t="shared" si="259"/>
        <v>0</v>
      </c>
      <c r="CN158" s="111">
        <f t="shared" si="259"/>
        <v>0</v>
      </c>
      <c r="CO158" s="88"/>
    </row>
    <row r="159" spans="1:93" ht="12.75" customHeight="1" outlineLevel="1">
      <c r="A159" s="88"/>
      <c r="B159" s="89"/>
      <c r="C159" s="88"/>
      <c r="D159" s="60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35"/>
      <c r="AL159" s="88"/>
      <c r="AM159" s="88"/>
      <c r="AN159" s="88"/>
      <c r="AO159" s="88"/>
      <c r="AP159" s="88"/>
      <c r="AQ159" s="88"/>
      <c r="AR159" s="88"/>
      <c r="AS159" s="88"/>
      <c r="AT159" s="88"/>
      <c r="AU159" s="88"/>
      <c r="AV159" s="88"/>
      <c r="AW159" s="88"/>
      <c r="AX159" s="88"/>
      <c r="AY159" s="88"/>
      <c r="AZ159" s="88"/>
      <c r="BA159" s="88"/>
      <c r="BB159" s="88"/>
      <c r="BC159" s="88"/>
      <c r="BD159" s="88"/>
      <c r="BE159" s="88"/>
      <c r="BF159" s="88"/>
      <c r="BG159" s="88"/>
      <c r="BH159" s="88"/>
      <c r="BI159" s="88"/>
      <c r="BJ159" s="88"/>
      <c r="BK159" s="88"/>
      <c r="BL159" s="88"/>
      <c r="BM159" s="88"/>
      <c r="BN159" s="88"/>
      <c r="BO159" s="88"/>
      <c r="BP159" s="88"/>
      <c r="BQ159" s="88"/>
      <c r="BR159" s="88"/>
      <c r="BS159" s="88"/>
      <c r="BT159" s="88"/>
      <c r="BU159" s="88"/>
      <c r="BV159" s="88"/>
      <c r="BW159" s="88"/>
      <c r="BX159" s="88"/>
      <c r="BY159" s="88"/>
      <c r="BZ159" s="88"/>
      <c r="CA159" s="88"/>
      <c r="CB159" s="88"/>
      <c r="CC159" s="88"/>
      <c r="CD159" s="88"/>
      <c r="CE159" s="88"/>
      <c r="CF159" s="88"/>
      <c r="CG159" s="88"/>
      <c r="CH159" s="88"/>
      <c r="CI159" s="88"/>
      <c r="CJ159" s="88"/>
      <c r="CK159" s="88"/>
      <c r="CL159" s="88"/>
      <c r="CM159" s="88"/>
      <c r="CN159" s="88"/>
      <c r="CO159" s="88"/>
    </row>
    <row r="160" spans="1:93" ht="12.75" customHeight="1" outlineLevel="1">
      <c r="A160" s="35"/>
      <c r="B160" s="35" t="s">
        <v>237</v>
      </c>
      <c r="C160" s="35"/>
      <c r="D160" s="60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</row>
    <row r="161" spans="1:93" ht="12.75" customHeight="1" outlineLevel="1">
      <c r="A161" s="35"/>
      <c r="B161" s="49" t="s">
        <v>228</v>
      </c>
      <c r="C161" s="50"/>
      <c r="D161" s="53">
        <v>0</v>
      </c>
      <c r="E161" s="50">
        <f t="shared" ref="E161:BP161" si="260">D164</f>
        <v>0</v>
      </c>
      <c r="F161" s="50">
        <f t="shared" si="260"/>
        <v>0</v>
      </c>
      <c r="G161" s="50">
        <f t="shared" si="260"/>
        <v>0</v>
      </c>
      <c r="H161" s="50">
        <f t="shared" si="260"/>
        <v>0</v>
      </c>
      <c r="I161" s="50">
        <f t="shared" si="260"/>
        <v>0</v>
      </c>
      <c r="J161" s="50">
        <f t="shared" si="260"/>
        <v>0</v>
      </c>
      <c r="K161" s="50">
        <f t="shared" si="260"/>
        <v>0</v>
      </c>
      <c r="L161" s="50">
        <f t="shared" si="260"/>
        <v>0</v>
      </c>
      <c r="M161" s="50">
        <f t="shared" si="260"/>
        <v>0</v>
      </c>
      <c r="N161" s="50">
        <f t="shared" si="260"/>
        <v>0</v>
      </c>
      <c r="O161" s="50">
        <f t="shared" si="260"/>
        <v>21232.848437500012</v>
      </c>
      <c r="P161" s="50">
        <f t="shared" si="260"/>
        <v>74618.295937500021</v>
      </c>
      <c r="Q161" s="50">
        <f t="shared" si="260"/>
        <v>128003.74343750003</v>
      </c>
      <c r="R161" s="50">
        <f t="shared" si="260"/>
        <v>205048.65062500001</v>
      </c>
      <c r="S161" s="50">
        <f t="shared" si="260"/>
        <v>276633.6825</v>
      </c>
      <c r="T161" s="50">
        <f t="shared" si="260"/>
        <v>418469.11006250005</v>
      </c>
      <c r="U161" s="50">
        <f t="shared" si="260"/>
        <v>565764.41293750005</v>
      </c>
      <c r="V161" s="50">
        <f t="shared" si="260"/>
        <v>582386.70000000019</v>
      </c>
      <c r="W161" s="50">
        <f t="shared" si="260"/>
        <v>582386.70000000019</v>
      </c>
      <c r="X161" s="50">
        <f t="shared" si="260"/>
        <v>577711.03800821758</v>
      </c>
      <c r="Y161" s="50">
        <f t="shared" si="260"/>
        <v>566069.05759806663</v>
      </c>
      <c r="Z161" s="50">
        <f t="shared" si="260"/>
        <v>501125.22151792771</v>
      </c>
      <c r="AA161" s="50">
        <f t="shared" si="260"/>
        <v>501125.22151792771</v>
      </c>
      <c r="AB161" s="50">
        <f t="shared" si="260"/>
        <v>496247.72417055303</v>
      </c>
      <c r="AC161" s="50">
        <f t="shared" si="260"/>
        <v>483761.05244654353</v>
      </c>
      <c r="AD161" s="50">
        <f t="shared" si="260"/>
        <v>416675.89682491531</v>
      </c>
      <c r="AE161" s="50">
        <f t="shared" si="260"/>
        <v>416675.89682491531</v>
      </c>
      <c r="AF161" s="50">
        <f t="shared" si="260"/>
        <v>409741.77115422214</v>
      </c>
      <c r="AG161" s="50">
        <f t="shared" si="260"/>
        <v>394765.78830815322</v>
      </c>
      <c r="AH161" s="50">
        <f t="shared" si="260"/>
        <v>322586.03937475733</v>
      </c>
      <c r="AI161" s="50">
        <f t="shared" si="260"/>
        <v>322586.03937475733</v>
      </c>
      <c r="AJ161" s="50">
        <f t="shared" si="260"/>
        <v>313266.89021554257</v>
      </c>
      <c r="AK161" s="50">
        <f t="shared" si="260"/>
        <v>295470.50912407064</v>
      </c>
      <c r="AL161" s="50">
        <f t="shared" si="260"/>
        <v>217581.88831926743</v>
      </c>
      <c r="AM161" s="50">
        <f t="shared" si="260"/>
        <v>217074.38796741536</v>
      </c>
      <c r="AN161" s="50">
        <f t="shared" si="260"/>
        <v>205163.63028807595</v>
      </c>
      <c r="AO161" s="50">
        <f t="shared" si="260"/>
        <v>184294.72410902078</v>
      </c>
      <c r="AP161" s="50">
        <f t="shared" si="260"/>
        <v>100287.50972618187</v>
      </c>
      <c r="AQ161" s="50">
        <f t="shared" si="260"/>
        <v>97678.481743704091</v>
      </c>
      <c r="AR161" s="50">
        <f t="shared" si="260"/>
        <v>82860.160138794687</v>
      </c>
      <c r="AS161" s="50">
        <f t="shared" si="260"/>
        <v>58621.49598729932</v>
      </c>
      <c r="AT161" s="50">
        <f t="shared" si="260"/>
        <v>0</v>
      </c>
      <c r="AU161" s="50">
        <f t="shared" si="260"/>
        <v>0</v>
      </c>
      <c r="AV161" s="50">
        <f t="shared" si="260"/>
        <v>0</v>
      </c>
      <c r="AW161" s="50">
        <f t="shared" si="260"/>
        <v>0</v>
      </c>
      <c r="AX161" s="50">
        <f t="shared" si="260"/>
        <v>0</v>
      </c>
      <c r="AY161" s="50">
        <f t="shared" si="260"/>
        <v>0</v>
      </c>
      <c r="AZ161" s="50">
        <f t="shared" si="260"/>
        <v>0</v>
      </c>
      <c r="BA161" s="50">
        <f t="shared" si="260"/>
        <v>0</v>
      </c>
      <c r="BB161" s="50">
        <f t="shared" si="260"/>
        <v>0</v>
      </c>
      <c r="BC161" s="50">
        <f t="shared" si="260"/>
        <v>0</v>
      </c>
      <c r="BD161" s="50">
        <f t="shared" si="260"/>
        <v>0</v>
      </c>
      <c r="BE161" s="50">
        <f t="shared" si="260"/>
        <v>0</v>
      </c>
      <c r="BF161" s="50">
        <f t="shared" si="260"/>
        <v>0</v>
      </c>
      <c r="BG161" s="50">
        <f t="shared" si="260"/>
        <v>0</v>
      </c>
      <c r="BH161" s="50">
        <f t="shared" si="260"/>
        <v>0</v>
      </c>
      <c r="BI161" s="50">
        <f t="shared" si="260"/>
        <v>0</v>
      </c>
      <c r="BJ161" s="50">
        <f t="shared" si="260"/>
        <v>0</v>
      </c>
      <c r="BK161" s="50">
        <f t="shared" si="260"/>
        <v>0</v>
      </c>
      <c r="BL161" s="50">
        <f t="shared" si="260"/>
        <v>0</v>
      </c>
      <c r="BM161" s="50">
        <f t="shared" si="260"/>
        <v>0</v>
      </c>
      <c r="BN161" s="50">
        <f t="shared" si="260"/>
        <v>0</v>
      </c>
      <c r="BO161" s="50">
        <f t="shared" si="260"/>
        <v>0</v>
      </c>
      <c r="BP161" s="50">
        <f t="shared" si="260"/>
        <v>0</v>
      </c>
      <c r="BQ161" s="50">
        <f t="shared" ref="BQ161:CN161" si="261">BP164</f>
        <v>0</v>
      </c>
      <c r="BR161" s="50">
        <f t="shared" si="261"/>
        <v>0</v>
      </c>
      <c r="BS161" s="50">
        <f t="shared" si="261"/>
        <v>0</v>
      </c>
      <c r="BT161" s="50">
        <f t="shared" si="261"/>
        <v>0</v>
      </c>
      <c r="BU161" s="50">
        <f t="shared" si="261"/>
        <v>0</v>
      </c>
      <c r="BV161" s="50">
        <f t="shared" si="261"/>
        <v>0</v>
      </c>
      <c r="BW161" s="50">
        <f t="shared" si="261"/>
        <v>0</v>
      </c>
      <c r="BX161" s="50">
        <f t="shared" si="261"/>
        <v>0</v>
      </c>
      <c r="BY161" s="50">
        <f t="shared" si="261"/>
        <v>0</v>
      </c>
      <c r="BZ161" s="50">
        <f t="shared" si="261"/>
        <v>0</v>
      </c>
      <c r="CA161" s="50">
        <f t="shared" si="261"/>
        <v>0</v>
      </c>
      <c r="CB161" s="50">
        <f t="shared" si="261"/>
        <v>0</v>
      </c>
      <c r="CC161" s="50">
        <f t="shared" si="261"/>
        <v>0</v>
      </c>
      <c r="CD161" s="50">
        <f t="shared" si="261"/>
        <v>0</v>
      </c>
      <c r="CE161" s="50">
        <f t="shared" si="261"/>
        <v>0</v>
      </c>
      <c r="CF161" s="50">
        <f t="shared" si="261"/>
        <v>0</v>
      </c>
      <c r="CG161" s="50">
        <f t="shared" si="261"/>
        <v>0</v>
      </c>
      <c r="CH161" s="50">
        <f t="shared" si="261"/>
        <v>0</v>
      </c>
      <c r="CI161" s="50">
        <f t="shared" si="261"/>
        <v>0</v>
      </c>
      <c r="CJ161" s="50">
        <f t="shared" si="261"/>
        <v>0</v>
      </c>
      <c r="CK161" s="50">
        <f t="shared" si="261"/>
        <v>0</v>
      </c>
      <c r="CL161" s="50">
        <f t="shared" si="261"/>
        <v>0</v>
      </c>
      <c r="CM161" s="50">
        <f t="shared" si="261"/>
        <v>0</v>
      </c>
      <c r="CN161" s="50">
        <f t="shared" si="261"/>
        <v>0</v>
      </c>
      <c r="CO161" s="35"/>
    </row>
    <row r="162" spans="1:93" ht="12.75" customHeight="1" outlineLevel="1">
      <c r="A162" s="35"/>
      <c r="B162" s="63" t="s">
        <v>184</v>
      </c>
      <c r="C162" s="35">
        <f t="shared" ref="C162:C163" si="262">SUM(D162:CN162)</f>
        <v>582386.70000000019</v>
      </c>
      <c r="D162" s="60">
        <f t="shared" ref="D162:CN162" si="263">D89</f>
        <v>0</v>
      </c>
      <c r="E162" s="35">
        <f t="shared" si="263"/>
        <v>0</v>
      </c>
      <c r="F162" s="35">
        <f t="shared" si="263"/>
        <v>0</v>
      </c>
      <c r="G162" s="35">
        <f t="shared" si="263"/>
        <v>0</v>
      </c>
      <c r="H162" s="35">
        <f t="shared" si="263"/>
        <v>0</v>
      </c>
      <c r="I162" s="35">
        <f t="shared" si="263"/>
        <v>0</v>
      </c>
      <c r="J162" s="35">
        <f t="shared" si="263"/>
        <v>0</v>
      </c>
      <c r="K162" s="35">
        <f t="shared" si="263"/>
        <v>0</v>
      </c>
      <c r="L162" s="35">
        <f t="shared" si="263"/>
        <v>0</v>
      </c>
      <c r="M162" s="35">
        <f t="shared" si="263"/>
        <v>0</v>
      </c>
      <c r="N162" s="35">
        <f t="shared" si="263"/>
        <v>21232.848437500012</v>
      </c>
      <c r="O162" s="35">
        <f t="shared" si="263"/>
        <v>53385.447500000009</v>
      </c>
      <c r="P162" s="35">
        <f>P89</f>
        <v>53385.447500000009</v>
      </c>
      <c r="Q162" s="35">
        <f>Q89</f>
        <v>77044.907187499979</v>
      </c>
      <c r="R162" s="35">
        <f t="shared" si="263"/>
        <v>71585.031874999986</v>
      </c>
      <c r="S162" s="35">
        <f t="shared" si="263"/>
        <v>141835.42756250006</v>
      </c>
      <c r="T162" s="35">
        <f t="shared" si="263"/>
        <v>147295.30287499999</v>
      </c>
      <c r="U162" s="35">
        <f t="shared" si="263"/>
        <v>16622.287062500138</v>
      </c>
      <c r="V162" s="35">
        <f t="shared" si="263"/>
        <v>0</v>
      </c>
      <c r="W162" s="35">
        <f t="shared" si="263"/>
        <v>0</v>
      </c>
      <c r="X162" s="35">
        <f t="shared" si="263"/>
        <v>0</v>
      </c>
      <c r="Y162" s="35">
        <f t="shared" si="263"/>
        <v>0</v>
      </c>
      <c r="Z162" s="35">
        <f t="shared" si="263"/>
        <v>0</v>
      </c>
      <c r="AA162" s="35">
        <f t="shared" si="263"/>
        <v>0</v>
      </c>
      <c r="AB162" s="35">
        <f t="shared" si="263"/>
        <v>0</v>
      </c>
      <c r="AC162" s="35">
        <f t="shared" si="263"/>
        <v>0</v>
      </c>
      <c r="AD162" s="35">
        <f t="shared" si="263"/>
        <v>0</v>
      </c>
      <c r="AE162" s="35">
        <f t="shared" si="263"/>
        <v>0</v>
      </c>
      <c r="AF162" s="35">
        <f t="shared" si="263"/>
        <v>0</v>
      </c>
      <c r="AG162" s="35">
        <f t="shared" si="263"/>
        <v>0</v>
      </c>
      <c r="AH162" s="35">
        <f t="shared" si="263"/>
        <v>0</v>
      </c>
      <c r="AI162" s="35">
        <f t="shared" si="263"/>
        <v>0</v>
      </c>
      <c r="AJ162" s="35">
        <f t="shared" si="263"/>
        <v>0</v>
      </c>
      <c r="AK162" s="35">
        <f t="shared" si="263"/>
        <v>0</v>
      </c>
      <c r="AL162" s="35">
        <f t="shared" si="263"/>
        <v>0</v>
      </c>
      <c r="AM162" s="35">
        <f t="shared" si="263"/>
        <v>0</v>
      </c>
      <c r="AN162" s="35">
        <f t="shared" si="263"/>
        <v>0</v>
      </c>
      <c r="AO162" s="35">
        <f t="shared" si="263"/>
        <v>0</v>
      </c>
      <c r="AP162" s="35">
        <f t="shared" si="263"/>
        <v>0</v>
      </c>
      <c r="AQ162" s="35">
        <f t="shared" si="263"/>
        <v>0</v>
      </c>
      <c r="AR162" s="35">
        <f t="shared" si="263"/>
        <v>0</v>
      </c>
      <c r="AS162" s="35">
        <f t="shared" si="263"/>
        <v>0</v>
      </c>
      <c r="AT162" s="35">
        <f t="shared" si="263"/>
        <v>0</v>
      </c>
      <c r="AU162" s="35">
        <f t="shared" si="263"/>
        <v>0</v>
      </c>
      <c r="AV162" s="35">
        <f t="shared" si="263"/>
        <v>0</v>
      </c>
      <c r="AW162" s="35">
        <f t="shared" si="263"/>
        <v>0</v>
      </c>
      <c r="AX162" s="35">
        <f t="shared" si="263"/>
        <v>0</v>
      </c>
      <c r="AY162" s="35">
        <f t="shared" si="263"/>
        <v>0</v>
      </c>
      <c r="AZ162" s="35">
        <f t="shared" si="263"/>
        <v>0</v>
      </c>
      <c r="BA162" s="35">
        <f t="shared" si="263"/>
        <v>0</v>
      </c>
      <c r="BB162" s="35">
        <f t="shared" si="263"/>
        <v>0</v>
      </c>
      <c r="BC162" s="35">
        <f t="shared" si="263"/>
        <v>0</v>
      </c>
      <c r="BD162" s="35">
        <f t="shared" si="263"/>
        <v>0</v>
      </c>
      <c r="BE162" s="35">
        <f t="shared" si="263"/>
        <v>0</v>
      </c>
      <c r="BF162" s="35">
        <f t="shared" si="263"/>
        <v>0</v>
      </c>
      <c r="BG162" s="35">
        <f t="shared" si="263"/>
        <v>0</v>
      </c>
      <c r="BH162" s="35">
        <f t="shared" si="263"/>
        <v>0</v>
      </c>
      <c r="BI162" s="35">
        <f t="shared" si="263"/>
        <v>0</v>
      </c>
      <c r="BJ162" s="35">
        <f t="shared" si="263"/>
        <v>0</v>
      </c>
      <c r="BK162" s="35">
        <f t="shared" si="263"/>
        <v>0</v>
      </c>
      <c r="BL162" s="35">
        <f t="shared" si="263"/>
        <v>0</v>
      </c>
      <c r="BM162" s="35">
        <f t="shared" si="263"/>
        <v>0</v>
      </c>
      <c r="BN162" s="35">
        <f t="shared" si="263"/>
        <v>0</v>
      </c>
      <c r="BO162" s="35">
        <f t="shared" si="263"/>
        <v>0</v>
      </c>
      <c r="BP162" s="35">
        <f t="shared" si="263"/>
        <v>0</v>
      </c>
      <c r="BQ162" s="35">
        <f t="shared" si="263"/>
        <v>0</v>
      </c>
      <c r="BR162" s="35">
        <f t="shared" si="263"/>
        <v>0</v>
      </c>
      <c r="BS162" s="35">
        <f t="shared" si="263"/>
        <v>0</v>
      </c>
      <c r="BT162" s="35">
        <f t="shared" si="263"/>
        <v>0</v>
      </c>
      <c r="BU162" s="35">
        <f t="shared" si="263"/>
        <v>0</v>
      </c>
      <c r="BV162" s="35">
        <f t="shared" si="263"/>
        <v>0</v>
      </c>
      <c r="BW162" s="35">
        <f t="shared" si="263"/>
        <v>0</v>
      </c>
      <c r="BX162" s="35">
        <f t="shared" si="263"/>
        <v>0</v>
      </c>
      <c r="BY162" s="35">
        <f t="shared" si="263"/>
        <v>0</v>
      </c>
      <c r="BZ162" s="35">
        <f t="shared" si="263"/>
        <v>0</v>
      </c>
      <c r="CA162" s="35">
        <f t="shared" si="263"/>
        <v>0</v>
      </c>
      <c r="CB162" s="35">
        <f t="shared" si="263"/>
        <v>0</v>
      </c>
      <c r="CC162" s="35">
        <f t="shared" si="263"/>
        <v>0</v>
      </c>
      <c r="CD162" s="35">
        <f t="shared" si="263"/>
        <v>0</v>
      </c>
      <c r="CE162" s="35">
        <f t="shared" si="263"/>
        <v>0</v>
      </c>
      <c r="CF162" s="35">
        <f t="shared" si="263"/>
        <v>0</v>
      </c>
      <c r="CG162" s="35">
        <f t="shared" si="263"/>
        <v>0</v>
      </c>
      <c r="CH162" s="35">
        <f t="shared" si="263"/>
        <v>0</v>
      </c>
      <c r="CI162" s="35">
        <f t="shared" si="263"/>
        <v>0</v>
      </c>
      <c r="CJ162" s="35">
        <f t="shared" si="263"/>
        <v>0</v>
      </c>
      <c r="CK162" s="35">
        <f t="shared" si="263"/>
        <v>0</v>
      </c>
      <c r="CL162" s="35">
        <f t="shared" si="263"/>
        <v>0</v>
      </c>
      <c r="CM162" s="35">
        <f t="shared" si="263"/>
        <v>0</v>
      </c>
      <c r="CN162" s="35">
        <f t="shared" si="263"/>
        <v>0</v>
      </c>
      <c r="CO162" s="35"/>
    </row>
    <row r="163" spans="1:93" ht="12.75" customHeight="1" outlineLevel="1">
      <c r="A163" s="35"/>
      <c r="B163" s="63" t="s">
        <v>185</v>
      </c>
      <c r="C163" s="35">
        <f t="shared" si="262"/>
        <v>-582386.70000000019</v>
      </c>
      <c r="D163" s="60">
        <f>-MIN(MAX(D81/Assump!$D$40+D165,0),SUM(D161:D162))</f>
        <v>0</v>
      </c>
      <c r="E163" s="35">
        <f>-MIN(MAX((E81)/Assump!$D$40+E165,0),SUM(E161:E162))</f>
        <v>0</v>
      </c>
      <c r="F163" s="35">
        <f>-MIN(MAX((F81)/Assump!$D$40+F165,0),SUM(F161:F162))</f>
        <v>0</v>
      </c>
      <c r="G163" s="35">
        <f>-MIN(MAX((G81)/Assump!$D$40+G165,0),SUM(G161:G162))</f>
        <v>0</v>
      </c>
      <c r="H163" s="35">
        <f>-MIN(MAX((H81)/Assump!$D$40+H165,0),SUM(H161:H162))</f>
        <v>0</v>
      </c>
      <c r="I163" s="35">
        <f>-MIN(MAX((I81)/Assump!$D$40+I165,0),SUM(I161:I162))</f>
        <v>0</v>
      </c>
      <c r="J163" s="35">
        <f>-MIN(MAX((J81)/Assump!$D$40+J165,0),SUM(J161:J162))</f>
        <v>0</v>
      </c>
      <c r="K163" s="35">
        <f>-MIN(MAX((K81)/Assump!$D$40+K165,0),SUM(K161:K162))</f>
        <v>0</v>
      </c>
      <c r="L163" s="35">
        <f>-MIN(MAX((L81)/Assump!$D$40+L165,0),SUM(L161:L162))</f>
        <v>0</v>
      </c>
      <c r="M163" s="35">
        <f>-MIN(MAX((M81)/Assump!$D$40+M165,0),SUM(M161:M162))</f>
        <v>0</v>
      </c>
      <c r="N163" s="35">
        <f>-MIN(MAX((N81)/Assump!$D$40+N165,0),SUM(N161:N162))</f>
        <v>0</v>
      </c>
      <c r="O163" s="35">
        <f>-MIN(MAX((O81)/Assump!$D$40+O165,0),SUM(O161:O162))</f>
        <v>0</v>
      </c>
      <c r="P163" s="35">
        <f>-MIN(MAX((P81)/Assump!$D$40+P165,0),SUM(P161:P162))</f>
        <v>0</v>
      </c>
      <c r="Q163" s="35">
        <f>-MIN(MAX((Q81)/Assump!$D$40+Q165,0),SUM(Q161:Q162))</f>
        <v>0</v>
      </c>
      <c r="R163" s="35">
        <f>-MIN(MAX((R81)/Assump!$D$40+R165,0),SUM(R161:R162))</f>
        <v>0</v>
      </c>
      <c r="S163" s="35">
        <f>-MIN(MAX((S81)/Assump!$D$40+S165,0),SUM(S161:S162))</f>
        <v>0</v>
      </c>
      <c r="T163" s="35">
        <f>-MIN(MAX((T81)/Assump!$D$40+T165,0),SUM(T161:T162))</f>
        <v>0</v>
      </c>
      <c r="U163" s="35">
        <f>-MIN(MAX((U81)/Assump!$D$40+U165,0),SUM(U161:U162))</f>
        <v>0</v>
      </c>
      <c r="V163" s="35">
        <f>-MIN(MAX((V81)/Assump!$D$40+V165,0),SUM(V161:V162))</f>
        <v>0</v>
      </c>
      <c r="W163" s="35">
        <f>-MIN(MAX((W81)/Assump!$D$40+W165,0),SUM(W161:W162))</f>
        <v>-4675.6619917825465</v>
      </c>
      <c r="X163" s="35">
        <f>-MIN(MAX((X81)/Assump!$D$40+X165,0),SUM(X161:X162))</f>
        <v>-11641.980410150987</v>
      </c>
      <c r="Y163" s="35">
        <f>-MIN(MAX((Y81+Y84)/Assump!$D$40+Y165,0),SUM(Y161:Y162))</f>
        <v>-64943.836080138921</v>
      </c>
      <c r="Z163" s="35">
        <f>-MIN(MAX(Z81/Assump!$D$40+Z165,0),SUM(Z161:Z162))</f>
        <v>0</v>
      </c>
      <c r="AA163" s="35">
        <f>-MIN(MAX(AA81/Assump!$D$40+AA165,0),SUM(AA161:AA162))</f>
        <v>-4877.4973473746977</v>
      </c>
      <c r="AB163" s="35">
        <f>-MIN(MAX(AB81/Assump!$D$40+AB165,0),SUM(AB161:AB162))</f>
        <v>-12486.671724009486</v>
      </c>
      <c r="AC163" s="35">
        <f>-MIN(MAX(AC81/Assump!$D$40+AC165,0),SUM(AC161:AC162))</f>
        <v>-67085.155621628219</v>
      </c>
      <c r="AD163" s="35">
        <f>-MIN(MAX(AD81/Assump!$D$40+AD165,0),SUM(AD161:AD162))</f>
        <v>0</v>
      </c>
      <c r="AE163" s="35">
        <f>-MIN(MAX(AE81/Assump!$D$40+AE165,0),SUM(AE161:AE162))</f>
        <v>-6934.1256706931717</v>
      </c>
      <c r="AF163" s="35">
        <f>-MIN(MAX(AF81/Assump!$D$40+AF165,0),SUM(AF161:AF162))</f>
        <v>-14975.982846068899</v>
      </c>
      <c r="AG163" s="35">
        <f>-MIN(MAX(AG81/Assump!$D$40+AG165,0),SUM(AG161:AG162))</f>
        <v>-72179.748933395909</v>
      </c>
      <c r="AH163" s="35">
        <f>-MIN(MAX(AH81/Assump!$D$40+AH165,0),SUM(AH161:AH162))</f>
        <v>0</v>
      </c>
      <c r="AI163" s="35">
        <f>-MIN(MAX(AI81/Assump!$D$40+AI165,0),SUM(AI161:AI162))</f>
        <v>-9319.1491592147722</v>
      </c>
      <c r="AJ163" s="35">
        <f>-MIN(MAX(AJ81/Assump!$D$40+AJ165,0),SUM(AJ161:AJ162))</f>
        <v>-17796.381091471962</v>
      </c>
      <c r="AK163" s="35">
        <f>-MIN(MAX(AK81/Assump!$D$40+AK165,0),SUM(AK161:AK162))</f>
        <v>-77888.620804803213</v>
      </c>
      <c r="AL163" s="35">
        <f>-MIN(MAX(AL81/Assump!$D$40+AL165,0),SUM(AL161:AL162))</f>
        <v>-507.50035185206616</v>
      </c>
      <c r="AM163" s="35">
        <f>-MIN(MAX(AM81/Assump!$D$40+AM165,0),SUM(AM161:AM162))</f>
        <v>-11910.757679339407</v>
      </c>
      <c r="AN163" s="35">
        <f>-MIN(MAX(AN81/Assump!$D$40+AN165,0),SUM(AN161:AN162))</f>
        <v>-20868.90617905515</v>
      </c>
      <c r="AO163" s="35">
        <f>-MIN(MAX(AO81/Assump!$D$40+AO165,0),SUM(AO161:AO162))</f>
        <v>-84007.214382838909</v>
      </c>
      <c r="AP163" s="35">
        <f>-MIN(MAX(AP81/Assump!$D$40+AP165,0),SUM(AP161:AP162))</f>
        <v>-2609.0279824777886</v>
      </c>
      <c r="AQ163" s="35">
        <f>-MIN(MAX(AQ81/Assump!$D$40+AQ165,0),SUM(AQ161:AQ162))</f>
        <v>-14818.32160490941</v>
      </c>
      <c r="AR163" s="35">
        <f>-MIN(MAX(AR81/Assump!$D$40+AR165,0),SUM(AR161:AR162))</f>
        <v>-24238.664151495363</v>
      </c>
      <c r="AS163" s="35">
        <f>-MIN(MAX(AS81/Assump!$D$40+AS165,0),SUM(AS161:AS162))</f>
        <v>-58621.49598729932</v>
      </c>
      <c r="AT163" s="35">
        <f>-MIN(MAX(AT81/Assump!$D$40+AT165,0),SUM(AT161:AT162))</f>
        <v>0</v>
      </c>
      <c r="AU163" s="35">
        <f>-MIN(MAX(AU81/Assump!$D$40+AU165,0),SUM(AU161:AU162))</f>
        <v>0</v>
      </c>
      <c r="AV163" s="35">
        <f>-MIN(MAX(AV81/Assump!$D$40+AV165,0),SUM(AV161:AV162))</f>
        <v>0</v>
      </c>
      <c r="AW163" s="35">
        <f>-MIN(MAX(AW81/Assump!$D$40+AW165,0),SUM(AW161:AW162))</f>
        <v>0</v>
      </c>
      <c r="AX163" s="35">
        <f>-MIN(MAX(AX81/Assump!$D$40+AX165,0),SUM(AX161:AX162))</f>
        <v>0</v>
      </c>
      <c r="AY163" s="35">
        <f>-MIN(MAX(AY81/Assump!$D$40+AY165,0),SUM(AY161:AY162))</f>
        <v>0</v>
      </c>
      <c r="AZ163" s="35">
        <f>-MIN(MAX(AZ81/Assump!$D$40+AZ165,0),SUM(AZ161:AZ162))</f>
        <v>0</v>
      </c>
      <c r="BA163" s="35">
        <f>-MIN(MAX(BA81/Assump!$D$40+BA165,0),SUM(BA161:BA162))</f>
        <v>0</v>
      </c>
      <c r="BB163" s="35">
        <f>-MIN(MAX(BB81/Assump!$D$40+BB165,0),SUM(BB161:BB162))</f>
        <v>0</v>
      </c>
      <c r="BC163" s="35">
        <f>-MIN(MAX(BC81/Assump!$D$40+BC165,0),SUM(BC161:BC162))</f>
        <v>0</v>
      </c>
      <c r="BD163" s="35">
        <f>-MIN(MAX(BD81/Assump!$D$40+BD165,0),SUM(BD161:BD162))</f>
        <v>0</v>
      </c>
      <c r="BE163" s="35">
        <f>-MIN(MAX(BE81/Assump!$D$40+BE165,0),SUM(BE161:BE162))</f>
        <v>0</v>
      </c>
      <c r="BF163" s="35">
        <f>-MIN(MAX(BF81/Assump!$D$40+BF165,0),SUM(BF161:BF162))</f>
        <v>0</v>
      </c>
      <c r="BG163" s="35">
        <f>-MIN(MAX(BG81/Assump!$D$40+BG165,0),SUM(BG161:BG162))</f>
        <v>0</v>
      </c>
      <c r="BH163" s="35">
        <f>-MIN(MAX(BH81/Assump!$D$40+BH165,0),SUM(BH161:BH162))</f>
        <v>0</v>
      </c>
      <c r="BI163" s="35">
        <f>-MIN(MAX(BI81/Assump!$D$40+BI165,0),SUM(BI161:BI162))</f>
        <v>0</v>
      </c>
      <c r="BJ163" s="35">
        <f>-MIN(MAX(BJ81/Assump!$D$40+BJ165,0),SUM(BJ161:BJ162))</f>
        <v>0</v>
      </c>
      <c r="BK163" s="35">
        <f>-MIN(MAX(BK81/Assump!$D$40+BK165,0),SUM(BK161:BK162))</f>
        <v>0</v>
      </c>
      <c r="BL163" s="35">
        <f>-MIN(MAX(BL81/Assump!$D$40+BL165,0),SUM(BL161:BL162))</f>
        <v>0</v>
      </c>
      <c r="BM163" s="35">
        <f>-MIN(MAX(BM81/Assump!$D$40+BM165,0),SUM(BM161:BM162))</f>
        <v>0</v>
      </c>
      <c r="BN163" s="35">
        <f>-MIN(MAX(BN81/Assump!$D$40+BN165,0),SUM(BN161:BN162))</f>
        <v>0</v>
      </c>
      <c r="BO163" s="35">
        <f>-MIN(MAX(BO81/Assump!$D$40+BO165,0),SUM(BO161:BO162))</f>
        <v>0</v>
      </c>
      <c r="BP163" s="35">
        <f>-MIN(MAX(BP81/Assump!$D$40+BP165,0),SUM(BP161:BP162))</f>
        <v>0</v>
      </c>
      <c r="BQ163" s="35">
        <f>-MIN(MAX(BQ81/Assump!$D$40+BQ165,0),SUM(BQ161:BQ162))</f>
        <v>0</v>
      </c>
      <c r="BR163" s="35">
        <f>-MIN(MAX(BR81/Assump!$D$40+BR165,0),SUM(BR161:BR162))</f>
        <v>0</v>
      </c>
      <c r="BS163" s="35">
        <f>-MIN(MAX(BS81/Assump!$D$40+BS165,0),SUM(BS161:BS162))</f>
        <v>0</v>
      </c>
      <c r="BT163" s="35">
        <f>-MIN(MAX(BT81/Assump!$D$40+BT165,0),SUM(BT161:BT162))</f>
        <v>0</v>
      </c>
      <c r="BU163" s="35">
        <f>-MIN(MAX(BU81/Assump!$D$40+BU165,0),SUM(BU161:BU162))</f>
        <v>0</v>
      </c>
      <c r="BV163" s="35">
        <f>-MIN(MAX(BV81/Assump!$D$40+BV165,0),SUM(BV161:BV162))</f>
        <v>0</v>
      </c>
      <c r="BW163" s="35">
        <f>-MIN(MAX(BW81/Assump!$D$40+BW165,0),SUM(BW161:BW162))</f>
        <v>0</v>
      </c>
      <c r="BX163" s="35">
        <f>-MIN(MAX(BX81/Assump!$D$40+BX165,0),SUM(BX161:BX162))</f>
        <v>0</v>
      </c>
      <c r="BY163" s="35">
        <f>-MIN(MAX(BY81/Assump!$D$40+BY165,0),SUM(BY161:BY162))</f>
        <v>0</v>
      </c>
      <c r="BZ163" s="35">
        <f>-MIN(MAX(BZ81/Assump!$D$40+BZ165,0),SUM(BZ161:BZ162))</f>
        <v>0</v>
      </c>
      <c r="CA163" s="35">
        <f>-MIN(MAX(CA81/Assump!$D$40+CA165,0),SUM(CA161:CA162))</f>
        <v>0</v>
      </c>
      <c r="CB163" s="35">
        <f>-MIN(MAX(CB81/Assump!$D$40+CB165,0),SUM(CB161:CB162))</f>
        <v>0</v>
      </c>
      <c r="CC163" s="35">
        <f>-MIN(MAX(CC81/Assump!$D$40+CC165,0),SUM(CC161:CC162))</f>
        <v>0</v>
      </c>
      <c r="CD163" s="35">
        <f>-MIN(MAX(CD81/Assump!$D$40+CD165,0),SUM(CD161:CD162))</f>
        <v>0</v>
      </c>
      <c r="CE163" s="35">
        <f>-MIN(MAX(CE81/Assump!$D$40+CE165,0),SUM(CE161:CE162))</f>
        <v>0</v>
      </c>
      <c r="CF163" s="35">
        <f>-MIN(MAX(CF81/Assump!$D$40+CF165,0),SUM(CF161:CF162))</f>
        <v>0</v>
      </c>
      <c r="CG163" s="35">
        <f>-MIN(MAX(CG81/Assump!$D$40+CG165,0),SUM(CG161:CG162))</f>
        <v>0</v>
      </c>
      <c r="CH163" s="35">
        <f>-MIN(MAX(CH81/Assump!$D$40+CH165,0),SUM(CH161:CH162))</f>
        <v>0</v>
      </c>
      <c r="CI163" s="35">
        <f>-MIN(MAX(CI81/Assump!$D$40+CI165,0),SUM(CI161:CI162))</f>
        <v>0</v>
      </c>
      <c r="CJ163" s="35">
        <f>-MIN(MAX(CJ81/Assump!$D$40+CJ165,0),SUM(CJ161:CJ162))</f>
        <v>0</v>
      </c>
      <c r="CK163" s="35">
        <f>-MIN(MAX(CK81/Assump!$D$40+CK165,0),SUM(CK161:CK162))</f>
        <v>0</v>
      </c>
      <c r="CL163" s="35">
        <f>-MIN(MAX(CL81/Assump!$D$40+CL165,0),SUM(CL161:CL162))</f>
        <v>0</v>
      </c>
      <c r="CM163" s="35">
        <f>-MIN(MAX(CM81/Assump!$D$40+CM165,0),SUM(CM161:CM162))</f>
        <v>0</v>
      </c>
      <c r="CN163" s="35">
        <f>-MIN(MAX(CN81/Assump!$D$40+CN165,0),SUM(CN161:CN162))</f>
        <v>0</v>
      </c>
      <c r="CO163" s="35"/>
    </row>
    <row r="164" spans="1:93" ht="12.75" customHeight="1" outlineLevel="1">
      <c r="A164" s="35"/>
      <c r="B164" s="54" t="s">
        <v>230</v>
      </c>
      <c r="C164" s="55"/>
      <c r="D164" s="58">
        <f t="shared" ref="D164:CN164" si="264">SUM(D161:D163)</f>
        <v>0</v>
      </c>
      <c r="E164" s="55">
        <f t="shared" si="264"/>
        <v>0</v>
      </c>
      <c r="F164" s="55">
        <f t="shared" si="264"/>
        <v>0</v>
      </c>
      <c r="G164" s="55">
        <f t="shared" si="264"/>
        <v>0</v>
      </c>
      <c r="H164" s="55">
        <f t="shared" si="264"/>
        <v>0</v>
      </c>
      <c r="I164" s="55">
        <f t="shared" si="264"/>
        <v>0</v>
      </c>
      <c r="J164" s="55">
        <f t="shared" si="264"/>
        <v>0</v>
      </c>
      <c r="K164" s="55">
        <f t="shared" si="264"/>
        <v>0</v>
      </c>
      <c r="L164" s="55">
        <f t="shared" si="264"/>
        <v>0</v>
      </c>
      <c r="M164" s="55">
        <f t="shared" si="264"/>
        <v>0</v>
      </c>
      <c r="N164" s="55">
        <f t="shared" si="264"/>
        <v>21232.848437500012</v>
      </c>
      <c r="O164" s="55">
        <f t="shared" si="264"/>
        <v>74618.295937500021</v>
      </c>
      <c r="P164" s="55">
        <f t="shared" si="264"/>
        <v>128003.74343750003</v>
      </c>
      <c r="Q164" s="55">
        <f t="shared" si="264"/>
        <v>205048.65062500001</v>
      </c>
      <c r="R164" s="55">
        <f t="shared" si="264"/>
        <v>276633.6825</v>
      </c>
      <c r="S164" s="55">
        <f t="shared" si="264"/>
        <v>418469.11006250005</v>
      </c>
      <c r="T164" s="55">
        <f t="shared" si="264"/>
        <v>565764.41293750005</v>
      </c>
      <c r="U164" s="55">
        <f t="shared" si="264"/>
        <v>582386.70000000019</v>
      </c>
      <c r="V164" s="55">
        <f t="shared" si="264"/>
        <v>582386.70000000019</v>
      </c>
      <c r="W164" s="55">
        <f t="shared" si="264"/>
        <v>577711.03800821758</v>
      </c>
      <c r="X164" s="55">
        <f t="shared" si="264"/>
        <v>566069.05759806663</v>
      </c>
      <c r="Y164" s="55">
        <f t="shared" si="264"/>
        <v>501125.22151792771</v>
      </c>
      <c r="Z164" s="55">
        <f t="shared" si="264"/>
        <v>501125.22151792771</v>
      </c>
      <c r="AA164" s="55">
        <f t="shared" si="264"/>
        <v>496247.72417055303</v>
      </c>
      <c r="AB164" s="55">
        <f t="shared" si="264"/>
        <v>483761.05244654353</v>
      </c>
      <c r="AC164" s="55">
        <f t="shared" si="264"/>
        <v>416675.89682491531</v>
      </c>
      <c r="AD164" s="55">
        <f t="shared" si="264"/>
        <v>416675.89682491531</v>
      </c>
      <c r="AE164" s="55">
        <f t="shared" si="264"/>
        <v>409741.77115422214</v>
      </c>
      <c r="AF164" s="55">
        <f t="shared" si="264"/>
        <v>394765.78830815322</v>
      </c>
      <c r="AG164" s="55">
        <f t="shared" si="264"/>
        <v>322586.03937475733</v>
      </c>
      <c r="AH164" s="55">
        <f t="shared" si="264"/>
        <v>322586.03937475733</v>
      </c>
      <c r="AI164" s="55">
        <f t="shared" si="264"/>
        <v>313266.89021554257</v>
      </c>
      <c r="AJ164" s="55">
        <f t="shared" si="264"/>
        <v>295470.50912407064</v>
      </c>
      <c r="AK164" s="55">
        <f t="shared" si="264"/>
        <v>217581.88831926743</v>
      </c>
      <c r="AL164" s="55">
        <f t="shared" si="264"/>
        <v>217074.38796741536</v>
      </c>
      <c r="AM164" s="55">
        <f t="shared" si="264"/>
        <v>205163.63028807595</v>
      </c>
      <c r="AN164" s="55">
        <f t="shared" si="264"/>
        <v>184294.72410902078</v>
      </c>
      <c r="AO164" s="55">
        <f t="shared" si="264"/>
        <v>100287.50972618187</v>
      </c>
      <c r="AP164" s="55">
        <f t="shared" si="264"/>
        <v>97678.481743704091</v>
      </c>
      <c r="AQ164" s="55">
        <f t="shared" si="264"/>
        <v>82860.160138794687</v>
      </c>
      <c r="AR164" s="55">
        <f t="shared" si="264"/>
        <v>58621.49598729932</v>
      </c>
      <c r="AS164" s="55">
        <f t="shared" si="264"/>
        <v>0</v>
      </c>
      <c r="AT164" s="55">
        <f t="shared" si="264"/>
        <v>0</v>
      </c>
      <c r="AU164" s="55">
        <f t="shared" si="264"/>
        <v>0</v>
      </c>
      <c r="AV164" s="55">
        <f t="shared" si="264"/>
        <v>0</v>
      </c>
      <c r="AW164" s="55">
        <f t="shared" si="264"/>
        <v>0</v>
      </c>
      <c r="AX164" s="55">
        <f t="shared" si="264"/>
        <v>0</v>
      </c>
      <c r="AY164" s="55">
        <f t="shared" si="264"/>
        <v>0</v>
      </c>
      <c r="AZ164" s="55">
        <f t="shared" si="264"/>
        <v>0</v>
      </c>
      <c r="BA164" s="55">
        <f t="shared" si="264"/>
        <v>0</v>
      </c>
      <c r="BB164" s="55">
        <f t="shared" si="264"/>
        <v>0</v>
      </c>
      <c r="BC164" s="55">
        <f t="shared" si="264"/>
        <v>0</v>
      </c>
      <c r="BD164" s="55">
        <f t="shared" si="264"/>
        <v>0</v>
      </c>
      <c r="BE164" s="55">
        <f t="shared" si="264"/>
        <v>0</v>
      </c>
      <c r="BF164" s="55">
        <f t="shared" si="264"/>
        <v>0</v>
      </c>
      <c r="BG164" s="55">
        <f t="shared" si="264"/>
        <v>0</v>
      </c>
      <c r="BH164" s="55">
        <f t="shared" si="264"/>
        <v>0</v>
      </c>
      <c r="BI164" s="55">
        <f t="shared" si="264"/>
        <v>0</v>
      </c>
      <c r="BJ164" s="55">
        <f t="shared" si="264"/>
        <v>0</v>
      </c>
      <c r="BK164" s="55">
        <f t="shared" si="264"/>
        <v>0</v>
      </c>
      <c r="BL164" s="55">
        <f t="shared" si="264"/>
        <v>0</v>
      </c>
      <c r="BM164" s="55">
        <f t="shared" si="264"/>
        <v>0</v>
      </c>
      <c r="BN164" s="55">
        <f t="shared" si="264"/>
        <v>0</v>
      </c>
      <c r="BO164" s="55">
        <f t="shared" si="264"/>
        <v>0</v>
      </c>
      <c r="BP164" s="55">
        <f t="shared" si="264"/>
        <v>0</v>
      </c>
      <c r="BQ164" s="55">
        <f t="shared" si="264"/>
        <v>0</v>
      </c>
      <c r="BR164" s="55">
        <f t="shared" si="264"/>
        <v>0</v>
      </c>
      <c r="BS164" s="55">
        <f t="shared" si="264"/>
        <v>0</v>
      </c>
      <c r="BT164" s="55">
        <f t="shared" si="264"/>
        <v>0</v>
      </c>
      <c r="BU164" s="55">
        <f t="shared" si="264"/>
        <v>0</v>
      </c>
      <c r="BV164" s="55">
        <f t="shared" si="264"/>
        <v>0</v>
      </c>
      <c r="BW164" s="55">
        <f t="shared" si="264"/>
        <v>0</v>
      </c>
      <c r="BX164" s="55">
        <f t="shared" si="264"/>
        <v>0</v>
      </c>
      <c r="BY164" s="55">
        <f t="shared" si="264"/>
        <v>0</v>
      </c>
      <c r="BZ164" s="55">
        <f t="shared" si="264"/>
        <v>0</v>
      </c>
      <c r="CA164" s="55">
        <f t="shared" si="264"/>
        <v>0</v>
      </c>
      <c r="CB164" s="55">
        <f t="shared" si="264"/>
        <v>0</v>
      </c>
      <c r="CC164" s="55">
        <f t="shared" si="264"/>
        <v>0</v>
      </c>
      <c r="CD164" s="55">
        <f t="shared" si="264"/>
        <v>0</v>
      </c>
      <c r="CE164" s="55">
        <f t="shared" si="264"/>
        <v>0</v>
      </c>
      <c r="CF164" s="55">
        <f t="shared" si="264"/>
        <v>0</v>
      </c>
      <c r="CG164" s="55">
        <f t="shared" si="264"/>
        <v>0</v>
      </c>
      <c r="CH164" s="55">
        <f t="shared" si="264"/>
        <v>0</v>
      </c>
      <c r="CI164" s="55">
        <f t="shared" si="264"/>
        <v>0</v>
      </c>
      <c r="CJ164" s="55">
        <f t="shared" si="264"/>
        <v>0</v>
      </c>
      <c r="CK164" s="55">
        <f t="shared" si="264"/>
        <v>0</v>
      </c>
      <c r="CL164" s="55">
        <f t="shared" si="264"/>
        <v>0</v>
      </c>
      <c r="CM164" s="55">
        <f t="shared" si="264"/>
        <v>0</v>
      </c>
      <c r="CN164" s="55">
        <f t="shared" si="264"/>
        <v>0</v>
      </c>
      <c r="CO164" s="35"/>
    </row>
    <row r="165" spans="1:93" ht="12.75" customHeight="1" outlineLevel="1">
      <c r="A165" s="35"/>
      <c r="B165" s="63" t="s">
        <v>238</v>
      </c>
      <c r="C165" s="35">
        <f>SUM(D165:CN165)</f>
        <v>-188173.39816270935</v>
      </c>
      <c r="D165" s="60">
        <f>-D161*Assump!$D$38</f>
        <v>0</v>
      </c>
      <c r="E165" s="35">
        <f>-E161*Assump!$D$38</f>
        <v>0</v>
      </c>
      <c r="F165" s="35">
        <f>-F161*Assump!$D$38</f>
        <v>0</v>
      </c>
      <c r="G165" s="35">
        <f>-G161*Assump!$D$38</f>
        <v>0</v>
      </c>
      <c r="H165" s="35">
        <f>-H161*Assump!$D$38</f>
        <v>0</v>
      </c>
      <c r="I165" s="35">
        <f>-I161*Assump!$D$38</f>
        <v>0</v>
      </c>
      <c r="J165" s="35">
        <f>-J161*Assump!$D$38</f>
        <v>0</v>
      </c>
      <c r="K165" s="35">
        <f>-K161*Assump!$D$38</f>
        <v>0</v>
      </c>
      <c r="L165" s="35">
        <f>-L161*Assump!$D$38</f>
        <v>0</v>
      </c>
      <c r="M165" s="35">
        <f>-M161*Assump!$D$38</f>
        <v>0</v>
      </c>
      <c r="N165" s="35">
        <f>-N161*Assump!$D$38</f>
        <v>0</v>
      </c>
      <c r="O165" s="35">
        <f>-O161*Assump!$D$38</f>
        <v>-398.11590820312523</v>
      </c>
      <c r="P165" s="35">
        <f>-P161*Assump!$D$38</f>
        <v>-1399.0930488281253</v>
      </c>
      <c r="Q165" s="35">
        <f>-Q161*Assump!$D$38</f>
        <v>-2400.0701894531253</v>
      </c>
      <c r="R165" s="35">
        <f>-R161*Assump!$D$38</f>
        <v>-3844.6621992187502</v>
      </c>
      <c r="S165" s="35">
        <f>-S161*Assump!$D$38</f>
        <v>-5186.8815468749999</v>
      </c>
      <c r="T165" s="35">
        <f>-T161*Assump!$D$38</f>
        <v>-7846.2958136718753</v>
      </c>
      <c r="U165" s="35">
        <f>-U161*Assump!$D$38</f>
        <v>-10608.082742578126</v>
      </c>
      <c r="V165" s="35">
        <f>-V161*Assump!$D$38</f>
        <v>-10919.750625000002</v>
      </c>
      <c r="W165" s="35">
        <f>-W161*Assump!$D$38</f>
        <v>-10919.750625000002</v>
      </c>
      <c r="X165" s="35">
        <f>-X161*Assump!$D$38</f>
        <v>-10832.08196265408</v>
      </c>
      <c r="Y165" s="35">
        <f>-Y161*Assump!$D$38</f>
        <v>-10613.794829963748</v>
      </c>
      <c r="Z165" s="35">
        <f>-Z161*Assump!$D$38</f>
        <v>-9396.0979034611446</v>
      </c>
      <c r="AA165" s="35">
        <f>-AA161*Assump!$D$38</f>
        <v>-9396.0979034611446</v>
      </c>
      <c r="AB165" s="35">
        <f>-AB161*Assump!$D$38</f>
        <v>-9304.6448281978683</v>
      </c>
      <c r="AC165" s="35">
        <f>-AC161*Assump!$D$38</f>
        <v>-9070.5197333726901</v>
      </c>
      <c r="AD165" s="35">
        <f>-AD161*Assump!$D$38</f>
        <v>-7812.6730654671619</v>
      </c>
      <c r="AE165" s="35">
        <f>-AE161*Assump!$D$38</f>
        <v>-7812.6730654671619</v>
      </c>
      <c r="AF165" s="35">
        <f>-AF161*Assump!$D$38</f>
        <v>-7682.6582091416649</v>
      </c>
      <c r="AG165" s="35">
        <f>-AG161*Assump!$D$38</f>
        <v>-7401.8585307778721</v>
      </c>
      <c r="AH165" s="35">
        <f>-AH161*Assump!$D$38</f>
        <v>-6048.4882382767</v>
      </c>
      <c r="AI165" s="35">
        <f>-AI161*Assump!$D$38</f>
        <v>-6048.4882382767</v>
      </c>
      <c r="AJ165" s="35">
        <f>-AJ161*Assump!$D$38</f>
        <v>-5873.7541915414231</v>
      </c>
      <c r="AK165" s="35">
        <f>-AK161*Assump!$D$38</f>
        <v>-5540.0720460763241</v>
      </c>
      <c r="AL165" s="35">
        <f>-AL161*Assump!$D$38</f>
        <v>-4079.6604059862639</v>
      </c>
      <c r="AM165" s="35">
        <f>-AM161*Assump!$D$38</f>
        <v>-4070.1447743890376</v>
      </c>
      <c r="AN165" s="35">
        <f>-AN161*Assump!$D$38</f>
        <v>-3846.818067901424</v>
      </c>
      <c r="AO165" s="35">
        <f>-AO161*Assump!$D$38</f>
        <v>-3455.5260770441396</v>
      </c>
      <c r="AP165" s="35">
        <f>-AP161*Assump!$D$38</f>
        <v>-1880.39080736591</v>
      </c>
      <c r="AQ165" s="35">
        <f>-AQ161*Assump!$D$38</f>
        <v>-1831.4715326944518</v>
      </c>
      <c r="AR165" s="35">
        <f>-AR161*Assump!$D$38</f>
        <v>-1553.6280026024003</v>
      </c>
      <c r="AS165" s="35">
        <f>-AS161*Assump!$D$38</f>
        <v>-1099.1530497618621</v>
      </c>
      <c r="AT165" s="35">
        <f>-AT161*Assump!$D$38</f>
        <v>0</v>
      </c>
      <c r="AU165" s="35">
        <f>-AU161*Assump!$D$38</f>
        <v>0</v>
      </c>
      <c r="AV165" s="35">
        <f>-AV161*Assump!$D$38</f>
        <v>0</v>
      </c>
      <c r="AW165" s="35">
        <f>-AW161*Assump!$D$38</f>
        <v>0</v>
      </c>
      <c r="AX165" s="35">
        <f>-AX161*Assump!$D$38</f>
        <v>0</v>
      </c>
      <c r="AY165" s="35">
        <f>-AY161*Assump!$D$38</f>
        <v>0</v>
      </c>
      <c r="AZ165" s="35">
        <f>-AZ161*Assump!$D$38</f>
        <v>0</v>
      </c>
      <c r="BA165" s="35">
        <f>-BA161*Assump!$D$38</f>
        <v>0</v>
      </c>
      <c r="BB165" s="35">
        <f>-BB161*Assump!$D$38</f>
        <v>0</v>
      </c>
      <c r="BC165" s="35">
        <f>-BC161*Assump!$D$38</f>
        <v>0</v>
      </c>
      <c r="BD165" s="35">
        <f>-BD161*Assump!$D$38</f>
        <v>0</v>
      </c>
      <c r="BE165" s="35">
        <f>-BE161*Assump!$D$38</f>
        <v>0</v>
      </c>
      <c r="BF165" s="35">
        <f>-BF161*Assump!$D$38</f>
        <v>0</v>
      </c>
      <c r="BG165" s="35">
        <f>-BG161*Assump!$D$38</f>
        <v>0</v>
      </c>
      <c r="BH165" s="35">
        <f>-BH161*Assump!$D$38</f>
        <v>0</v>
      </c>
      <c r="BI165" s="35">
        <f>-BI161*Assump!$D$38</f>
        <v>0</v>
      </c>
      <c r="BJ165" s="35">
        <f>-BJ161*Assump!$D$38</f>
        <v>0</v>
      </c>
      <c r="BK165" s="35">
        <f>-BK161*Assump!$D$38</f>
        <v>0</v>
      </c>
      <c r="BL165" s="35">
        <f>-BL161*Assump!$D$38</f>
        <v>0</v>
      </c>
      <c r="BM165" s="35">
        <f>-BM161*Assump!$D$38</f>
        <v>0</v>
      </c>
      <c r="BN165" s="35">
        <f>-BN161*Assump!$D$38</f>
        <v>0</v>
      </c>
      <c r="BO165" s="35">
        <f>-BO161*Assump!$D$38</f>
        <v>0</v>
      </c>
      <c r="BP165" s="35">
        <f>-BP161*Assump!$D$38</f>
        <v>0</v>
      </c>
      <c r="BQ165" s="35">
        <f>-BQ161*Assump!$D$38</f>
        <v>0</v>
      </c>
      <c r="BR165" s="35">
        <f>-BR161*Assump!$D$38</f>
        <v>0</v>
      </c>
      <c r="BS165" s="35">
        <f>-BS161*Assump!$D$38</f>
        <v>0</v>
      </c>
      <c r="BT165" s="35">
        <f>-BT161*Assump!$D$38</f>
        <v>0</v>
      </c>
      <c r="BU165" s="35">
        <f>-BU161*Assump!$D$38</f>
        <v>0</v>
      </c>
      <c r="BV165" s="35">
        <f>-BV161*Assump!$D$38</f>
        <v>0</v>
      </c>
      <c r="BW165" s="35">
        <f>-BW161*Assump!$D$38</f>
        <v>0</v>
      </c>
      <c r="BX165" s="35">
        <f>-BX161*Assump!$D$38</f>
        <v>0</v>
      </c>
      <c r="BY165" s="35">
        <f>-BY161*Assump!$D$38</f>
        <v>0</v>
      </c>
      <c r="BZ165" s="35">
        <f>-BZ161*Assump!$D$38</f>
        <v>0</v>
      </c>
      <c r="CA165" s="35">
        <f>-CA161*Assump!$D$38</f>
        <v>0</v>
      </c>
      <c r="CB165" s="35">
        <f>-CB161*Assump!$D$38</f>
        <v>0</v>
      </c>
      <c r="CC165" s="35">
        <f>-CC161*Assump!$D$38</f>
        <v>0</v>
      </c>
      <c r="CD165" s="35">
        <f>-CD161*Assump!$D$38</f>
        <v>0</v>
      </c>
      <c r="CE165" s="35">
        <f>-CE161*Assump!$D$38</f>
        <v>0</v>
      </c>
      <c r="CF165" s="35">
        <f>-CF161*Assump!$D$38</f>
        <v>0</v>
      </c>
      <c r="CG165" s="35">
        <f>-CG161*Assump!$D$38</f>
        <v>0</v>
      </c>
      <c r="CH165" s="35">
        <f>-CH161*Assump!$D$38</f>
        <v>0</v>
      </c>
      <c r="CI165" s="35">
        <f>-CI161*Assump!$D$38</f>
        <v>0</v>
      </c>
      <c r="CJ165" s="35">
        <f>-CJ161*Assump!$D$38</f>
        <v>0</v>
      </c>
      <c r="CK165" s="35">
        <f>-CK161*Assump!$D$38</f>
        <v>0</v>
      </c>
      <c r="CL165" s="35">
        <f>-CL161*Assump!$D$38</f>
        <v>0</v>
      </c>
      <c r="CM165" s="35">
        <f>-CM161*Assump!$D$38</f>
        <v>0</v>
      </c>
      <c r="CN165" s="35">
        <f>-CN161*Assump!$D$38</f>
        <v>0</v>
      </c>
      <c r="CO165" s="35"/>
    </row>
    <row r="166" spans="1:93" ht="12.75" customHeight="1" outlineLevel="1">
      <c r="A166" s="35"/>
      <c r="B166" s="63"/>
      <c r="C166" s="35"/>
      <c r="D166" s="443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</row>
    <row r="167" spans="1:93" ht="12.75" customHeight="1">
      <c r="A167" s="35"/>
      <c r="B167" s="35"/>
      <c r="C167" s="35"/>
      <c r="D167" s="419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</row>
    <row r="168" spans="1:93" ht="12.75" customHeight="1">
      <c r="A168" s="112"/>
      <c r="B168" s="67" t="s">
        <v>239</v>
      </c>
      <c r="C168" s="113"/>
      <c r="D168" s="114" t="str">
        <f t="shared" ref="D168:AI168" si="265">D6</f>
        <v>0 период</v>
      </c>
      <c r="E168" s="115">
        <f t="shared" si="265"/>
        <v>45200</v>
      </c>
      <c r="F168" s="115">
        <f t="shared" si="265"/>
        <v>45292</v>
      </c>
      <c r="G168" s="115">
        <f t="shared" si="265"/>
        <v>45383</v>
      </c>
      <c r="H168" s="115">
        <f t="shared" si="265"/>
        <v>45474</v>
      </c>
      <c r="I168" s="115">
        <f t="shared" si="265"/>
        <v>45566</v>
      </c>
      <c r="J168" s="115">
        <f t="shared" si="265"/>
        <v>45658</v>
      </c>
      <c r="K168" s="115">
        <f t="shared" si="265"/>
        <v>45748</v>
      </c>
      <c r="L168" s="115">
        <f t="shared" si="265"/>
        <v>45839</v>
      </c>
      <c r="M168" s="115">
        <f t="shared" si="265"/>
        <v>45931</v>
      </c>
      <c r="N168" s="115">
        <f t="shared" si="265"/>
        <v>46023</v>
      </c>
      <c r="O168" s="115">
        <f t="shared" si="265"/>
        <v>46113</v>
      </c>
      <c r="P168" s="115">
        <f t="shared" si="265"/>
        <v>46204</v>
      </c>
      <c r="Q168" s="115">
        <f t="shared" si="265"/>
        <v>46296</v>
      </c>
      <c r="R168" s="115">
        <f t="shared" si="265"/>
        <v>46388</v>
      </c>
      <c r="S168" s="115">
        <f t="shared" si="265"/>
        <v>46478</v>
      </c>
      <c r="T168" s="115">
        <f t="shared" si="265"/>
        <v>46569</v>
      </c>
      <c r="U168" s="115">
        <f t="shared" si="265"/>
        <v>46661</v>
      </c>
      <c r="V168" s="115">
        <f t="shared" si="265"/>
        <v>46753</v>
      </c>
      <c r="W168" s="115">
        <f t="shared" si="265"/>
        <v>46844</v>
      </c>
      <c r="X168" s="115">
        <f t="shared" si="265"/>
        <v>46935</v>
      </c>
      <c r="Y168" s="115">
        <f t="shared" si="265"/>
        <v>47027</v>
      </c>
      <c r="Z168" s="115">
        <f t="shared" si="265"/>
        <v>47119</v>
      </c>
      <c r="AA168" s="115">
        <f t="shared" si="265"/>
        <v>47209</v>
      </c>
      <c r="AB168" s="115">
        <f t="shared" si="265"/>
        <v>47300</v>
      </c>
      <c r="AC168" s="115">
        <f t="shared" si="265"/>
        <v>47392</v>
      </c>
      <c r="AD168" s="115">
        <f t="shared" si="265"/>
        <v>47484</v>
      </c>
      <c r="AE168" s="115">
        <f t="shared" si="265"/>
        <v>47574</v>
      </c>
      <c r="AF168" s="115">
        <f t="shared" si="265"/>
        <v>47665</v>
      </c>
      <c r="AG168" s="115">
        <f t="shared" si="265"/>
        <v>47757</v>
      </c>
      <c r="AH168" s="115">
        <f t="shared" si="265"/>
        <v>47849</v>
      </c>
      <c r="AI168" s="115">
        <f t="shared" si="265"/>
        <v>47939</v>
      </c>
      <c r="AJ168" s="115">
        <f t="shared" ref="AJ168:BO168" si="266">AJ6</f>
        <v>48030</v>
      </c>
      <c r="AK168" s="115">
        <f t="shared" si="266"/>
        <v>48122</v>
      </c>
      <c r="AL168" s="115">
        <f t="shared" si="266"/>
        <v>48214</v>
      </c>
      <c r="AM168" s="115">
        <f t="shared" si="266"/>
        <v>48305</v>
      </c>
      <c r="AN168" s="115">
        <f t="shared" si="266"/>
        <v>48396</v>
      </c>
      <c r="AO168" s="115">
        <f t="shared" si="266"/>
        <v>48488</v>
      </c>
      <c r="AP168" s="115">
        <f t="shared" si="266"/>
        <v>48580</v>
      </c>
      <c r="AQ168" s="115">
        <f t="shared" si="266"/>
        <v>48670</v>
      </c>
      <c r="AR168" s="115">
        <f t="shared" si="266"/>
        <v>48761</v>
      </c>
      <c r="AS168" s="115">
        <f t="shared" si="266"/>
        <v>48853</v>
      </c>
      <c r="AT168" s="115">
        <f t="shared" si="266"/>
        <v>48945</v>
      </c>
      <c r="AU168" s="115">
        <f t="shared" si="266"/>
        <v>49035</v>
      </c>
      <c r="AV168" s="115">
        <f t="shared" si="266"/>
        <v>49126</v>
      </c>
      <c r="AW168" s="115">
        <f t="shared" si="266"/>
        <v>49218</v>
      </c>
      <c r="AX168" s="115">
        <f t="shared" si="266"/>
        <v>49310</v>
      </c>
      <c r="AY168" s="115">
        <f t="shared" si="266"/>
        <v>49400</v>
      </c>
      <c r="AZ168" s="115">
        <f t="shared" si="266"/>
        <v>49491</v>
      </c>
      <c r="BA168" s="115">
        <f t="shared" si="266"/>
        <v>49583</v>
      </c>
      <c r="BB168" s="115">
        <f t="shared" si="266"/>
        <v>49675</v>
      </c>
      <c r="BC168" s="115">
        <f t="shared" si="266"/>
        <v>49766</v>
      </c>
      <c r="BD168" s="115">
        <f t="shared" si="266"/>
        <v>49857</v>
      </c>
      <c r="BE168" s="115">
        <f t="shared" si="266"/>
        <v>49949</v>
      </c>
      <c r="BF168" s="115">
        <f t="shared" si="266"/>
        <v>50041</v>
      </c>
      <c r="BG168" s="115">
        <f t="shared" si="266"/>
        <v>50131</v>
      </c>
      <c r="BH168" s="115">
        <f t="shared" si="266"/>
        <v>50222</v>
      </c>
      <c r="BI168" s="115">
        <f t="shared" si="266"/>
        <v>50314</v>
      </c>
      <c r="BJ168" s="115">
        <f t="shared" si="266"/>
        <v>50406</v>
      </c>
      <c r="BK168" s="115">
        <f t="shared" si="266"/>
        <v>50496</v>
      </c>
      <c r="BL168" s="115">
        <f t="shared" si="266"/>
        <v>50587</v>
      </c>
      <c r="BM168" s="115">
        <f t="shared" si="266"/>
        <v>50679</v>
      </c>
      <c r="BN168" s="115">
        <f t="shared" si="266"/>
        <v>50771</v>
      </c>
      <c r="BO168" s="115">
        <f t="shared" si="266"/>
        <v>50861</v>
      </c>
      <c r="BP168" s="115">
        <f t="shared" ref="BP168:CN168" si="267">BP6</f>
        <v>50952</v>
      </c>
      <c r="BQ168" s="115">
        <f t="shared" si="267"/>
        <v>51044</v>
      </c>
      <c r="BR168" s="115">
        <f t="shared" si="267"/>
        <v>51136</v>
      </c>
      <c r="BS168" s="115">
        <f t="shared" si="267"/>
        <v>51227</v>
      </c>
      <c r="BT168" s="115">
        <f t="shared" si="267"/>
        <v>51318</v>
      </c>
      <c r="BU168" s="115">
        <f t="shared" si="267"/>
        <v>51410</v>
      </c>
      <c r="BV168" s="115">
        <f t="shared" si="267"/>
        <v>51502</v>
      </c>
      <c r="BW168" s="115">
        <f t="shared" si="267"/>
        <v>51592</v>
      </c>
      <c r="BX168" s="115">
        <f t="shared" si="267"/>
        <v>51683</v>
      </c>
      <c r="BY168" s="115">
        <f t="shared" si="267"/>
        <v>51775</v>
      </c>
      <c r="BZ168" s="115">
        <f t="shared" si="267"/>
        <v>51867</v>
      </c>
      <c r="CA168" s="115">
        <f t="shared" si="267"/>
        <v>51957</v>
      </c>
      <c r="CB168" s="115">
        <f t="shared" si="267"/>
        <v>52048</v>
      </c>
      <c r="CC168" s="115">
        <f t="shared" si="267"/>
        <v>52140</v>
      </c>
      <c r="CD168" s="115">
        <f t="shared" si="267"/>
        <v>52232</v>
      </c>
      <c r="CE168" s="115">
        <f t="shared" si="267"/>
        <v>52322</v>
      </c>
      <c r="CF168" s="115">
        <f t="shared" si="267"/>
        <v>52413</v>
      </c>
      <c r="CG168" s="115">
        <f t="shared" si="267"/>
        <v>52505</v>
      </c>
      <c r="CH168" s="115">
        <f t="shared" si="267"/>
        <v>52597</v>
      </c>
      <c r="CI168" s="115">
        <f t="shared" si="267"/>
        <v>52688</v>
      </c>
      <c r="CJ168" s="115">
        <f t="shared" si="267"/>
        <v>52779</v>
      </c>
      <c r="CK168" s="115">
        <f t="shared" si="267"/>
        <v>52871</v>
      </c>
      <c r="CL168" s="115">
        <f t="shared" si="267"/>
        <v>52963</v>
      </c>
      <c r="CM168" s="115">
        <f t="shared" si="267"/>
        <v>53053</v>
      </c>
      <c r="CN168" s="115">
        <f t="shared" si="267"/>
        <v>53144</v>
      </c>
      <c r="CO168" s="115"/>
    </row>
    <row r="169" spans="1:93" ht="12.75" customHeight="1">
      <c r="A169" s="112"/>
      <c r="B169" s="112" t="s">
        <v>240</v>
      </c>
      <c r="C169" s="112"/>
      <c r="D169" s="116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/>
      <c r="BJ169" s="112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  <c r="BU169" s="112"/>
      <c r="BV169" s="112"/>
      <c r="BW169" s="112"/>
      <c r="BX169" s="112"/>
      <c r="BY169" s="112"/>
      <c r="BZ169" s="112"/>
      <c r="CA169" s="112"/>
      <c r="CB169" s="112"/>
      <c r="CC169" s="112"/>
      <c r="CD169" s="112"/>
      <c r="CE169" s="112"/>
      <c r="CF169" s="112"/>
      <c r="CG169" s="112"/>
      <c r="CH169" s="112"/>
      <c r="CI169" s="112"/>
      <c r="CJ169" s="112"/>
      <c r="CK169" s="112"/>
      <c r="CL169" s="112"/>
      <c r="CM169" s="112"/>
      <c r="CN169" s="112"/>
      <c r="CO169" s="112"/>
    </row>
    <row r="170" spans="1:93" ht="12.75" customHeight="1">
      <c r="A170" s="112"/>
      <c r="B170" s="112" t="s">
        <v>241</v>
      </c>
      <c r="C170" s="112"/>
      <c r="D170" s="116">
        <f t="shared" ref="D170:CN170" si="268">SUM(D171:D174)</f>
        <v>145596.67499999999</v>
      </c>
      <c r="E170" s="112">
        <f t="shared" si="268"/>
        <v>145296.67499999999</v>
      </c>
      <c r="F170" s="112">
        <f t="shared" si="268"/>
        <v>144996.67499999999</v>
      </c>
      <c r="G170" s="112">
        <f t="shared" si="268"/>
        <v>144696.67499999999</v>
      </c>
      <c r="H170" s="112">
        <f t="shared" si="268"/>
        <v>144396.67499999999</v>
      </c>
      <c r="I170" s="112">
        <f t="shared" si="268"/>
        <v>144096.67499999999</v>
      </c>
      <c r="J170" s="112">
        <f t="shared" si="268"/>
        <v>123574.91458333332</v>
      </c>
      <c r="K170" s="112">
        <f t="shared" si="268"/>
        <v>103053.15416666665</v>
      </c>
      <c r="L170" s="112">
        <f t="shared" si="268"/>
        <v>82531.393749999988</v>
      </c>
      <c r="M170" s="112">
        <f t="shared" si="268"/>
        <v>48359.945052083334</v>
      </c>
      <c r="N170" s="112">
        <f t="shared" si="268"/>
        <v>24804.920572916679</v>
      </c>
      <c r="O170" s="112">
        <f t="shared" si="268"/>
        <v>33004.379248046898</v>
      </c>
      <c r="P170" s="112">
        <f t="shared" si="268"/>
        <v>40202.860782552118</v>
      </c>
      <c r="Q170" s="112">
        <f t="shared" si="268"/>
        <v>50343.608457682312</v>
      </c>
      <c r="R170" s="112">
        <f t="shared" si="268"/>
        <v>58129.784904296874</v>
      </c>
      <c r="S170" s="112">
        <f t="shared" si="268"/>
        <v>76282.141284505284</v>
      </c>
      <c r="T170" s="112">
        <f t="shared" si="268"/>
        <v>92685.06261666675</v>
      </c>
      <c r="U170" s="112">
        <f t="shared" si="268"/>
        <v>84547.361051172105</v>
      </c>
      <c r="V170" s="112">
        <f t="shared" si="268"/>
        <v>74577.651191913843</v>
      </c>
      <c r="W170" s="112">
        <f t="shared" si="268"/>
        <v>80748.146976585878</v>
      </c>
      <c r="X170" s="112">
        <f t="shared" si="268"/>
        <v>87774.692571454303</v>
      </c>
      <c r="Y170" s="112">
        <f t="shared" si="268"/>
        <v>108055.46236114627</v>
      </c>
      <c r="Z170" s="112">
        <f t="shared" si="268"/>
        <v>95060.67070400338</v>
      </c>
      <c r="AA170" s="112">
        <f t="shared" si="268"/>
        <v>92359.901346011073</v>
      </c>
      <c r="AB170" s="112">
        <f t="shared" si="268"/>
        <v>85042.105462940192</v>
      </c>
      <c r="AC170" s="112">
        <f t="shared" si="268"/>
        <v>42535.94344584403</v>
      </c>
      <c r="AD170" s="112">
        <f t="shared" si="268"/>
        <v>30519.459049897021</v>
      </c>
      <c r="AE170" s="112">
        <f t="shared" si="268"/>
        <v>34561.790512549233</v>
      </c>
      <c r="AF170" s="112">
        <f t="shared" si="268"/>
        <v>42026.514433748831</v>
      </c>
      <c r="AG170" s="112">
        <f t="shared" si="268"/>
        <v>63575.007807524205</v>
      </c>
      <c r="AH170" s="112">
        <f t="shared" si="268"/>
        <v>49415.909976436204</v>
      </c>
      <c r="AI170" s="112">
        <f t="shared" si="268"/>
        <v>53846.697633419732</v>
      </c>
      <c r="AJ170" s="112">
        <f t="shared" si="268"/>
        <v>61660.370185687767</v>
      </c>
      <c r="AK170" s="112">
        <f t="shared" si="268"/>
        <v>84254.877896544567</v>
      </c>
      <c r="AL170" s="112">
        <f t="shared" si="268"/>
        <v>74971.44973779979</v>
      </c>
      <c r="AM170" s="112">
        <f t="shared" si="268"/>
        <v>79619.569904420481</v>
      </c>
      <c r="AN170" s="112">
        <f t="shared" si="268"/>
        <v>87796.342524260428</v>
      </c>
      <c r="AO170" s="112">
        <f t="shared" si="268"/>
        <v>111498.36011497407</v>
      </c>
      <c r="AP170" s="112">
        <f t="shared" si="268"/>
        <v>101708.23596008396</v>
      </c>
      <c r="AQ170" s="112">
        <f t="shared" si="268"/>
        <v>106534.57393328217</v>
      </c>
      <c r="AR170" s="112">
        <f t="shared" si="268"/>
        <v>115088.3415230728</v>
      </c>
      <c r="AS170" s="112">
        <f t="shared" si="268"/>
        <v>171892.86562671195</v>
      </c>
      <c r="AT170" s="112">
        <f t="shared" si="268"/>
        <v>155454.65249999869</v>
      </c>
      <c r="AU170" s="112">
        <f t="shared" si="268"/>
        <v>158140.17661835623</v>
      </c>
      <c r="AV170" s="112">
        <f t="shared" si="268"/>
        <v>164635.30246471116</v>
      </c>
      <c r="AW170" s="112">
        <f t="shared" si="268"/>
        <v>173831.94475571328</v>
      </c>
      <c r="AX170" s="112">
        <f t="shared" si="268"/>
        <v>156556.82097266434</v>
      </c>
      <c r="AY170" s="112">
        <f t="shared" si="268"/>
        <v>159361.62129693976</v>
      </c>
      <c r="AZ170" s="112">
        <f t="shared" si="268"/>
        <v>166166.50343561242</v>
      </c>
      <c r="BA170" s="112">
        <f t="shared" si="268"/>
        <v>175793.80583655194</v>
      </c>
      <c r="BB170" s="112">
        <f t="shared" si="268"/>
        <v>157863.3071254502</v>
      </c>
      <c r="BC170" s="112">
        <f t="shared" si="268"/>
        <v>160793.34746593938</v>
      </c>
      <c r="BD170" s="112">
        <f t="shared" si="268"/>
        <v>167923.47371154564</v>
      </c>
      <c r="BE170" s="112">
        <f t="shared" si="268"/>
        <v>178032.02183737542</v>
      </c>
      <c r="BF170" s="112">
        <f t="shared" si="268"/>
        <v>158955.44786656401</v>
      </c>
      <c r="BG170" s="112">
        <f t="shared" si="268"/>
        <v>162016.99022407763</v>
      </c>
      <c r="BH170" s="112">
        <f t="shared" si="268"/>
        <v>169488.62278196422</v>
      </c>
      <c r="BI170" s="112">
        <f t="shared" si="268"/>
        <v>180087.59831408557</v>
      </c>
      <c r="BJ170" s="112">
        <f t="shared" si="268"/>
        <v>160042.19564473358</v>
      </c>
      <c r="BK170" s="112">
        <f t="shared" si="268"/>
        <v>163241.81512012289</v>
      </c>
      <c r="BL170" s="112">
        <f t="shared" si="268"/>
        <v>171072.02930590385</v>
      </c>
      <c r="BM170" s="112">
        <f t="shared" si="268"/>
        <v>182185.95361463123</v>
      </c>
      <c r="BN170" s="112">
        <f t="shared" si="268"/>
        <v>161123.28081181165</v>
      </c>
      <c r="BO170" s="112">
        <f t="shared" si="268"/>
        <v>164467.88126097043</v>
      </c>
      <c r="BP170" s="112">
        <f t="shared" si="268"/>
        <v>172674.60615604039</v>
      </c>
      <c r="BQ170" s="112">
        <f t="shared" si="268"/>
        <v>184312.00052002238</v>
      </c>
      <c r="BR170" s="112">
        <f t="shared" si="268"/>
        <v>162452.71539606125</v>
      </c>
      <c r="BS170" s="112">
        <f t="shared" si="268"/>
        <v>165949.54586767795</v>
      </c>
      <c r="BT170" s="112">
        <f t="shared" si="268"/>
        <v>174551.60700750141</v>
      </c>
      <c r="BU170" s="112">
        <f t="shared" si="268"/>
        <v>186773.95855787341</v>
      </c>
      <c r="BV170" s="112">
        <f t="shared" si="268"/>
        <v>163521.6117927648</v>
      </c>
      <c r="BW170" s="112">
        <f t="shared" si="268"/>
        <v>167178.28378796237</v>
      </c>
      <c r="BX170" s="112">
        <f t="shared" si="268"/>
        <v>176195.44798477704</v>
      </c>
      <c r="BY170" s="112">
        <f t="shared" si="268"/>
        <v>189013.91711266767</v>
      </c>
      <c r="BZ170" s="112">
        <f t="shared" si="268"/>
        <v>164583.9530093036</v>
      </c>
      <c r="CA170" s="112">
        <f t="shared" si="268"/>
        <v>168408.45860426105</v>
      </c>
      <c r="CB170" s="112">
        <f t="shared" si="268"/>
        <v>177861.48101091641</v>
      </c>
      <c r="CC170" s="112">
        <f t="shared" si="268"/>
        <v>191305.87359520153</v>
      </c>
      <c r="CD170" s="112">
        <f t="shared" si="268"/>
        <v>165639.41128666926</v>
      </c>
      <c r="CE170" s="112">
        <f t="shared" si="268"/>
        <v>169640.14216137456</v>
      </c>
      <c r="CF170" s="112">
        <f t="shared" si="268"/>
        <v>179550.81568836272</v>
      </c>
      <c r="CG170" s="112">
        <f t="shared" si="268"/>
        <v>193631.48939649767</v>
      </c>
      <c r="CH170" s="112">
        <f t="shared" si="268"/>
        <v>166996.73983279086</v>
      </c>
      <c r="CI170" s="112">
        <f t="shared" si="268"/>
        <v>171182.50725123144</v>
      </c>
      <c r="CJ170" s="112">
        <f t="shared" si="268"/>
        <v>181573.71445456901</v>
      </c>
      <c r="CK170" s="112">
        <f t="shared" si="268"/>
        <v>196365.40727874328</v>
      </c>
      <c r="CL170" s="112">
        <f t="shared" si="268"/>
        <v>168037.38258358647</v>
      </c>
      <c r="CM170" s="112">
        <f t="shared" si="268"/>
        <v>172417.43837294908</v>
      </c>
      <c r="CN170" s="112">
        <f t="shared" si="268"/>
        <v>183313.20593645354</v>
      </c>
      <c r="CO170" s="112"/>
    </row>
    <row r="171" spans="1:93" ht="12.75" customHeight="1">
      <c r="A171" s="117"/>
      <c r="B171" s="26" t="s">
        <v>242</v>
      </c>
      <c r="C171" s="117">
        <f>MAX(D171:CN171)</f>
        <v>170374.92812481482</v>
      </c>
      <c r="D171" s="118">
        <f t="shared" ref="D171:BO171" si="269">D95</f>
        <v>145596.67499999999</v>
      </c>
      <c r="E171" s="5">
        <f t="shared" si="269"/>
        <v>145296.67499999999</v>
      </c>
      <c r="F171" s="5">
        <f t="shared" si="269"/>
        <v>144996.67499999999</v>
      </c>
      <c r="G171" s="5">
        <f t="shared" si="269"/>
        <v>144696.67499999999</v>
      </c>
      <c r="H171" s="5">
        <f t="shared" si="269"/>
        <v>144396.67499999999</v>
      </c>
      <c r="I171" s="5">
        <f t="shared" si="269"/>
        <v>144096.67499999999</v>
      </c>
      <c r="J171" s="5">
        <f t="shared" si="269"/>
        <v>119530.56249999999</v>
      </c>
      <c r="K171" s="5">
        <f t="shared" si="269"/>
        <v>94964.449999999983</v>
      </c>
      <c r="L171" s="5">
        <f t="shared" si="269"/>
        <v>74442.689583333326</v>
      </c>
      <c r="M171" s="5">
        <f t="shared" si="269"/>
        <v>37541.303229166668</v>
      </c>
      <c r="N171" s="5">
        <f t="shared" si="269"/>
        <v>9133.0562500000087</v>
      </c>
      <c r="O171" s="5">
        <f t="shared" si="269"/>
        <v>15209.230081380229</v>
      </c>
      <c r="P171" s="5">
        <f t="shared" si="269"/>
        <v>22407.711615885448</v>
      </c>
      <c r="Q171" s="5">
        <f t="shared" si="269"/>
        <v>28605.216009765645</v>
      </c>
      <c r="R171" s="5">
        <f t="shared" si="269"/>
        <v>33358.128393880208</v>
      </c>
      <c r="S171" s="5">
        <f t="shared" si="269"/>
        <v>40712.064711588609</v>
      </c>
      <c r="T171" s="5">
        <f t="shared" si="269"/>
        <v>44496.607543750084</v>
      </c>
      <c r="U171" s="5">
        <f t="shared" si="269"/>
        <v>57227.762728255431</v>
      </c>
      <c r="V171" s="5">
        <f t="shared" si="269"/>
        <v>70820.352510909157</v>
      </c>
      <c r="W171" s="5">
        <f t="shared" si="269"/>
        <v>76709.816211348996</v>
      </c>
      <c r="X171" s="5">
        <f t="shared" si="269"/>
        <v>81204.628685910007</v>
      </c>
      <c r="Y171" s="5">
        <f t="shared" si="269"/>
        <v>96316.154867930542</v>
      </c>
      <c r="Z171" s="5">
        <f t="shared" si="269"/>
        <v>91940.82411443138</v>
      </c>
      <c r="AA171" s="5">
        <f t="shared" si="269"/>
        <v>88004.609469481802</v>
      </c>
      <c r="AB171" s="5">
        <f t="shared" si="269"/>
        <v>77887.644113787799</v>
      </c>
      <c r="AC171" s="5">
        <f t="shared" si="269"/>
        <v>30000</v>
      </c>
      <c r="AD171" s="5">
        <f t="shared" si="269"/>
        <v>27250.297277809907</v>
      </c>
      <c r="AE171" s="5">
        <f t="shared" si="269"/>
        <v>30000</v>
      </c>
      <c r="AF171" s="5">
        <f t="shared" si="269"/>
        <v>34531.728211042107</v>
      </c>
      <c r="AG171" s="5">
        <f t="shared" si="269"/>
        <v>50448.049703876852</v>
      </c>
      <c r="AH171" s="5">
        <f t="shared" si="269"/>
        <v>45983.290115744734</v>
      </c>
      <c r="AI171" s="5">
        <f t="shared" si="269"/>
        <v>49056.817595243032</v>
      </c>
      <c r="AJ171" s="5">
        <f t="shared" si="269"/>
        <v>53790.844651845706</v>
      </c>
      <c r="AK171" s="5">
        <f t="shared" si="269"/>
        <v>70476.583222021611</v>
      </c>
      <c r="AL171" s="5">
        <f t="shared" si="269"/>
        <v>71394.015373589282</v>
      </c>
      <c r="AM171" s="5">
        <f t="shared" si="269"/>
        <v>74590.195864334964</v>
      </c>
      <c r="AN171" s="5">
        <f t="shared" si="269"/>
        <v>79533.340713726269</v>
      </c>
      <c r="AO171" s="5">
        <f t="shared" si="269"/>
        <v>97025.888805702867</v>
      </c>
      <c r="AP171" s="5">
        <f t="shared" si="269"/>
        <v>97923.772563671606</v>
      </c>
      <c r="AQ171" s="5">
        <f t="shared" si="269"/>
        <v>101253.73119119238</v>
      </c>
      <c r="AR171" s="5">
        <f t="shared" si="269"/>
        <v>106412.18962201192</v>
      </c>
      <c r="AS171" s="5">
        <f t="shared" si="269"/>
        <v>156696.77075197719</v>
      </c>
      <c r="AT171" s="5">
        <f t="shared" si="269"/>
        <v>151480.96593376575</v>
      </c>
      <c r="AU171" s="5">
        <f t="shared" si="269"/>
        <v>152595.29173916194</v>
      </c>
      <c r="AV171" s="5">
        <f t="shared" si="269"/>
        <v>155525.34296859725</v>
      </c>
      <c r="AW171" s="5">
        <f t="shared" si="269"/>
        <v>157876.04513724177</v>
      </c>
      <c r="AX171" s="5">
        <f t="shared" si="269"/>
        <v>152384.45007811976</v>
      </c>
      <c r="AY171" s="5">
        <f t="shared" si="269"/>
        <v>153539.49217378575</v>
      </c>
      <c r="AZ171" s="5">
        <f t="shared" si="269"/>
        <v>156601.04596469281</v>
      </c>
      <c r="BA171" s="5">
        <f t="shared" si="269"/>
        <v>159046.20254532757</v>
      </c>
      <c r="BB171" s="5">
        <f t="shared" si="269"/>
        <v>153514.91329678753</v>
      </c>
      <c r="BC171" s="5">
        <f t="shared" si="269"/>
        <v>154680.11188662765</v>
      </c>
      <c r="BD171" s="5">
        <f t="shared" si="269"/>
        <v>157879.74336708005</v>
      </c>
      <c r="BE171" s="5">
        <f t="shared" si="269"/>
        <v>160440.64250801061</v>
      </c>
      <c r="BF171" s="5">
        <f t="shared" si="269"/>
        <v>154355.40895532857</v>
      </c>
      <c r="BG171" s="5">
        <f t="shared" si="269"/>
        <v>155598.09286580034</v>
      </c>
      <c r="BH171" s="5">
        <f t="shared" si="269"/>
        <v>158942.70592027536</v>
      </c>
      <c r="BI171" s="5">
        <f t="shared" si="269"/>
        <v>161616.65001825249</v>
      </c>
      <c r="BJ171" s="5">
        <f t="shared" si="269"/>
        <v>155212.15478793636</v>
      </c>
      <c r="BK171" s="5">
        <f t="shared" si="269"/>
        <v>156501.97289393173</v>
      </c>
      <c r="BL171" s="5">
        <f t="shared" si="269"/>
        <v>159998.81660113053</v>
      </c>
      <c r="BM171" s="5">
        <f t="shared" si="269"/>
        <v>162791.4579040065</v>
      </c>
      <c r="BN171" s="5">
        <f t="shared" si="269"/>
        <v>156051.73791217458</v>
      </c>
      <c r="BO171" s="5">
        <f t="shared" si="269"/>
        <v>157391.04692346969</v>
      </c>
      <c r="BP171" s="5">
        <f t="shared" ref="BP171:CN171" si="270">BP95</f>
        <v>161047.73281602841</v>
      </c>
      <c r="BQ171" s="5">
        <f t="shared" si="270"/>
        <v>163955.18404701859</v>
      </c>
      <c r="BR171" s="5">
        <f t="shared" si="270"/>
        <v>157167.21551986036</v>
      </c>
      <c r="BS171" s="5">
        <f t="shared" si="270"/>
        <v>158518.86981330218</v>
      </c>
      <c r="BT171" s="5">
        <f t="shared" si="270"/>
        <v>162343.39000048884</v>
      </c>
      <c r="BU171" s="5">
        <f t="shared" si="270"/>
        <v>165391.52703690965</v>
      </c>
      <c r="BV171" s="5">
        <f t="shared" si="270"/>
        <v>157930.23574591495</v>
      </c>
      <c r="BW171" s="5">
        <f t="shared" si="270"/>
        <v>159376.07393086783</v>
      </c>
      <c r="BX171" s="5">
        <f t="shared" si="270"/>
        <v>163376.82012741384</v>
      </c>
      <c r="BY171" s="5">
        <f t="shared" si="270"/>
        <v>166562.36401565571</v>
      </c>
      <c r="BZ171" s="5">
        <f t="shared" si="270"/>
        <v>158713.00816011126</v>
      </c>
      <c r="CA171" s="5">
        <f t="shared" si="270"/>
        <v>160216.13825431178</v>
      </c>
      <c r="CB171" s="5">
        <f t="shared" si="270"/>
        <v>164401.92176068507</v>
      </c>
      <c r="CC171" s="5">
        <f t="shared" si="270"/>
        <v>167731.74284333896</v>
      </c>
      <c r="CD171" s="5">
        <f t="shared" si="270"/>
        <v>159474.91919501728</v>
      </c>
      <c r="CE171" s="5">
        <f t="shared" si="270"/>
        <v>161038.20579392783</v>
      </c>
      <c r="CF171" s="5">
        <f t="shared" si="270"/>
        <v>165418.27847561979</v>
      </c>
      <c r="CG171" s="5">
        <f t="shared" si="270"/>
        <v>168887.65174345858</v>
      </c>
      <c r="CH171" s="5">
        <f t="shared" si="270"/>
        <v>160572.18169889448</v>
      </c>
      <c r="CI171" s="5">
        <f t="shared" si="270"/>
        <v>162150.47406541236</v>
      </c>
      <c r="CJ171" s="5">
        <f t="shared" si="270"/>
        <v>166734.55038118892</v>
      </c>
      <c r="CK171" s="5">
        <f t="shared" si="270"/>
        <v>170374.92812481482</v>
      </c>
      <c r="CL171" s="5">
        <f t="shared" si="270"/>
        <v>161241.03005254018</v>
      </c>
      <c r="CM171" s="5">
        <f t="shared" si="270"/>
        <v>162933.80352783907</v>
      </c>
      <c r="CN171" s="5">
        <f t="shared" si="270"/>
        <v>167732.08365940448</v>
      </c>
      <c r="CO171" s="5"/>
    </row>
    <row r="172" spans="1:93" ht="12.75" customHeight="1">
      <c r="A172" s="117"/>
      <c r="B172" s="26" t="s">
        <v>243</v>
      </c>
      <c r="C172" s="117"/>
      <c r="D172" s="118">
        <f t="shared" ref="D172:R172" si="271">-D75</f>
        <v>0</v>
      </c>
      <c r="E172" s="5">
        <f t="shared" si="271"/>
        <v>0</v>
      </c>
      <c r="F172" s="5">
        <f t="shared" si="271"/>
        <v>0</v>
      </c>
      <c r="G172" s="5">
        <f t="shared" si="271"/>
        <v>0</v>
      </c>
      <c r="H172" s="5">
        <f t="shared" si="271"/>
        <v>0</v>
      </c>
      <c r="I172" s="5">
        <f t="shared" si="271"/>
        <v>0</v>
      </c>
      <c r="J172" s="5">
        <f t="shared" si="271"/>
        <v>0</v>
      </c>
      <c r="K172" s="5">
        <f t="shared" si="271"/>
        <v>0</v>
      </c>
      <c r="L172" s="5">
        <f t="shared" si="271"/>
        <v>0</v>
      </c>
      <c r="M172" s="5">
        <f t="shared" si="271"/>
        <v>0</v>
      </c>
      <c r="N172" s="5">
        <f t="shared" si="271"/>
        <v>0</v>
      </c>
      <c r="O172" s="5">
        <f t="shared" si="271"/>
        <v>0</v>
      </c>
      <c r="P172" s="5">
        <f t="shared" si="271"/>
        <v>0</v>
      </c>
      <c r="Q172" s="5">
        <f t="shared" si="271"/>
        <v>0</v>
      </c>
      <c r="R172" s="5">
        <f t="shared" si="271"/>
        <v>0</v>
      </c>
      <c r="S172" s="5">
        <f t="shared" ref="S172:AX172" si="272">-S75+R172</f>
        <v>0</v>
      </c>
      <c r="T172" s="5">
        <f t="shared" si="272"/>
        <v>0</v>
      </c>
      <c r="U172" s="5">
        <f t="shared" si="272"/>
        <v>0</v>
      </c>
      <c r="V172" s="5">
        <f t="shared" si="272"/>
        <v>448.14227912031259</v>
      </c>
      <c r="W172" s="5">
        <f t="shared" si="272"/>
        <v>591.12888412921882</v>
      </c>
      <c r="X172" s="5">
        <f t="shared" si="272"/>
        <v>1749.9450315265626</v>
      </c>
      <c r="Y172" s="5">
        <f t="shared" si="272"/>
        <v>359.75283669837495</v>
      </c>
      <c r="Z172" s="5">
        <f t="shared" si="272"/>
        <v>504.83073364937485</v>
      </c>
      <c r="AA172" s="5">
        <f t="shared" si="272"/>
        <v>664.32840607962498</v>
      </c>
      <c r="AB172" s="5">
        <f t="shared" si="272"/>
        <v>1972.007852930182</v>
      </c>
      <c r="AC172" s="5">
        <f t="shared" si="272"/>
        <v>377.4122116486094</v>
      </c>
      <c r="AD172" s="5">
        <f t="shared" si="272"/>
        <v>529.49807574781244</v>
      </c>
      <c r="AE172" s="5">
        <f t="shared" si="272"/>
        <v>696.72520197430947</v>
      </c>
      <c r="AF172" s="5">
        <f t="shared" si="272"/>
        <v>2068.5209253429216</v>
      </c>
      <c r="AG172" s="5">
        <f t="shared" si="272"/>
        <v>396.28282223103997</v>
      </c>
      <c r="AH172" s="5">
        <f t="shared" si="272"/>
        <v>555.97297953520319</v>
      </c>
      <c r="AI172" s="5">
        <f t="shared" si="272"/>
        <v>731.56146207302493</v>
      </c>
      <c r="AJ172" s="5">
        <f t="shared" si="272"/>
        <v>2171.9469716100684</v>
      </c>
      <c r="AK172" s="5">
        <f t="shared" si="272"/>
        <v>416.09696334259183</v>
      </c>
      <c r="AL172" s="5">
        <f t="shared" si="272"/>
        <v>583.77162851196317</v>
      </c>
      <c r="AM172" s="5">
        <f t="shared" si="272"/>
        <v>768.13953517667608</v>
      </c>
      <c r="AN172" s="5">
        <f t="shared" si="272"/>
        <v>2280.5443201905714</v>
      </c>
      <c r="AO172" s="5">
        <f t="shared" si="272"/>
        <v>436.90181150972148</v>
      </c>
      <c r="AP172" s="5">
        <f t="shared" si="272"/>
        <v>612.96020993756156</v>
      </c>
      <c r="AQ172" s="5">
        <f t="shared" si="272"/>
        <v>806.54651193551001</v>
      </c>
      <c r="AR172" s="5">
        <f t="shared" si="272"/>
        <v>2394.5715362001006</v>
      </c>
      <c r="AS172" s="5">
        <f t="shared" si="272"/>
        <v>458.74690208520769</v>
      </c>
      <c r="AT172" s="5">
        <f t="shared" si="272"/>
        <v>643.60822043443954</v>
      </c>
      <c r="AU172" s="5">
        <f t="shared" si="272"/>
        <v>846.87383753228562</v>
      </c>
      <c r="AV172" s="5">
        <f t="shared" si="272"/>
        <v>2514.3001130101056</v>
      </c>
      <c r="AW172" s="5">
        <f t="shared" si="272"/>
        <v>481.6842471894679</v>
      </c>
      <c r="AX172" s="5">
        <f t="shared" si="272"/>
        <v>675.78863145616151</v>
      </c>
      <c r="AY172" s="5">
        <f t="shared" ref="AY172:CD172" si="273">-AY75+AX172</f>
        <v>889.21752940889985</v>
      </c>
      <c r="AZ172" s="5">
        <f t="shared" si="273"/>
        <v>2640.0151186606108</v>
      </c>
      <c r="BA172" s="5">
        <f t="shared" si="273"/>
        <v>505.76845954894134</v>
      </c>
      <c r="BB172" s="5">
        <f t="shared" si="273"/>
        <v>709.5780630289695</v>
      </c>
      <c r="BC172" s="5">
        <f t="shared" si="273"/>
        <v>933.67840587934472</v>
      </c>
      <c r="BD172" s="5">
        <f t="shared" si="273"/>
        <v>2772.0158745936415</v>
      </c>
      <c r="BE172" s="5">
        <f t="shared" si="273"/>
        <v>531.05688252638856</v>
      </c>
      <c r="BF172" s="5">
        <f t="shared" si="273"/>
        <v>745.05696618041827</v>
      </c>
      <c r="BG172" s="5">
        <f t="shared" si="273"/>
        <v>980.36232617331223</v>
      </c>
      <c r="BH172" s="5">
        <f t="shared" si="273"/>
        <v>2910.6166683233241</v>
      </c>
      <c r="BI172" s="5">
        <f t="shared" si="273"/>
        <v>557.60972665270765</v>
      </c>
      <c r="BJ172" s="5">
        <f t="shared" si="273"/>
        <v>782.30981448943874</v>
      </c>
      <c r="BK172" s="5">
        <f t="shared" si="273"/>
        <v>1029.3804424819775</v>
      </c>
      <c r="BL172" s="5">
        <f t="shared" si="273"/>
        <v>3056.1475017394896</v>
      </c>
      <c r="BM172" s="5">
        <f t="shared" si="273"/>
        <v>585.49021298534353</v>
      </c>
      <c r="BN172" s="5">
        <f t="shared" si="273"/>
        <v>821.4253052139112</v>
      </c>
      <c r="BO172" s="5">
        <f t="shared" si="273"/>
        <v>1080.8494646060772</v>
      </c>
      <c r="BP172" s="5">
        <f t="shared" si="273"/>
        <v>3208.9548768264649</v>
      </c>
      <c r="BQ172" s="5">
        <f t="shared" si="273"/>
        <v>614.76472363461062</v>
      </c>
      <c r="BR172" s="5">
        <f t="shared" si="273"/>
        <v>862.49657047460664</v>
      </c>
      <c r="BS172" s="5">
        <f t="shared" si="273"/>
        <v>1134.8919378363805</v>
      </c>
      <c r="BT172" s="5">
        <f t="shared" si="273"/>
        <v>3369.4026206677881</v>
      </c>
      <c r="BU172" s="5">
        <f t="shared" si="273"/>
        <v>645.50295981634144</v>
      </c>
      <c r="BV172" s="5">
        <f t="shared" si="273"/>
        <v>905.62139899833733</v>
      </c>
      <c r="BW172" s="5">
        <f t="shared" si="273"/>
        <v>1191.6365347281999</v>
      </c>
      <c r="BX172" s="5">
        <f t="shared" si="273"/>
        <v>3537.8727517011785</v>
      </c>
      <c r="BY172" s="5">
        <f t="shared" si="273"/>
        <v>677.77810780715845</v>
      </c>
      <c r="BZ172" s="5">
        <f t="shared" si="273"/>
        <v>950.90246894825418</v>
      </c>
      <c r="CA172" s="5">
        <f t="shared" si="273"/>
        <v>1251.2183614646099</v>
      </c>
      <c r="CB172" s="5">
        <f t="shared" si="273"/>
        <v>3714.7663892862374</v>
      </c>
      <c r="CC172" s="5">
        <f t="shared" si="273"/>
        <v>711.6670131975161</v>
      </c>
      <c r="CD172" s="5">
        <f t="shared" si="273"/>
        <v>998.44759239566667</v>
      </c>
      <c r="CE172" s="5">
        <f t="shared" ref="CE172:CN172" si="274">-CE75+CD172</f>
        <v>1313.77927953784</v>
      </c>
      <c r="CF172" s="5">
        <f t="shared" si="274"/>
        <v>3900.5047087505491</v>
      </c>
      <c r="CG172" s="5">
        <f t="shared" si="274"/>
        <v>747.25036385739168</v>
      </c>
      <c r="CH172" s="5">
        <f t="shared" si="274"/>
        <v>1048.3699720154498</v>
      </c>
      <c r="CI172" s="5">
        <f t="shared" si="274"/>
        <v>1379.468243514732</v>
      </c>
      <c r="CJ172" s="5">
        <f t="shared" si="274"/>
        <v>4095.5299441880757</v>
      </c>
      <c r="CK172" s="5">
        <f t="shared" si="274"/>
        <v>784.61288205026131</v>
      </c>
      <c r="CL172" s="5">
        <f t="shared" si="274"/>
        <v>1100.7884706162222</v>
      </c>
      <c r="CM172" s="5">
        <f t="shared" si="274"/>
        <v>1448.4416556904685</v>
      </c>
      <c r="CN172" s="5">
        <f t="shared" si="274"/>
        <v>4300.3064413974789</v>
      </c>
      <c r="CO172" s="5"/>
    </row>
    <row r="173" spans="1:93" ht="12.75" customHeight="1">
      <c r="A173" s="117"/>
      <c r="B173" s="26" t="s">
        <v>244</v>
      </c>
      <c r="C173" s="117"/>
      <c r="D173" s="118">
        <f>-D72-D74</f>
        <v>0</v>
      </c>
      <c r="E173" s="5">
        <f>-E72-E74</f>
        <v>0</v>
      </c>
      <c r="F173" s="5">
        <f t="shared" ref="F173:AK173" si="275">-F72-F74+E173</f>
        <v>0</v>
      </c>
      <c r="G173" s="5">
        <f t="shared" si="275"/>
        <v>0</v>
      </c>
      <c r="H173" s="5">
        <f t="shared" si="275"/>
        <v>0</v>
      </c>
      <c r="I173" s="5">
        <f t="shared" si="275"/>
        <v>0</v>
      </c>
      <c r="J173" s="5">
        <f t="shared" si="275"/>
        <v>0</v>
      </c>
      <c r="K173" s="5">
        <f t="shared" si="275"/>
        <v>0</v>
      </c>
      <c r="L173" s="5">
        <f t="shared" si="275"/>
        <v>0</v>
      </c>
      <c r="M173" s="5">
        <f t="shared" si="275"/>
        <v>0</v>
      </c>
      <c r="N173" s="5">
        <f t="shared" si="275"/>
        <v>0</v>
      </c>
      <c r="O173" s="5">
        <f t="shared" si="275"/>
        <v>0</v>
      </c>
      <c r="P173" s="5">
        <f t="shared" si="275"/>
        <v>0</v>
      </c>
      <c r="Q173" s="5">
        <f t="shared" si="275"/>
        <v>0</v>
      </c>
      <c r="R173" s="5">
        <f t="shared" si="275"/>
        <v>0</v>
      </c>
      <c r="S173" s="5">
        <f t="shared" si="275"/>
        <v>0</v>
      </c>
      <c r="T173" s="5">
        <f t="shared" si="275"/>
        <v>0</v>
      </c>
      <c r="U173" s="5">
        <f t="shared" si="275"/>
        <v>0</v>
      </c>
      <c r="V173" s="5">
        <f t="shared" si="275"/>
        <v>464.08484494765764</v>
      </c>
      <c r="W173" s="5">
        <f t="shared" si="275"/>
        <v>3447.2018811076641</v>
      </c>
      <c r="X173" s="5">
        <f t="shared" si="275"/>
        <v>4820.1188540177354</v>
      </c>
      <c r="Y173" s="5">
        <f t="shared" si="275"/>
        <v>11379.554656517355</v>
      </c>
      <c r="Z173" s="5">
        <f t="shared" si="275"/>
        <v>2615.0158559226202</v>
      </c>
      <c r="AA173" s="5">
        <f t="shared" si="275"/>
        <v>3690.9634704496393</v>
      </c>
      <c r="AB173" s="5">
        <f t="shared" si="275"/>
        <v>5182.453496222206</v>
      </c>
      <c r="AC173" s="5">
        <f t="shared" si="275"/>
        <v>12158.53123419542</v>
      </c>
      <c r="AD173" s="5">
        <f t="shared" si="275"/>
        <v>2739.663696339303</v>
      </c>
      <c r="AE173" s="5">
        <f t="shared" si="275"/>
        <v>3865.0653105749238</v>
      </c>
      <c r="AF173" s="5">
        <f t="shared" si="275"/>
        <v>5426.2652973638005</v>
      </c>
      <c r="AG173" s="5">
        <f t="shared" si="275"/>
        <v>12730.675281416316</v>
      </c>
      <c r="AH173" s="5">
        <f t="shared" si="275"/>
        <v>2876.64688115627</v>
      </c>
      <c r="AI173" s="5">
        <f t="shared" si="275"/>
        <v>4058.3185761036711</v>
      </c>
      <c r="AJ173" s="5">
        <f t="shared" si="275"/>
        <v>5697.5785622319909</v>
      </c>
      <c r="AK173" s="5">
        <f t="shared" si="275"/>
        <v>13362.197711180368</v>
      </c>
      <c r="AL173" s="5">
        <f t="shared" ref="AL173:BQ173" si="276">-AL72-AL74+AK173</f>
        <v>2993.6627356985464</v>
      </c>
      <c r="AM173" s="5">
        <f t="shared" si="276"/>
        <v>4261.2345049088535</v>
      </c>
      <c r="AN173" s="5">
        <f t="shared" si="276"/>
        <v>5982.4574903435887</v>
      </c>
      <c r="AO173" s="5">
        <f t="shared" si="276"/>
        <v>14035.56949776148</v>
      </c>
      <c r="AP173" s="5">
        <f t="shared" si="276"/>
        <v>3171.5031864747834</v>
      </c>
      <c r="AQ173" s="5">
        <f t="shared" si="276"/>
        <v>4474.2962301542939</v>
      </c>
      <c r="AR173" s="5">
        <f t="shared" si="276"/>
        <v>6281.5803648607662</v>
      </c>
      <c r="AS173" s="5">
        <f t="shared" si="276"/>
        <v>14737.347972649557</v>
      </c>
      <c r="AT173" s="5">
        <f t="shared" si="276"/>
        <v>3330.0783457985217</v>
      </c>
      <c r="AU173" s="5">
        <f t="shared" si="276"/>
        <v>4698.0110416620073</v>
      </c>
      <c r="AV173" s="5">
        <f t="shared" si="276"/>
        <v>6595.6593831038044</v>
      </c>
      <c r="AW173" s="5">
        <f t="shared" si="276"/>
        <v>15474.215371282033</v>
      </c>
      <c r="AX173" s="5">
        <f t="shared" si="276"/>
        <v>3496.5822630884486</v>
      </c>
      <c r="AY173" s="5">
        <f t="shared" si="276"/>
        <v>4932.9115937451088</v>
      </c>
      <c r="AZ173" s="5">
        <f t="shared" si="276"/>
        <v>6925.442352258995</v>
      </c>
      <c r="BA173" s="5">
        <f t="shared" si="276"/>
        <v>16241.834831675429</v>
      </c>
      <c r="BB173" s="5">
        <f t="shared" si="276"/>
        <v>3638.8157656336789</v>
      </c>
      <c r="BC173" s="5">
        <f t="shared" si="276"/>
        <v>5179.557173432363</v>
      </c>
      <c r="BD173" s="5">
        <f t="shared" si="276"/>
        <v>7271.714469871943</v>
      </c>
      <c r="BE173" s="5">
        <f t="shared" si="276"/>
        <v>17060.32244683844</v>
      </c>
      <c r="BF173" s="5">
        <f t="shared" si="276"/>
        <v>3854.9819450550131</v>
      </c>
      <c r="BG173" s="5">
        <f t="shared" si="276"/>
        <v>5438.5350321039805</v>
      </c>
      <c r="BH173" s="5">
        <f t="shared" si="276"/>
        <v>7635.3001933655387</v>
      </c>
      <c r="BI173" s="5">
        <f t="shared" si="276"/>
        <v>17913.338569180367</v>
      </c>
      <c r="BJ173" s="5">
        <f t="shared" si="276"/>
        <v>4047.7310423077633</v>
      </c>
      <c r="BK173" s="5">
        <f t="shared" si="276"/>
        <v>5710.4617837091791</v>
      </c>
      <c r="BL173" s="5">
        <f t="shared" si="276"/>
        <v>8017.0652030338169</v>
      </c>
      <c r="BM173" s="5">
        <f t="shared" si="276"/>
        <v>18809.00549763938</v>
      </c>
      <c r="BN173" s="5">
        <f t="shared" si="276"/>
        <v>4250.1175944231509</v>
      </c>
      <c r="BO173" s="5">
        <f t="shared" si="276"/>
        <v>5995.984872894639</v>
      </c>
      <c r="BP173" s="5">
        <f t="shared" si="276"/>
        <v>8417.9184631855078</v>
      </c>
      <c r="BQ173" s="5">
        <f t="shared" si="276"/>
        <v>19742.05174936918</v>
      </c>
      <c r="BR173" s="5">
        <f t="shared" ref="BR173:CN173" si="277">-BR72-BR74+BQ173</f>
        <v>4423.0033057262699</v>
      </c>
      <c r="BS173" s="5">
        <f t="shared" si="277"/>
        <v>6295.7841165393711</v>
      </c>
      <c r="BT173" s="5">
        <f t="shared" si="277"/>
        <v>8838.8143863447822</v>
      </c>
      <c r="BU173" s="5">
        <f t="shared" si="277"/>
        <v>20736.928561147419</v>
      </c>
      <c r="BV173" s="5">
        <f t="shared" si="277"/>
        <v>4685.7546478515214</v>
      </c>
      <c r="BW173" s="5">
        <f t="shared" si="277"/>
        <v>6610.5733223663374</v>
      </c>
      <c r="BX173" s="5">
        <f t="shared" si="277"/>
        <v>9280.7551056620196</v>
      </c>
      <c r="BY173" s="5">
        <f t="shared" si="277"/>
        <v>21773.774989204794</v>
      </c>
      <c r="BZ173" s="5">
        <f t="shared" si="277"/>
        <v>4920.0423802440964</v>
      </c>
      <c r="CA173" s="5">
        <f t="shared" si="277"/>
        <v>6941.1019884846519</v>
      </c>
      <c r="CB173" s="5">
        <f t="shared" si="277"/>
        <v>9744.7928609451192</v>
      </c>
      <c r="CC173" s="5">
        <f t="shared" si="277"/>
        <v>22862.463738665028</v>
      </c>
      <c r="CD173" s="5">
        <f t="shared" si="277"/>
        <v>5166.0444992563025</v>
      </c>
      <c r="CE173" s="5">
        <f t="shared" si="277"/>
        <v>7288.1570879088858</v>
      </c>
      <c r="CF173" s="5">
        <f t="shared" si="277"/>
        <v>10232.032503992379</v>
      </c>
      <c r="CG173" s="5">
        <f t="shared" si="277"/>
        <v>23996.587289181673</v>
      </c>
      <c r="CH173" s="5">
        <f t="shared" si="277"/>
        <v>5376.1881618809421</v>
      </c>
      <c r="CI173" s="5">
        <f t="shared" si="277"/>
        <v>7652.5649423043324</v>
      </c>
      <c r="CJ173" s="5">
        <f t="shared" si="277"/>
        <v>10743.634129191998</v>
      </c>
      <c r="CK173" s="5">
        <f t="shared" si="277"/>
        <v>25205.866271878203</v>
      </c>
      <c r="CL173" s="5">
        <f t="shared" si="277"/>
        <v>5695.5640604300752</v>
      </c>
      <c r="CM173" s="5">
        <f t="shared" si="277"/>
        <v>8035.1931894195504</v>
      </c>
      <c r="CN173" s="5">
        <f t="shared" si="277"/>
        <v>11280.8158356516</v>
      </c>
      <c r="CO173" s="5"/>
    </row>
    <row r="174" spans="1:93" ht="12.75" customHeight="1">
      <c r="A174" s="117"/>
      <c r="B174" s="26" t="s">
        <v>245</v>
      </c>
      <c r="C174" s="117"/>
      <c r="D174" s="118">
        <f t="shared" ref="D174:BO174" si="278">-D158+D152</f>
        <v>0</v>
      </c>
      <c r="E174" s="5">
        <f t="shared" si="278"/>
        <v>0</v>
      </c>
      <c r="F174" s="5">
        <f t="shared" si="278"/>
        <v>0</v>
      </c>
      <c r="G174" s="5">
        <f t="shared" si="278"/>
        <v>0</v>
      </c>
      <c r="H174" s="5">
        <f t="shared" si="278"/>
        <v>0</v>
      </c>
      <c r="I174" s="5">
        <f t="shared" si="278"/>
        <v>0</v>
      </c>
      <c r="J174" s="5">
        <f t="shared" si="278"/>
        <v>4044.3520833333337</v>
      </c>
      <c r="K174" s="5">
        <f t="shared" si="278"/>
        <v>8088.7041666666673</v>
      </c>
      <c r="L174" s="5">
        <f t="shared" si="278"/>
        <v>8088.7041666666682</v>
      </c>
      <c r="M174" s="5">
        <f t="shared" si="278"/>
        <v>10818.641822916668</v>
      </c>
      <c r="N174" s="5">
        <f t="shared" si="278"/>
        <v>15671.864322916668</v>
      </c>
      <c r="O174" s="5">
        <f t="shared" si="278"/>
        <v>17795.14916666667</v>
      </c>
      <c r="P174" s="5">
        <f t="shared" si="278"/>
        <v>17795.14916666667</v>
      </c>
      <c r="Q174" s="5">
        <f t="shared" si="278"/>
        <v>21738.392447916667</v>
      </c>
      <c r="R174" s="5">
        <f t="shared" si="278"/>
        <v>24771.656510416666</v>
      </c>
      <c r="S174" s="5">
        <f t="shared" si="278"/>
        <v>35570.076572916667</v>
      </c>
      <c r="T174" s="5">
        <f t="shared" si="278"/>
        <v>48188.455072916666</v>
      </c>
      <c r="U174" s="5">
        <f t="shared" si="278"/>
        <v>27319.598322916667</v>
      </c>
      <c r="V174" s="5">
        <f t="shared" si="278"/>
        <v>2845.0715569367198</v>
      </c>
      <c r="W174" s="5">
        <f t="shared" si="278"/>
        <v>0</v>
      </c>
      <c r="X174" s="5">
        <f t="shared" si="278"/>
        <v>0</v>
      </c>
      <c r="Y174" s="5">
        <f t="shared" si="278"/>
        <v>0</v>
      </c>
      <c r="Z174" s="5">
        <f t="shared" si="278"/>
        <v>0</v>
      </c>
      <c r="AA174" s="5">
        <f t="shared" si="278"/>
        <v>0</v>
      </c>
      <c r="AB174" s="5">
        <f t="shared" si="278"/>
        <v>0</v>
      </c>
      <c r="AC174" s="5">
        <f t="shared" si="278"/>
        <v>0</v>
      </c>
      <c r="AD174" s="5">
        <f t="shared" si="278"/>
        <v>0</v>
      </c>
      <c r="AE174" s="5">
        <f t="shared" si="278"/>
        <v>0</v>
      </c>
      <c r="AF174" s="5">
        <f t="shared" si="278"/>
        <v>0</v>
      </c>
      <c r="AG174" s="5">
        <f t="shared" si="278"/>
        <v>0</v>
      </c>
      <c r="AH174" s="5">
        <f t="shared" si="278"/>
        <v>0</v>
      </c>
      <c r="AI174" s="5">
        <f t="shared" si="278"/>
        <v>0</v>
      </c>
      <c r="AJ174" s="5">
        <f t="shared" si="278"/>
        <v>0</v>
      </c>
      <c r="AK174" s="5">
        <f t="shared" si="278"/>
        <v>0</v>
      </c>
      <c r="AL174" s="5">
        <f t="shared" si="278"/>
        <v>0</v>
      </c>
      <c r="AM174" s="5">
        <f t="shared" si="278"/>
        <v>0</v>
      </c>
      <c r="AN174" s="5">
        <f t="shared" si="278"/>
        <v>0</v>
      </c>
      <c r="AO174" s="5">
        <f t="shared" si="278"/>
        <v>0</v>
      </c>
      <c r="AP174" s="5">
        <f t="shared" si="278"/>
        <v>0</v>
      </c>
      <c r="AQ174" s="5">
        <f t="shared" si="278"/>
        <v>0</v>
      </c>
      <c r="AR174" s="5">
        <f t="shared" si="278"/>
        <v>0</v>
      </c>
      <c r="AS174" s="5">
        <f t="shared" si="278"/>
        <v>0</v>
      </c>
      <c r="AT174" s="5">
        <f t="shared" si="278"/>
        <v>0</v>
      </c>
      <c r="AU174" s="5">
        <f t="shared" si="278"/>
        <v>0</v>
      </c>
      <c r="AV174" s="5">
        <f t="shared" si="278"/>
        <v>0</v>
      </c>
      <c r="AW174" s="5">
        <f t="shared" si="278"/>
        <v>0</v>
      </c>
      <c r="AX174" s="5">
        <f t="shared" si="278"/>
        <v>0</v>
      </c>
      <c r="AY174" s="5">
        <f t="shared" si="278"/>
        <v>0</v>
      </c>
      <c r="AZ174" s="5">
        <f t="shared" si="278"/>
        <v>0</v>
      </c>
      <c r="BA174" s="5">
        <f t="shared" si="278"/>
        <v>0</v>
      </c>
      <c r="BB174" s="5">
        <f t="shared" si="278"/>
        <v>0</v>
      </c>
      <c r="BC174" s="5">
        <f t="shared" si="278"/>
        <v>0</v>
      </c>
      <c r="BD174" s="5">
        <f t="shared" si="278"/>
        <v>0</v>
      </c>
      <c r="BE174" s="5">
        <f t="shared" si="278"/>
        <v>0</v>
      </c>
      <c r="BF174" s="5">
        <f t="shared" si="278"/>
        <v>0</v>
      </c>
      <c r="BG174" s="5">
        <f t="shared" si="278"/>
        <v>0</v>
      </c>
      <c r="BH174" s="5">
        <f t="shared" si="278"/>
        <v>0</v>
      </c>
      <c r="BI174" s="5">
        <f t="shared" si="278"/>
        <v>0</v>
      </c>
      <c r="BJ174" s="5">
        <f t="shared" si="278"/>
        <v>0</v>
      </c>
      <c r="BK174" s="5">
        <f t="shared" si="278"/>
        <v>0</v>
      </c>
      <c r="BL174" s="5">
        <f t="shared" si="278"/>
        <v>0</v>
      </c>
      <c r="BM174" s="5">
        <f t="shared" si="278"/>
        <v>0</v>
      </c>
      <c r="BN174" s="5">
        <f t="shared" si="278"/>
        <v>0</v>
      </c>
      <c r="BO174" s="5">
        <f t="shared" si="278"/>
        <v>0</v>
      </c>
      <c r="BP174" s="5">
        <f t="shared" ref="BP174:CN174" si="279">-BP158+BP152</f>
        <v>0</v>
      </c>
      <c r="BQ174" s="5">
        <f t="shared" si="279"/>
        <v>0</v>
      </c>
      <c r="BR174" s="5">
        <f t="shared" si="279"/>
        <v>0</v>
      </c>
      <c r="BS174" s="5">
        <f t="shared" si="279"/>
        <v>0</v>
      </c>
      <c r="BT174" s="5">
        <f t="shared" si="279"/>
        <v>0</v>
      </c>
      <c r="BU174" s="5">
        <f t="shared" si="279"/>
        <v>0</v>
      </c>
      <c r="BV174" s="5">
        <f t="shared" si="279"/>
        <v>0</v>
      </c>
      <c r="BW174" s="5">
        <f t="shared" si="279"/>
        <v>0</v>
      </c>
      <c r="BX174" s="5">
        <f t="shared" si="279"/>
        <v>0</v>
      </c>
      <c r="BY174" s="5">
        <f t="shared" si="279"/>
        <v>0</v>
      </c>
      <c r="BZ174" s="5">
        <f t="shared" si="279"/>
        <v>0</v>
      </c>
      <c r="CA174" s="5">
        <f t="shared" si="279"/>
        <v>0</v>
      </c>
      <c r="CB174" s="5">
        <f t="shared" si="279"/>
        <v>0</v>
      </c>
      <c r="CC174" s="5">
        <f t="shared" si="279"/>
        <v>0</v>
      </c>
      <c r="CD174" s="5">
        <f t="shared" si="279"/>
        <v>0</v>
      </c>
      <c r="CE174" s="5">
        <f t="shared" si="279"/>
        <v>0</v>
      </c>
      <c r="CF174" s="5">
        <f t="shared" si="279"/>
        <v>0</v>
      </c>
      <c r="CG174" s="5">
        <f t="shared" si="279"/>
        <v>0</v>
      </c>
      <c r="CH174" s="5">
        <f t="shared" si="279"/>
        <v>0</v>
      </c>
      <c r="CI174" s="5">
        <f t="shared" si="279"/>
        <v>0</v>
      </c>
      <c r="CJ174" s="5">
        <f t="shared" si="279"/>
        <v>0</v>
      </c>
      <c r="CK174" s="5">
        <f t="shared" si="279"/>
        <v>0</v>
      </c>
      <c r="CL174" s="5">
        <f t="shared" si="279"/>
        <v>0</v>
      </c>
      <c r="CM174" s="5">
        <f t="shared" si="279"/>
        <v>0</v>
      </c>
      <c r="CN174" s="5">
        <f t="shared" si="279"/>
        <v>0</v>
      </c>
      <c r="CO174" s="5"/>
    </row>
    <row r="175" spans="1:93" ht="12.75" customHeight="1">
      <c r="A175" s="112"/>
      <c r="B175" s="112" t="s">
        <v>246</v>
      </c>
      <c r="C175" s="112"/>
      <c r="D175" s="116">
        <f t="shared" ref="D175:CN175" si="280">D176</f>
        <v>0</v>
      </c>
      <c r="E175" s="112">
        <f t="shared" si="280"/>
        <v>-3639.9168749999999</v>
      </c>
      <c r="F175" s="112">
        <f t="shared" si="280"/>
        <v>-7279.8337499999998</v>
      </c>
      <c r="G175" s="112">
        <f t="shared" si="280"/>
        <v>-10919.750625000001</v>
      </c>
      <c r="H175" s="112">
        <f t="shared" si="280"/>
        <v>-14559.6675</v>
      </c>
      <c r="I175" s="112">
        <f t="shared" si="280"/>
        <v>-18199.584374999999</v>
      </c>
      <c r="J175" s="112">
        <f t="shared" si="280"/>
        <v>-1617.7408333333328</v>
      </c>
      <c r="K175" s="112">
        <f t="shared" si="280"/>
        <v>14964.102708333334</v>
      </c>
      <c r="L175" s="112">
        <f t="shared" si="280"/>
        <v>31545.946249999997</v>
      </c>
      <c r="M175" s="112">
        <f t="shared" si="280"/>
        <v>61777.47807291666</v>
      </c>
      <c r="N175" s="112">
        <f t="shared" si="280"/>
        <v>102625.43411458333</v>
      </c>
      <c r="O175" s="112">
        <f t="shared" si="280"/>
        <v>143871.50606445313</v>
      </c>
      <c r="P175" s="112">
        <f t="shared" si="280"/>
        <v>186118.55515494794</v>
      </c>
      <c r="Q175" s="112">
        <f t="shared" si="280"/>
        <v>249082.79779231775</v>
      </c>
      <c r="R175" s="112">
        <f t="shared" si="280"/>
        <v>308941.73634570319</v>
      </c>
      <c r="S175" s="112">
        <f t="shared" si="280"/>
        <v>428684.89065299486</v>
      </c>
      <c r="T175" s="112">
        <f t="shared" si="280"/>
        <v>555637.35532083339</v>
      </c>
      <c r="U175" s="112">
        <f t="shared" si="280"/>
        <v>576457.42707382818</v>
      </c>
      <c r="V175" s="112">
        <f t="shared" si="280"/>
        <v>583737.26082382817</v>
      </c>
      <c r="W175" s="112">
        <f t="shared" si="280"/>
        <v>590717.09457382816</v>
      </c>
      <c r="X175" s="112">
        <f t="shared" si="280"/>
        <v>597609.2596614823</v>
      </c>
      <c r="Y175" s="112">
        <f t="shared" si="280"/>
        <v>593669.3427864823</v>
      </c>
      <c r="Z175" s="112">
        <f t="shared" si="280"/>
        <v>589729.42591148231</v>
      </c>
      <c r="AA175" s="112">
        <f t="shared" si="280"/>
        <v>585789.50903648231</v>
      </c>
      <c r="AB175" s="112">
        <f t="shared" si="280"/>
        <v>581849.59216148232</v>
      </c>
      <c r="AC175" s="112">
        <f t="shared" si="280"/>
        <v>577909.67528648232</v>
      </c>
      <c r="AD175" s="112">
        <f t="shared" si="280"/>
        <v>573969.75841148233</v>
      </c>
      <c r="AE175" s="112">
        <f t="shared" si="280"/>
        <v>570029.84153648233</v>
      </c>
      <c r="AF175" s="112">
        <f t="shared" si="280"/>
        <v>566089.92466148234</v>
      </c>
      <c r="AG175" s="112">
        <f t="shared" si="280"/>
        <v>562150.00778648234</v>
      </c>
      <c r="AH175" s="112">
        <f t="shared" si="280"/>
        <v>558210.09091148234</v>
      </c>
      <c r="AI175" s="112">
        <f t="shared" si="280"/>
        <v>554270.17403648235</v>
      </c>
      <c r="AJ175" s="112">
        <f t="shared" si="280"/>
        <v>550330.25716148235</v>
      </c>
      <c r="AK175" s="112">
        <f t="shared" si="280"/>
        <v>546390.34028648236</v>
      </c>
      <c r="AL175" s="112">
        <f t="shared" si="280"/>
        <v>542450.42341148236</v>
      </c>
      <c r="AM175" s="112">
        <f t="shared" si="280"/>
        <v>538510.50653648237</v>
      </c>
      <c r="AN175" s="112">
        <f t="shared" si="280"/>
        <v>534570.58966148237</v>
      </c>
      <c r="AO175" s="112">
        <f t="shared" si="280"/>
        <v>530630.67278648238</v>
      </c>
      <c r="AP175" s="112">
        <f t="shared" si="280"/>
        <v>526690.75591148238</v>
      </c>
      <c r="AQ175" s="112">
        <f t="shared" si="280"/>
        <v>522750.83903648239</v>
      </c>
      <c r="AR175" s="112">
        <f t="shared" si="280"/>
        <v>518810.92216148239</v>
      </c>
      <c r="AS175" s="112">
        <f t="shared" si="280"/>
        <v>514871.0052864824</v>
      </c>
      <c r="AT175" s="112">
        <f t="shared" si="280"/>
        <v>510931.0884114824</v>
      </c>
      <c r="AU175" s="112">
        <f t="shared" si="280"/>
        <v>506991.1715364824</v>
      </c>
      <c r="AV175" s="112">
        <f t="shared" si="280"/>
        <v>503051.25466148241</v>
      </c>
      <c r="AW175" s="112">
        <f t="shared" si="280"/>
        <v>499111.33778648241</v>
      </c>
      <c r="AX175" s="112">
        <f t="shared" si="280"/>
        <v>495171.42091148242</v>
      </c>
      <c r="AY175" s="112">
        <f t="shared" si="280"/>
        <v>491231.50403648242</v>
      </c>
      <c r="AZ175" s="112">
        <f t="shared" si="280"/>
        <v>487291.58716148243</v>
      </c>
      <c r="BA175" s="112">
        <f t="shared" si="280"/>
        <v>483351.67028648243</v>
      </c>
      <c r="BB175" s="112">
        <f t="shared" si="280"/>
        <v>479411.75341148244</v>
      </c>
      <c r="BC175" s="112">
        <f t="shared" si="280"/>
        <v>475471.83653648244</v>
      </c>
      <c r="BD175" s="112">
        <f t="shared" si="280"/>
        <v>471531.91966148245</v>
      </c>
      <c r="BE175" s="112">
        <f t="shared" si="280"/>
        <v>467592.00278648245</v>
      </c>
      <c r="BF175" s="112">
        <f t="shared" si="280"/>
        <v>463652.08591148246</v>
      </c>
      <c r="BG175" s="112">
        <f t="shared" si="280"/>
        <v>459712.16903648246</v>
      </c>
      <c r="BH175" s="112">
        <f t="shared" si="280"/>
        <v>455772.25216148247</v>
      </c>
      <c r="BI175" s="112">
        <f t="shared" si="280"/>
        <v>451832.33528648247</v>
      </c>
      <c r="BJ175" s="112">
        <f t="shared" si="280"/>
        <v>447892.41841148247</v>
      </c>
      <c r="BK175" s="112">
        <f t="shared" si="280"/>
        <v>443952.50153648248</v>
      </c>
      <c r="BL175" s="112">
        <f t="shared" si="280"/>
        <v>440012.58466148248</v>
      </c>
      <c r="BM175" s="112">
        <f t="shared" si="280"/>
        <v>436072.66778648249</v>
      </c>
      <c r="BN175" s="112">
        <f t="shared" si="280"/>
        <v>432132.75091148249</v>
      </c>
      <c r="BO175" s="112">
        <f t="shared" si="280"/>
        <v>428192.8340364825</v>
      </c>
      <c r="BP175" s="112">
        <f t="shared" si="280"/>
        <v>424252.9171614825</v>
      </c>
      <c r="BQ175" s="112">
        <f t="shared" si="280"/>
        <v>420313.00028648251</v>
      </c>
      <c r="BR175" s="112">
        <f t="shared" si="280"/>
        <v>416373.08341148251</v>
      </c>
      <c r="BS175" s="112">
        <f t="shared" si="280"/>
        <v>412433.16653648252</v>
      </c>
      <c r="BT175" s="112">
        <f t="shared" si="280"/>
        <v>408493.24966148252</v>
      </c>
      <c r="BU175" s="112">
        <f t="shared" si="280"/>
        <v>404553.33278648253</v>
      </c>
      <c r="BV175" s="112">
        <f t="shared" si="280"/>
        <v>400613.41591148253</v>
      </c>
      <c r="BW175" s="112">
        <f t="shared" si="280"/>
        <v>396673.49903648254</v>
      </c>
      <c r="BX175" s="112">
        <f t="shared" si="280"/>
        <v>392733.58216148254</v>
      </c>
      <c r="BY175" s="112">
        <f t="shared" si="280"/>
        <v>388793.66528648254</v>
      </c>
      <c r="BZ175" s="112">
        <f t="shared" si="280"/>
        <v>384853.74841148255</v>
      </c>
      <c r="CA175" s="112">
        <f t="shared" si="280"/>
        <v>380913.83153648255</v>
      </c>
      <c r="CB175" s="112">
        <f t="shared" si="280"/>
        <v>376973.91466148256</v>
      </c>
      <c r="CC175" s="112">
        <f t="shared" si="280"/>
        <v>373033.99778648256</v>
      </c>
      <c r="CD175" s="112">
        <f t="shared" si="280"/>
        <v>369094.08091148257</v>
      </c>
      <c r="CE175" s="112">
        <f t="shared" si="280"/>
        <v>365154.16403648257</v>
      </c>
      <c r="CF175" s="112">
        <f t="shared" si="280"/>
        <v>361214.24716148258</v>
      </c>
      <c r="CG175" s="112">
        <f t="shared" si="280"/>
        <v>357274.33028648258</v>
      </c>
      <c r="CH175" s="112">
        <f t="shared" si="280"/>
        <v>353334.41341148259</v>
      </c>
      <c r="CI175" s="112">
        <f t="shared" si="280"/>
        <v>349394.49653648259</v>
      </c>
      <c r="CJ175" s="112">
        <f t="shared" si="280"/>
        <v>345454.5796614826</v>
      </c>
      <c r="CK175" s="112">
        <f t="shared" si="280"/>
        <v>341514.6627864826</v>
      </c>
      <c r="CL175" s="112">
        <f t="shared" si="280"/>
        <v>337574.74591148261</v>
      </c>
      <c r="CM175" s="112">
        <f t="shared" si="280"/>
        <v>333634.82903648261</v>
      </c>
      <c r="CN175" s="112">
        <f t="shared" si="280"/>
        <v>329694.91216148261</v>
      </c>
      <c r="CO175" s="112"/>
    </row>
    <row r="176" spans="1:93" ht="12.75" customHeight="1">
      <c r="A176" s="117"/>
      <c r="B176" s="26" t="s">
        <v>247</v>
      </c>
      <c r="C176" s="117"/>
      <c r="D176" s="118">
        <f>-D83+D62+D156</f>
        <v>0</v>
      </c>
      <c r="E176" s="5">
        <f>IF(E$9&lt;Assump!$D$54,(-E$165+D$176-E$83-'операционные расходы 2 этап'!$B$34+E$62+E$156),(D$176-E$83-'операционные расходы 2 этап'!$B$34+E$62+E$156))</f>
        <v>-3639.9168749999999</v>
      </c>
      <c r="F176" s="5">
        <f>IF(F$9&lt;Assump!$D$54,(-F$165+E$176-F$83-'операционные расходы 2 этап'!$B$34+F$62+F$156),(E$176-F$83-'операционные расходы 2 этап'!$B$34+F$62+F$156))</f>
        <v>-7279.8337499999998</v>
      </c>
      <c r="G176" s="5">
        <f>IF(G$9&lt;Assump!$D$54,(-G$165+F$176-G$83-'операционные расходы 2 этап'!$B$34+G$62+G$156),(F$176-G$83-'операционные расходы 2 этап'!$B$34+G$62+G$156))</f>
        <v>-10919.750625000001</v>
      </c>
      <c r="H176" s="5">
        <f>IF(H$9&lt;Assump!$D$54,(-H$165+G$176-H$83-'операционные расходы 2 этап'!$B$34+H$62+H$156),(G$176-H$83-'операционные расходы 2 этап'!$B$34+H$62+H$156))</f>
        <v>-14559.6675</v>
      </c>
      <c r="I176" s="5">
        <f>IF(I$9&lt;Assump!$D$54,(-I$165+H$176-I$83-'операционные расходы 2 этап'!$B$34+I$62+I$156),(H$176-I$83-'операционные расходы 2 этап'!$B$34+I$62+I$156))</f>
        <v>-18199.584374999999</v>
      </c>
      <c r="J176" s="5">
        <f>IF(J$9&lt;Assump!$D$54,(-J$165+I$176-J$83-'операционные расходы 2 этап'!$B$34+J$62+J$156),(I$176-J$83-'операционные расходы 2 этап'!$B$34+J$62+J$156))</f>
        <v>-1617.7408333333328</v>
      </c>
      <c r="K176" s="5">
        <f>IF(K$9&lt;Assump!$D$54,(-K$165+J$176-K$83-'операционные расходы 2 этап'!$B$34+K$62+K$156),(J$176-K$83-'операционные расходы 2 этап'!$B$34+K$62+K$156))</f>
        <v>14964.102708333334</v>
      </c>
      <c r="L176" s="5">
        <f>IF(L$9&lt;Assump!$D$54,(-L$165+K$176-L$83-'операционные расходы 2 этап'!$B$34+L$62+L$156),(K$176-L$83-'операционные расходы 2 этап'!$B$34+L$62+L$156))</f>
        <v>31545.946249999997</v>
      </c>
      <c r="M176" s="5">
        <f>IF(M$9&lt;Assump!$D$54,(-M$165+L$176-M$83-'операционные расходы 2 этап'!$B$34+M$62+M$156),(L$176-M$83-'операционные расходы 2 этап'!$B$34+M$62+M$156))</f>
        <v>61777.47807291666</v>
      </c>
      <c r="N176" s="5">
        <f>IF(N$9&lt;Assump!$D$54,(-N$165+M$176-N$83-'операционные расходы 2 этап'!$B$34+N$62+N$156),(M$176-N$83-'операционные расходы 2 этап'!$B$34+N$62+N$156))</f>
        <v>102625.43411458333</v>
      </c>
      <c r="O176" s="5">
        <f>IF(O$9&lt;Assump!$D$54,(-O$165+N$176-O$83-'операционные расходы 2 этап'!$B$34+O$62+O$156),(N$176-O$83-'операционные расходы 2 этап'!$B$34+O$62+O$156))</f>
        <v>143871.50606445313</v>
      </c>
      <c r="P176" s="5">
        <f>IF(P$9&lt;Assump!$D$54,(-P$165+O$176-P$83-'операционные расходы 2 этап'!$B$34+P$62+P$156),(O$176-P$83-'операционные расходы 2 этап'!$B$34+P$62+P$156))</f>
        <v>186118.55515494794</v>
      </c>
      <c r="Q176" s="5">
        <f>IF(Q$9&lt;Assump!$D$54,(-Q$165+P$176-Q$83-'операционные расходы 2 этап'!$B$34+Q$62+Q$156),(P$176-Q$83-'операционные расходы 2 этап'!$B$34+Q$62+Q$156))</f>
        <v>249082.79779231775</v>
      </c>
      <c r="R176" s="5">
        <f>IF(R$9&lt;Assump!$D$54,(-R$165+Q$176-R$83-'операционные расходы 2 этап'!$B$34+R$62+R$156),(Q$176-R$83-'операционные расходы 2 этап'!$B$34+R$62+R$156))</f>
        <v>308941.73634570319</v>
      </c>
      <c r="S176" s="5">
        <f>IF(S$9&lt;Assump!$D$54,(-S$165+R$176-S$83-'операционные расходы 2 этап'!$B$34+S$62+S$156),(R$176-S$83-'операционные расходы 2 этап'!$B$34+S$62+S$156))</f>
        <v>428684.89065299486</v>
      </c>
      <c r="T176" s="5">
        <f>IF(T$9&lt;Assump!$D$54,(-T$165+S$176-T$83-'операционные расходы 2 этап'!$B$34+T$62+T$156),(S$176-T$83-'операционные расходы 2 этап'!$B$34+T$62+T$156))</f>
        <v>555637.35532083339</v>
      </c>
      <c r="U176" s="5">
        <f>IF(U$9&lt;Assump!$D$54,(-U$165+T$176-U$83-'операционные расходы 2 этап'!$B$34+U$62+U$156),(T$176-U$83-'операционные расходы 2 этап'!$B$34+U$62+U$156))</f>
        <v>576457.42707382818</v>
      </c>
      <c r="V176" s="5">
        <f>IF(V$9&lt;Assump!$D$54,(-V$165+U$176-V$83-'операционные расходы 2 этап'!$B$34+V$62+V$156),(U$176-V$83-'операционные расходы 2 этап'!$B$34+V$62+V$156))</f>
        <v>583737.26082382817</v>
      </c>
      <c r="W176" s="5">
        <f>IF(W$9&lt;Assump!$D$54,(-W$165+V$176-W$83-'операционные расходы 2 этап'!$B$34+W$62+W$156),(V$176-W$83-'операционные расходы 2 этап'!$B$34+W$62+W$156))</f>
        <v>590717.09457382816</v>
      </c>
      <c r="X176" s="5">
        <f>IF(X$9&lt;Assump!$D$54,(-X$165+W$176-X$83-'операционные расходы 2 этап'!$B$34+X$62+X$156),(W$176-X$83-'операционные расходы 2 этап'!$B$34+X$62+X$156))</f>
        <v>597609.2596614823</v>
      </c>
      <c r="Y176" s="5">
        <f>IF(Y$9&lt;Assump!$D$54,(-Y$165+X$176-Y$83-'операционные расходы 2 этап'!$B$34+Y$62+Y$156),(X$176-Y$83-'операционные расходы 2 этап'!$B$34+Y$62+Y$156))</f>
        <v>593669.3427864823</v>
      </c>
      <c r="Z176" s="5">
        <f>IF(Z$9&lt;Assump!$D$54,(-Z$165+Y$176-Z$83-'операционные расходы 2 этап'!$B$34+Z$62+Z$156),(Y$176-Z$83-'операционные расходы 2 этап'!$B$34+Z$62+Z$156))</f>
        <v>589729.42591148231</v>
      </c>
      <c r="AA176" s="5">
        <f>IF(AA$9&lt;Assump!$D$54,(-AA$165+Z$176-AA$83-'операционные расходы 2 этап'!$B$34+AA$62+AA$156),(Z$176-AA$83-'операционные расходы 2 этап'!$B$34+AA$62+AA$156))</f>
        <v>585789.50903648231</v>
      </c>
      <c r="AB176" s="5">
        <f>IF(AB$9&lt;Assump!$D$54,(-AB$165+AA$176-AB$83-'операционные расходы 2 этап'!$B$34+AB$62+AB$156),(AA$176-AB$83-'операционные расходы 2 этап'!$B$34+AB$62+AB$156))</f>
        <v>581849.59216148232</v>
      </c>
      <c r="AC176" s="5">
        <f>IF(AC$9&lt;Assump!$D$54,(-AC$165+AB$176-AC$83-'операционные расходы 2 этап'!$B$34+AC$62+AC$156),(AB$176-AC$83-'операционные расходы 2 этап'!$B$34+AC$62+AC$156))</f>
        <v>577909.67528648232</v>
      </c>
      <c r="AD176" s="5">
        <f>IF(AD$9&lt;Assump!$D$54,(-AD$165+AC$176-AD$83-'операционные расходы 2 этап'!$B$34+AD$62+AD$156),(AC$176-AD$83-'операционные расходы 2 этап'!$B$34+AD$62+AD$156))</f>
        <v>573969.75841148233</v>
      </c>
      <c r="AE176" s="5">
        <f>IF(AE$9&lt;Assump!$D$54,(-AE$165+AD$176-AE$83-'операционные расходы 2 этап'!$B$34+AE$62+AE$156),(AD$176-AE$83-'операционные расходы 2 этап'!$B$34+AE$62+AE$156))</f>
        <v>570029.84153648233</v>
      </c>
      <c r="AF176" s="5">
        <f>IF(AF$9&lt;Assump!$D$54,(-AF$165+AE$176-AF$83-'операционные расходы 2 этап'!$B$34+AF$62+AF$156),(AE$176-AF$83-'операционные расходы 2 этап'!$B$34+AF$62+AF$156))</f>
        <v>566089.92466148234</v>
      </c>
      <c r="AG176" s="5">
        <f>IF(AG$9&lt;Assump!$D$54,(-AG$165+AF$176-AG$83-'операционные расходы 2 этап'!$B$34+AG$62+AG$156),(AF$176-AG$83-'операционные расходы 2 этап'!$B$34+AG$62+AG$156))</f>
        <v>562150.00778648234</v>
      </c>
      <c r="AH176" s="5">
        <f>IF(AH$9&lt;Assump!$D$54,(-AH$165+AG$176-AH$83-'операционные расходы 2 этап'!$B$34+AH$62+AH$156),(AG$176-AH$83-'операционные расходы 2 этап'!$B$34+AH$62+AH$156))</f>
        <v>558210.09091148234</v>
      </c>
      <c r="AI176" s="5">
        <f>IF(AI$9&lt;Assump!$D$54,(-AI$165+AH$176-AI$83-'операционные расходы 2 этап'!$B$34+AI$62+AI$156),(AH$176-AI$83-'операционные расходы 2 этап'!$B$34+AI$62+AI$156))</f>
        <v>554270.17403648235</v>
      </c>
      <c r="AJ176" s="5">
        <f>IF(AJ$9&lt;Assump!$D$54,(-AJ$165+AI$176-AJ$83-'операционные расходы 2 этап'!$B$34+AJ$62+AJ$156),(AI$176-AJ$83-'операционные расходы 2 этап'!$B$34+AJ$62+AJ$156))</f>
        <v>550330.25716148235</v>
      </c>
      <c r="AK176" s="5">
        <f>IF(AK$9&lt;Assump!$D$54,(-AK$165+AJ$176-AK$83-'операционные расходы 2 этап'!$B$34+AK$62+AK$156),(AJ$176-AK$83-'операционные расходы 2 этап'!$B$34+AK$62+AK$156))</f>
        <v>546390.34028648236</v>
      </c>
      <c r="AL176" s="5">
        <f>IF(AL$9&lt;Assump!$D$54,(-AL$165+AK$176-AL$83-'операционные расходы 2 этап'!$B$34+AL$62+AL$156),(AK$176-AL$83-'операционные расходы 2 этап'!$B$34+AL$62+AL$156))</f>
        <v>542450.42341148236</v>
      </c>
      <c r="AM176" s="5">
        <f>IF(AM$9&lt;Assump!$D$54,(-AM$165+AL$176-AM$83-'операционные расходы 2 этап'!$B$34+AM$62+AM$156),(AL$176-AM$83-'операционные расходы 2 этап'!$B$34+AM$62+AM$156))</f>
        <v>538510.50653648237</v>
      </c>
      <c r="AN176" s="5">
        <f>IF(AN$9&lt;Assump!$D$54,(-AN$165+AM$176-AN$83-'операционные расходы 2 этап'!$B$34+AN$62+AN$156),(AM$176-AN$83-'операционные расходы 2 этап'!$B$34+AN$62+AN$156))</f>
        <v>534570.58966148237</v>
      </c>
      <c r="AO176" s="5">
        <f>IF(AO$9&lt;Assump!$D$54,(-AO$165+AN$176-AO$83-'операционные расходы 2 этап'!$B$34+AO$62+AO$156),(AN$176-AO$83-'операционные расходы 2 этап'!$B$34+AO$62+AO$156))</f>
        <v>530630.67278648238</v>
      </c>
      <c r="AP176" s="5">
        <f>IF(AP$9&lt;Assump!$D$54,(-AP$165+AO$176-AP$83-'операционные расходы 2 этап'!$B$34+AP$62+AP$156),(AO$176-AP$83-'операционные расходы 2 этап'!$B$34+AP$62+AP$156))</f>
        <v>526690.75591148238</v>
      </c>
      <c r="AQ176" s="5">
        <f>IF(AQ$9&lt;Assump!$D$54,(-AQ$165+AP$176-AQ$83-'операционные расходы 2 этап'!$B$34+AQ$62+AQ$156),(AP$176-AQ$83-'операционные расходы 2 этап'!$B$34+AQ$62+AQ$156))</f>
        <v>522750.83903648239</v>
      </c>
      <c r="AR176" s="5">
        <f>IF(AR$9&lt;Assump!$D$54,(-AR$165+AQ$176-AR$83-'операционные расходы 2 этап'!$B$34+AR$62+AR$156),(AQ$176-AR$83-'операционные расходы 2 этап'!$B$34+AR$62+AR$156))</f>
        <v>518810.92216148239</v>
      </c>
      <c r="AS176" s="5">
        <f>IF(AS$9&lt;Assump!$D$54,(-AS$165+AR$176-AS$83-'операционные расходы 2 этап'!$B$34+AS$62+AS$156),(AR$176-AS$83-'операционные расходы 2 этап'!$B$34+AS$62+AS$156))</f>
        <v>514871.0052864824</v>
      </c>
      <c r="AT176" s="5">
        <f>IF(AT$9&lt;Assump!$D$54,(-AT$165+AS$176-AT$83-'операционные расходы 2 этап'!$B$34+AT$62+AT$156),(AS$176-AT$83-'операционные расходы 2 этап'!$B$34+AT$62+AT$156))</f>
        <v>510931.0884114824</v>
      </c>
      <c r="AU176" s="5">
        <f>IF(AU$9&lt;Assump!$D$54,(-AU$165+AT$176-AU$83-'операционные расходы 2 этап'!$B$34+AU$62+AU$156),(AT$176-AU$83-'операционные расходы 2 этап'!$B$34+AU$62+AU$156))</f>
        <v>506991.1715364824</v>
      </c>
      <c r="AV176" s="5">
        <f>IF(AV$9&lt;Assump!$D$54,(-AV$165+AU$176-AV$83-'операционные расходы 2 этап'!$B$34+AV$62+AV$156),(AU$176-AV$83-'операционные расходы 2 этап'!$B$34+AV$62+AV$156))</f>
        <v>503051.25466148241</v>
      </c>
      <c r="AW176" s="5">
        <f>IF(AW$9&lt;Assump!$D$54,(-AW$165+AV$176-AW$83-'операционные расходы 2 этап'!$B$34+AW$62+AW$156),(AV$176-AW$83-'операционные расходы 2 этап'!$B$34+AW$62+AW$156))</f>
        <v>499111.33778648241</v>
      </c>
      <c r="AX176" s="5">
        <f>IF(AX$9&lt;Assump!$D$54,(-AX$165+AW$176-AX$83-'операционные расходы 2 этап'!$B$34+AX$62+AX$156),(AW$176-AX$83-'операционные расходы 2 этап'!$B$34+AX$62+AX$156))</f>
        <v>495171.42091148242</v>
      </c>
      <c r="AY176" s="5">
        <f>IF(AY$9&lt;Assump!$D$54,(-AY$165+AX$176-AY$83-'операционные расходы 2 этап'!$B$34+AY$62+AY$156),(AX$176-AY$83-'операционные расходы 2 этап'!$B$34+AY$62+AY$156))</f>
        <v>491231.50403648242</v>
      </c>
      <c r="AZ176" s="5">
        <f>IF(AZ$9&lt;Assump!$D$54,(-AZ$165+AY$176-AZ$83-'операционные расходы 2 этап'!$B$34+AZ$62+AZ$156),(AY$176-AZ$83-'операционные расходы 2 этап'!$B$34+AZ$62+AZ$156))</f>
        <v>487291.58716148243</v>
      </c>
      <c r="BA176" s="5">
        <f>IF(BA$9&lt;Assump!$D$54,(-BA$165+AZ$176-BA$83-'операционные расходы 2 этап'!$B$34+BA$62+BA$156),(AZ$176-BA$83-'операционные расходы 2 этап'!$B$34+BA$62+BA$156))</f>
        <v>483351.67028648243</v>
      </c>
      <c r="BB176" s="5">
        <f>IF(BB$9&lt;Assump!$D$54,(-BB$165+BA$176-BB$83-'операционные расходы 2 этап'!$B$34+BB$62+BB$156),(BA$176-BB$83-'операционные расходы 2 этап'!$B$34+BB$62+BB$156))</f>
        <v>479411.75341148244</v>
      </c>
      <c r="BC176" s="5">
        <f>IF(BC$9&lt;Assump!$D$54,(-BC$165+BB$176-BC$83-'операционные расходы 2 этап'!$B$34+BC$62+BC$156),(BB$176-BC$83-'операционные расходы 2 этап'!$B$34+BC$62+BC$156))</f>
        <v>475471.83653648244</v>
      </c>
      <c r="BD176" s="5">
        <f>IF(BD$9&lt;Assump!$D$54,(-BD$165+BC$176-BD$83-'операционные расходы 2 этап'!$B$34+BD$62+BD$156),(BC$176-BD$83-'операционные расходы 2 этап'!$B$34+BD$62+BD$156))</f>
        <v>471531.91966148245</v>
      </c>
      <c r="BE176" s="5">
        <f>IF(BE$9&lt;Assump!$D$54,(-BE$165+BD$176-BE$83-'операционные расходы 2 этап'!$B$34+BE$62+BE$156),(BD$176-BE$83-'операционные расходы 2 этап'!$B$34+BE$62+BE$156))</f>
        <v>467592.00278648245</v>
      </c>
      <c r="BF176" s="5">
        <f>IF(BF$9&lt;Assump!$D$54,(-BF$165+BE$176-BF$83-'операционные расходы 2 этап'!$B$34+BF$62+BF$156),(BE$176-BF$83-'операционные расходы 2 этап'!$B$34+BF$62+BF$156))</f>
        <v>463652.08591148246</v>
      </c>
      <c r="BG176" s="5">
        <f>IF(BG$9&lt;Assump!$D$54,(-BG$165+BF$176-BG$83-'операционные расходы 2 этап'!$B$34+BG$62+BG$156),(BF$176-BG$83-'операционные расходы 2 этап'!$B$34+BG$62+BG$156))</f>
        <v>459712.16903648246</v>
      </c>
      <c r="BH176" s="5">
        <f>IF(BH$9&lt;Assump!$D$54,(-BH$165+BG$176-BH$83-'операционные расходы 2 этап'!$B$34+BH$62+BH$156),(BG$176-BH$83-'операционные расходы 2 этап'!$B$34+BH$62+BH$156))</f>
        <v>455772.25216148247</v>
      </c>
      <c r="BI176" s="5">
        <f>IF(BI$9&lt;Assump!$D$54,(-BI$165+BH$176-BI$83-'операционные расходы 2 этап'!$B$34+BI$62+BI$156),(BH$176-BI$83-'операционные расходы 2 этап'!$B$34+BI$62+BI$156))</f>
        <v>451832.33528648247</v>
      </c>
      <c r="BJ176" s="5">
        <f>IF(BJ$9&lt;Assump!$D$54,(-BJ$165+BI$176-BJ$83-'операционные расходы 2 этап'!$B$34+BJ$62+BJ$156),(BI$176-BJ$83-'операционные расходы 2 этап'!$B$34+BJ$62+BJ$156))</f>
        <v>447892.41841148247</v>
      </c>
      <c r="BK176" s="5">
        <f>IF(BK$9&lt;Assump!$D$54,(-BK$165+BJ$176-BK$83-'операционные расходы 2 этап'!$B$34+BK$62+BK$156),(BJ$176-BK$83-'операционные расходы 2 этап'!$B$34+BK$62+BK$156))</f>
        <v>443952.50153648248</v>
      </c>
      <c r="BL176" s="5">
        <f>IF(BL$9&lt;Assump!$D$54,(-BL$165+BK$176-BL$83-'операционные расходы 2 этап'!$B$34+BL$62+BL$156),(BK$176-BL$83-'операционные расходы 2 этап'!$B$34+BL$62+BL$156))</f>
        <v>440012.58466148248</v>
      </c>
      <c r="BM176" s="5">
        <f>IF(BM$9&lt;Assump!$D$54,(-BM$165+BL$176-BM$83-'операционные расходы 2 этап'!$B$34+BM$62+BM$156),(BL$176-BM$83-'операционные расходы 2 этап'!$B$34+BM$62+BM$156))</f>
        <v>436072.66778648249</v>
      </c>
      <c r="BN176" s="5">
        <f>IF(BN$9&lt;Assump!$D$54,(-BN$165+BM$176-BN$83-'операционные расходы 2 этап'!$B$34+BN$62+BN$156),(BM$176-BN$83-'операционные расходы 2 этап'!$B$34+BN$62+BN$156))</f>
        <v>432132.75091148249</v>
      </c>
      <c r="BO176" s="5">
        <f>IF(BO$9&lt;Assump!$D$54,(-BO$165+BN$176-BO$83-'операционные расходы 2 этап'!$B$34+BO$62+BO$156),(BN$176-BO$83-'операционные расходы 2 этап'!$B$34+BO$62+BO$156))</f>
        <v>428192.8340364825</v>
      </c>
      <c r="BP176" s="5">
        <f>IF(BP$9&lt;Assump!$D$54,(-BP$165+BO$176-BP$83-'операционные расходы 2 этап'!$B$34+BP$62+BP$156),(BO$176-BP$83-'операционные расходы 2 этап'!$B$34+BP$62+BP$156))</f>
        <v>424252.9171614825</v>
      </c>
      <c r="BQ176" s="5">
        <f>IF(BQ$9&lt;Assump!$D$54,(-BQ$165+BP$176-BQ$83-'операционные расходы 2 этап'!$B$34+BQ$62+BQ$156),(BP$176-BQ$83-'операционные расходы 2 этап'!$B$34+BQ$62+BQ$156))</f>
        <v>420313.00028648251</v>
      </c>
      <c r="BR176" s="5">
        <f>IF(BR$9&lt;Assump!$D$54,(-BR$165+BQ$176-BR$83-'операционные расходы 2 этап'!$B$34+BR$62+BR$156),(BQ$176-BR$83-'операционные расходы 2 этап'!$B$34+BR$62+BR$156))</f>
        <v>416373.08341148251</v>
      </c>
      <c r="BS176" s="5">
        <f>IF(BS$9&lt;Assump!$D$54,(-BS$165+BR$176-BS$83-'операционные расходы 2 этап'!$B$34+BS$62+BS$156),(BR$176-BS$83-'операционные расходы 2 этап'!$B$34+BS$62+BS$156))</f>
        <v>412433.16653648252</v>
      </c>
      <c r="BT176" s="5">
        <f>IF(BT$9&lt;Assump!$D$54,(-BT$165+BS$176-BT$83-'операционные расходы 2 этап'!$B$34+BT$62+BT$156),(BS$176-BT$83-'операционные расходы 2 этап'!$B$34+BT$62+BT$156))</f>
        <v>408493.24966148252</v>
      </c>
      <c r="BU176" s="5">
        <f>IF(BU$9&lt;Assump!$D$54,(-BU$165+BT$176-BU$83-'операционные расходы 2 этап'!$B$34+BU$62+BU$156),(BT$176-BU$83-'операционные расходы 2 этап'!$B$34+BU$62+BU$156))</f>
        <v>404553.33278648253</v>
      </c>
      <c r="BV176" s="5">
        <f>IF(BV$9&lt;Assump!$D$54,(-BV$165+BU$176-BV$83-'операционные расходы 2 этап'!$B$34+BV$62+BV$156),(BU$176-BV$83-'операционные расходы 2 этап'!$B$34+BV$62+BV$156))</f>
        <v>400613.41591148253</v>
      </c>
      <c r="BW176" s="5">
        <f>IF(BW$9&lt;Assump!$D$54,(-BW$165+BV$176-BW$83-'операционные расходы 2 этап'!$B$34+BW$62+BW$156),(BV$176-BW$83-'операционные расходы 2 этап'!$B$34+BW$62+BW$156))</f>
        <v>396673.49903648254</v>
      </c>
      <c r="BX176" s="5">
        <f>IF(BX$9&lt;Assump!$D$54,(-BX$165+BW$176-BX$83-'операционные расходы 2 этап'!$B$34+BX$62+BX$156),(BW$176-BX$83-'операционные расходы 2 этап'!$B$34+BX$62+BX$156))</f>
        <v>392733.58216148254</v>
      </c>
      <c r="BY176" s="5">
        <f>IF(BY$9&lt;Assump!$D$54,(-BY$165+BX$176-BY$83-'операционные расходы 2 этап'!$B$34+BY$62+BY$156),(BX$176-BY$83-'операционные расходы 2 этап'!$B$34+BY$62+BY$156))</f>
        <v>388793.66528648254</v>
      </c>
      <c r="BZ176" s="5">
        <f>IF(BZ$9&lt;Assump!$D$54,(-BZ$165+BY$176-BZ$83-'операционные расходы 2 этап'!$B$34+BZ$62+BZ$156),(BY$176-BZ$83-'операционные расходы 2 этап'!$B$34+BZ$62+BZ$156))</f>
        <v>384853.74841148255</v>
      </c>
      <c r="CA176" s="5">
        <f>IF(CA$9&lt;Assump!$D$54,(-CA$165+BZ$176-CA$83-'операционные расходы 2 этап'!$B$34+CA$62+CA$156),(BZ$176-CA$83-'операционные расходы 2 этап'!$B$34+CA$62+CA$156))</f>
        <v>380913.83153648255</v>
      </c>
      <c r="CB176" s="5">
        <f>IF(CB$9&lt;Assump!$D$54,(-CB$165+CA$176-CB$83-'операционные расходы 2 этап'!$B$34+CB$62+CB$156),(CA$176-CB$83-'операционные расходы 2 этап'!$B$34+CB$62+CB$156))</f>
        <v>376973.91466148256</v>
      </c>
      <c r="CC176" s="5">
        <f>IF(CC$9&lt;Assump!$D$54,(-CC$165+CB$176-CC$83-'операционные расходы 2 этап'!$B$34+CC$62+CC$156),(CB$176-CC$83-'операционные расходы 2 этап'!$B$34+CC$62+CC$156))</f>
        <v>373033.99778648256</v>
      </c>
      <c r="CD176" s="5">
        <f>IF(CD$9&lt;Assump!$D$54,(-CD$165+CC$176-CD$83-'операционные расходы 2 этап'!$B$34+CD$62+CD$156),(CC$176-CD$83-'операционные расходы 2 этап'!$B$34+CD$62+CD$156))</f>
        <v>369094.08091148257</v>
      </c>
      <c r="CE176" s="5">
        <f>IF(CE$9&lt;Assump!$D$54,(-CE$165+CD$176-CE$83-'операционные расходы 2 этап'!$B$34+CE$62+CE$156),(CD$176-CE$83-'операционные расходы 2 этап'!$B$34+CE$62+CE$156))</f>
        <v>365154.16403648257</v>
      </c>
      <c r="CF176" s="5">
        <f>IF(CF$9&lt;Assump!$D$54,(-CF$165+CE$176-CF$83-'операционные расходы 2 этап'!$B$34+CF$62+CF$156),(CE$176-CF$83-'операционные расходы 2 этап'!$B$34+CF$62+CF$156))</f>
        <v>361214.24716148258</v>
      </c>
      <c r="CG176" s="5">
        <f>IF(CG$9&lt;Assump!$D$54,(-CG$165+CF$176-CG$83-'операционные расходы 2 этап'!$B$34+CG$62+CG$156),(CF$176-CG$83-'операционные расходы 2 этап'!$B$34+CG$62+CG$156))</f>
        <v>357274.33028648258</v>
      </c>
      <c r="CH176" s="5">
        <f>IF(CH$9&lt;Assump!$D$54,(-CH$165+CG$176-CH$83-'операционные расходы 2 этап'!$B$34+CH$62+CH$156),(CG$176-CH$83-'операционные расходы 2 этап'!$B$34+CH$62+CH$156))</f>
        <v>353334.41341148259</v>
      </c>
      <c r="CI176" s="5">
        <f>IF(CI$9&lt;Assump!$D$54,(-CI$165+CH$176-CI$83-'операционные расходы 2 этап'!$B$34+CI$62+CI$156),(CH$176-CI$83-'операционные расходы 2 этап'!$B$34+CI$62+CI$156))</f>
        <v>349394.49653648259</v>
      </c>
      <c r="CJ176" s="5">
        <f>IF(CJ$9&lt;Assump!$D$54,(-CJ$165+CI$176-CJ$83-'операционные расходы 2 этап'!$B$34+CJ$62+CJ$156),(CI$176-CJ$83-'операционные расходы 2 этап'!$B$34+CJ$62+CJ$156))</f>
        <v>345454.5796614826</v>
      </c>
      <c r="CK176" s="5">
        <f>IF(CK$9&lt;Assump!$D$54,(-CK$165+CJ$176-CK$83-'операционные расходы 2 этап'!$B$34+CK$62+CK$156),(CJ$176-CK$83-'операционные расходы 2 этап'!$B$34+CK$62+CK$156))</f>
        <v>341514.6627864826</v>
      </c>
      <c r="CL176" s="5">
        <f>IF(CL$9&lt;Assump!$D$54,(-CL$165+CK$176-CL$83-'операционные расходы 2 этап'!$B$34+CL$62+CL$156),(CK$176-CL$83-'операционные расходы 2 этап'!$B$34+CL$62+CL$156))</f>
        <v>337574.74591148261</v>
      </c>
      <c r="CM176" s="5">
        <f>IF(CM$9&lt;Assump!$D$54,(-CM$165+CL$176-CM$83-'операционные расходы 2 этап'!$B$34+CM$62+CM$156),(CL$176-CM$83-'операционные расходы 2 этап'!$B$34+CM$62+CM$156))</f>
        <v>333634.82903648261</v>
      </c>
      <c r="CN176" s="5">
        <f>IF(CN$9&lt;Assump!$D$54,(-CN$165+CM$176-CN$83-'операционные расходы 2 этап'!$B$34+CN$62+CN$156),(CM$176-CN$83-'операционные расходы 2 этап'!$B$34+CN$62+CN$156))</f>
        <v>329694.91216148261</v>
      </c>
      <c r="CO176" s="5"/>
    </row>
    <row r="177" spans="1:93" ht="12.75" customHeight="1">
      <c r="A177" s="112"/>
      <c r="B177" s="119" t="s">
        <v>248</v>
      </c>
      <c r="C177" s="120"/>
      <c r="D177" s="121">
        <f t="shared" ref="D177:CN177" si="281">D170+D175</f>
        <v>145596.67499999999</v>
      </c>
      <c r="E177" s="120">
        <f t="shared" si="281"/>
        <v>141656.75812499999</v>
      </c>
      <c r="F177" s="120">
        <f t="shared" si="281"/>
        <v>137716.84125</v>
      </c>
      <c r="G177" s="120">
        <f t="shared" si="281"/>
        <v>133776.924375</v>
      </c>
      <c r="H177" s="120">
        <f t="shared" si="281"/>
        <v>129837.00749999999</v>
      </c>
      <c r="I177" s="120">
        <f t="shared" si="281"/>
        <v>125897.09062499998</v>
      </c>
      <c r="J177" s="120">
        <f t="shared" si="281"/>
        <v>121957.17374999999</v>
      </c>
      <c r="K177" s="120">
        <f t="shared" si="281"/>
        <v>118017.25687499998</v>
      </c>
      <c r="L177" s="120">
        <f t="shared" si="281"/>
        <v>114077.33999999998</v>
      </c>
      <c r="M177" s="120">
        <f t="shared" si="281"/>
        <v>110137.423125</v>
      </c>
      <c r="N177" s="120">
        <f t="shared" si="281"/>
        <v>127430.35468750002</v>
      </c>
      <c r="O177" s="120">
        <f t="shared" si="281"/>
        <v>176875.88531250003</v>
      </c>
      <c r="P177" s="120">
        <f t="shared" si="281"/>
        <v>226321.41593750007</v>
      </c>
      <c r="Q177" s="120">
        <f t="shared" si="281"/>
        <v>299426.40625000006</v>
      </c>
      <c r="R177" s="120">
        <f t="shared" si="281"/>
        <v>367071.52125000005</v>
      </c>
      <c r="S177" s="120">
        <f t="shared" si="281"/>
        <v>504967.03193750011</v>
      </c>
      <c r="T177" s="120">
        <f t="shared" si="281"/>
        <v>648322.41793750017</v>
      </c>
      <c r="U177" s="120">
        <f t="shared" si="281"/>
        <v>661004.78812500031</v>
      </c>
      <c r="V177" s="120">
        <f t="shared" si="281"/>
        <v>658314.91201574204</v>
      </c>
      <c r="W177" s="120">
        <f t="shared" si="281"/>
        <v>671465.24155041401</v>
      </c>
      <c r="X177" s="120">
        <f t="shared" si="281"/>
        <v>685383.95223293663</v>
      </c>
      <c r="Y177" s="120">
        <f t="shared" si="281"/>
        <v>701724.80514762853</v>
      </c>
      <c r="Z177" s="120">
        <f t="shared" si="281"/>
        <v>684790.09661548573</v>
      </c>
      <c r="AA177" s="120">
        <f t="shared" si="281"/>
        <v>678149.4103824934</v>
      </c>
      <c r="AB177" s="120">
        <f t="shared" si="281"/>
        <v>666891.69762442249</v>
      </c>
      <c r="AC177" s="120">
        <f t="shared" si="281"/>
        <v>620445.61873232631</v>
      </c>
      <c r="AD177" s="120">
        <f t="shared" si="281"/>
        <v>604489.21746137936</v>
      </c>
      <c r="AE177" s="120">
        <f t="shared" si="281"/>
        <v>604591.63204903156</v>
      </c>
      <c r="AF177" s="120">
        <f t="shared" si="281"/>
        <v>608116.43909523112</v>
      </c>
      <c r="AG177" s="120">
        <f t="shared" si="281"/>
        <v>625725.01559400652</v>
      </c>
      <c r="AH177" s="120">
        <f t="shared" si="281"/>
        <v>607626.00088791852</v>
      </c>
      <c r="AI177" s="120">
        <f t="shared" si="281"/>
        <v>608116.87166990212</v>
      </c>
      <c r="AJ177" s="120">
        <f t="shared" si="281"/>
        <v>611990.62734717014</v>
      </c>
      <c r="AK177" s="120">
        <f t="shared" si="281"/>
        <v>630645.21818302688</v>
      </c>
      <c r="AL177" s="120">
        <f t="shared" si="281"/>
        <v>617421.87314928218</v>
      </c>
      <c r="AM177" s="120">
        <f t="shared" si="281"/>
        <v>618130.07644090289</v>
      </c>
      <c r="AN177" s="120">
        <f t="shared" si="281"/>
        <v>622366.93218574277</v>
      </c>
      <c r="AO177" s="120">
        <f t="shared" si="281"/>
        <v>642129.03290145646</v>
      </c>
      <c r="AP177" s="120">
        <f t="shared" si="281"/>
        <v>628398.99187156628</v>
      </c>
      <c r="AQ177" s="120">
        <f t="shared" si="281"/>
        <v>629285.41296976455</v>
      </c>
      <c r="AR177" s="120">
        <f t="shared" si="281"/>
        <v>633899.26368455519</v>
      </c>
      <c r="AS177" s="120">
        <f t="shared" si="281"/>
        <v>686763.87091319438</v>
      </c>
      <c r="AT177" s="120">
        <f t="shared" si="281"/>
        <v>666385.74091148109</v>
      </c>
      <c r="AU177" s="120">
        <f t="shared" si="281"/>
        <v>665131.34815483866</v>
      </c>
      <c r="AV177" s="120">
        <f t="shared" si="281"/>
        <v>667686.55712619354</v>
      </c>
      <c r="AW177" s="120">
        <f t="shared" si="281"/>
        <v>672943.28254219564</v>
      </c>
      <c r="AX177" s="120">
        <f t="shared" si="281"/>
        <v>651728.24188414682</v>
      </c>
      <c r="AY177" s="120">
        <f t="shared" si="281"/>
        <v>650593.12533342221</v>
      </c>
      <c r="AZ177" s="120">
        <f t="shared" si="281"/>
        <v>653458.09059709485</v>
      </c>
      <c r="BA177" s="120">
        <f t="shared" si="281"/>
        <v>659145.47612303437</v>
      </c>
      <c r="BB177" s="120">
        <f t="shared" si="281"/>
        <v>637275.06053693267</v>
      </c>
      <c r="BC177" s="120">
        <f t="shared" si="281"/>
        <v>636265.1840024218</v>
      </c>
      <c r="BD177" s="120">
        <f t="shared" si="281"/>
        <v>639455.39337302814</v>
      </c>
      <c r="BE177" s="120">
        <f t="shared" si="281"/>
        <v>645624.02462385781</v>
      </c>
      <c r="BF177" s="120">
        <f t="shared" si="281"/>
        <v>622607.53377804649</v>
      </c>
      <c r="BG177" s="120">
        <f t="shared" si="281"/>
        <v>621729.15926056006</v>
      </c>
      <c r="BH177" s="120">
        <f t="shared" si="281"/>
        <v>625260.87494344672</v>
      </c>
      <c r="BI177" s="120">
        <f t="shared" si="281"/>
        <v>631919.93360056798</v>
      </c>
      <c r="BJ177" s="120">
        <f t="shared" si="281"/>
        <v>607934.61405621609</v>
      </c>
      <c r="BK177" s="120">
        <f t="shared" si="281"/>
        <v>607194.31665660534</v>
      </c>
      <c r="BL177" s="120">
        <f t="shared" si="281"/>
        <v>611084.61396738631</v>
      </c>
      <c r="BM177" s="120">
        <f t="shared" si="281"/>
        <v>618258.62140111369</v>
      </c>
      <c r="BN177" s="120">
        <f t="shared" si="281"/>
        <v>593256.03172329417</v>
      </c>
      <c r="BO177" s="120">
        <f t="shared" si="281"/>
        <v>592660.71529745287</v>
      </c>
      <c r="BP177" s="120">
        <f t="shared" si="281"/>
        <v>596927.52331752283</v>
      </c>
      <c r="BQ177" s="120">
        <f t="shared" si="281"/>
        <v>604625.00080650486</v>
      </c>
      <c r="BR177" s="120">
        <f t="shared" si="281"/>
        <v>578825.7988075437</v>
      </c>
      <c r="BS177" s="120">
        <f t="shared" si="281"/>
        <v>578382.71240416053</v>
      </c>
      <c r="BT177" s="120">
        <f t="shared" si="281"/>
        <v>583044.85666898394</v>
      </c>
      <c r="BU177" s="120">
        <f t="shared" si="281"/>
        <v>591327.29134435591</v>
      </c>
      <c r="BV177" s="120">
        <f t="shared" si="281"/>
        <v>564135.02770424727</v>
      </c>
      <c r="BW177" s="120">
        <f t="shared" si="281"/>
        <v>563851.78282444493</v>
      </c>
      <c r="BX177" s="120">
        <f t="shared" si="281"/>
        <v>568929.03014625958</v>
      </c>
      <c r="BY177" s="120">
        <f t="shared" si="281"/>
        <v>577807.58239915024</v>
      </c>
      <c r="BZ177" s="120">
        <f t="shared" si="281"/>
        <v>549437.70142078609</v>
      </c>
      <c r="CA177" s="120">
        <f t="shared" si="281"/>
        <v>549322.2901407436</v>
      </c>
      <c r="CB177" s="120">
        <f t="shared" si="281"/>
        <v>554835.39567239897</v>
      </c>
      <c r="CC177" s="120">
        <f t="shared" si="281"/>
        <v>564339.87138168409</v>
      </c>
      <c r="CD177" s="120">
        <f t="shared" si="281"/>
        <v>534733.49219815177</v>
      </c>
      <c r="CE177" s="120">
        <f t="shared" si="281"/>
        <v>534794.30619785713</v>
      </c>
      <c r="CF177" s="120">
        <f t="shared" si="281"/>
        <v>540765.06284984527</v>
      </c>
      <c r="CG177" s="120">
        <f t="shared" si="281"/>
        <v>550905.81968298019</v>
      </c>
      <c r="CH177" s="120">
        <f t="shared" si="281"/>
        <v>520331.15324427345</v>
      </c>
      <c r="CI177" s="120">
        <f t="shared" si="281"/>
        <v>520577.00378771406</v>
      </c>
      <c r="CJ177" s="120">
        <f t="shared" si="281"/>
        <v>527028.29411605163</v>
      </c>
      <c r="CK177" s="120">
        <f t="shared" si="281"/>
        <v>537880.07006522594</v>
      </c>
      <c r="CL177" s="120">
        <f t="shared" si="281"/>
        <v>505612.1284950691</v>
      </c>
      <c r="CM177" s="120">
        <f t="shared" si="281"/>
        <v>506052.26740943169</v>
      </c>
      <c r="CN177" s="120">
        <f t="shared" si="281"/>
        <v>513008.11809793615</v>
      </c>
      <c r="CO177" s="120"/>
    </row>
    <row r="178" spans="1:93" ht="12.75" customHeight="1">
      <c r="A178" s="112"/>
      <c r="B178" s="122" t="s">
        <v>249</v>
      </c>
      <c r="C178" s="112"/>
      <c r="D178" s="118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123"/>
      <c r="BL178" s="123"/>
      <c r="BM178" s="123"/>
      <c r="BN178" s="123"/>
      <c r="BO178" s="123"/>
      <c r="BP178" s="123"/>
      <c r="BQ178" s="123"/>
      <c r="BR178" s="123"/>
      <c r="BS178" s="123"/>
      <c r="BT178" s="123"/>
      <c r="BU178" s="123"/>
      <c r="BV178" s="123"/>
      <c r="BW178" s="123"/>
      <c r="BX178" s="123"/>
      <c r="BY178" s="123"/>
      <c r="BZ178" s="123"/>
      <c r="CA178" s="123"/>
      <c r="CB178" s="123"/>
      <c r="CC178" s="123"/>
      <c r="CD178" s="123"/>
      <c r="CE178" s="123"/>
      <c r="CF178" s="123"/>
      <c r="CG178" s="123"/>
      <c r="CH178" s="123"/>
      <c r="CI178" s="123"/>
      <c r="CJ178" s="123"/>
      <c r="CK178" s="123"/>
      <c r="CL178" s="123"/>
      <c r="CM178" s="123"/>
      <c r="CN178" s="123"/>
      <c r="CO178" s="123"/>
    </row>
    <row r="179" spans="1:93" ht="12.75" customHeight="1">
      <c r="A179" s="112"/>
      <c r="B179" s="112" t="s">
        <v>250</v>
      </c>
      <c r="C179" s="112"/>
      <c r="D179" s="116">
        <f t="shared" ref="D179:BP179" si="282">SUM(D180:D181)</f>
        <v>0</v>
      </c>
      <c r="E179" s="112">
        <f t="shared" si="282"/>
        <v>-727.98337500000002</v>
      </c>
      <c r="F179" s="112">
        <f t="shared" si="282"/>
        <v>-1455.96675</v>
      </c>
      <c r="G179" s="112">
        <f t="shared" si="282"/>
        <v>-2183.9501250000003</v>
      </c>
      <c r="H179" s="112">
        <f t="shared" si="282"/>
        <v>-2911.9335000000001</v>
      </c>
      <c r="I179" s="112">
        <f t="shared" si="282"/>
        <v>-3639.9168749999999</v>
      </c>
      <c r="J179" s="112">
        <f t="shared" si="282"/>
        <v>-4367.9002499999997</v>
      </c>
      <c r="K179" s="112">
        <f t="shared" si="282"/>
        <v>-5095.8836249999995</v>
      </c>
      <c r="L179" s="112">
        <f t="shared" si="282"/>
        <v>-5823.8669999999993</v>
      </c>
      <c r="M179" s="112">
        <f t="shared" si="282"/>
        <v>-6551.8503749999991</v>
      </c>
      <c r="N179" s="112">
        <f t="shared" si="282"/>
        <v>-7279.8337499999989</v>
      </c>
      <c r="O179" s="112">
        <f t="shared" si="282"/>
        <v>-7928.1939433593743</v>
      </c>
      <c r="P179" s="112">
        <f t="shared" si="282"/>
        <v>-8376.3587085937488</v>
      </c>
      <c r="Q179" s="112">
        <f t="shared" si="282"/>
        <v>-8624.3280457031233</v>
      </c>
      <c r="R179" s="112">
        <f t="shared" si="282"/>
        <v>-8583.3789808593738</v>
      </c>
      <c r="S179" s="112">
        <f t="shared" si="282"/>
        <v>-8273.9860464843732</v>
      </c>
      <c r="T179" s="112">
        <f t="shared" si="282"/>
        <v>-7432.7102587499976</v>
      </c>
      <c r="U179" s="112">
        <f t="shared" si="282"/>
        <v>-6039.0770852343721</v>
      </c>
      <c r="V179" s="112">
        <f t="shared" si="282"/>
        <v>-3333.0695694926135</v>
      </c>
      <c r="W179" s="112">
        <f t="shared" si="282"/>
        <v>3544.7397104141583</v>
      </c>
      <c r="X179" s="112">
        <f t="shared" si="282"/>
        <v>9542.2886278186543</v>
      </c>
      <c r="Y179" s="112">
        <f t="shared" si="282"/>
        <v>15357.269738067211</v>
      </c>
      <c r="Z179" s="112">
        <f t="shared" si="282"/>
        <v>1773.8132509214802</v>
      </c>
      <c r="AA179" s="112">
        <f t="shared" si="282"/>
        <v>2922.557865303871</v>
      </c>
      <c r="AB179" s="112">
        <f t="shared" si="282"/>
        <v>7063.4503312424886</v>
      </c>
      <c r="AC179" s="112">
        <f t="shared" si="282"/>
        <v>13321.535637482128</v>
      </c>
      <c r="AD179" s="112">
        <f t="shared" si="282"/>
        <v>-1227.7358827722755</v>
      </c>
      <c r="AE179" s="112">
        <f t="shared" si="282"/>
        <v>6.8573380761799854</v>
      </c>
      <c r="AF179" s="112">
        <f t="shared" si="282"/>
        <v>4375.6193285195213</v>
      </c>
      <c r="AG179" s="112">
        <f t="shared" si="282"/>
        <v>10966.925583665083</v>
      </c>
      <c r="AH179" s="112">
        <f t="shared" si="282"/>
        <v>-4220.1556224229189</v>
      </c>
      <c r="AI179" s="112">
        <f t="shared" si="282"/>
        <v>-2887.4335717820413</v>
      </c>
      <c r="AJ179" s="112">
        <f t="shared" si="282"/>
        <v>1736.1656869334638</v>
      </c>
      <c r="AK179" s="112">
        <f t="shared" si="282"/>
        <v>8681.7770803186813</v>
      </c>
      <c r="AL179" s="112">
        <f t="shared" si="282"/>
        <v>-7044.482700994944</v>
      </c>
      <c r="AM179" s="112">
        <f t="shared" si="282"/>
        <v>-5608.7253790720206</v>
      </c>
      <c r="AN179" s="112">
        <f t="shared" si="282"/>
        <v>-717.54698867073967</v>
      </c>
      <c r="AO179" s="112">
        <f t="shared" si="282"/>
        <v>6623.9864535647412</v>
      </c>
      <c r="AP179" s="112">
        <f t="shared" si="282"/>
        <v>-10045.152280209775</v>
      </c>
      <c r="AQ179" s="112">
        <f t="shared" si="282"/>
        <v>-8501.2079234407083</v>
      </c>
      <c r="AR179" s="112">
        <f t="shared" si="282"/>
        <v>-3329.0714447693645</v>
      </c>
      <c r="AS179" s="112">
        <f t="shared" si="282"/>
        <v>4415.9378383278927</v>
      </c>
      <c r="AT179" s="112">
        <f t="shared" si="282"/>
        <v>-13050.258663385353</v>
      </c>
      <c r="AU179" s="112">
        <f t="shared" si="282"/>
        <v>-11392.717920027831</v>
      </c>
      <c r="AV179" s="112">
        <f t="shared" si="282"/>
        <v>-5925.5754486729202</v>
      </c>
      <c r="AW179" s="112">
        <f t="shared" si="282"/>
        <v>2243.0834673291974</v>
      </c>
      <c r="AX179" s="112">
        <f t="shared" si="282"/>
        <v>-16060.023690719707</v>
      </c>
      <c r="AY179" s="112">
        <f t="shared" si="282"/>
        <v>-14283.206741444312</v>
      </c>
      <c r="AZ179" s="112">
        <f t="shared" si="282"/>
        <v>-8506.3079777716521</v>
      </c>
      <c r="BA179" s="112">
        <f t="shared" si="282"/>
        <v>93.011048167882109</v>
      </c>
      <c r="BB179" s="112">
        <f t="shared" si="282"/>
        <v>-18865.471037933869</v>
      </c>
      <c r="BC179" s="112">
        <f t="shared" si="282"/>
        <v>-16963.414072444702</v>
      </c>
      <c r="BD179" s="112">
        <f t="shared" si="282"/>
        <v>-10861.271201838412</v>
      </c>
      <c r="BE179" s="112">
        <f t="shared" si="282"/>
        <v>-1780.7064510085729</v>
      </c>
      <c r="BF179" s="112">
        <f t="shared" si="282"/>
        <v>-21885.263796819992</v>
      </c>
      <c r="BG179" s="112">
        <f t="shared" si="282"/>
        <v>-19851.704814306369</v>
      </c>
      <c r="BH179" s="112">
        <f t="shared" si="282"/>
        <v>-13408.05563141976</v>
      </c>
      <c r="BI179" s="112">
        <f t="shared" si="282"/>
        <v>-3837.0634742984221</v>
      </c>
      <c r="BJ179" s="112">
        <f t="shared" si="282"/>
        <v>-24910.449518650425</v>
      </c>
      <c r="BK179" s="112">
        <f t="shared" si="282"/>
        <v>-22738.813418261117</v>
      </c>
      <c r="BL179" s="112">
        <f t="shared" si="282"/>
        <v>-15936.582607480181</v>
      </c>
      <c r="BM179" s="112">
        <f t="shared" si="282"/>
        <v>-5850.6416737527798</v>
      </c>
      <c r="BN179" s="112">
        <f t="shared" si="282"/>
        <v>-27941.297851572373</v>
      </c>
      <c r="BO179" s="112">
        <f t="shared" si="282"/>
        <v>-25624.680777413603</v>
      </c>
      <c r="BP179" s="112">
        <f t="shared" si="282"/>
        <v>-18445.939257343623</v>
      </c>
      <c r="BQ179" s="112">
        <f t="shared" ref="BQ179:CM179" si="283">SUM(BQ180:BQ181)</f>
        <v>-7836.5282683616097</v>
      </c>
      <c r="BR179" s="112">
        <f t="shared" si="283"/>
        <v>-30723.796767322747</v>
      </c>
      <c r="BS179" s="112">
        <f t="shared" si="283"/>
        <v>-28254.949670706039</v>
      </c>
      <c r="BT179" s="112">
        <f t="shared" si="283"/>
        <v>-20680.871905882563</v>
      </c>
      <c r="BU179" s="112">
        <f t="shared" si="283"/>
        <v>-9486.5037305106089</v>
      </c>
      <c r="BV179" s="112">
        <f t="shared" si="283"/>
        <v>-33766.833870619215</v>
      </c>
      <c r="BW179" s="112">
        <f t="shared" si="283"/>
        <v>-31138.145250421672</v>
      </c>
      <c r="BX179" s="112">
        <f t="shared" si="283"/>
        <v>-23148.964428607018</v>
      </c>
      <c r="BY179" s="112">
        <f t="shared" si="283"/>
        <v>-11358.478675716455</v>
      </c>
      <c r="BZ179" s="112">
        <f t="shared" si="283"/>
        <v>-36816.426154080502</v>
      </c>
      <c r="CA179" s="112">
        <f t="shared" si="283"/>
        <v>-34019.903934123082</v>
      </c>
      <c r="CB179" s="112">
        <f t="shared" si="283"/>
        <v>-25594.864902467692</v>
      </c>
      <c r="CC179" s="112">
        <f t="shared" si="283"/>
        <v>-13178.455693182612</v>
      </c>
      <c r="CD179" s="112">
        <f t="shared" si="283"/>
        <v>-39872.901376714857</v>
      </c>
      <c r="CE179" s="112">
        <f t="shared" si="283"/>
        <v>-36900.153877009565</v>
      </c>
      <c r="CF179" s="112">
        <f t="shared" si="283"/>
        <v>-28017.463725021404</v>
      </c>
      <c r="CG179" s="112">
        <f t="shared" si="283"/>
        <v>-14964.773391886491</v>
      </c>
      <c r="CH179" s="112">
        <f t="shared" si="283"/>
        <v>-42627.506330593278</v>
      </c>
      <c r="CI179" s="112">
        <f t="shared" si="283"/>
        <v>-39469.722287152719</v>
      </c>
      <c r="CJ179" s="112">
        <f t="shared" si="283"/>
        <v>-30106.498458815156</v>
      </c>
      <c r="CK179" s="112">
        <f t="shared" si="283"/>
        <v>-16342.789009640852</v>
      </c>
      <c r="CL179" s="112">
        <f t="shared" si="283"/>
        <v>-45698.79707979766</v>
      </c>
      <c r="CM179" s="112">
        <f t="shared" si="283"/>
        <v>-42346.724665435067</v>
      </c>
      <c r="CN179" s="112">
        <f>SUM(CN180:CN181)</f>
        <v>-32478.940476930624</v>
      </c>
      <c r="CO179" s="112"/>
    </row>
    <row r="180" spans="1:93" ht="12.75" customHeight="1">
      <c r="A180" s="117"/>
      <c r="B180" s="26" t="s">
        <v>251</v>
      </c>
      <c r="C180" s="117"/>
      <c r="D180" s="118">
        <f>D73+D76+D77</f>
        <v>0</v>
      </c>
      <c r="E180" s="5">
        <f t="shared" ref="E180:AJ180" si="284">E73+E76+E77+D180</f>
        <v>0</v>
      </c>
      <c r="F180" s="5">
        <f t="shared" si="284"/>
        <v>0</v>
      </c>
      <c r="G180" s="5">
        <f t="shared" si="284"/>
        <v>0</v>
      </c>
      <c r="H180" s="5">
        <f t="shared" si="284"/>
        <v>0</v>
      </c>
      <c r="I180" s="5">
        <f t="shared" si="284"/>
        <v>0</v>
      </c>
      <c r="J180" s="5">
        <f t="shared" si="284"/>
        <v>0</v>
      </c>
      <c r="K180" s="5">
        <f t="shared" si="284"/>
        <v>0</v>
      </c>
      <c r="L180" s="5">
        <f t="shared" si="284"/>
        <v>0</v>
      </c>
      <c r="M180" s="5">
        <f t="shared" si="284"/>
        <v>0</v>
      </c>
      <c r="N180" s="5">
        <f t="shared" si="284"/>
        <v>0</v>
      </c>
      <c r="O180" s="5">
        <f t="shared" si="284"/>
        <v>0</v>
      </c>
      <c r="P180" s="5">
        <f t="shared" si="284"/>
        <v>0</v>
      </c>
      <c r="Q180" s="5">
        <f t="shared" si="284"/>
        <v>0</v>
      </c>
      <c r="R180" s="5">
        <f t="shared" si="284"/>
        <v>0</v>
      </c>
      <c r="S180" s="5">
        <f t="shared" si="284"/>
        <v>0</v>
      </c>
      <c r="T180" s="5">
        <f t="shared" si="284"/>
        <v>0</v>
      </c>
      <c r="U180" s="5">
        <f t="shared" si="284"/>
        <v>0</v>
      </c>
      <c r="V180" s="5">
        <f t="shared" si="284"/>
        <v>1250.0407657417582</v>
      </c>
      <c r="W180" s="5">
        <f t="shared" si="284"/>
        <v>6671.8832956485294</v>
      </c>
      <c r="X180" s="5">
        <f t="shared" si="284"/>
        <v>11230.999195522209</v>
      </c>
      <c r="Y180" s="5">
        <f t="shared" si="284"/>
        <v>17773.963680770765</v>
      </c>
      <c r="Z180" s="5">
        <f t="shared" si="284"/>
        <v>4918.4905686250349</v>
      </c>
      <c r="AA180" s="5">
        <f t="shared" si="284"/>
        <v>6795.2185580074256</v>
      </c>
      <c r="AB180" s="5">
        <f t="shared" si="284"/>
        <v>11664.094398946043</v>
      </c>
      <c r="AC180" s="5">
        <f t="shared" si="284"/>
        <v>18650.163080185681</v>
      </c>
      <c r="AD180" s="5">
        <f t="shared" si="284"/>
        <v>4828.8749349312784</v>
      </c>
      <c r="AE180" s="5">
        <f t="shared" si="284"/>
        <v>6791.4515307797337</v>
      </c>
      <c r="AF180" s="5">
        <f t="shared" si="284"/>
        <v>11888.196896223075</v>
      </c>
      <c r="AG180" s="5">
        <f t="shared" si="284"/>
        <v>19207.486526368637</v>
      </c>
      <c r="AH180" s="5">
        <f t="shared" si="284"/>
        <v>4748.3886952806351</v>
      </c>
      <c r="AI180" s="5">
        <f t="shared" si="284"/>
        <v>6809.0941209215125</v>
      </c>
      <c r="AJ180" s="5">
        <f t="shared" si="284"/>
        <v>12160.676754637017</v>
      </c>
      <c r="AK180" s="5">
        <f t="shared" ref="AK180:BP180" si="285">AK73+AK76+AK77+AJ180</f>
        <v>19834.271523022235</v>
      </c>
      <c r="AL180" s="5">
        <f t="shared" si="285"/>
        <v>4835.9951167086092</v>
      </c>
      <c r="AM180" s="5">
        <f t="shared" si="285"/>
        <v>6999.7358136315324</v>
      </c>
      <c r="AN180" s="5">
        <f t="shared" si="285"/>
        <v>12618.897579032813</v>
      </c>
      <c r="AO180" s="5">
        <f t="shared" si="285"/>
        <v>20688.414396268294</v>
      </c>
      <c r="AP180" s="5">
        <f t="shared" si="285"/>
        <v>4747.2590374937772</v>
      </c>
      <c r="AQ180" s="5">
        <f t="shared" si="285"/>
        <v>7019.1867692628439</v>
      </c>
      <c r="AR180" s="5">
        <f t="shared" si="285"/>
        <v>12919.306622934188</v>
      </c>
      <c r="AS180" s="5">
        <f t="shared" si="285"/>
        <v>21392.299281031446</v>
      </c>
      <c r="AT180" s="5">
        <f t="shared" si="285"/>
        <v>4654.0861543182</v>
      </c>
      <c r="AU180" s="5">
        <f t="shared" si="285"/>
        <v>7039.6102726757217</v>
      </c>
      <c r="AV180" s="5">
        <f t="shared" si="285"/>
        <v>13234.736119030633</v>
      </c>
      <c r="AW180" s="5">
        <f t="shared" si="285"/>
        <v>22131.37841003275</v>
      </c>
      <c r="AX180" s="5">
        <f t="shared" si="285"/>
        <v>4556.2546269838458</v>
      </c>
      <c r="AY180" s="5">
        <f t="shared" si="285"/>
        <v>7061.0549512592415</v>
      </c>
      <c r="AZ180" s="5">
        <f t="shared" si="285"/>
        <v>13565.9370899319</v>
      </c>
      <c r="BA180" s="5">
        <f t="shared" si="285"/>
        <v>22893.239490871434</v>
      </c>
      <c r="BB180" s="5">
        <f t="shared" si="285"/>
        <v>4662.7407797696833</v>
      </c>
      <c r="BC180" s="5">
        <f t="shared" si="285"/>
        <v>7292.78112025885</v>
      </c>
      <c r="BD180" s="5">
        <f t="shared" si="285"/>
        <v>14122.90736586514</v>
      </c>
      <c r="BE180" s="5">
        <f t="shared" si="285"/>
        <v>23931.455491694978</v>
      </c>
      <c r="BF180" s="5">
        <f t="shared" si="285"/>
        <v>4554.8815208835586</v>
      </c>
      <c r="BG180" s="5">
        <f t="shared" si="285"/>
        <v>7316.4238783971823</v>
      </c>
      <c r="BH180" s="5">
        <f t="shared" si="285"/>
        <v>14488.05643628379</v>
      </c>
      <c r="BI180" s="5">
        <f t="shared" si="285"/>
        <v>24787.031968405128</v>
      </c>
      <c r="BJ180" s="5">
        <f t="shared" si="285"/>
        <v>4441.6292990531256</v>
      </c>
      <c r="BK180" s="5">
        <f t="shared" si="285"/>
        <v>7341.2487744424334</v>
      </c>
      <c r="BL180" s="5">
        <f t="shared" si="285"/>
        <v>14871.462960223369</v>
      </c>
      <c r="BM180" s="5">
        <f t="shared" si="285"/>
        <v>25685.38726895077</v>
      </c>
      <c r="BN180" s="5">
        <f t="shared" si="285"/>
        <v>4322.7144661311759</v>
      </c>
      <c r="BO180" s="5">
        <f t="shared" si="285"/>
        <v>7367.3149152899496</v>
      </c>
      <c r="BP180" s="5">
        <f t="shared" si="285"/>
        <v>15274.039810359933</v>
      </c>
      <c r="BQ180" s="5">
        <f t="shared" ref="BQ180:CN180" si="286">BQ73+BQ76+BQ77+BP180</f>
        <v>26611.43417434195</v>
      </c>
      <c r="BR180" s="5">
        <f t="shared" si="286"/>
        <v>4452.1490503808163</v>
      </c>
      <c r="BS180" s="5">
        <f t="shared" si="286"/>
        <v>7648.9795219975258</v>
      </c>
      <c r="BT180" s="5">
        <f t="shared" si="286"/>
        <v>15951.040661821007</v>
      </c>
      <c r="BU180" s="5">
        <f t="shared" si="286"/>
        <v>27873.392212192965</v>
      </c>
      <c r="BV180" s="5">
        <f t="shared" si="286"/>
        <v>4321.0454470843615</v>
      </c>
      <c r="BW180" s="5">
        <f t="shared" si="286"/>
        <v>7677.7174422819062</v>
      </c>
      <c r="BX180" s="5">
        <f t="shared" si="286"/>
        <v>16394.881639096566</v>
      </c>
      <c r="BY180" s="5">
        <f t="shared" si="286"/>
        <v>28913.350766987132</v>
      </c>
      <c r="BZ180" s="5">
        <f t="shared" si="286"/>
        <v>4183.3866636230887</v>
      </c>
      <c r="CA180" s="5">
        <f t="shared" si="286"/>
        <v>7707.892258580514</v>
      </c>
      <c r="CB180" s="5">
        <f t="shared" si="286"/>
        <v>16860.914665235905</v>
      </c>
      <c r="CC180" s="5">
        <f t="shared" si="286"/>
        <v>30005.307249520989</v>
      </c>
      <c r="CD180" s="5">
        <f t="shared" si="286"/>
        <v>4038.8449409887507</v>
      </c>
      <c r="CE180" s="5">
        <f t="shared" si="286"/>
        <v>7739.5758156940456</v>
      </c>
      <c r="CF180" s="5">
        <f t="shared" si="286"/>
        <v>17350.249342682207</v>
      </c>
      <c r="CG180" s="5">
        <f t="shared" si="286"/>
        <v>31130.923050817124</v>
      </c>
      <c r="CH180" s="5">
        <f t="shared" si="286"/>
        <v>4196.1734871103399</v>
      </c>
      <c r="CI180" s="5">
        <f t="shared" si="286"/>
        <v>8081.9409055509004</v>
      </c>
      <c r="CJ180" s="5">
        <f t="shared" si="286"/>
        <v>18173.148108888468</v>
      </c>
      <c r="CK180" s="5">
        <f t="shared" si="286"/>
        <v>32664.840933062776</v>
      </c>
      <c r="CL180" s="5">
        <f t="shared" si="286"/>
        <v>4036.8162379059759</v>
      </c>
      <c r="CM180" s="5">
        <f t="shared" si="286"/>
        <v>8116.8720272685659</v>
      </c>
      <c r="CN180" s="5">
        <f t="shared" si="286"/>
        <v>18712.639590773015</v>
      </c>
      <c r="CO180" s="5"/>
    </row>
    <row r="181" spans="1:93" ht="12.75" customHeight="1">
      <c r="A181" s="117"/>
      <c r="B181" s="26" t="s">
        <v>631</v>
      </c>
      <c r="C181" s="117"/>
      <c r="D181" s="445">
        <f>-D140</f>
        <v>0</v>
      </c>
      <c r="E181" s="5">
        <f t="shared" ref="E181:BP181" si="287">-E140+D181</f>
        <v>-727.98337500000002</v>
      </c>
      <c r="F181" s="5">
        <f t="shared" si="287"/>
        <v>-1455.96675</v>
      </c>
      <c r="G181" s="5">
        <f t="shared" si="287"/>
        <v>-2183.9501250000003</v>
      </c>
      <c r="H181" s="5">
        <f t="shared" si="287"/>
        <v>-2911.9335000000001</v>
      </c>
      <c r="I181" s="5">
        <f t="shared" si="287"/>
        <v>-3639.9168749999999</v>
      </c>
      <c r="J181" s="5">
        <f t="shared" si="287"/>
        <v>-4367.9002499999997</v>
      </c>
      <c r="K181" s="5">
        <f t="shared" si="287"/>
        <v>-5095.8836249999995</v>
      </c>
      <c r="L181" s="5">
        <f t="shared" si="287"/>
        <v>-5823.8669999999993</v>
      </c>
      <c r="M181" s="5">
        <f t="shared" si="287"/>
        <v>-6551.8503749999991</v>
      </c>
      <c r="N181" s="5">
        <f t="shared" si="287"/>
        <v>-7279.8337499999989</v>
      </c>
      <c r="O181" s="5">
        <f t="shared" si="287"/>
        <v>-7928.1939433593743</v>
      </c>
      <c r="P181" s="5">
        <f t="shared" si="287"/>
        <v>-8376.3587085937488</v>
      </c>
      <c r="Q181" s="5">
        <f t="shared" si="287"/>
        <v>-8624.3280457031233</v>
      </c>
      <c r="R181" s="5">
        <f t="shared" si="287"/>
        <v>-8583.3789808593738</v>
      </c>
      <c r="S181" s="5">
        <f t="shared" si="287"/>
        <v>-8273.9860464843732</v>
      </c>
      <c r="T181" s="5">
        <f t="shared" si="287"/>
        <v>-7432.7102587499976</v>
      </c>
      <c r="U181" s="5">
        <f t="shared" si="287"/>
        <v>-6039.0770852343721</v>
      </c>
      <c r="V181" s="5">
        <f t="shared" si="287"/>
        <v>-4583.1103352343716</v>
      </c>
      <c r="W181" s="5">
        <f t="shared" si="287"/>
        <v>-3127.1435852343711</v>
      </c>
      <c r="X181" s="5">
        <f t="shared" si="287"/>
        <v>-1688.7105677035549</v>
      </c>
      <c r="Y181" s="5">
        <f t="shared" si="287"/>
        <v>-2416.693942703555</v>
      </c>
      <c r="Z181" s="5">
        <f t="shared" si="287"/>
        <v>-3144.6773177035548</v>
      </c>
      <c r="AA181" s="5">
        <f t="shared" si="287"/>
        <v>-3872.6606927035546</v>
      </c>
      <c r="AB181" s="5">
        <f t="shared" si="287"/>
        <v>-4600.6440677035544</v>
      </c>
      <c r="AC181" s="5">
        <f t="shared" si="287"/>
        <v>-5328.6274427035542</v>
      </c>
      <c r="AD181" s="5">
        <f t="shared" si="287"/>
        <v>-6056.6108177035539</v>
      </c>
      <c r="AE181" s="5">
        <f t="shared" si="287"/>
        <v>-6784.5941927035537</v>
      </c>
      <c r="AF181" s="5">
        <f t="shared" si="287"/>
        <v>-7512.5775677035535</v>
      </c>
      <c r="AG181" s="5">
        <f t="shared" si="287"/>
        <v>-8240.5609427035542</v>
      </c>
      <c r="AH181" s="5">
        <f t="shared" si="287"/>
        <v>-8968.544317703554</v>
      </c>
      <c r="AI181" s="5">
        <f t="shared" si="287"/>
        <v>-9696.5276927035538</v>
      </c>
      <c r="AJ181" s="5">
        <f t="shared" si="287"/>
        <v>-10424.511067703554</v>
      </c>
      <c r="AK181" s="5">
        <f t="shared" si="287"/>
        <v>-11152.494442703553</v>
      </c>
      <c r="AL181" s="5">
        <f t="shared" si="287"/>
        <v>-11880.477817703553</v>
      </c>
      <c r="AM181" s="5">
        <f t="shared" si="287"/>
        <v>-12608.461192703553</v>
      </c>
      <c r="AN181" s="5">
        <f t="shared" si="287"/>
        <v>-13336.444567703553</v>
      </c>
      <c r="AO181" s="5">
        <f t="shared" si="287"/>
        <v>-14064.427942703553</v>
      </c>
      <c r="AP181" s="5">
        <f t="shared" si="287"/>
        <v>-14792.411317703552</v>
      </c>
      <c r="AQ181" s="5">
        <f t="shared" si="287"/>
        <v>-15520.394692703552</v>
      </c>
      <c r="AR181" s="5">
        <f t="shared" si="287"/>
        <v>-16248.378067703552</v>
      </c>
      <c r="AS181" s="5">
        <f t="shared" si="287"/>
        <v>-16976.361442703554</v>
      </c>
      <c r="AT181" s="5">
        <f t="shared" si="287"/>
        <v>-17704.344817703553</v>
      </c>
      <c r="AU181" s="5">
        <f t="shared" si="287"/>
        <v>-18432.328192703553</v>
      </c>
      <c r="AV181" s="5">
        <f t="shared" si="287"/>
        <v>-19160.311567703553</v>
      </c>
      <c r="AW181" s="5">
        <f t="shared" si="287"/>
        <v>-19888.294942703553</v>
      </c>
      <c r="AX181" s="5">
        <f t="shared" si="287"/>
        <v>-20616.278317703553</v>
      </c>
      <c r="AY181" s="5">
        <f t="shared" si="287"/>
        <v>-21344.261692703552</v>
      </c>
      <c r="AZ181" s="5">
        <f t="shared" si="287"/>
        <v>-22072.245067703552</v>
      </c>
      <c r="BA181" s="5">
        <f t="shared" si="287"/>
        <v>-22800.228442703552</v>
      </c>
      <c r="BB181" s="5">
        <f t="shared" si="287"/>
        <v>-23528.211817703552</v>
      </c>
      <c r="BC181" s="5">
        <f t="shared" si="287"/>
        <v>-24256.195192703552</v>
      </c>
      <c r="BD181" s="5">
        <f t="shared" si="287"/>
        <v>-24984.178567703551</v>
      </c>
      <c r="BE181" s="5">
        <f t="shared" si="287"/>
        <v>-25712.161942703551</v>
      </c>
      <c r="BF181" s="5">
        <f t="shared" si="287"/>
        <v>-26440.145317703551</v>
      </c>
      <c r="BG181" s="5">
        <f t="shared" si="287"/>
        <v>-27168.128692703551</v>
      </c>
      <c r="BH181" s="5">
        <f t="shared" si="287"/>
        <v>-27896.112067703551</v>
      </c>
      <c r="BI181" s="5">
        <f t="shared" si="287"/>
        <v>-28624.09544270355</v>
      </c>
      <c r="BJ181" s="5">
        <f t="shared" si="287"/>
        <v>-29352.07881770355</v>
      </c>
      <c r="BK181" s="5">
        <f t="shared" si="287"/>
        <v>-30080.06219270355</v>
      </c>
      <c r="BL181" s="5">
        <f t="shared" si="287"/>
        <v>-30808.04556770355</v>
      </c>
      <c r="BM181" s="5">
        <f t="shared" si="287"/>
        <v>-31536.02894270355</v>
      </c>
      <c r="BN181" s="5">
        <f t="shared" si="287"/>
        <v>-32264.012317703549</v>
      </c>
      <c r="BO181" s="5">
        <f t="shared" si="287"/>
        <v>-32991.995692703553</v>
      </c>
      <c r="BP181" s="5">
        <f t="shared" si="287"/>
        <v>-33719.979067703556</v>
      </c>
      <c r="BQ181" s="5">
        <f t="shared" ref="BQ181:CN181" si="288">-BQ140+BP181</f>
        <v>-34447.96244270356</v>
      </c>
      <c r="BR181" s="5">
        <f t="shared" si="288"/>
        <v>-35175.945817703563</v>
      </c>
      <c r="BS181" s="5">
        <f t="shared" si="288"/>
        <v>-35903.929192703567</v>
      </c>
      <c r="BT181" s="5">
        <f t="shared" si="288"/>
        <v>-36631.91256770357</v>
      </c>
      <c r="BU181" s="5">
        <f t="shared" si="288"/>
        <v>-37359.895942703573</v>
      </c>
      <c r="BV181" s="5">
        <f t="shared" si="288"/>
        <v>-38087.879317703577</v>
      </c>
      <c r="BW181" s="5">
        <f t="shared" si="288"/>
        <v>-38815.86269270358</v>
      </c>
      <c r="BX181" s="5">
        <f t="shared" si="288"/>
        <v>-39543.846067703584</v>
      </c>
      <c r="BY181" s="5">
        <f t="shared" si="288"/>
        <v>-40271.829442703587</v>
      </c>
      <c r="BZ181" s="5">
        <f t="shared" si="288"/>
        <v>-40999.812817703591</v>
      </c>
      <c r="CA181" s="5">
        <f t="shared" si="288"/>
        <v>-41727.796192703594</v>
      </c>
      <c r="CB181" s="5">
        <f t="shared" si="288"/>
        <v>-42455.779567703597</v>
      </c>
      <c r="CC181" s="5">
        <f t="shared" si="288"/>
        <v>-43183.762942703601</v>
      </c>
      <c r="CD181" s="5">
        <f t="shared" si="288"/>
        <v>-43911.746317703604</v>
      </c>
      <c r="CE181" s="5">
        <f t="shared" si="288"/>
        <v>-44639.729692703608</v>
      </c>
      <c r="CF181" s="5">
        <f t="shared" si="288"/>
        <v>-45367.713067703611</v>
      </c>
      <c r="CG181" s="5">
        <f t="shared" si="288"/>
        <v>-46095.696442703615</v>
      </c>
      <c r="CH181" s="5">
        <f t="shared" si="288"/>
        <v>-46823.679817703618</v>
      </c>
      <c r="CI181" s="5">
        <f t="shared" si="288"/>
        <v>-47551.663192703621</v>
      </c>
      <c r="CJ181" s="5">
        <f t="shared" si="288"/>
        <v>-48279.646567703625</v>
      </c>
      <c r="CK181" s="5">
        <f t="shared" si="288"/>
        <v>-49007.629942703628</v>
      </c>
      <c r="CL181" s="5">
        <f t="shared" si="288"/>
        <v>-49735.613317703632</v>
      </c>
      <c r="CM181" s="5">
        <f t="shared" si="288"/>
        <v>-50463.596692703635</v>
      </c>
      <c r="CN181" s="5">
        <f t="shared" si="288"/>
        <v>-51191.580067703639</v>
      </c>
      <c r="CO181" s="5"/>
    </row>
    <row r="182" spans="1:93" ht="12.75" customHeight="1">
      <c r="A182" s="112"/>
      <c r="B182" s="112" t="s">
        <v>252</v>
      </c>
      <c r="C182" s="112"/>
      <c r="D182" s="116">
        <f t="shared" ref="D182:CN182" si="289">D183</f>
        <v>0</v>
      </c>
      <c r="E182" s="112">
        <f t="shared" si="289"/>
        <v>0</v>
      </c>
      <c r="F182" s="112">
        <f t="shared" si="289"/>
        <v>0</v>
      </c>
      <c r="G182" s="112">
        <f t="shared" si="289"/>
        <v>0</v>
      </c>
      <c r="H182" s="112">
        <f t="shared" si="289"/>
        <v>0</v>
      </c>
      <c r="I182" s="112">
        <f t="shared" si="289"/>
        <v>0</v>
      </c>
      <c r="J182" s="112">
        <f t="shared" si="289"/>
        <v>0</v>
      </c>
      <c r="K182" s="112">
        <f t="shared" si="289"/>
        <v>0</v>
      </c>
      <c r="L182" s="112">
        <f t="shared" si="289"/>
        <v>0</v>
      </c>
      <c r="M182" s="112">
        <f t="shared" si="289"/>
        <v>0</v>
      </c>
      <c r="N182" s="112">
        <f t="shared" si="289"/>
        <v>21232.848437500012</v>
      </c>
      <c r="O182" s="112">
        <f t="shared" si="289"/>
        <v>74618.295937500021</v>
      </c>
      <c r="P182" s="112">
        <f t="shared" si="289"/>
        <v>128003.74343750003</v>
      </c>
      <c r="Q182" s="112">
        <f t="shared" si="289"/>
        <v>205048.65062500001</v>
      </c>
      <c r="R182" s="112">
        <f t="shared" si="289"/>
        <v>276633.6825</v>
      </c>
      <c r="S182" s="112">
        <f t="shared" si="289"/>
        <v>418469.11006250005</v>
      </c>
      <c r="T182" s="112">
        <f t="shared" si="289"/>
        <v>565764.41293750005</v>
      </c>
      <c r="U182" s="112">
        <f t="shared" si="289"/>
        <v>582386.70000000019</v>
      </c>
      <c r="V182" s="112">
        <f t="shared" si="289"/>
        <v>582386.70000000019</v>
      </c>
      <c r="W182" s="112">
        <f t="shared" si="289"/>
        <v>577711.03800821758</v>
      </c>
      <c r="X182" s="112">
        <f t="shared" si="289"/>
        <v>566069.05759806663</v>
      </c>
      <c r="Y182" s="112">
        <f t="shared" si="289"/>
        <v>501125.22151792771</v>
      </c>
      <c r="Z182" s="112">
        <f t="shared" si="289"/>
        <v>501125.22151792771</v>
      </c>
      <c r="AA182" s="112">
        <f t="shared" si="289"/>
        <v>496247.72417055303</v>
      </c>
      <c r="AB182" s="112">
        <f t="shared" si="289"/>
        <v>483761.05244654353</v>
      </c>
      <c r="AC182" s="112">
        <f t="shared" si="289"/>
        <v>416675.89682491531</v>
      </c>
      <c r="AD182" s="112">
        <f t="shared" si="289"/>
        <v>416675.89682491531</v>
      </c>
      <c r="AE182" s="112">
        <f t="shared" si="289"/>
        <v>409741.77115422214</v>
      </c>
      <c r="AF182" s="112">
        <f t="shared" si="289"/>
        <v>394765.78830815322</v>
      </c>
      <c r="AG182" s="112">
        <f t="shared" si="289"/>
        <v>322586.03937475733</v>
      </c>
      <c r="AH182" s="112">
        <f t="shared" si="289"/>
        <v>322586.03937475733</v>
      </c>
      <c r="AI182" s="112">
        <f t="shared" si="289"/>
        <v>313266.89021554257</v>
      </c>
      <c r="AJ182" s="112">
        <f t="shared" si="289"/>
        <v>295470.50912407064</v>
      </c>
      <c r="AK182" s="112">
        <f t="shared" si="289"/>
        <v>217581.88831926743</v>
      </c>
      <c r="AL182" s="112">
        <f t="shared" si="289"/>
        <v>217074.38796741536</v>
      </c>
      <c r="AM182" s="112">
        <f t="shared" si="289"/>
        <v>205163.63028807595</v>
      </c>
      <c r="AN182" s="112">
        <f t="shared" si="289"/>
        <v>184294.72410902078</v>
      </c>
      <c r="AO182" s="112">
        <f t="shared" si="289"/>
        <v>100287.50972618187</v>
      </c>
      <c r="AP182" s="112">
        <f t="shared" si="289"/>
        <v>97678.481743704091</v>
      </c>
      <c r="AQ182" s="112">
        <f t="shared" si="289"/>
        <v>82860.160138794687</v>
      </c>
      <c r="AR182" s="112">
        <f t="shared" si="289"/>
        <v>58621.49598729932</v>
      </c>
      <c r="AS182" s="112">
        <f t="shared" si="289"/>
        <v>0</v>
      </c>
      <c r="AT182" s="112">
        <f t="shared" si="289"/>
        <v>0</v>
      </c>
      <c r="AU182" s="112">
        <f t="shared" si="289"/>
        <v>0</v>
      </c>
      <c r="AV182" s="112">
        <f t="shared" si="289"/>
        <v>0</v>
      </c>
      <c r="AW182" s="112">
        <f t="shared" si="289"/>
        <v>0</v>
      </c>
      <c r="AX182" s="112">
        <f t="shared" si="289"/>
        <v>0</v>
      </c>
      <c r="AY182" s="112">
        <f t="shared" si="289"/>
        <v>0</v>
      </c>
      <c r="AZ182" s="112">
        <f t="shared" si="289"/>
        <v>0</v>
      </c>
      <c r="BA182" s="112">
        <f t="shared" si="289"/>
        <v>0</v>
      </c>
      <c r="BB182" s="112">
        <f t="shared" si="289"/>
        <v>0</v>
      </c>
      <c r="BC182" s="112">
        <f t="shared" si="289"/>
        <v>0</v>
      </c>
      <c r="BD182" s="112">
        <f t="shared" si="289"/>
        <v>0</v>
      </c>
      <c r="BE182" s="112">
        <f t="shared" si="289"/>
        <v>0</v>
      </c>
      <c r="BF182" s="112">
        <f t="shared" si="289"/>
        <v>0</v>
      </c>
      <c r="BG182" s="112">
        <f t="shared" si="289"/>
        <v>0</v>
      </c>
      <c r="BH182" s="112">
        <f t="shared" si="289"/>
        <v>0</v>
      </c>
      <c r="BI182" s="112">
        <f t="shared" si="289"/>
        <v>0</v>
      </c>
      <c r="BJ182" s="112">
        <f t="shared" si="289"/>
        <v>0</v>
      </c>
      <c r="BK182" s="112">
        <f t="shared" si="289"/>
        <v>0</v>
      </c>
      <c r="BL182" s="112">
        <f t="shared" si="289"/>
        <v>0</v>
      </c>
      <c r="BM182" s="112">
        <f t="shared" si="289"/>
        <v>0</v>
      </c>
      <c r="BN182" s="112">
        <f t="shared" si="289"/>
        <v>0</v>
      </c>
      <c r="BO182" s="112">
        <f t="shared" si="289"/>
        <v>0</v>
      </c>
      <c r="BP182" s="112">
        <f t="shared" si="289"/>
        <v>0</v>
      </c>
      <c r="BQ182" s="112">
        <f t="shared" si="289"/>
        <v>0</v>
      </c>
      <c r="BR182" s="112">
        <f t="shared" si="289"/>
        <v>0</v>
      </c>
      <c r="BS182" s="112">
        <f t="shared" si="289"/>
        <v>0</v>
      </c>
      <c r="BT182" s="112">
        <f t="shared" si="289"/>
        <v>0</v>
      </c>
      <c r="BU182" s="112">
        <f t="shared" si="289"/>
        <v>0</v>
      </c>
      <c r="BV182" s="112">
        <f t="shared" si="289"/>
        <v>0</v>
      </c>
      <c r="BW182" s="112">
        <f t="shared" si="289"/>
        <v>0</v>
      </c>
      <c r="BX182" s="112">
        <f t="shared" si="289"/>
        <v>0</v>
      </c>
      <c r="BY182" s="112">
        <f t="shared" si="289"/>
        <v>0</v>
      </c>
      <c r="BZ182" s="112">
        <f t="shared" si="289"/>
        <v>0</v>
      </c>
      <c r="CA182" s="112">
        <f t="shared" si="289"/>
        <v>0</v>
      </c>
      <c r="CB182" s="112">
        <f t="shared" si="289"/>
        <v>0</v>
      </c>
      <c r="CC182" s="112">
        <f t="shared" si="289"/>
        <v>0</v>
      </c>
      <c r="CD182" s="112">
        <f t="shared" si="289"/>
        <v>0</v>
      </c>
      <c r="CE182" s="112">
        <f t="shared" si="289"/>
        <v>0</v>
      </c>
      <c r="CF182" s="112">
        <f t="shared" si="289"/>
        <v>0</v>
      </c>
      <c r="CG182" s="112">
        <f t="shared" si="289"/>
        <v>0</v>
      </c>
      <c r="CH182" s="112">
        <f t="shared" si="289"/>
        <v>0</v>
      </c>
      <c r="CI182" s="112">
        <f t="shared" si="289"/>
        <v>0</v>
      </c>
      <c r="CJ182" s="112">
        <f t="shared" si="289"/>
        <v>0</v>
      </c>
      <c r="CK182" s="112">
        <f t="shared" si="289"/>
        <v>0</v>
      </c>
      <c r="CL182" s="112">
        <f t="shared" si="289"/>
        <v>0</v>
      </c>
      <c r="CM182" s="112">
        <f t="shared" si="289"/>
        <v>0</v>
      </c>
      <c r="CN182" s="112">
        <f t="shared" si="289"/>
        <v>0</v>
      </c>
      <c r="CO182" s="112"/>
    </row>
    <row r="183" spans="1:93" ht="12.75" customHeight="1">
      <c r="A183" s="117"/>
      <c r="B183" s="26" t="s">
        <v>253</v>
      </c>
      <c r="C183" s="117"/>
      <c r="D183" s="118">
        <f t="shared" ref="D183:BO183" si="290">D164</f>
        <v>0</v>
      </c>
      <c r="E183" s="5">
        <f t="shared" si="290"/>
        <v>0</v>
      </c>
      <c r="F183" s="5">
        <f t="shared" si="290"/>
        <v>0</v>
      </c>
      <c r="G183" s="5">
        <f t="shared" si="290"/>
        <v>0</v>
      </c>
      <c r="H183" s="5">
        <f t="shared" si="290"/>
        <v>0</v>
      </c>
      <c r="I183" s="5">
        <f t="shared" si="290"/>
        <v>0</v>
      </c>
      <c r="J183" s="5">
        <f t="shared" si="290"/>
        <v>0</v>
      </c>
      <c r="K183" s="5">
        <f t="shared" si="290"/>
        <v>0</v>
      </c>
      <c r="L183" s="5">
        <f t="shared" si="290"/>
        <v>0</v>
      </c>
      <c r="M183" s="5">
        <f t="shared" si="290"/>
        <v>0</v>
      </c>
      <c r="N183" s="5">
        <f t="shared" si="290"/>
        <v>21232.848437500012</v>
      </c>
      <c r="O183" s="5">
        <f t="shared" si="290"/>
        <v>74618.295937500021</v>
      </c>
      <c r="P183" s="5">
        <f t="shared" si="290"/>
        <v>128003.74343750003</v>
      </c>
      <c r="Q183" s="5">
        <f t="shared" si="290"/>
        <v>205048.65062500001</v>
      </c>
      <c r="R183" s="5">
        <f t="shared" si="290"/>
        <v>276633.6825</v>
      </c>
      <c r="S183" s="5">
        <f t="shared" si="290"/>
        <v>418469.11006250005</v>
      </c>
      <c r="T183" s="5">
        <f t="shared" si="290"/>
        <v>565764.41293750005</v>
      </c>
      <c r="U183" s="5">
        <f t="shared" si="290"/>
        <v>582386.70000000019</v>
      </c>
      <c r="V183" s="5">
        <f t="shared" si="290"/>
        <v>582386.70000000019</v>
      </c>
      <c r="W183" s="5">
        <f t="shared" si="290"/>
        <v>577711.03800821758</v>
      </c>
      <c r="X183" s="5">
        <f t="shared" si="290"/>
        <v>566069.05759806663</v>
      </c>
      <c r="Y183" s="5">
        <f t="shared" si="290"/>
        <v>501125.22151792771</v>
      </c>
      <c r="Z183" s="5">
        <f t="shared" si="290"/>
        <v>501125.22151792771</v>
      </c>
      <c r="AA183" s="5">
        <f t="shared" si="290"/>
        <v>496247.72417055303</v>
      </c>
      <c r="AB183" s="5">
        <f t="shared" si="290"/>
        <v>483761.05244654353</v>
      </c>
      <c r="AC183" s="5">
        <f t="shared" si="290"/>
        <v>416675.89682491531</v>
      </c>
      <c r="AD183" s="5">
        <f t="shared" si="290"/>
        <v>416675.89682491531</v>
      </c>
      <c r="AE183" s="5">
        <f t="shared" si="290"/>
        <v>409741.77115422214</v>
      </c>
      <c r="AF183" s="5">
        <f t="shared" si="290"/>
        <v>394765.78830815322</v>
      </c>
      <c r="AG183" s="5">
        <f t="shared" si="290"/>
        <v>322586.03937475733</v>
      </c>
      <c r="AH183" s="5">
        <f t="shared" si="290"/>
        <v>322586.03937475733</v>
      </c>
      <c r="AI183" s="5">
        <f t="shared" si="290"/>
        <v>313266.89021554257</v>
      </c>
      <c r="AJ183" s="5">
        <f t="shared" si="290"/>
        <v>295470.50912407064</v>
      </c>
      <c r="AK183" s="5">
        <f t="shared" si="290"/>
        <v>217581.88831926743</v>
      </c>
      <c r="AL183" s="5">
        <f t="shared" si="290"/>
        <v>217074.38796741536</v>
      </c>
      <c r="AM183" s="5">
        <f t="shared" si="290"/>
        <v>205163.63028807595</v>
      </c>
      <c r="AN183" s="5">
        <f t="shared" si="290"/>
        <v>184294.72410902078</v>
      </c>
      <c r="AO183" s="5">
        <f t="shared" si="290"/>
        <v>100287.50972618187</v>
      </c>
      <c r="AP183" s="5">
        <f t="shared" si="290"/>
        <v>97678.481743704091</v>
      </c>
      <c r="AQ183" s="5">
        <f t="shared" si="290"/>
        <v>82860.160138794687</v>
      </c>
      <c r="AR183" s="5">
        <f t="shared" si="290"/>
        <v>58621.49598729932</v>
      </c>
      <c r="AS183" s="5">
        <f t="shared" si="290"/>
        <v>0</v>
      </c>
      <c r="AT183" s="5">
        <f t="shared" si="290"/>
        <v>0</v>
      </c>
      <c r="AU183" s="5">
        <f t="shared" si="290"/>
        <v>0</v>
      </c>
      <c r="AV183" s="5">
        <f t="shared" si="290"/>
        <v>0</v>
      </c>
      <c r="AW183" s="5">
        <f t="shared" si="290"/>
        <v>0</v>
      </c>
      <c r="AX183" s="5">
        <f t="shared" si="290"/>
        <v>0</v>
      </c>
      <c r="AY183" s="5">
        <f t="shared" si="290"/>
        <v>0</v>
      </c>
      <c r="AZ183" s="5">
        <f t="shared" si="290"/>
        <v>0</v>
      </c>
      <c r="BA183" s="5">
        <f t="shared" si="290"/>
        <v>0</v>
      </c>
      <c r="BB183" s="5">
        <f t="shared" si="290"/>
        <v>0</v>
      </c>
      <c r="BC183" s="5">
        <f t="shared" si="290"/>
        <v>0</v>
      </c>
      <c r="BD183" s="5">
        <f t="shared" si="290"/>
        <v>0</v>
      </c>
      <c r="BE183" s="5">
        <f t="shared" si="290"/>
        <v>0</v>
      </c>
      <c r="BF183" s="5">
        <f t="shared" si="290"/>
        <v>0</v>
      </c>
      <c r="BG183" s="5">
        <f t="shared" si="290"/>
        <v>0</v>
      </c>
      <c r="BH183" s="5">
        <f t="shared" si="290"/>
        <v>0</v>
      </c>
      <c r="BI183" s="5">
        <f t="shared" si="290"/>
        <v>0</v>
      </c>
      <c r="BJ183" s="5">
        <f t="shared" si="290"/>
        <v>0</v>
      </c>
      <c r="BK183" s="5">
        <f t="shared" si="290"/>
        <v>0</v>
      </c>
      <c r="BL183" s="5">
        <f t="shared" si="290"/>
        <v>0</v>
      </c>
      <c r="BM183" s="5">
        <f t="shared" si="290"/>
        <v>0</v>
      </c>
      <c r="BN183" s="5">
        <f t="shared" si="290"/>
        <v>0</v>
      </c>
      <c r="BO183" s="5">
        <f t="shared" si="290"/>
        <v>0</v>
      </c>
      <c r="BP183" s="5">
        <f t="shared" ref="BP183:CN183" si="291">BP164</f>
        <v>0</v>
      </c>
      <c r="BQ183" s="5">
        <f t="shared" si="291"/>
        <v>0</v>
      </c>
      <c r="BR183" s="5">
        <f t="shared" si="291"/>
        <v>0</v>
      </c>
      <c r="BS183" s="5">
        <f t="shared" si="291"/>
        <v>0</v>
      </c>
      <c r="BT183" s="5">
        <f t="shared" si="291"/>
        <v>0</v>
      </c>
      <c r="BU183" s="5">
        <f t="shared" si="291"/>
        <v>0</v>
      </c>
      <c r="BV183" s="5">
        <f t="shared" si="291"/>
        <v>0</v>
      </c>
      <c r="BW183" s="5">
        <f t="shared" si="291"/>
        <v>0</v>
      </c>
      <c r="BX183" s="5">
        <f t="shared" si="291"/>
        <v>0</v>
      </c>
      <c r="BY183" s="5">
        <f t="shared" si="291"/>
        <v>0</v>
      </c>
      <c r="BZ183" s="5">
        <f t="shared" si="291"/>
        <v>0</v>
      </c>
      <c r="CA183" s="5">
        <f t="shared" si="291"/>
        <v>0</v>
      </c>
      <c r="CB183" s="5">
        <f t="shared" si="291"/>
        <v>0</v>
      </c>
      <c r="CC183" s="5">
        <f t="shared" si="291"/>
        <v>0</v>
      </c>
      <c r="CD183" s="5">
        <f t="shared" si="291"/>
        <v>0</v>
      </c>
      <c r="CE183" s="5">
        <f t="shared" si="291"/>
        <v>0</v>
      </c>
      <c r="CF183" s="5">
        <f t="shared" si="291"/>
        <v>0</v>
      </c>
      <c r="CG183" s="5">
        <f t="shared" si="291"/>
        <v>0</v>
      </c>
      <c r="CH183" s="5">
        <f t="shared" si="291"/>
        <v>0</v>
      </c>
      <c r="CI183" s="5">
        <f t="shared" si="291"/>
        <v>0</v>
      </c>
      <c r="CJ183" s="5">
        <f t="shared" si="291"/>
        <v>0</v>
      </c>
      <c r="CK183" s="5">
        <f t="shared" si="291"/>
        <v>0</v>
      </c>
      <c r="CL183" s="5">
        <f t="shared" si="291"/>
        <v>0</v>
      </c>
      <c r="CM183" s="5">
        <f t="shared" si="291"/>
        <v>0</v>
      </c>
      <c r="CN183" s="5">
        <f t="shared" si="291"/>
        <v>0</v>
      </c>
      <c r="CO183" s="5"/>
    </row>
    <row r="184" spans="1:93" ht="12.75" customHeight="1">
      <c r="A184" s="112"/>
      <c r="B184" s="112" t="s">
        <v>254</v>
      </c>
      <c r="C184" s="112"/>
      <c r="D184" s="116">
        <f t="shared" ref="D184:CN184" si="292">SUM(D185:D186)</f>
        <v>145596.67499999999</v>
      </c>
      <c r="E184" s="112">
        <f t="shared" si="292"/>
        <v>142384.74149999997</v>
      </c>
      <c r="F184" s="112">
        <f t="shared" si="292"/>
        <v>139172.80799999999</v>
      </c>
      <c r="G184" s="112">
        <f t="shared" si="292"/>
        <v>135960.87449999998</v>
      </c>
      <c r="H184" s="112">
        <f t="shared" si="292"/>
        <v>132748.94099999999</v>
      </c>
      <c r="I184" s="112">
        <f t="shared" si="292"/>
        <v>129537.00749999999</v>
      </c>
      <c r="J184" s="112">
        <f t="shared" si="292"/>
        <v>126325.07399999999</v>
      </c>
      <c r="K184" s="112">
        <f t="shared" si="292"/>
        <v>123113.14049999999</v>
      </c>
      <c r="L184" s="112">
        <f t="shared" si="292"/>
        <v>119901.20699999999</v>
      </c>
      <c r="M184" s="112">
        <f t="shared" si="292"/>
        <v>116689.2735</v>
      </c>
      <c r="N184" s="112">
        <f t="shared" si="292"/>
        <v>113477.34</v>
      </c>
      <c r="O184" s="112">
        <f t="shared" si="292"/>
        <v>110185.78331835938</v>
      </c>
      <c r="P184" s="112">
        <f t="shared" si="292"/>
        <v>106694.03120859375</v>
      </c>
      <c r="Q184" s="112">
        <f t="shared" si="292"/>
        <v>103002.08367070313</v>
      </c>
      <c r="R184" s="112">
        <f t="shared" si="292"/>
        <v>99021.217730859382</v>
      </c>
      <c r="S184" s="112">
        <f t="shared" si="292"/>
        <v>94771.90792148438</v>
      </c>
      <c r="T184" s="112">
        <f t="shared" si="292"/>
        <v>89990.715258750002</v>
      </c>
      <c r="U184" s="112">
        <f t="shared" si="292"/>
        <v>84657.16521023438</v>
      </c>
      <c r="V184" s="112">
        <f t="shared" si="292"/>
        <v>79261.281585234363</v>
      </c>
      <c r="W184" s="112">
        <f t="shared" si="292"/>
        <v>90209.463831782181</v>
      </c>
      <c r="X184" s="112">
        <f t="shared" si="292"/>
        <v>109772.60600705119</v>
      </c>
      <c r="Y184" s="112">
        <f t="shared" si="292"/>
        <v>185242.31389163353</v>
      </c>
      <c r="Z184" s="112">
        <f t="shared" si="292"/>
        <v>181891.06184663635</v>
      </c>
      <c r="AA184" s="112">
        <f t="shared" si="292"/>
        <v>178979.12834663634</v>
      </c>
      <c r="AB184" s="112">
        <f t="shared" si="292"/>
        <v>176067.19484663632</v>
      </c>
      <c r="AC184" s="112">
        <f t="shared" si="292"/>
        <v>190448.18626992876</v>
      </c>
      <c r="AD184" s="112">
        <f t="shared" si="292"/>
        <v>189041.05651923615</v>
      </c>
      <c r="AE184" s="112">
        <f t="shared" si="292"/>
        <v>194843.00355673308</v>
      </c>
      <c r="AF184" s="112">
        <f t="shared" si="292"/>
        <v>208975.03145855822</v>
      </c>
      <c r="AG184" s="112">
        <f t="shared" si="292"/>
        <v>292172.05063558393</v>
      </c>
      <c r="AH184" s="112">
        <f t="shared" si="292"/>
        <v>289260.11713558389</v>
      </c>
      <c r="AI184" s="112">
        <f t="shared" si="292"/>
        <v>297737.41502614133</v>
      </c>
      <c r="AJ184" s="112">
        <f t="shared" si="292"/>
        <v>314783.95253616577</v>
      </c>
      <c r="AK184" s="112">
        <f t="shared" si="292"/>
        <v>404381.55278344057</v>
      </c>
      <c r="AL184" s="112">
        <f t="shared" si="292"/>
        <v>407391.9678828615</v>
      </c>
      <c r="AM184" s="112">
        <f t="shared" si="292"/>
        <v>418575.17153189867</v>
      </c>
      <c r="AN184" s="112">
        <f t="shared" si="292"/>
        <v>438789.75506539247</v>
      </c>
      <c r="AO184" s="112">
        <f t="shared" si="292"/>
        <v>535217.53672170965</v>
      </c>
      <c r="AP184" s="112">
        <f t="shared" si="292"/>
        <v>540765.6624080718</v>
      </c>
      <c r="AQ184" s="112">
        <f t="shared" si="292"/>
        <v>554926.46075441036</v>
      </c>
      <c r="AR184" s="112">
        <f t="shared" si="292"/>
        <v>578606.83914202498</v>
      </c>
      <c r="AS184" s="112">
        <f t="shared" si="292"/>
        <v>682347.93307486619</v>
      </c>
      <c r="AT184" s="112">
        <f t="shared" si="292"/>
        <v>679435.99957486615</v>
      </c>
      <c r="AU184" s="112">
        <f t="shared" si="292"/>
        <v>676524.0660748661</v>
      </c>
      <c r="AV184" s="112">
        <f t="shared" si="292"/>
        <v>673612.13257486606</v>
      </c>
      <c r="AW184" s="112">
        <f t="shared" si="292"/>
        <v>670700.19907486602</v>
      </c>
      <c r="AX184" s="112">
        <f t="shared" si="292"/>
        <v>667788.26557486597</v>
      </c>
      <c r="AY184" s="112">
        <f t="shared" si="292"/>
        <v>664876.33207486605</v>
      </c>
      <c r="AZ184" s="112">
        <f t="shared" si="292"/>
        <v>661964.39857486612</v>
      </c>
      <c r="BA184" s="112">
        <f t="shared" si="292"/>
        <v>659052.46507486608</v>
      </c>
      <c r="BB184" s="112">
        <f t="shared" si="292"/>
        <v>656140.53157486615</v>
      </c>
      <c r="BC184" s="112">
        <f t="shared" si="292"/>
        <v>653228.59807486611</v>
      </c>
      <c r="BD184" s="112">
        <f t="shared" si="292"/>
        <v>650316.66457486618</v>
      </c>
      <c r="BE184" s="112">
        <f t="shared" si="292"/>
        <v>647404.73107486614</v>
      </c>
      <c r="BF184" s="112">
        <f t="shared" si="292"/>
        <v>644492.79757486621</v>
      </c>
      <c r="BG184" s="112">
        <f t="shared" si="292"/>
        <v>641580.86407486629</v>
      </c>
      <c r="BH184" s="112">
        <f t="shared" si="292"/>
        <v>638668.93057486624</v>
      </c>
      <c r="BI184" s="112">
        <f t="shared" si="292"/>
        <v>635756.9970748662</v>
      </c>
      <c r="BJ184" s="112">
        <f t="shared" si="292"/>
        <v>632845.06357486628</v>
      </c>
      <c r="BK184" s="112">
        <f t="shared" si="292"/>
        <v>629933.13007486635</v>
      </c>
      <c r="BL184" s="112">
        <f t="shared" si="292"/>
        <v>627021.19657486631</v>
      </c>
      <c r="BM184" s="112">
        <f t="shared" si="292"/>
        <v>624109.26307486638</v>
      </c>
      <c r="BN184" s="112">
        <f t="shared" si="292"/>
        <v>621197.32957486645</v>
      </c>
      <c r="BO184" s="112">
        <f t="shared" si="292"/>
        <v>618285.39607486641</v>
      </c>
      <c r="BP184" s="112">
        <f t="shared" si="292"/>
        <v>615373.46257486637</v>
      </c>
      <c r="BQ184" s="112">
        <f t="shared" si="292"/>
        <v>612461.52907486632</v>
      </c>
      <c r="BR184" s="112">
        <f t="shared" si="292"/>
        <v>609549.5955748664</v>
      </c>
      <c r="BS184" s="112">
        <f t="shared" si="292"/>
        <v>606637.66207486647</v>
      </c>
      <c r="BT184" s="112">
        <f t="shared" si="292"/>
        <v>603725.72857486643</v>
      </c>
      <c r="BU184" s="112">
        <f t="shared" si="292"/>
        <v>600813.79507486639</v>
      </c>
      <c r="BV184" s="112">
        <f t="shared" si="292"/>
        <v>597901.86157486646</v>
      </c>
      <c r="BW184" s="112">
        <f t="shared" si="292"/>
        <v>594989.92807486653</v>
      </c>
      <c r="BX184" s="112">
        <f t="shared" si="292"/>
        <v>592077.99457486649</v>
      </c>
      <c r="BY184" s="112">
        <f t="shared" si="292"/>
        <v>589166.06107486645</v>
      </c>
      <c r="BZ184" s="112">
        <f t="shared" si="292"/>
        <v>586254.12757486652</v>
      </c>
      <c r="CA184" s="112">
        <f t="shared" si="292"/>
        <v>583342.19407486659</v>
      </c>
      <c r="CB184" s="112">
        <f t="shared" si="292"/>
        <v>580430.26057486655</v>
      </c>
      <c r="CC184" s="112">
        <f t="shared" si="292"/>
        <v>577518.32707486663</v>
      </c>
      <c r="CD184" s="112">
        <f t="shared" si="292"/>
        <v>574606.3935748667</v>
      </c>
      <c r="CE184" s="112">
        <f t="shared" si="292"/>
        <v>571694.46007486666</v>
      </c>
      <c r="CF184" s="112">
        <f t="shared" si="292"/>
        <v>568782.52657486661</v>
      </c>
      <c r="CG184" s="112">
        <f t="shared" si="292"/>
        <v>565870.5930748668</v>
      </c>
      <c r="CH184" s="112">
        <f t="shared" si="292"/>
        <v>562958.65957486676</v>
      </c>
      <c r="CI184" s="112">
        <f t="shared" si="292"/>
        <v>560046.72607486672</v>
      </c>
      <c r="CJ184" s="112">
        <f t="shared" si="292"/>
        <v>557134.79257486679</v>
      </c>
      <c r="CK184" s="112">
        <f t="shared" si="292"/>
        <v>554222.85907486675</v>
      </c>
      <c r="CL184" s="112">
        <f t="shared" si="292"/>
        <v>551310.92557486682</v>
      </c>
      <c r="CM184" s="112">
        <f t="shared" si="292"/>
        <v>548398.99207486678</v>
      </c>
      <c r="CN184" s="112">
        <f t="shared" si="292"/>
        <v>545487.05857486674</v>
      </c>
      <c r="CO184" s="112"/>
    </row>
    <row r="185" spans="1:93" ht="12.75" customHeight="1">
      <c r="A185" s="117"/>
      <c r="B185" s="26" t="s">
        <v>255</v>
      </c>
      <c r="C185" s="117"/>
      <c r="D185" s="118">
        <f>+D66+D88</f>
        <v>0</v>
      </c>
      <c r="E185" s="5">
        <f>IF(E9&lt;Assump!$D$54,(D185+E66+E88-E165*(1-Assump!$D$27)-'операционные расходы 2 этап'!$B$34*(1-Assump!$D$27)),(D185+E66+E88-'операционные расходы 2 этап'!$B$34*(1-Assump!$D$27)))</f>
        <v>-3211.9335000000001</v>
      </c>
      <c r="F185" s="5">
        <f>IF(F9&lt;Assump!$D$54,(E185+F66+F88-F165*(1-Assump!$D$27)-'операционные расходы 2 этап'!$B$34*(1-Assump!$D$27)),(E185+F66+F88-'операционные расходы 2 этап'!$B$34*(1-Assump!$D$27)))</f>
        <v>-6423.8670000000002</v>
      </c>
      <c r="G185" s="5">
        <f>IF(G9&lt;Assump!$D$54,(F185+G66+G88-G165*(1-Assump!$D$27)-'операционные расходы 2 этап'!$B$34*(1-Assump!$D$27)),(F185+G66+G88-'операционные расходы 2 этап'!$B$34*(1-Assump!$D$27)))</f>
        <v>-9635.8005000000012</v>
      </c>
      <c r="H185" s="5">
        <f>IF(H9&lt;Assump!$D$54,(G185+H66+H88-H165*(1-Assump!$D$27)-'операционные расходы 2 этап'!$B$34*(1-Assump!$D$27)),(G185+H66+H88-'операционные расходы 2 этап'!$B$34*(1-Assump!$D$27)))</f>
        <v>-12847.734</v>
      </c>
      <c r="I185" s="5">
        <f>IF(I9&lt;Assump!$D$54,(H185+I66+I88-I165*(1-Assump!$D$27)-'операционные расходы 2 этап'!$B$34*(1-Assump!$D$27)),(H185+I66+I88-'операционные расходы 2 этап'!$B$34*(1-Assump!$D$27)))</f>
        <v>-16059.6675</v>
      </c>
      <c r="J185" s="5">
        <f>IF(J9&lt;Assump!$D$54,(I185+J66+J88-J165*(1-Assump!$D$27)-'операционные расходы 2 этап'!$B$34*(1-Assump!$D$27)),(I185+J66+J88-'операционные расходы 2 этап'!$B$34*(1-Assump!$D$27)))</f>
        <v>-19271.600999999999</v>
      </c>
      <c r="K185" s="5">
        <f>IF(K9&lt;Assump!$D$54,(J185+K66+K88-K165*(1-Assump!$D$27)-'операционные расходы 2 этап'!$B$34*(1-Assump!$D$27)),(J185+K66+K88-'операционные расходы 2 этап'!$B$34*(1-Assump!$D$27)))</f>
        <v>-22483.534499999998</v>
      </c>
      <c r="L185" s="5">
        <f>IF(L9&lt;Assump!$D$54,(K185+L66+L88-L165*(1-Assump!$D$27)-'операционные расходы 2 этап'!$B$34*(1-Assump!$D$27)),(K185+L66+L88-'операционные расходы 2 этап'!$B$34*(1-Assump!$D$27)))</f>
        <v>-25695.467999999997</v>
      </c>
      <c r="M185" s="5">
        <f>IF(M9&lt;Assump!$D$54,(L185+M66+M88-M165*(1-Assump!$D$27)-'операционные расходы 2 этап'!$B$34*(1-Assump!$D$27)),(L185+M66+M88-'операционные расходы 2 этап'!$B$34*(1-Assump!$D$27)))</f>
        <v>-28907.401499999996</v>
      </c>
      <c r="N185" s="5">
        <f>IF(N9&lt;Assump!$D$54,(M185+N66+N88-N165*(1-Assump!$D$27)-'операционные расходы 2 этап'!$B$34*(1-Assump!$D$27)),(M185+N66+N88-'операционные расходы 2 этап'!$B$34*(1-Assump!$D$27)))</f>
        <v>-32119.334999999995</v>
      </c>
      <c r="O185" s="5">
        <f>IF(O9&lt;Assump!$D$54,(N185+O66+O88-O165*(1-Assump!$D$27)-'операционные расходы 2 этап'!$B$34*(1-Assump!$D$27)),(N185+O66+O88-'операционные расходы 2 этап'!$B$34*(1-Assump!$D$27)))</f>
        <v>-35410.89168164062</v>
      </c>
      <c r="P185" s="5">
        <f>IF(P9&lt;Assump!$D$54,(O185+P66+P88-P165*(1-Assump!$D$27)-'операционные расходы 2 этап'!$B$34*(1-Assump!$D$27)),(O185+P66+P88-'операционные расходы 2 этап'!$B$34*(1-Assump!$D$27)))</f>
        <v>-38902.643791406241</v>
      </c>
      <c r="Q185" s="5">
        <f>IF(Q9&lt;Assump!$D$54,(P185+Q66+Q88-Q165*(1-Assump!$D$27)-'операционные расходы 2 этап'!$B$34*(1-Assump!$D$27)),(P185+Q66+Q88-'операционные расходы 2 этап'!$B$34*(1-Assump!$D$27)))</f>
        <v>-42594.591329296862</v>
      </c>
      <c r="R185" s="5">
        <f>IF(R9&lt;Assump!$D$54,(Q185+R66+R88-R165*(1-Assump!$D$27)-'операционные расходы 2 этап'!$B$34*(1-Assump!$D$27)),(Q185+R66+R88-'операционные расходы 2 этап'!$B$34*(1-Assump!$D$27)))</f>
        <v>-46575.457269140614</v>
      </c>
      <c r="S185" s="5">
        <f>IF(S9&lt;Assump!$D$54,(R185+S66+S88-S165*(1-Assump!$D$27)-'операционные расходы 2 этап'!$B$34*(1-Assump!$D$27)),(R185+S66+S88-'операционные расходы 2 этап'!$B$34*(1-Assump!$D$27)))</f>
        <v>-50824.767078515615</v>
      </c>
      <c r="T185" s="5">
        <f>IF(T9&lt;Assump!$D$54,(S185+T66+T88-T165*(1-Assump!$D$27)-'операционные расходы 2 этап'!$B$34*(1-Assump!$D$27)),(S185+T66+T88-'операционные расходы 2 этап'!$B$34*(1-Assump!$D$27)))</f>
        <v>-55605.959741249986</v>
      </c>
      <c r="U185" s="5">
        <f>IF(U9&lt;Assump!$D$54,(T185+U66+U88-U165*(1-Assump!$D$27)-'операционные расходы 2 этап'!$B$34*(1-Assump!$D$27)),(T185+U66+U88-'операционные расходы 2 этап'!$B$34*(1-Assump!$D$27)))</f>
        <v>-60939.509789765616</v>
      </c>
      <c r="V185" s="5">
        <f>IF(V9&lt;Assump!$D$54,(U185+V66+V88-V165*(1-Assump!$D$27)-'операционные расходы 2 этап'!$B$34*(1-Assump!$D$27)),(U185+V66+V88-'операционные расходы 2 этап'!$B$34*(1-Assump!$D$27)))</f>
        <v>-66335.393414765625</v>
      </c>
      <c r="W185" s="5">
        <f>IF(W9&lt;Assump!$D$54,(V185+W66+W88-W165*(1-Assump!$D$27)-'операционные расходы 2 этап'!$B$34*(1-Assump!$D$27)),(V185+W66+W88-'операционные расходы 2 этап'!$B$34*(1-Assump!$D$27)))</f>
        <v>-55387.211168217807</v>
      </c>
      <c r="X185" s="5">
        <f>IF(X9&lt;Assump!$D$54,(W185+X66+X88-X165*(1-Assump!$D$27)-'операционные расходы 2 этап'!$B$34*(1-Assump!$D$27)),(W185+X66+X88-'операционные расходы 2 этап'!$B$34*(1-Assump!$D$27)))</f>
        <v>-35824.0689929488</v>
      </c>
      <c r="Y185" s="5">
        <f>IF(Y9&lt;Assump!$D$54,(X185+Y66+Y88-Y165*(1-Assump!$D$27)-'операционные расходы 2 этап'!$B$34*(1-Assump!$D$27)),(X185+Y66+Y88-'операционные расходы 2 этап'!$B$34*(1-Assump!$D$27)))</f>
        <v>39645.638891633527</v>
      </c>
      <c r="Z185" s="5">
        <f>IF(Z9&lt;Assump!$D$54,(Y185+Z66+Z88-Z165*(1-Assump!$D$27)-'операционные расходы 2 этап'!$B$34*(1-Assump!$D$27)),(Y185+Z66+Z88-'операционные расходы 2 этап'!$B$34*(1-Assump!$D$27)))</f>
        <v>36294.386846636349</v>
      </c>
      <c r="AA185" s="5">
        <f>IF(AA9&lt;Assump!$D$54,(Z185+AA66+AA88-AA165*(1-Assump!$D$27)-'операционные расходы 2 этап'!$B$34*(1-Assump!$D$27)),(Z185+AA66+AA88-'операционные расходы 2 этап'!$B$34*(1-Assump!$D$27)))</f>
        <v>33382.45334663635</v>
      </c>
      <c r="AB185" s="5">
        <f>IF(AB9&lt;Assump!$D$54,(AA185+AB66+AB88-AB165*(1-Assump!$D$27)-'операционные расходы 2 этап'!$B$34*(1-Assump!$D$27)),(AA185+AB66+AB88-'операционные расходы 2 этап'!$B$34*(1-Assump!$D$27)))</f>
        <v>30470.519846636351</v>
      </c>
      <c r="AC185" s="5">
        <f>IF(AC9&lt;Assump!$D$54,(AB185+AC66+AC88-AC165*(1-Assump!$D$27)-'операционные расходы 2 этап'!$B$34*(1-Assump!$D$27)),(AB185+AC66+AC88-'операционные расходы 2 этап'!$B$34*(1-Assump!$D$27)))</f>
        <v>44851.511269928764</v>
      </c>
      <c r="AD185" s="5">
        <f>IF(AD9&lt;Assump!$D$54,(AC185+AD66+AD88-AD165*(1-Assump!$D$27)-'операционные расходы 2 этап'!$B$34*(1-Assump!$D$27)),(AC185+AD66+AD88-'операционные расходы 2 этап'!$B$34*(1-Assump!$D$27)))</f>
        <v>43444.381519236165</v>
      </c>
      <c r="AE185" s="5">
        <f>IF(AE9&lt;Assump!$D$54,(AD185+AE66+AE88-AE165*(1-Assump!$D$27)-'операционные расходы 2 этап'!$B$34*(1-Assump!$D$27)),(AD185+AE66+AE88-'операционные расходы 2 этап'!$B$34*(1-Assump!$D$27)))</f>
        <v>49246.328556733089</v>
      </c>
      <c r="AF185" s="5">
        <f>IF(AF9&lt;Assump!$D$54,(AE185+AF66+AF88-AF165*(1-Assump!$D$27)-'операционные расходы 2 этап'!$B$34*(1-Assump!$D$27)),(AE185+AF66+AF88-'операционные расходы 2 этап'!$B$34*(1-Assump!$D$27)))</f>
        <v>63378.35645855825</v>
      </c>
      <c r="AG185" s="5">
        <f>IF(AG9&lt;Assump!$D$54,(AF185+AG66+AG88-AG165*(1-Assump!$D$27)-'операционные расходы 2 этап'!$B$34*(1-Assump!$D$27)),(AF185+AG66+AG88-'операционные расходы 2 этап'!$B$34*(1-Assump!$D$27)))</f>
        <v>146575.37563558391</v>
      </c>
      <c r="AH185" s="5">
        <f>IF(AH9&lt;Assump!$D$54,(AG185+AH66+AH88-AH165*(1-Assump!$D$27)-'операционные расходы 2 этап'!$B$34*(1-Assump!$D$27)),(AG185+AH66+AH88-'операционные расходы 2 этап'!$B$34*(1-Assump!$D$27)))</f>
        <v>143663.4421355839</v>
      </c>
      <c r="AI185" s="5">
        <f>IF(AI9&lt;Assump!$D$54,(AH185+AI66+AI88-AI165*(1-Assump!$D$27)-'операционные расходы 2 этап'!$B$34*(1-Assump!$D$27)),(AH185+AI66+AI88-'операционные расходы 2 этап'!$B$34*(1-Assump!$D$27)))</f>
        <v>152140.74002614131</v>
      </c>
      <c r="AJ185" s="5">
        <f>IF(AJ9&lt;Assump!$D$54,(AI185+AJ66+AJ88-AJ165*(1-Assump!$D$27)-'операционные расходы 2 этап'!$B$34*(1-Assump!$D$27)),(AI185+AJ66+AJ88-'операционные расходы 2 этап'!$B$34*(1-Assump!$D$27)))</f>
        <v>169187.27753616578</v>
      </c>
      <c r="AK185" s="5">
        <f>IF(AK9&lt;Assump!$D$54,(AJ185+AK66+AK88-AK165*(1-Assump!$D$27)-'операционные расходы 2 этап'!$B$34*(1-Assump!$D$27)),(AJ185+AK66+AK88-'операционные расходы 2 этап'!$B$34*(1-Assump!$D$27)))</f>
        <v>258784.87778344058</v>
      </c>
      <c r="AL185" s="5">
        <f>IF(AL9&lt;Assump!$D$54,(AK185+AL66+AL88-AL165*(1-Assump!$D$27)-'операционные расходы 2 этап'!$B$34*(1-Assump!$D$27)),(AK185+AL66+AL88-'операционные расходы 2 этап'!$B$34*(1-Assump!$D$27)))</f>
        <v>261795.29288286148</v>
      </c>
      <c r="AM185" s="5">
        <f>IF(AM9&lt;Assump!$D$54,(AL185+AM66+AM88-AM165*(1-Assump!$D$27)-'операционные расходы 2 этап'!$B$34*(1-Assump!$D$27)),(AL185+AM66+AM88-'операционные расходы 2 этап'!$B$34*(1-Assump!$D$27)))</f>
        <v>272978.49653189868</v>
      </c>
      <c r="AN185" s="5">
        <f>IF(AN9&lt;Assump!$D$54,(AM185+AN66+AN88-AN165*(1-Assump!$D$27)-'операционные расходы 2 этап'!$B$34*(1-Assump!$D$27)),(AM185+AN66+AN88-'операционные расходы 2 этап'!$B$34*(1-Assump!$D$27)))</f>
        <v>293193.08006539248</v>
      </c>
      <c r="AO185" s="5">
        <f>IF(AO9&lt;Assump!$D$54,(AN185+AO66+AO88-AO165*(1-Assump!$D$27)-'операционные расходы 2 этап'!$B$34*(1-Assump!$D$27)),(AN185+AO66+AO88-'операционные расходы 2 этап'!$B$34*(1-Assump!$D$27)))</f>
        <v>389620.8617217096</v>
      </c>
      <c r="AP185" s="5">
        <f>IF(AP9&lt;Assump!$D$54,(AO185+AP66+AP88-AP165*(1-Assump!$D$27)-'операционные расходы 2 этап'!$B$34*(1-Assump!$D$27)),(AO185+AP66+AP88-'операционные расходы 2 этап'!$B$34*(1-Assump!$D$27)))</f>
        <v>395168.98740807181</v>
      </c>
      <c r="AQ185" s="5">
        <f>IF(AQ9&lt;Assump!$D$54,(AP185+AQ66+AQ88-AQ165*(1-Assump!$D$27)-'операционные расходы 2 этап'!$B$34*(1-Assump!$D$27)),(AP185+AQ66+AQ88-'операционные расходы 2 этап'!$B$34*(1-Assump!$D$27)))</f>
        <v>409329.78575441038</v>
      </c>
      <c r="AR185" s="5">
        <f>IF(AR9&lt;Assump!$D$54,(AQ185+AR66+AR88-AR165*(1-Assump!$D$27)-'операционные расходы 2 этап'!$B$34*(1-Assump!$D$27)),(AQ185+AR66+AR88-'операционные расходы 2 этап'!$B$34*(1-Assump!$D$27)))</f>
        <v>433010.16414202499</v>
      </c>
      <c r="AS185" s="5">
        <f>IF(AS9&lt;Assump!$D$54,(AR185+AS66+AS88-AS165*(1-Assump!$D$27)-'операционные расходы 2 этап'!$B$34*(1-Assump!$D$27)),(AR185+AS66+AS88-'операционные расходы 2 этап'!$B$34*(1-Assump!$D$27)))</f>
        <v>536751.25807486614</v>
      </c>
      <c r="AT185" s="5">
        <f>IF(AT9&lt;Assump!$D$54,(AS185+AT66+AT88-AT165*(1-Assump!$D$27)-'операционные расходы 2 этап'!$B$34*(1-Assump!$D$27)),(AS185+AT66+AT88-'операционные расходы 2 этап'!$B$34*(1-Assump!$D$27)))</f>
        <v>533839.3245748661</v>
      </c>
      <c r="AU185" s="5">
        <f>IF(AU9&lt;Assump!$D$54,(AT185+AU66+AU88-AU165*(1-Assump!$D$27)-'операционные расходы 2 этап'!$B$34*(1-Assump!$D$27)),(AT185+AU66+AU88-'операционные расходы 2 этап'!$B$34*(1-Assump!$D$27)))</f>
        <v>530927.39107486606</v>
      </c>
      <c r="AV185" s="5">
        <f>IF(AV9&lt;Assump!$D$54,(AU185+AV66+AV88-AV165*(1-Assump!$D$27)-'операционные расходы 2 этап'!$B$34*(1-Assump!$D$27)),(AU185+AV66+AV88-'операционные расходы 2 этап'!$B$34*(1-Assump!$D$27)))</f>
        <v>528015.45757486601</v>
      </c>
      <c r="AW185" s="5">
        <f>IF(AW9&lt;Assump!$D$54,(AV185+AW66+AW88-AW165*(1-Assump!$D$27)-'операционные расходы 2 этап'!$B$34*(1-Assump!$D$27)),(AV185+AW66+AW88-'операционные расходы 2 этап'!$B$34*(1-Assump!$D$27)))</f>
        <v>525103.52407486597</v>
      </c>
      <c r="AX185" s="5">
        <f>IF(AX9&lt;Assump!$D$54,(AW185+AX66+AX88-AX165*(1-Assump!$D$27)-'операционные расходы 2 этап'!$B$34*(1-Assump!$D$27)),(AW185+AX66+AX88-'операционные расходы 2 этап'!$B$34*(1-Assump!$D$27)))</f>
        <v>522191.59057486599</v>
      </c>
      <c r="AY185" s="5">
        <f>IF(AY9&lt;Assump!$D$54,(AX185+AY66+AY88-AY165*(1-Assump!$D$27)-'операционные расходы 2 этап'!$B$34*(1-Assump!$D$27)),(AX185+AY66+AY88-'операционные расходы 2 этап'!$B$34*(1-Assump!$D$27)))</f>
        <v>519279.65707486606</v>
      </c>
      <c r="AZ185" s="5">
        <f>IF(AZ9&lt;Assump!$D$54,(AY185+AZ66+AZ88-AZ165*(1-Assump!$D$27)-'операционные расходы 2 этап'!$B$34*(1-Assump!$D$27)),(AY185+AZ66+AZ88-'операционные расходы 2 этап'!$B$34*(1-Assump!$D$27)))</f>
        <v>516367.72357486608</v>
      </c>
      <c r="BA185" s="5">
        <f>IF(BA9&lt;Assump!$D$54,(AZ185+BA66+BA88-BA165*(1-Assump!$D$27)-'операционные расходы 2 этап'!$B$34*(1-Assump!$D$27)),(AZ185+BA66+BA88-'операционные расходы 2 этап'!$B$34*(1-Assump!$D$27)))</f>
        <v>513455.79007486609</v>
      </c>
      <c r="BB185" s="5">
        <f>IF(BB9&lt;Assump!$D$54,(BA185+BB66+BB88-BB165*(1-Assump!$D$27)-'операционные расходы 2 этап'!$B$34*(1-Assump!$D$27)),(BA185+BB66+BB88-'операционные расходы 2 этап'!$B$34*(1-Assump!$D$27)))</f>
        <v>510543.85657486616</v>
      </c>
      <c r="BC185" s="5">
        <f>IF(BC9&lt;Assump!$D$54,(BB185+BC66+BC88-BC165*(1-Assump!$D$27)-'операционные расходы 2 этап'!$B$34*(1-Assump!$D$27)),(BB185+BC66+BC88-'операционные расходы 2 этап'!$B$34*(1-Assump!$D$27)))</f>
        <v>507631.92307486612</v>
      </c>
      <c r="BD185" s="5">
        <f>IF(BD9&lt;Assump!$D$54,(BC185+BD66+BD88-BD165*(1-Assump!$D$27)-'операционные расходы 2 этап'!$B$34*(1-Assump!$D$27)),(BC185+BD66+BD88-'операционные расходы 2 этап'!$B$34*(1-Assump!$D$27)))</f>
        <v>504719.98957486614</v>
      </c>
      <c r="BE185" s="5">
        <f>IF(BE9&lt;Assump!$D$54,(BD185+BE66+BE88-BE165*(1-Assump!$D$27)-'операционные расходы 2 этап'!$B$34*(1-Assump!$D$27)),(BD185+BE66+BE88-'операционные расходы 2 этап'!$B$34*(1-Assump!$D$27)))</f>
        <v>501808.05607486621</v>
      </c>
      <c r="BF185" s="5">
        <f>IF(BF9&lt;Assump!$D$54,(BE185+BF66+BF88-BF165*(1-Assump!$D$27)-'операционные расходы 2 этап'!$B$34*(1-Assump!$D$27)),(BE185+BF66+BF88-'операционные расходы 2 этап'!$B$34*(1-Assump!$D$27)))</f>
        <v>498896.12257486623</v>
      </c>
      <c r="BG185" s="5">
        <f>IF(BG9&lt;Assump!$D$54,(BF185+BG66+BG88-BG165*(1-Assump!$D$27)-'операционные расходы 2 этап'!$B$34*(1-Assump!$D$27)),(BF185+BG66+BG88-'операционные расходы 2 этап'!$B$34*(1-Assump!$D$27)))</f>
        <v>495984.18907486624</v>
      </c>
      <c r="BH185" s="5">
        <f>IF(BH9&lt;Assump!$D$54,(BG185+BH66+BH88-BH165*(1-Assump!$D$27)-'операционные расходы 2 этап'!$B$34*(1-Assump!$D$27)),(BG185+BH66+BH88-'операционные расходы 2 этап'!$B$34*(1-Assump!$D$27)))</f>
        <v>493072.25557486626</v>
      </c>
      <c r="BI185" s="5">
        <f>IF(BI9&lt;Assump!$D$54,(BH185+BI66+BI88-BI165*(1-Assump!$D$27)-'операционные расходы 2 этап'!$B$34*(1-Assump!$D$27)),(BH185+BI66+BI88-'операционные расходы 2 этап'!$B$34*(1-Assump!$D$27)))</f>
        <v>490160.32207486627</v>
      </c>
      <c r="BJ185" s="5">
        <f>IF(BJ9&lt;Assump!$D$54,(BI185+BJ66+BJ88-BJ165*(1-Assump!$D$27)-'операционные расходы 2 этап'!$B$34*(1-Assump!$D$27)),(BI185+BJ66+BJ88-'операционные расходы 2 этап'!$B$34*(1-Assump!$D$27)))</f>
        <v>487248.38857486629</v>
      </c>
      <c r="BK185" s="5">
        <f>IF(BK9&lt;Assump!$D$54,(BJ185+BK66+BK88-BK165*(1-Assump!$D$27)-'операционные расходы 2 этап'!$B$34*(1-Assump!$D$27)),(BJ185+BK66+BK88-'операционные расходы 2 этап'!$B$34*(1-Assump!$D$27)))</f>
        <v>484336.4550748663</v>
      </c>
      <c r="BL185" s="5">
        <f>IF(BL9&lt;Assump!$D$54,(BK185+BL66+BL88-BL165*(1-Assump!$D$27)-'операционные расходы 2 этап'!$B$34*(1-Assump!$D$27)),(BK185+BL66+BL88-'операционные расходы 2 этап'!$B$34*(1-Assump!$D$27)))</f>
        <v>481424.52157486632</v>
      </c>
      <c r="BM185" s="5">
        <f>IF(BM9&lt;Assump!$D$54,(BL185+BM66+BM88-BM165*(1-Assump!$D$27)-'операционные расходы 2 этап'!$B$34*(1-Assump!$D$27)),(BL185+BM66+BM88-'операционные расходы 2 этап'!$B$34*(1-Assump!$D$27)))</f>
        <v>478512.58807486639</v>
      </c>
      <c r="BN185" s="5">
        <f>IF(BN9&lt;Assump!$D$54,(BM185+BN66+BN88-BN165*(1-Assump!$D$27)-'операционные расходы 2 этап'!$B$34*(1-Assump!$D$27)),(BM185+BN66+BN88-'операционные расходы 2 этап'!$B$34*(1-Assump!$D$27)))</f>
        <v>475600.65457486641</v>
      </c>
      <c r="BO185" s="5">
        <f>IF(BO9&lt;Assump!$D$54,(BN185+BO66+BO88-BO165*(1-Assump!$D$27)-'операционные расходы 2 этап'!$B$34*(1-Assump!$D$27)),(BN185+BO66+BO88-'операционные расходы 2 этап'!$B$34*(1-Assump!$D$27)))</f>
        <v>472688.72107486642</v>
      </c>
      <c r="BP185" s="5">
        <f>IF(BP9&lt;Assump!$D$54,(BO185+BP66+BP88-BP165*(1-Assump!$D$27)-'операционные расходы 2 этап'!$B$34*(1-Assump!$D$27)),(BO185+BP66+BP88-'операционные расходы 2 этап'!$B$34*(1-Assump!$D$27)))</f>
        <v>469776.78757486644</v>
      </c>
      <c r="BQ185" s="5">
        <f>IF(BQ9&lt;Assump!$D$54,(BP185+BQ66+BQ88-BQ165*(1-Assump!$D$27)-'операционные расходы 2 этап'!$B$34*(1-Assump!$D$27)),(BP185+BQ66+BQ88-'операционные расходы 2 этап'!$B$34*(1-Assump!$D$27)))</f>
        <v>466864.85407486639</v>
      </c>
      <c r="BR185" s="5">
        <f>IF(BR9&lt;Assump!$D$54,(BQ185+BR66+BR88-BR165*(1-Assump!$D$27)-'операционные расходы 2 этап'!$B$34*(1-Assump!$D$27)),(BQ185+BR66+BR88-'операционные расходы 2 этап'!$B$34*(1-Assump!$D$27)))</f>
        <v>463952.92057486641</v>
      </c>
      <c r="BS185" s="5">
        <f>IF(BS9&lt;Assump!$D$54,(BR185+BS66+BS88-BS165*(1-Assump!$D$27)-'операционные расходы 2 этап'!$B$34*(1-Assump!$D$27)),(BR185+BS66+BS88-'операционные расходы 2 этап'!$B$34*(1-Assump!$D$27)))</f>
        <v>461040.98707486643</v>
      </c>
      <c r="BT185" s="5">
        <f>IF(BT9&lt;Assump!$D$54,(BS185+BT66+BT88-BT165*(1-Assump!$D$27)-'операционные расходы 2 этап'!$B$34*(1-Assump!$D$27)),(BS185+BT66+BT88-'операционные расходы 2 этап'!$B$34*(1-Assump!$D$27)))</f>
        <v>458129.05357486644</v>
      </c>
      <c r="BU185" s="5">
        <f>IF(BU9&lt;Assump!$D$54,(BT185+BU66+BU88-BU165*(1-Assump!$D$27)-'операционные расходы 2 этап'!$B$34*(1-Assump!$D$27)),(BT185+BU66+BU88-'операционные расходы 2 этап'!$B$34*(1-Assump!$D$27)))</f>
        <v>455217.12007486646</v>
      </c>
      <c r="BV185" s="5">
        <f>IF(BV9&lt;Assump!$D$54,(BU185+BV66+BV88-BV165*(1-Assump!$D$27)-'операционные расходы 2 этап'!$B$34*(1-Assump!$D$27)),(BU185+BV66+BV88-'операционные расходы 2 этап'!$B$34*(1-Assump!$D$27)))</f>
        <v>452305.18657486647</v>
      </c>
      <c r="BW185" s="5">
        <f>IF(BW9&lt;Assump!$D$54,(BV185+BW66+BW88-BW165*(1-Assump!$D$27)-'операционные расходы 2 этап'!$B$34*(1-Assump!$D$27)),(BV185+BW66+BW88-'операционные расходы 2 этап'!$B$34*(1-Assump!$D$27)))</f>
        <v>449393.25307486649</v>
      </c>
      <c r="BX185" s="5">
        <f>IF(BX9&lt;Assump!$D$54,(BW185+BX66+BX88-BX165*(1-Assump!$D$27)-'операционные расходы 2 этап'!$B$34*(1-Assump!$D$27)),(BW185+BX66+BX88-'операционные расходы 2 этап'!$B$34*(1-Assump!$D$27)))</f>
        <v>446481.3195748665</v>
      </c>
      <c r="BY185" s="5">
        <f>IF(BY9&lt;Assump!$D$54,(BX185+BY66+BY88-BY165*(1-Assump!$D$27)-'операционные расходы 2 этап'!$B$34*(1-Assump!$D$27)),(BX185+BY66+BY88-'операционные расходы 2 этап'!$B$34*(1-Assump!$D$27)))</f>
        <v>443569.38607486652</v>
      </c>
      <c r="BZ185" s="5">
        <f>IF(BZ9&lt;Assump!$D$54,(BY185+BZ66+BZ88-BZ165*(1-Assump!$D$27)-'операционные расходы 2 этап'!$B$34*(1-Assump!$D$27)),(BY185+BZ66+BZ88-'операционные расходы 2 этап'!$B$34*(1-Assump!$D$27)))</f>
        <v>440657.45257486653</v>
      </c>
      <c r="CA185" s="5">
        <f>IF(CA9&lt;Assump!$D$54,(BZ185+CA66+CA88-CA165*(1-Assump!$D$27)-'операционные расходы 2 этап'!$B$34*(1-Assump!$D$27)),(BZ185+CA66+CA88-'операционные расходы 2 этап'!$B$34*(1-Assump!$D$27)))</f>
        <v>437745.51907486655</v>
      </c>
      <c r="CB185" s="5">
        <f>IF(CB9&lt;Assump!$D$54,(CA185+CB66+CB88-CB165*(1-Assump!$D$27)-'операционные расходы 2 этап'!$B$34*(1-Assump!$D$27)),(CA185+CB66+CB88-'операционные расходы 2 этап'!$B$34*(1-Assump!$D$27)))</f>
        <v>434833.58557486656</v>
      </c>
      <c r="CC185" s="5">
        <f>IF(CC9&lt;Assump!$D$54,(CB185+CC66+CC88-CC165*(1-Assump!$D$27)-'операционные расходы 2 этап'!$B$34*(1-Assump!$D$27)),(CB185+CC66+CC88-'операционные расходы 2 этап'!$B$34*(1-Assump!$D$27)))</f>
        <v>431921.65207486664</v>
      </c>
      <c r="CD185" s="5">
        <f>IF(CD9&lt;Assump!$D$54,(CC185+CD66+CD88-CD165*(1-Assump!$D$27)-'операционные расходы 2 этап'!$B$34*(1-Assump!$D$27)),(CC185+CD66+CD88-'операционные расходы 2 этап'!$B$34*(1-Assump!$D$27)))</f>
        <v>429009.71857486665</v>
      </c>
      <c r="CE185" s="5">
        <f>IF(CE9&lt;Assump!$D$54,(CD185+CE66+CE88-CE165*(1-Assump!$D$27)-'операционные расходы 2 этап'!$B$34*(1-Assump!$D$27)),(CD185+CE66+CE88-'операционные расходы 2 этап'!$B$34*(1-Assump!$D$27)))</f>
        <v>426097.78507486667</v>
      </c>
      <c r="CF185" s="5">
        <f>IF(CF9&lt;Assump!$D$54,(CE185+CF66+CF88-CF165*(1-Assump!$D$27)-'операционные расходы 2 этап'!$B$34*(1-Assump!$D$27)),(CE185+CF66+CF88-'операционные расходы 2 этап'!$B$34*(1-Assump!$D$27)))</f>
        <v>423185.85157486668</v>
      </c>
      <c r="CG185" s="5">
        <f>IF(CG9&lt;Assump!$D$54,(CF185+CG66+CG88-CG165*(1-Assump!$D$27)-'операционные расходы 2 этап'!$B$34*(1-Assump!$D$27)),(CF185+CG66+CG88-'операционные расходы 2 этап'!$B$34*(1-Assump!$D$27)))</f>
        <v>420273.91807486676</v>
      </c>
      <c r="CH185" s="5">
        <f>IF(CH9&lt;Assump!$D$54,(CG185+CH66+CH88-CH165*(1-Assump!$D$27)-'операционные расходы 2 этап'!$B$34*(1-Assump!$D$27)),(CG185+CH66+CH88-'операционные расходы 2 этап'!$B$34*(1-Assump!$D$27)))</f>
        <v>417361.98457486677</v>
      </c>
      <c r="CI185" s="5">
        <f>IF(CI9&lt;Assump!$D$54,(CH185+CI66+CI88-CI165*(1-Assump!$D$27)-'операционные расходы 2 этап'!$B$34*(1-Assump!$D$27)),(CH185+CI66+CI88-'операционные расходы 2 этап'!$B$34*(1-Assump!$D$27)))</f>
        <v>414450.05107486679</v>
      </c>
      <c r="CJ185" s="5">
        <f>IF(CJ9&lt;Assump!$D$54,(CI185+CJ66+CJ88-CJ165*(1-Assump!$D$27)-'операционные расходы 2 этап'!$B$34*(1-Assump!$D$27)),(CI185+CJ66+CJ88-'операционные расходы 2 этап'!$B$34*(1-Assump!$D$27)))</f>
        <v>411538.1175748668</v>
      </c>
      <c r="CK185" s="5">
        <f>IF(CK9&lt;Assump!$D$54,(CJ185+CK66+CK88-CK165*(1-Assump!$D$27)-'операционные расходы 2 этап'!$B$34*(1-Assump!$D$27)),(CJ185+CK66+CK88-'операционные расходы 2 этап'!$B$34*(1-Assump!$D$27)))</f>
        <v>408626.18407486676</v>
      </c>
      <c r="CL185" s="5">
        <f>IF(CL9&lt;Assump!$D$54,(CK185+CL66+CL88-CL165*(1-Assump!$D$27)-'операционные расходы 2 этап'!$B$34*(1-Assump!$D$27)),(CK185+CL66+CL88-'операционные расходы 2 этап'!$B$34*(1-Assump!$D$27)))</f>
        <v>405714.25057486678</v>
      </c>
      <c r="CM185" s="5">
        <f>IF(CM9&lt;Assump!$D$54,(CL185+CM66+CM88-CM165*(1-Assump!$D$27)-'операционные расходы 2 этап'!$B$34*(1-Assump!$D$27)),(CL185+CM66+CM88-'операционные расходы 2 этап'!$B$34*(1-Assump!$D$27)))</f>
        <v>402802.31707486679</v>
      </c>
      <c r="CN185" s="5">
        <f>IF(CN9&lt;Assump!$D$54,(CM185+CN66+CN88-CN165*(1-Assump!$D$27)-'операционные расходы 2 этап'!$B$34*(1-Assump!$D$27)),(CM185+CN66+CN88-'операционные расходы 2 этап'!$B$34*(1-Assump!$D$27)))</f>
        <v>399890.38357486681</v>
      </c>
      <c r="CO185" s="5"/>
    </row>
    <row r="186" spans="1:93" ht="12.75" customHeight="1">
      <c r="A186" s="117"/>
      <c r="B186" s="26" t="s">
        <v>256</v>
      </c>
      <c r="C186" s="117"/>
      <c r="D186" s="118">
        <f>D87</f>
        <v>145596.67499999999</v>
      </c>
      <c r="E186" s="5">
        <f t="shared" ref="E186:BP186" si="293">D186+E87</f>
        <v>145596.67499999999</v>
      </c>
      <c r="F186" s="5">
        <f t="shared" si="293"/>
        <v>145596.67499999999</v>
      </c>
      <c r="G186" s="5">
        <f t="shared" si="293"/>
        <v>145596.67499999999</v>
      </c>
      <c r="H186" s="5">
        <f t="shared" si="293"/>
        <v>145596.67499999999</v>
      </c>
      <c r="I186" s="5">
        <f t="shared" si="293"/>
        <v>145596.67499999999</v>
      </c>
      <c r="J186" s="5">
        <f t="shared" si="293"/>
        <v>145596.67499999999</v>
      </c>
      <c r="K186" s="5">
        <f t="shared" si="293"/>
        <v>145596.67499999999</v>
      </c>
      <c r="L186" s="5">
        <f t="shared" si="293"/>
        <v>145596.67499999999</v>
      </c>
      <c r="M186" s="5">
        <f t="shared" si="293"/>
        <v>145596.67499999999</v>
      </c>
      <c r="N186" s="5">
        <f t="shared" si="293"/>
        <v>145596.67499999999</v>
      </c>
      <c r="O186" s="5">
        <f t="shared" si="293"/>
        <v>145596.67499999999</v>
      </c>
      <c r="P186" s="5">
        <f t="shared" si="293"/>
        <v>145596.67499999999</v>
      </c>
      <c r="Q186" s="5">
        <f t="shared" si="293"/>
        <v>145596.67499999999</v>
      </c>
      <c r="R186" s="5">
        <f t="shared" si="293"/>
        <v>145596.67499999999</v>
      </c>
      <c r="S186" s="5">
        <f t="shared" si="293"/>
        <v>145596.67499999999</v>
      </c>
      <c r="T186" s="5">
        <f t="shared" si="293"/>
        <v>145596.67499999999</v>
      </c>
      <c r="U186" s="5">
        <f t="shared" si="293"/>
        <v>145596.67499999999</v>
      </c>
      <c r="V186" s="5">
        <f t="shared" si="293"/>
        <v>145596.67499999999</v>
      </c>
      <c r="W186" s="5">
        <f t="shared" si="293"/>
        <v>145596.67499999999</v>
      </c>
      <c r="X186" s="5">
        <f t="shared" si="293"/>
        <v>145596.67499999999</v>
      </c>
      <c r="Y186" s="5">
        <f t="shared" si="293"/>
        <v>145596.67499999999</v>
      </c>
      <c r="Z186" s="5">
        <f t="shared" si="293"/>
        <v>145596.67499999999</v>
      </c>
      <c r="AA186" s="5">
        <f t="shared" si="293"/>
        <v>145596.67499999999</v>
      </c>
      <c r="AB186" s="5">
        <f t="shared" si="293"/>
        <v>145596.67499999999</v>
      </c>
      <c r="AC186" s="5">
        <f t="shared" si="293"/>
        <v>145596.67499999999</v>
      </c>
      <c r="AD186" s="5">
        <f t="shared" si="293"/>
        <v>145596.67499999999</v>
      </c>
      <c r="AE186" s="5">
        <f t="shared" si="293"/>
        <v>145596.67499999999</v>
      </c>
      <c r="AF186" s="5">
        <f t="shared" si="293"/>
        <v>145596.67499999999</v>
      </c>
      <c r="AG186" s="5">
        <f t="shared" si="293"/>
        <v>145596.67499999999</v>
      </c>
      <c r="AH186" s="5">
        <f t="shared" si="293"/>
        <v>145596.67499999999</v>
      </c>
      <c r="AI186" s="5">
        <f t="shared" si="293"/>
        <v>145596.67499999999</v>
      </c>
      <c r="AJ186" s="5">
        <f t="shared" si="293"/>
        <v>145596.67499999999</v>
      </c>
      <c r="AK186" s="5">
        <f t="shared" si="293"/>
        <v>145596.67499999999</v>
      </c>
      <c r="AL186" s="5">
        <f t="shared" si="293"/>
        <v>145596.67499999999</v>
      </c>
      <c r="AM186" s="5">
        <f t="shared" si="293"/>
        <v>145596.67499999999</v>
      </c>
      <c r="AN186" s="5">
        <f t="shared" si="293"/>
        <v>145596.67499999999</v>
      </c>
      <c r="AO186" s="5">
        <f t="shared" si="293"/>
        <v>145596.67499999999</v>
      </c>
      <c r="AP186" s="5">
        <f t="shared" si="293"/>
        <v>145596.67499999999</v>
      </c>
      <c r="AQ186" s="5">
        <f t="shared" si="293"/>
        <v>145596.67499999999</v>
      </c>
      <c r="AR186" s="5">
        <f t="shared" si="293"/>
        <v>145596.67499999999</v>
      </c>
      <c r="AS186" s="5">
        <f t="shared" si="293"/>
        <v>145596.67499999999</v>
      </c>
      <c r="AT186" s="5">
        <f t="shared" si="293"/>
        <v>145596.67499999999</v>
      </c>
      <c r="AU186" s="5">
        <f t="shared" si="293"/>
        <v>145596.67499999999</v>
      </c>
      <c r="AV186" s="5">
        <f t="shared" si="293"/>
        <v>145596.67499999999</v>
      </c>
      <c r="AW186" s="5">
        <f t="shared" si="293"/>
        <v>145596.67499999999</v>
      </c>
      <c r="AX186" s="5">
        <f t="shared" si="293"/>
        <v>145596.67499999999</v>
      </c>
      <c r="AY186" s="5">
        <f t="shared" si="293"/>
        <v>145596.67499999999</v>
      </c>
      <c r="AZ186" s="5">
        <f t="shared" si="293"/>
        <v>145596.67499999999</v>
      </c>
      <c r="BA186" s="5">
        <f t="shared" si="293"/>
        <v>145596.67499999999</v>
      </c>
      <c r="BB186" s="5">
        <f t="shared" si="293"/>
        <v>145596.67499999999</v>
      </c>
      <c r="BC186" s="5">
        <f t="shared" si="293"/>
        <v>145596.67499999999</v>
      </c>
      <c r="BD186" s="5">
        <f t="shared" si="293"/>
        <v>145596.67499999999</v>
      </c>
      <c r="BE186" s="5">
        <f t="shared" si="293"/>
        <v>145596.67499999999</v>
      </c>
      <c r="BF186" s="5">
        <f t="shared" si="293"/>
        <v>145596.67499999999</v>
      </c>
      <c r="BG186" s="5">
        <f t="shared" si="293"/>
        <v>145596.67499999999</v>
      </c>
      <c r="BH186" s="5">
        <f t="shared" si="293"/>
        <v>145596.67499999999</v>
      </c>
      <c r="BI186" s="5">
        <f t="shared" si="293"/>
        <v>145596.67499999999</v>
      </c>
      <c r="BJ186" s="5">
        <f t="shared" si="293"/>
        <v>145596.67499999999</v>
      </c>
      <c r="BK186" s="5">
        <f t="shared" si="293"/>
        <v>145596.67499999999</v>
      </c>
      <c r="BL186" s="5">
        <f t="shared" si="293"/>
        <v>145596.67499999999</v>
      </c>
      <c r="BM186" s="5">
        <f t="shared" si="293"/>
        <v>145596.67499999999</v>
      </c>
      <c r="BN186" s="5">
        <f t="shared" si="293"/>
        <v>145596.67499999999</v>
      </c>
      <c r="BO186" s="5">
        <f t="shared" si="293"/>
        <v>145596.67499999999</v>
      </c>
      <c r="BP186" s="5">
        <f t="shared" si="293"/>
        <v>145596.67499999999</v>
      </c>
      <c r="BQ186" s="5">
        <f t="shared" ref="BQ186:CN186" si="294">BP186+BQ87</f>
        <v>145596.67499999999</v>
      </c>
      <c r="BR186" s="5">
        <f t="shared" si="294"/>
        <v>145596.67499999999</v>
      </c>
      <c r="BS186" s="5">
        <f t="shared" si="294"/>
        <v>145596.67499999999</v>
      </c>
      <c r="BT186" s="5">
        <f t="shared" si="294"/>
        <v>145596.67499999999</v>
      </c>
      <c r="BU186" s="5">
        <f t="shared" si="294"/>
        <v>145596.67499999999</v>
      </c>
      <c r="BV186" s="5">
        <f t="shared" si="294"/>
        <v>145596.67499999999</v>
      </c>
      <c r="BW186" s="5">
        <f t="shared" si="294"/>
        <v>145596.67499999999</v>
      </c>
      <c r="BX186" s="5">
        <f t="shared" si="294"/>
        <v>145596.67499999999</v>
      </c>
      <c r="BY186" s="5">
        <f t="shared" si="294"/>
        <v>145596.67499999999</v>
      </c>
      <c r="BZ186" s="5">
        <f t="shared" si="294"/>
        <v>145596.67499999999</v>
      </c>
      <c r="CA186" s="5">
        <f t="shared" si="294"/>
        <v>145596.67499999999</v>
      </c>
      <c r="CB186" s="5">
        <f t="shared" si="294"/>
        <v>145596.67499999999</v>
      </c>
      <c r="CC186" s="5">
        <f t="shared" si="294"/>
        <v>145596.67499999999</v>
      </c>
      <c r="CD186" s="5">
        <f t="shared" si="294"/>
        <v>145596.67499999999</v>
      </c>
      <c r="CE186" s="5">
        <f t="shared" si="294"/>
        <v>145596.67499999999</v>
      </c>
      <c r="CF186" s="5">
        <f t="shared" si="294"/>
        <v>145596.67499999999</v>
      </c>
      <c r="CG186" s="5">
        <f t="shared" si="294"/>
        <v>145596.67499999999</v>
      </c>
      <c r="CH186" s="5">
        <f t="shared" si="294"/>
        <v>145596.67499999999</v>
      </c>
      <c r="CI186" s="5">
        <f t="shared" si="294"/>
        <v>145596.67499999999</v>
      </c>
      <c r="CJ186" s="5">
        <f t="shared" si="294"/>
        <v>145596.67499999999</v>
      </c>
      <c r="CK186" s="5">
        <f t="shared" si="294"/>
        <v>145596.67499999999</v>
      </c>
      <c r="CL186" s="5">
        <f t="shared" si="294"/>
        <v>145596.67499999999</v>
      </c>
      <c r="CM186" s="5">
        <f t="shared" si="294"/>
        <v>145596.67499999999</v>
      </c>
      <c r="CN186" s="5">
        <f t="shared" si="294"/>
        <v>145596.67499999999</v>
      </c>
      <c r="CO186" s="5"/>
    </row>
    <row r="187" spans="1:93" ht="12.75" customHeight="1">
      <c r="A187" s="112"/>
      <c r="B187" s="119" t="s">
        <v>248</v>
      </c>
      <c r="C187" s="120"/>
      <c r="D187" s="121">
        <f t="shared" ref="D187:CN187" si="295">D179+D182+D184</f>
        <v>145596.67499999999</v>
      </c>
      <c r="E187" s="120">
        <f t="shared" si="295"/>
        <v>141656.75812499996</v>
      </c>
      <c r="F187" s="120">
        <f t="shared" si="295"/>
        <v>137716.84125</v>
      </c>
      <c r="G187" s="120">
        <f t="shared" si="295"/>
        <v>133776.92437499997</v>
      </c>
      <c r="H187" s="120">
        <f t="shared" si="295"/>
        <v>129837.00749999999</v>
      </c>
      <c r="I187" s="120">
        <f t="shared" si="295"/>
        <v>125897.090625</v>
      </c>
      <c r="J187" s="120">
        <f t="shared" si="295"/>
        <v>121957.17374999999</v>
      </c>
      <c r="K187" s="120">
        <f t="shared" si="295"/>
        <v>118017.25687499999</v>
      </c>
      <c r="L187" s="120">
        <f t="shared" si="295"/>
        <v>114077.34</v>
      </c>
      <c r="M187" s="120">
        <f t="shared" si="295"/>
        <v>110137.423125</v>
      </c>
      <c r="N187" s="120">
        <f t="shared" si="295"/>
        <v>127430.35468750002</v>
      </c>
      <c r="O187" s="120">
        <f t="shared" si="295"/>
        <v>176875.8853125</v>
      </c>
      <c r="P187" s="120">
        <f t="shared" si="295"/>
        <v>226321.41593750002</v>
      </c>
      <c r="Q187" s="120">
        <f t="shared" si="295"/>
        <v>299426.40625</v>
      </c>
      <c r="R187" s="120">
        <f t="shared" si="295"/>
        <v>367071.52124999999</v>
      </c>
      <c r="S187" s="120">
        <f t="shared" si="295"/>
        <v>504967.03193750005</v>
      </c>
      <c r="T187" s="120">
        <f t="shared" si="295"/>
        <v>648322.41793750005</v>
      </c>
      <c r="U187" s="120">
        <f t="shared" si="295"/>
        <v>661004.7881250002</v>
      </c>
      <c r="V187" s="120">
        <f t="shared" si="295"/>
        <v>658314.91201574192</v>
      </c>
      <c r="W187" s="120">
        <f t="shared" si="295"/>
        <v>671465.24155041401</v>
      </c>
      <c r="X187" s="120">
        <f t="shared" si="295"/>
        <v>685383.95223293651</v>
      </c>
      <c r="Y187" s="120">
        <f t="shared" si="295"/>
        <v>701724.80514762853</v>
      </c>
      <c r="Z187" s="120">
        <f t="shared" si="295"/>
        <v>684790.09661548561</v>
      </c>
      <c r="AA187" s="120">
        <f t="shared" si="295"/>
        <v>678149.41038249328</v>
      </c>
      <c r="AB187" s="120">
        <f t="shared" si="295"/>
        <v>666891.69762442238</v>
      </c>
      <c r="AC187" s="120">
        <f t="shared" si="295"/>
        <v>620445.6187323262</v>
      </c>
      <c r="AD187" s="120">
        <f t="shared" si="295"/>
        <v>604489.21746137924</v>
      </c>
      <c r="AE187" s="120">
        <f t="shared" si="295"/>
        <v>604591.63204903132</v>
      </c>
      <c r="AF187" s="120">
        <f t="shared" si="295"/>
        <v>608116.43909523101</v>
      </c>
      <c r="AG187" s="120">
        <f t="shared" si="295"/>
        <v>625725.01559400628</v>
      </c>
      <c r="AH187" s="120">
        <f t="shared" si="295"/>
        <v>607626.00088791829</v>
      </c>
      <c r="AI187" s="120">
        <f t="shared" si="295"/>
        <v>608116.87166990188</v>
      </c>
      <c r="AJ187" s="120">
        <f t="shared" si="295"/>
        <v>611990.62734716991</v>
      </c>
      <c r="AK187" s="120">
        <f t="shared" si="295"/>
        <v>630645.21818302665</v>
      </c>
      <c r="AL187" s="120">
        <f t="shared" si="295"/>
        <v>617421.87314928195</v>
      </c>
      <c r="AM187" s="120">
        <f t="shared" si="295"/>
        <v>618130.07644090266</v>
      </c>
      <c r="AN187" s="120">
        <f t="shared" si="295"/>
        <v>622366.93218574254</v>
      </c>
      <c r="AO187" s="120">
        <f t="shared" si="295"/>
        <v>642129.03290145623</v>
      </c>
      <c r="AP187" s="120">
        <f t="shared" si="295"/>
        <v>628398.99187156616</v>
      </c>
      <c r="AQ187" s="120">
        <f t="shared" si="295"/>
        <v>629285.41296976432</v>
      </c>
      <c r="AR187" s="120">
        <f t="shared" si="295"/>
        <v>633899.26368455496</v>
      </c>
      <c r="AS187" s="120">
        <f t="shared" si="295"/>
        <v>686763.87091319403</v>
      </c>
      <c r="AT187" s="120">
        <f t="shared" si="295"/>
        <v>666385.74091148074</v>
      </c>
      <c r="AU187" s="120">
        <f t="shared" si="295"/>
        <v>665131.34815483831</v>
      </c>
      <c r="AV187" s="120">
        <f t="shared" si="295"/>
        <v>667686.55712619319</v>
      </c>
      <c r="AW187" s="120">
        <f t="shared" si="295"/>
        <v>672943.28254219517</v>
      </c>
      <c r="AX187" s="120">
        <f t="shared" si="295"/>
        <v>651728.24188414623</v>
      </c>
      <c r="AY187" s="120">
        <f t="shared" si="295"/>
        <v>650593.12533342175</v>
      </c>
      <c r="AZ187" s="120">
        <f t="shared" si="295"/>
        <v>653458.0905970945</v>
      </c>
      <c r="BA187" s="120">
        <f t="shared" si="295"/>
        <v>659145.47612303391</v>
      </c>
      <c r="BB187" s="120">
        <f t="shared" si="295"/>
        <v>637275.06053693232</v>
      </c>
      <c r="BC187" s="120">
        <f t="shared" si="295"/>
        <v>636265.18400242145</v>
      </c>
      <c r="BD187" s="120">
        <f t="shared" si="295"/>
        <v>639455.39337302779</v>
      </c>
      <c r="BE187" s="120">
        <f t="shared" si="295"/>
        <v>645624.02462385758</v>
      </c>
      <c r="BF187" s="120">
        <f t="shared" si="295"/>
        <v>622607.53377804626</v>
      </c>
      <c r="BG187" s="120">
        <f t="shared" si="295"/>
        <v>621729.15926055994</v>
      </c>
      <c r="BH187" s="120">
        <f t="shared" si="295"/>
        <v>625260.87494344648</v>
      </c>
      <c r="BI187" s="120">
        <f t="shared" si="295"/>
        <v>631919.93360056775</v>
      </c>
      <c r="BJ187" s="120">
        <f t="shared" si="295"/>
        <v>607934.61405621585</v>
      </c>
      <c r="BK187" s="120">
        <f t="shared" si="295"/>
        <v>607194.31665660522</v>
      </c>
      <c r="BL187" s="120">
        <f t="shared" si="295"/>
        <v>611084.61396738607</v>
      </c>
      <c r="BM187" s="120">
        <f t="shared" si="295"/>
        <v>618258.62140111357</v>
      </c>
      <c r="BN187" s="120">
        <f t="shared" si="295"/>
        <v>593256.03172329406</v>
      </c>
      <c r="BO187" s="120">
        <f t="shared" si="295"/>
        <v>592660.71529745276</v>
      </c>
      <c r="BP187" s="120">
        <f t="shared" si="295"/>
        <v>596927.52331752272</v>
      </c>
      <c r="BQ187" s="120">
        <f t="shared" si="295"/>
        <v>604625.00080650474</v>
      </c>
      <c r="BR187" s="120">
        <f t="shared" si="295"/>
        <v>578825.7988075437</v>
      </c>
      <c r="BS187" s="120">
        <f t="shared" si="295"/>
        <v>578382.71240416041</v>
      </c>
      <c r="BT187" s="120">
        <f t="shared" si="295"/>
        <v>583044.85666898382</v>
      </c>
      <c r="BU187" s="120">
        <f t="shared" si="295"/>
        <v>591327.29134435579</v>
      </c>
      <c r="BV187" s="120">
        <f t="shared" si="295"/>
        <v>564135.02770424727</v>
      </c>
      <c r="BW187" s="120">
        <f t="shared" si="295"/>
        <v>563851.78282444482</v>
      </c>
      <c r="BX187" s="120">
        <f t="shared" si="295"/>
        <v>568929.03014625947</v>
      </c>
      <c r="BY187" s="120">
        <f t="shared" si="295"/>
        <v>577807.58239915001</v>
      </c>
      <c r="BZ187" s="120">
        <f t="shared" si="295"/>
        <v>549437.70142078598</v>
      </c>
      <c r="CA187" s="120">
        <f t="shared" si="295"/>
        <v>549322.29014074348</v>
      </c>
      <c r="CB187" s="120">
        <f t="shared" si="295"/>
        <v>554835.39567239885</v>
      </c>
      <c r="CC187" s="120">
        <f t="shared" si="295"/>
        <v>564339.87138168397</v>
      </c>
      <c r="CD187" s="120">
        <f t="shared" si="295"/>
        <v>534733.49219815189</v>
      </c>
      <c r="CE187" s="120">
        <f t="shared" si="295"/>
        <v>534794.30619785713</v>
      </c>
      <c r="CF187" s="120">
        <f t="shared" si="295"/>
        <v>540765.06284984516</v>
      </c>
      <c r="CG187" s="120">
        <f t="shared" si="295"/>
        <v>550905.81968298031</v>
      </c>
      <c r="CH187" s="120">
        <f t="shared" si="295"/>
        <v>520331.1532442735</v>
      </c>
      <c r="CI187" s="120">
        <f t="shared" si="295"/>
        <v>520577.003787714</v>
      </c>
      <c r="CJ187" s="120">
        <f t="shared" si="295"/>
        <v>527028.29411605163</v>
      </c>
      <c r="CK187" s="120">
        <f t="shared" si="295"/>
        <v>537880.07006522594</v>
      </c>
      <c r="CL187" s="120">
        <f t="shared" si="295"/>
        <v>505612.12849506916</v>
      </c>
      <c r="CM187" s="120">
        <f t="shared" si="295"/>
        <v>506052.26740943169</v>
      </c>
      <c r="CN187" s="120">
        <f t="shared" si="295"/>
        <v>513008.11809793609</v>
      </c>
      <c r="CO187" s="120"/>
    </row>
    <row r="188" spans="1:93" ht="12.75" customHeight="1">
      <c r="A188" s="117"/>
      <c r="B188" s="117"/>
      <c r="C188" s="117"/>
      <c r="D188" s="116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117"/>
      <c r="BV188" s="117"/>
      <c r="BW188" s="117"/>
      <c r="BX188" s="117"/>
      <c r="BY188" s="117"/>
      <c r="BZ188" s="117"/>
      <c r="CA188" s="117"/>
      <c r="CB188" s="117"/>
      <c r="CC188" s="117"/>
      <c r="CD188" s="117"/>
      <c r="CE188" s="117"/>
      <c r="CF188" s="117"/>
      <c r="CG188" s="117"/>
      <c r="CH188" s="117"/>
      <c r="CI188" s="117"/>
      <c r="CJ188" s="117"/>
      <c r="CK188" s="117"/>
      <c r="CL188" s="117"/>
      <c r="CM188" s="117"/>
      <c r="CN188" s="117"/>
      <c r="CO188" s="117"/>
    </row>
    <row r="189" spans="1:93" ht="12.75" customHeight="1">
      <c r="A189" s="117"/>
      <c r="B189" s="117"/>
      <c r="C189" s="124" t="s">
        <v>257</v>
      </c>
      <c r="D189" s="125" t="str">
        <f t="shared" ref="D189:CN189" si="296">IF(ROUND(D177,0)=ROUND(D187,0),"Да","Нет")</f>
        <v>Да</v>
      </c>
      <c r="E189" s="126" t="str">
        <f t="shared" si="296"/>
        <v>Да</v>
      </c>
      <c r="F189" s="126" t="str">
        <f t="shared" si="296"/>
        <v>Да</v>
      </c>
      <c r="G189" s="126" t="str">
        <f t="shared" si="296"/>
        <v>Да</v>
      </c>
      <c r="H189" s="126" t="str">
        <f t="shared" si="296"/>
        <v>Да</v>
      </c>
      <c r="I189" s="126" t="str">
        <f t="shared" si="296"/>
        <v>Да</v>
      </c>
      <c r="J189" s="126" t="str">
        <f t="shared" si="296"/>
        <v>Да</v>
      </c>
      <c r="K189" s="126" t="str">
        <f t="shared" si="296"/>
        <v>Да</v>
      </c>
      <c r="L189" s="126" t="str">
        <f t="shared" si="296"/>
        <v>Да</v>
      </c>
      <c r="M189" s="126" t="str">
        <f t="shared" si="296"/>
        <v>Да</v>
      </c>
      <c r="N189" s="126" t="str">
        <f t="shared" si="296"/>
        <v>Да</v>
      </c>
      <c r="O189" s="126" t="str">
        <f t="shared" si="296"/>
        <v>Да</v>
      </c>
      <c r="P189" s="126" t="str">
        <f t="shared" si="296"/>
        <v>Да</v>
      </c>
      <c r="Q189" s="126" t="str">
        <f t="shared" si="296"/>
        <v>Да</v>
      </c>
      <c r="R189" s="126" t="str">
        <f t="shared" si="296"/>
        <v>Да</v>
      </c>
      <c r="S189" s="126" t="str">
        <f t="shared" si="296"/>
        <v>Да</v>
      </c>
      <c r="T189" s="126" t="str">
        <f t="shared" si="296"/>
        <v>Да</v>
      </c>
      <c r="U189" s="126" t="str">
        <f t="shared" si="296"/>
        <v>Да</v>
      </c>
      <c r="V189" s="126" t="str">
        <f t="shared" si="296"/>
        <v>Да</v>
      </c>
      <c r="W189" s="126" t="str">
        <f t="shared" si="296"/>
        <v>Да</v>
      </c>
      <c r="X189" s="126" t="str">
        <f t="shared" si="296"/>
        <v>Да</v>
      </c>
      <c r="Y189" s="126" t="str">
        <f t="shared" si="296"/>
        <v>Да</v>
      </c>
      <c r="Z189" s="126" t="str">
        <f t="shared" si="296"/>
        <v>Да</v>
      </c>
      <c r="AA189" s="126" t="str">
        <f t="shared" si="296"/>
        <v>Да</v>
      </c>
      <c r="AB189" s="126" t="str">
        <f t="shared" si="296"/>
        <v>Да</v>
      </c>
      <c r="AC189" s="126" t="str">
        <f t="shared" si="296"/>
        <v>Да</v>
      </c>
      <c r="AD189" s="126" t="str">
        <f t="shared" si="296"/>
        <v>Да</v>
      </c>
      <c r="AE189" s="126" t="str">
        <f t="shared" si="296"/>
        <v>Да</v>
      </c>
      <c r="AF189" s="126" t="str">
        <f t="shared" si="296"/>
        <v>Да</v>
      </c>
      <c r="AG189" s="126" t="str">
        <f t="shared" si="296"/>
        <v>Да</v>
      </c>
      <c r="AH189" s="126" t="str">
        <f t="shared" si="296"/>
        <v>Да</v>
      </c>
      <c r="AI189" s="126" t="str">
        <f t="shared" si="296"/>
        <v>Да</v>
      </c>
      <c r="AJ189" s="126" t="str">
        <f t="shared" si="296"/>
        <v>Да</v>
      </c>
      <c r="AK189" s="126" t="str">
        <f t="shared" si="296"/>
        <v>Да</v>
      </c>
      <c r="AL189" s="126" t="str">
        <f t="shared" si="296"/>
        <v>Да</v>
      </c>
      <c r="AM189" s="126" t="str">
        <f t="shared" si="296"/>
        <v>Да</v>
      </c>
      <c r="AN189" s="126" t="str">
        <f t="shared" si="296"/>
        <v>Да</v>
      </c>
      <c r="AO189" s="126" t="str">
        <f t="shared" si="296"/>
        <v>Да</v>
      </c>
      <c r="AP189" s="126" t="str">
        <f t="shared" si="296"/>
        <v>Да</v>
      </c>
      <c r="AQ189" s="126" t="str">
        <f t="shared" si="296"/>
        <v>Да</v>
      </c>
      <c r="AR189" s="126" t="str">
        <f t="shared" si="296"/>
        <v>Да</v>
      </c>
      <c r="AS189" s="126" t="str">
        <f t="shared" si="296"/>
        <v>Да</v>
      </c>
      <c r="AT189" s="126" t="str">
        <f t="shared" si="296"/>
        <v>Да</v>
      </c>
      <c r="AU189" s="126" t="str">
        <f t="shared" si="296"/>
        <v>Да</v>
      </c>
      <c r="AV189" s="126" t="str">
        <f t="shared" si="296"/>
        <v>Да</v>
      </c>
      <c r="AW189" s="126" t="str">
        <f t="shared" si="296"/>
        <v>Да</v>
      </c>
      <c r="AX189" s="126" t="str">
        <f t="shared" si="296"/>
        <v>Да</v>
      </c>
      <c r="AY189" s="126" t="str">
        <f t="shared" si="296"/>
        <v>Да</v>
      </c>
      <c r="AZ189" s="126" t="str">
        <f t="shared" si="296"/>
        <v>Да</v>
      </c>
      <c r="BA189" s="126" t="str">
        <f t="shared" si="296"/>
        <v>Да</v>
      </c>
      <c r="BB189" s="126" t="str">
        <f t="shared" si="296"/>
        <v>Да</v>
      </c>
      <c r="BC189" s="126" t="str">
        <f t="shared" si="296"/>
        <v>Да</v>
      </c>
      <c r="BD189" s="126" t="str">
        <f t="shared" si="296"/>
        <v>Да</v>
      </c>
      <c r="BE189" s="126" t="str">
        <f t="shared" si="296"/>
        <v>Да</v>
      </c>
      <c r="BF189" s="126" t="str">
        <f t="shared" si="296"/>
        <v>Да</v>
      </c>
      <c r="BG189" s="126" t="str">
        <f t="shared" si="296"/>
        <v>Да</v>
      </c>
      <c r="BH189" s="126" t="str">
        <f t="shared" si="296"/>
        <v>Да</v>
      </c>
      <c r="BI189" s="126" t="str">
        <f t="shared" si="296"/>
        <v>Да</v>
      </c>
      <c r="BJ189" s="126" t="str">
        <f t="shared" si="296"/>
        <v>Да</v>
      </c>
      <c r="BK189" s="126" t="str">
        <f t="shared" si="296"/>
        <v>Да</v>
      </c>
      <c r="BL189" s="126" t="str">
        <f t="shared" si="296"/>
        <v>Да</v>
      </c>
      <c r="BM189" s="126" t="str">
        <f t="shared" si="296"/>
        <v>Да</v>
      </c>
      <c r="BN189" s="126" t="str">
        <f t="shared" si="296"/>
        <v>Да</v>
      </c>
      <c r="BO189" s="126" t="str">
        <f t="shared" si="296"/>
        <v>Да</v>
      </c>
      <c r="BP189" s="126" t="str">
        <f t="shared" si="296"/>
        <v>Да</v>
      </c>
      <c r="BQ189" s="126" t="str">
        <f t="shared" si="296"/>
        <v>Да</v>
      </c>
      <c r="BR189" s="126" t="str">
        <f t="shared" si="296"/>
        <v>Да</v>
      </c>
      <c r="BS189" s="126" t="str">
        <f t="shared" si="296"/>
        <v>Да</v>
      </c>
      <c r="BT189" s="126" t="str">
        <f t="shared" si="296"/>
        <v>Да</v>
      </c>
      <c r="BU189" s="126" t="str">
        <f t="shared" si="296"/>
        <v>Да</v>
      </c>
      <c r="BV189" s="126" t="str">
        <f t="shared" si="296"/>
        <v>Да</v>
      </c>
      <c r="BW189" s="126" t="str">
        <f t="shared" si="296"/>
        <v>Да</v>
      </c>
      <c r="BX189" s="126" t="str">
        <f t="shared" si="296"/>
        <v>Да</v>
      </c>
      <c r="BY189" s="126" t="str">
        <f t="shared" si="296"/>
        <v>Да</v>
      </c>
      <c r="BZ189" s="126" t="str">
        <f t="shared" si="296"/>
        <v>Да</v>
      </c>
      <c r="CA189" s="126" t="str">
        <f t="shared" si="296"/>
        <v>Да</v>
      </c>
      <c r="CB189" s="126" t="str">
        <f t="shared" si="296"/>
        <v>Да</v>
      </c>
      <c r="CC189" s="126" t="str">
        <f t="shared" si="296"/>
        <v>Да</v>
      </c>
      <c r="CD189" s="126" t="str">
        <f t="shared" si="296"/>
        <v>Да</v>
      </c>
      <c r="CE189" s="126" t="str">
        <f t="shared" si="296"/>
        <v>Да</v>
      </c>
      <c r="CF189" s="126" t="str">
        <f t="shared" si="296"/>
        <v>Да</v>
      </c>
      <c r="CG189" s="126" t="str">
        <f t="shared" si="296"/>
        <v>Да</v>
      </c>
      <c r="CH189" s="126" t="str">
        <f t="shared" si="296"/>
        <v>Да</v>
      </c>
      <c r="CI189" s="126" t="str">
        <f t="shared" si="296"/>
        <v>Да</v>
      </c>
      <c r="CJ189" s="126" t="str">
        <f t="shared" si="296"/>
        <v>Да</v>
      </c>
      <c r="CK189" s="126" t="str">
        <f t="shared" si="296"/>
        <v>Да</v>
      </c>
      <c r="CL189" s="126" t="str">
        <f t="shared" si="296"/>
        <v>Да</v>
      </c>
      <c r="CM189" s="126" t="str">
        <f t="shared" si="296"/>
        <v>Да</v>
      </c>
      <c r="CN189" s="126" t="str">
        <f t="shared" si="296"/>
        <v>Да</v>
      </c>
      <c r="CO189" s="126"/>
    </row>
    <row r="190" spans="1:93" ht="12.75" customHeight="1">
      <c r="A190" s="117"/>
      <c r="B190" s="117"/>
      <c r="C190" s="124" t="s">
        <v>258</v>
      </c>
      <c r="D190" s="125">
        <f t="shared" ref="D190:CN190" si="297">ROUND(D177,0)-ROUND(D187,0)</f>
        <v>0</v>
      </c>
      <c r="E190" s="126">
        <f t="shared" si="297"/>
        <v>0</v>
      </c>
      <c r="F190" s="126">
        <f t="shared" si="297"/>
        <v>0</v>
      </c>
      <c r="G190" s="126">
        <f t="shared" si="297"/>
        <v>0</v>
      </c>
      <c r="H190" s="126">
        <f t="shared" si="297"/>
        <v>0</v>
      </c>
      <c r="I190" s="126">
        <f t="shared" si="297"/>
        <v>0</v>
      </c>
      <c r="J190" s="126">
        <f t="shared" si="297"/>
        <v>0</v>
      </c>
      <c r="K190" s="126">
        <f t="shared" si="297"/>
        <v>0</v>
      </c>
      <c r="L190" s="126">
        <f t="shared" si="297"/>
        <v>0</v>
      </c>
      <c r="M190" s="126">
        <f t="shared" si="297"/>
        <v>0</v>
      </c>
      <c r="N190" s="126">
        <f t="shared" si="297"/>
        <v>0</v>
      </c>
      <c r="O190" s="126">
        <f t="shared" si="297"/>
        <v>0</v>
      </c>
      <c r="P190" s="126">
        <f t="shared" si="297"/>
        <v>0</v>
      </c>
      <c r="Q190" s="126">
        <f t="shared" si="297"/>
        <v>0</v>
      </c>
      <c r="R190" s="126">
        <f t="shared" si="297"/>
        <v>0</v>
      </c>
      <c r="S190" s="126">
        <f t="shared" si="297"/>
        <v>0</v>
      </c>
      <c r="T190" s="126">
        <f t="shared" si="297"/>
        <v>0</v>
      </c>
      <c r="U190" s="126">
        <f t="shared" si="297"/>
        <v>0</v>
      </c>
      <c r="V190" s="126">
        <f t="shared" si="297"/>
        <v>0</v>
      </c>
      <c r="W190" s="126">
        <f t="shared" si="297"/>
        <v>0</v>
      </c>
      <c r="X190" s="126">
        <f t="shared" si="297"/>
        <v>0</v>
      </c>
      <c r="Y190" s="126">
        <f t="shared" si="297"/>
        <v>0</v>
      </c>
      <c r="Z190" s="126">
        <f t="shared" si="297"/>
        <v>0</v>
      </c>
      <c r="AA190" s="126">
        <f t="shared" si="297"/>
        <v>0</v>
      </c>
      <c r="AB190" s="126">
        <f t="shared" si="297"/>
        <v>0</v>
      </c>
      <c r="AC190" s="126">
        <f t="shared" si="297"/>
        <v>0</v>
      </c>
      <c r="AD190" s="126">
        <f t="shared" si="297"/>
        <v>0</v>
      </c>
      <c r="AE190" s="126">
        <f t="shared" si="297"/>
        <v>0</v>
      </c>
      <c r="AF190" s="126">
        <f t="shared" si="297"/>
        <v>0</v>
      </c>
      <c r="AG190" s="126">
        <f t="shared" si="297"/>
        <v>0</v>
      </c>
      <c r="AH190" s="126">
        <f t="shared" si="297"/>
        <v>0</v>
      </c>
      <c r="AI190" s="126">
        <f t="shared" si="297"/>
        <v>0</v>
      </c>
      <c r="AJ190" s="126">
        <f t="shared" si="297"/>
        <v>0</v>
      </c>
      <c r="AK190" s="126">
        <f t="shared" si="297"/>
        <v>0</v>
      </c>
      <c r="AL190" s="126">
        <f t="shared" si="297"/>
        <v>0</v>
      </c>
      <c r="AM190" s="126">
        <f t="shared" si="297"/>
        <v>0</v>
      </c>
      <c r="AN190" s="126">
        <f t="shared" si="297"/>
        <v>0</v>
      </c>
      <c r="AO190" s="126">
        <f t="shared" si="297"/>
        <v>0</v>
      </c>
      <c r="AP190" s="126">
        <f t="shared" si="297"/>
        <v>0</v>
      </c>
      <c r="AQ190" s="126">
        <f t="shared" si="297"/>
        <v>0</v>
      </c>
      <c r="AR190" s="126">
        <f t="shared" si="297"/>
        <v>0</v>
      </c>
      <c r="AS190" s="126">
        <f t="shared" si="297"/>
        <v>0</v>
      </c>
      <c r="AT190" s="126">
        <f t="shared" si="297"/>
        <v>0</v>
      </c>
      <c r="AU190" s="126">
        <f t="shared" si="297"/>
        <v>0</v>
      </c>
      <c r="AV190" s="126">
        <f t="shared" si="297"/>
        <v>0</v>
      </c>
      <c r="AW190" s="126">
        <f t="shared" si="297"/>
        <v>0</v>
      </c>
      <c r="AX190" s="126">
        <f t="shared" si="297"/>
        <v>0</v>
      </c>
      <c r="AY190" s="126">
        <f t="shared" si="297"/>
        <v>0</v>
      </c>
      <c r="AZ190" s="126">
        <f t="shared" si="297"/>
        <v>0</v>
      </c>
      <c r="BA190" s="126">
        <f t="shared" si="297"/>
        <v>0</v>
      </c>
      <c r="BB190" s="126">
        <f t="shared" si="297"/>
        <v>0</v>
      </c>
      <c r="BC190" s="126">
        <f t="shared" si="297"/>
        <v>0</v>
      </c>
      <c r="BD190" s="126">
        <f t="shared" si="297"/>
        <v>0</v>
      </c>
      <c r="BE190" s="126">
        <f t="shared" si="297"/>
        <v>0</v>
      </c>
      <c r="BF190" s="126">
        <f t="shared" si="297"/>
        <v>0</v>
      </c>
      <c r="BG190" s="126">
        <f t="shared" si="297"/>
        <v>0</v>
      </c>
      <c r="BH190" s="126">
        <f t="shared" si="297"/>
        <v>0</v>
      </c>
      <c r="BI190" s="126">
        <f t="shared" si="297"/>
        <v>0</v>
      </c>
      <c r="BJ190" s="126">
        <f t="shared" si="297"/>
        <v>0</v>
      </c>
      <c r="BK190" s="126">
        <f t="shared" si="297"/>
        <v>0</v>
      </c>
      <c r="BL190" s="126">
        <f t="shared" si="297"/>
        <v>0</v>
      </c>
      <c r="BM190" s="126">
        <f t="shared" si="297"/>
        <v>0</v>
      </c>
      <c r="BN190" s="126">
        <f t="shared" si="297"/>
        <v>0</v>
      </c>
      <c r="BO190" s="126">
        <f t="shared" si="297"/>
        <v>0</v>
      </c>
      <c r="BP190" s="126">
        <f t="shared" si="297"/>
        <v>0</v>
      </c>
      <c r="BQ190" s="126">
        <f t="shared" si="297"/>
        <v>0</v>
      </c>
      <c r="BR190" s="126">
        <f t="shared" si="297"/>
        <v>0</v>
      </c>
      <c r="BS190" s="126">
        <f t="shared" si="297"/>
        <v>0</v>
      </c>
      <c r="BT190" s="126">
        <f t="shared" si="297"/>
        <v>0</v>
      </c>
      <c r="BU190" s="126">
        <f t="shared" si="297"/>
        <v>0</v>
      </c>
      <c r="BV190" s="126">
        <f t="shared" si="297"/>
        <v>0</v>
      </c>
      <c r="BW190" s="126">
        <f t="shared" si="297"/>
        <v>0</v>
      </c>
      <c r="BX190" s="126">
        <f t="shared" si="297"/>
        <v>0</v>
      </c>
      <c r="BY190" s="126">
        <f t="shared" si="297"/>
        <v>0</v>
      </c>
      <c r="BZ190" s="126">
        <f t="shared" si="297"/>
        <v>0</v>
      </c>
      <c r="CA190" s="126">
        <f t="shared" si="297"/>
        <v>0</v>
      </c>
      <c r="CB190" s="126">
        <f t="shared" si="297"/>
        <v>0</v>
      </c>
      <c r="CC190" s="126">
        <f t="shared" si="297"/>
        <v>0</v>
      </c>
      <c r="CD190" s="126">
        <f t="shared" si="297"/>
        <v>0</v>
      </c>
      <c r="CE190" s="126">
        <f t="shared" si="297"/>
        <v>0</v>
      </c>
      <c r="CF190" s="126">
        <f t="shared" si="297"/>
        <v>0</v>
      </c>
      <c r="CG190" s="126">
        <f t="shared" si="297"/>
        <v>0</v>
      </c>
      <c r="CH190" s="126">
        <f t="shared" si="297"/>
        <v>0</v>
      </c>
      <c r="CI190" s="126">
        <f t="shared" si="297"/>
        <v>0</v>
      </c>
      <c r="CJ190" s="126">
        <f t="shared" si="297"/>
        <v>0</v>
      </c>
      <c r="CK190" s="126">
        <f t="shared" si="297"/>
        <v>0</v>
      </c>
      <c r="CL190" s="126">
        <f t="shared" si="297"/>
        <v>0</v>
      </c>
      <c r="CM190" s="126">
        <f t="shared" si="297"/>
        <v>0</v>
      </c>
      <c r="CN190" s="126">
        <f t="shared" si="297"/>
        <v>0</v>
      </c>
      <c r="CO190" s="126"/>
    </row>
  </sheetData>
  <pageMargins left="0.70866141732283472" right="0.70866141732283472" top="0.74803149606299213" bottom="0.74803149606299213" header="0" footer="0"/>
  <pageSetup paperSize="9" orientation="landscape" r:id="rId1"/>
  <headerFooter>
    <oddFooter>&amp;C&amp;P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0000FF"/>
  </sheetPr>
  <dimension ref="A1:CO204"/>
  <sheetViews>
    <sheetView showGridLines="0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79" sqref="B79"/>
    </sheetView>
  </sheetViews>
  <sheetFormatPr defaultColWidth="14.453125" defaultRowHeight="15" customHeight="1" outlineLevelRow="4" outlineLevelCol="1"/>
  <cols>
    <col min="1" max="1" width="1.1796875" customWidth="1"/>
    <col min="2" max="2" width="39.453125" customWidth="1"/>
    <col min="3" max="3" width="16.453125" customWidth="1"/>
    <col min="4" max="92" width="11.26953125" customWidth="1" outlineLevel="1"/>
    <col min="93" max="93" width="11" customWidth="1" outlineLevel="1"/>
  </cols>
  <sheetData>
    <row r="1" spans="1:93" ht="2.25" customHeight="1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</row>
    <row r="2" spans="1:93" ht="2.25" customHeight="1">
      <c r="A2" s="35"/>
      <c r="B2" s="36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</row>
    <row r="3" spans="1:93" ht="12.75" customHeight="1">
      <c r="A3" s="35"/>
      <c r="B3" s="37" t="s">
        <v>108</v>
      </c>
      <c r="C3" s="38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40"/>
      <c r="AM3" s="39"/>
      <c r="AN3" s="39"/>
      <c r="AO3" s="39"/>
      <c r="AP3" s="39"/>
      <c r="AQ3" s="39"/>
      <c r="AR3" s="39"/>
      <c r="AS3" s="39"/>
      <c r="AT3" s="39"/>
      <c r="AU3" s="39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</row>
    <row r="4" spans="1:93" ht="6.75" customHeight="1">
      <c r="A4" s="35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41"/>
      <c r="Y4" s="41"/>
      <c r="Z4" s="41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</row>
    <row r="5" spans="1:93" ht="6" customHeight="1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</row>
    <row r="6" spans="1:93" ht="12.75" customHeight="1">
      <c r="A6" s="35"/>
      <c r="B6" s="414" t="s">
        <v>603</v>
      </c>
      <c r="C6" s="43" t="s">
        <v>109</v>
      </c>
      <c r="D6" s="44" t="s">
        <v>110</v>
      </c>
      <c r="E6" s="45">
        <v>44562</v>
      </c>
      <c r="F6" s="45">
        <f>EOMONTH(E6,2)+1</f>
        <v>44652</v>
      </c>
      <c r="G6" s="45">
        <f t="shared" ref="G6:BR6" si="0">EOMONTH(F6,2)+1</f>
        <v>44743</v>
      </c>
      <c r="H6" s="45">
        <f t="shared" si="0"/>
        <v>44835</v>
      </c>
      <c r="I6" s="45">
        <f t="shared" si="0"/>
        <v>44927</v>
      </c>
      <c r="J6" s="45">
        <f t="shared" si="0"/>
        <v>45017</v>
      </c>
      <c r="K6" s="45">
        <f t="shared" si="0"/>
        <v>45108</v>
      </c>
      <c r="L6" s="45">
        <f t="shared" si="0"/>
        <v>45200</v>
      </c>
      <c r="M6" s="45">
        <f t="shared" si="0"/>
        <v>45292</v>
      </c>
      <c r="N6" s="45">
        <f t="shared" si="0"/>
        <v>45383</v>
      </c>
      <c r="O6" s="45">
        <f t="shared" si="0"/>
        <v>45474</v>
      </c>
      <c r="P6" s="45">
        <f t="shared" si="0"/>
        <v>45566</v>
      </c>
      <c r="Q6" s="45">
        <f t="shared" si="0"/>
        <v>45658</v>
      </c>
      <c r="R6" s="45">
        <f t="shared" si="0"/>
        <v>45748</v>
      </c>
      <c r="S6" s="45">
        <f t="shared" si="0"/>
        <v>45839</v>
      </c>
      <c r="T6" s="45">
        <f t="shared" si="0"/>
        <v>45931</v>
      </c>
      <c r="U6" s="45">
        <f t="shared" si="0"/>
        <v>46023</v>
      </c>
      <c r="V6" s="45">
        <f t="shared" si="0"/>
        <v>46113</v>
      </c>
      <c r="W6" s="45">
        <f t="shared" si="0"/>
        <v>46204</v>
      </c>
      <c r="X6" s="45">
        <f t="shared" si="0"/>
        <v>46296</v>
      </c>
      <c r="Y6" s="45">
        <f t="shared" si="0"/>
        <v>46388</v>
      </c>
      <c r="Z6" s="45">
        <f t="shared" si="0"/>
        <v>46478</v>
      </c>
      <c r="AA6" s="45">
        <f t="shared" si="0"/>
        <v>46569</v>
      </c>
      <c r="AB6" s="45">
        <f t="shared" si="0"/>
        <v>46661</v>
      </c>
      <c r="AC6" s="45">
        <f t="shared" si="0"/>
        <v>46753</v>
      </c>
      <c r="AD6" s="45">
        <f t="shared" si="0"/>
        <v>46844</v>
      </c>
      <c r="AE6" s="45">
        <f t="shared" si="0"/>
        <v>46935</v>
      </c>
      <c r="AF6" s="45">
        <f t="shared" si="0"/>
        <v>47027</v>
      </c>
      <c r="AG6" s="45">
        <f t="shared" si="0"/>
        <v>47119</v>
      </c>
      <c r="AH6" s="45">
        <f t="shared" si="0"/>
        <v>47209</v>
      </c>
      <c r="AI6" s="45">
        <f t="shared" si="0"/>
        <v>47300</v>
      </c>
      <c r="AJ6" s="45">
        <f t="shared" si="0"/>
        <v>47392</v>
      </c>
      <c r="AK6" s="45">
        <f t="shared" si="0"/>
        <v>47484</v>
      </c>
      <c r="AL6" s="45">
        <f t="shared" si="0"/>
        <v>47574</v>
      </c>
      <c r="AM6" s="45">
        <f t="shared" si="0"/>
        <v>47665</v>
      </c>
      <c r="AN6" s="45">
        <f t="shared" si="0"/>
        <v>47757</v>
      </c>
      <c r="AO6" s="45">
        <f t="shared" si="0"/>
        <v>47849</v>
      </c>
      <c r="AP6" s="45">
        <f t="shared" si="0"/>
        <v>47939</v>
      </c>
      <c r="AQ6" s="45">
        <f t="shared" si="0"/>
        <v>48030</v>
      </c>
      <c r="AR6" s="45">
        <f t="shared" si="0"/>
        <v>48122</v>
      </c>
      <c r="AS6" s="45">
        <f t="shared" si="0"/>
        <v>48214</v>
      </c>
      <c r="AT6" s="45">
        <f t="shared" si="0"/>
        <v>48305</v>
      </c>
      <c r="AU6" s="45">
        <f t="shared" si="0"/>
        <v>48396</v>
      </c>
      <c r="AV6" s="45">
        <f t="shared" si="0"/>
        <v>48488</v>
      </c>
      <c r="AW6" s="45">
        <f t="shared" si="0"/>
        <v>48580</v>
      </c>
      <c r="AX6" s="45">
        <f t="shared" si="0"/>
        <v>48670</v>
      </c>
      <c r="AY6" s="45">
        <f t="shared" si="0"/>
        <v>48761</v>
      </c>
      <c r="AZ6" s="45">
        <f t="shared" si="0"/>
        <v>48853</v>
      </c>
      <c r="BA6" s="45">
        <f t="shared" si="0"/>
        <v>48945</v>
      </c>
      <c r="BB6" s="45">
        <f t="shared" si="0"/>
        <v>49035</v>
      </c>
      <c r="BC6" s="45">
        <f t="shared" si="0"/>
        <v>49126</v>
      </c>
      <c r="BD6" s="45">
        <f t="shared" si="0"/>
        <v>49218</v>
      </c>
      <c r="BE6" s="45">
        <f t="shared" si="0"/>
        <v>49310</v>
      </c>
      <c r="BF6" s="45">
        <f t="shared" si="0"/>
        <v>49400</v>
      </c>
      <c r="BG6" s="45">
        <f t="shared" si="0"/>
        <v>49491</v>
      </c>
      <c r="BH6" s="45">
        <f t="shared" si="0"/>
        <v>49583</v>
      </c>
      <c r="BI6" s="45">
        <f t="shared" si="0"/>
        <v>49675</v>
      </c>
      <c r="BJ6" s="45">
        <f t="shared" si="0"/>
        <v>49766</v>
      </c>
      <c r="BK6" s="45">
        <f t="shared" si="0"/>
        <v>49857</v>
      </c>
      <c r="BL6" s="45">
        <f t="shared" si="0"/>
        <v>49949</v>
      </c>
      <c r="BM6" s="45">
        <f t="shared" si="0"/>
        <v>50041</v>
      </c>
      <c r="BN6" s="45">
        <f t="shared" si="0"/>
        <v>50131</v>
      </c>
      <c r="BO6" s="45">
        <f t="shared" si="0"/>
        <v>50222</v>
      </c>
      <c r="BP6" s="45">
        <f t="shared" si="0"/>
        <v>50314</v>
      </c>
      <c r="BQ6" s="45">
        <f t="shared" si="0"/>
        <v>50406</v>
      </c>
      <c r="BR6" s="45">
        <f t="shared" si="0"/>
        <v>50496</v>
      </c>
      <c r="BS6" s="45">
        <f t="shared" ref="BS6:CO6" si="1">EOMONTH(BR6,2)+1</f>
        <v>50587</v>
      </c>
      <c r="BT6" s="45">
        <f t="shared" si="1"/>
        <v>50679</v>
      </c>
      <c r="BU6" s="45">
        <f t="shared" si="1"/>
        <v>50771</v>
      </c>
      <c r="BV6" s="45">
        <f t="shared" si="1"/>
        <v>50861</v>
      </c>
      <c r="BW6" s="45">
        <f t="shared" si="1"/>
        <v>50952</v>
      </c>
      <c r="BX6" s="45">
        <f t="shared" si="1"/>
        <v>51044</v>
      </c>
      <c r="BY6" s="45">
        <f t="shared" si="1"/>
        <v>51136</v>
      </c>
      <c r="BZ6" s="45">
        <f t="shared" si="1"/>
        <v>51227</v>
      </c>
      <c r="CA6" s="45">
        <f t="shared" si="1"/>
        <v>51318</v>
      </c>
      <c r="CB6" s="45">
        <f t="shared" si="1"/>
        <v>51410</v>
      </c>
      <c r="CC6" s="45">
        <f t="shared" si="1"/>
        <v>51502</v>
      </c>
      <c r="CD6" s="45">
        <f t="shared" si="1"/>
        <v>51592</v>
      </c>
      <c r="CE6" s="45">
        <f t="shared" si="1"/>
        <v>51683</v>
      </c>
      <c r="CF6" s="45">
        <f t="shared" si="1"/>
        <v>51775</v>
      </c>
      <c r="CG6" s="45">
        <f t="shared" si="1"/>
        <v>51867</v>
      </c>
      <c r="CH6" s="45">
        <f t="shared" si="1"/>
        <v>51957</v>
      </c>
      <c r="CI6" s="45">
        <f t="shared" si="1"/>
        <v>52048</v>
      </c>
      <c r="CJ6" s="45">
        <f t="shared" si="1"/>
        <v>52140</v>
      </c>
      <c r="CK6" s="45">
        <f t="shared" si="1"/>
        <v>52232</v>
      </c>
      <c r="CL6" s="45">
        <f t="shared" si="1"/>
        <v>52322</v>
      </c>
      <c r="CM6" s="45">
        <f t="shared" si="1"/>
        <v>52413</v>
      </c>
      <c r="CN6" s="45">
        <f t="shared" si="1"/>
        <v>52505</v>
      </c>
      <c r="CO6" s="45">
        <f t="shared" si="1"/>
        <v>52597</v>
      </c>
    </row>
    <row r="7" spans="1:93" ht="12.75" customHeight="1">
      <c r="A7" s="35"/>
      <c r="B7" s="415" t="s">
        <v>604</v>
      </c>
      <c r="C7" s="410"/>
      <c r="D7" s="411"/>
      <c r="E7" s="412">
        <v>44651</v>
      </c>
      <c r="F7" s="412">
        <f t="shared" ref="F7:BQ7" si="2">EOMONTH(E7,3)</f>
        <v>44742</v>
      </c>
      <c r="G7" s="412">
        <f t="shared" si="2"/>
        <v>44834</v>
      </c>
      <c r="H7" s="412">
        <f t="shared" si="2"/>
        <v>44926</v>
      </c>
      <c r="I7" s="412">
        <f t="shared" si="2"/>
        <v>45016</v>
      </c>
      <c r="J7" s="412">
        <f t="shared" si="2"/>
        <v>45107</v>
      </c>
      <c r="K7" s="412">
        <f t="shared" si="2"/>
        <v>45199</v>
      </c>
      <c r="L7" s="412">
        <f t="shared" si="2"/>
        <v>45291</v>
      </c>
      <c r="M7" s="412">
        <f t="shared" si="2"/>
        <v>45382</v>
      </c>
      <c r="N7" s="412">
        <f t="shared" si="2"/>
        <v>45473</v>
      </c>
      <c r="O7" s="412">
        <f t="shared" si="2"/>
        <v>45565</v>
      </c>
      <c r="P7" s="412">
        <f t="shared" si="2"/>
        <v>45657</v>
      </c>
      <c r="Q7" s="412">
        <f t="shared" si="2"/>
        <v>45747</v>
      </c>
      <c r="R7" s="412">
        <f t="shared" si="2"/>
        <v>45838</v>
      </c>
      <c r="S7" s="412">
        <f t="shared" si="2"/>
        <v>45930</v>
      </c>
      <c r="T7" s="412">
        <f t="shared" si="2"/>
        <v>46022</v>
      </c>
      <c r="U7" s="412">
        <f t="shared" si="2"/>
        <v>46112</v>
      </c>
      <c r="V7" s="412">
        <f t="shared" si="2"/>
        <v>46203</v>
      </c>
      <c r="W7" s="412">
        <f t="shared" si="2"/>
        <v>46295</v>
      </c>
      <c r="X7" s="412">
        <f t="shared" si="2"/>
        <v>46387</v>
      </c>
      <c r="Y7" s="412">
        <f t="shared" si="2"/>
        <v>46477</v>
      </c>
      <c r="Z7" s="412">
        <f t="shared" si="2"/>
        <v>46568</v>
      </c>
      <c r="AA7" s="412">
        <f t="shared" si="2"/>
        <v>46660</v>
      </c>
      <c r="AB7" s="412">
        <f t="shared" si="2"/>
        <v>46752</v>
      </c>
      <c r="AC7" s="412">
        <f t="shared" si="2"/>
        <v>46843</v>
      </c>
      <c r="AD7" s="412">
        <f t="shared" si="2"/>
        <v>46934</v>
      </c>
      <c r="AE7" s="412">
        <f t="shared" si="2"/>
        <v>47026</v>
      </c>
      <c r="AF7" s="412">
        <f t="shared" si="2"/>
        <v>47118</v>
      </c>
      <c r="AG7" s="412">
        <f t="shared" si="2"/>
        <v>47208</v>
      </c>
      <c r="AH7" s="412">
        <f t="shared" si="2"/>
        <v>47299</v>
      </c>
      <c r="AI7" s="412">
        <f t="shared" si="2"/>
        <v>47391</v>
      </c>
      <c r="AJ7" s="412">
        <f t="shared" si="2"/>
        <v>47483</v>
      </c>
      <c r="AK7" s="412">
        <f t="shared" si="2"/>
        <v>47573</v>
      </c>
      <c r="AL7" s="412">
        <f t="shared" si="2"/>
        <v>47664</v>
      </c>
      <c r="AM7" s="412">
        <f t="shared" si="2"/>
        <v>47756</v>
      </c>
      <c r="AN7" s="412">
        <f t="shared" si="2"/>
        <v>47848</v>
      </c>
      <c r="AO7" s="412">
        <f t="shared" si="2"/>
        <v>47938</v>
      </c>
      <c r="AP7" s="412">
        <f t="shared" si="2"/>
        <v>48029</v>
      </c>
      <c r="AQ7" s="412">
        <f t="shared" si="2"/>
        <v>48121</v>
      </c>
      <c r="AR7" s="412">
        <f t="shared" si="2"/>
        <v>48213</v>
      </c>
      <c r="AS7" s="412">
        <f t="shared" si="2"/>
        <v>48304</v>
      </c>
      <c r="AT7" s="412">
        <f t="shared" si="2"/>
        <v>48395</v>
      </c>
      <c r="AU7" s="412">
        <f t="shared" si="2"/>
        <v>48487</v>
      </c>
      <c r="AV7" s="412">
        <f t="shared" si="2"/>
        <v>48579</v>
      </c>
      <c r="AW7" s="412">
        <f t="shared" si="2"/>
        <v>48669</v>
      </c>
      <c r="AX7" s="412">
        <f t="shared" si="2"/>
        <v>48760</v>
      </c>
      <c r="AY7" s="412">
        <f t="shared" si="2"/>
        <v>48852</v>
      </c>
      <c r="AZ7" s="412">
        <f t="shared" si="2"/>
        <v>48944</v>
      </c>
      <c r="BA7" s="412">
        <f t="shared" si="2"/>
        <v>49034</v>
      </c>
      <c r="BB7" s="412">
        <f t="shared" si="2"/>
        <v>49125</v>
      </c>
      <c r="BC7" s="412">
        <f t="shared" si="2"/>
        <v>49217</v>
      </c>
      <c r="BD7" s="412">
        <f t="shared" si="2"/>
        <v>49309</v>
      </c>
      <c r="BE7" s="412">
        <f t="shared" si="2"/>
        <v>49399</v>
      </c>
      <c r="BF7" s="412">
        <f t="shared" si="2"/>
        <v>49490</v>
      </c>
      <c r="BG7" s="412">
        <f t="shared" si="2"/>
        <v>49582</v>
      </c>
      <c r="BH7" s="412">
        <f t="shared" si="2"/>
        <v>49674</v>
      </c>
      <c r="BI7" s="412">
        <f t="shared" si="2"/>
        <v>49765</v>
      </c>
      <c r="BJ7" s="412">
        <f t="shared" si="2"/>
        <v>49856</v>
      </c>
      <c r="BK7" s="412">
        <f t="shared" si="2"/>
        <v>49948</v>
      </c>
      <c r="BL7" s="412">
        <f t="shared" si="2"/>
        <v>50040</v>
      </c>
      <c r="BM7" s="412">
        <f t="shared" si="2"/>
        <v>50130</v>
      </c>
      <c r="BN7" s="412">
        <f t="shared" si="2"/>
        <v>50221</v>
      </c>
      <c r="BO7" s="412">
        <f t="shared" si="2"/>
        <v>50313</v>
      </c>
      <c r="BP7" s="412">
        <f t="shared" si="2"/>
        <v>50405</v>
      </c>
      <c r="BQ7" s="412">
        <f t="shared" si="2"/>
        <v>50495</v>
      </c>
      <c r="BR7" s="412">
        <f t="shared" ref="BR7:CO7" si="3">EOMONTH(BQ7,3)</f>
        <v>50586</v>
      </c>
      <c r="BS7" s="412">
        <f t="shared" si="3"/>
        <v>50678</v>
      </c>
      <c r="BT7" s="412">
        <f t="shared" si="3"/>
        <v>50770</v>
      </c>
      <c r="BU7" s="412">
        <f t="shared" si="3"/>
        <v>50860</v>
      </c>
      <c r="BV7" s="412">
        <f t="shared" si="3"/>
        <v>50951</v>
      </c>
      <c r="BW7" s="412">
        <f t="shared" si="3"/>
        <v>51043</v>
      </c>
      <c r="BX7" s="412">
        <f t="shared" si="3"/>
        <v>51135</v>
      </c>
      <c r="BY7" s="412">
        <f t="shared" si="3"/>
        <v>51226</v>
      </c>
      <c r="BZ7" s="412">
        <f t="shared" si="3"/>
        <v>51317</v>
      </c>
      <c r="CA7" s="412">
        <f t="shared" si="3"/>
        <v>51409</v>
      </c>
      <c r="CB7" s="412">
        <f t="shared" si="3"/>
        <v>51501</v>
      </c>
      <c r="CC7" s="412">
        <f t="shared" si="3"/>
        <v>51591</v>
      </c>
      <c r="CD7" s="412">
        <f t="shared" si="3"/>
        <v>51682</v>
      </c>
      <c r="CE7" s="412">
        <f t="shared" si="3"/>
        <v>51774</v>
      </c>
      <c r="CF7" s="412">
        <f t="shared" si="3"/>
        <v>51866</v>
      </c>
      <c r="CG7" s="412">
        <f t="shared" si="3"/>
        <v>51956</v>
      </c>
      <c r="CH7" s="412">
        <f t="shared" si="3"/>
        <v>52047</v>
      </c>
      <c r="CI7" s="412">
        <f t="shared" si="3"/>
        <v>52139</v>
      </c>
      <c r="CJ7" s="412">
        <f t="shared" si="3"/>
        <v>52231</v>
      </c>
      <c r="CK7" s="412">
        <f t="shared" si="3"/>
        <v>52321</v>
      </c>
      <c r="CL7" s="412">
        <f t="shared" si="3"/>
        <v>52412</v>
      </c>
      <c r="CM7" s="412">
        <f t="shared" si="3"/>
        <v>52504</v>
      </c>
      <c r="CN7" s="412">
        <f t="shared" si="3"/>
        <v>52596</v>
      </c>
      <c r="CO7" s="412">
        <f t="shared" si="3"/>
        <v>52687</v>
      </c>
    </row>
    <row r="8" spans="1:93" ht="12.75" customHeight="1" outlineLevel="1">
      <c r="A8" s="35"/>
      <c r="B8" s="49" t="s">
        <v>112</v>
      </c>
      <c r="C8" s="50"/>
      <c r="D8" s="51">
        <v>0</v>
      </c>
      <c r="E8" s="52">
        <f t="shared" ref="E8:H8" si="4">IF(MOD(E$9,4)=1,D8+1,D8)</f>
        <v>1</v>
      </c>
      <c r="F8" s="52">
        <f t="shared" si="4"/>
        <v>1</v>
      </c>
      <c r="G8" s="52">
        <f t="shared" si="4"/>
        <v>1</v>
      </c>
      <c r="H8" s="52">
        <f t="shared" si="4"/>
        <v>1</v>
      </c>
      <c r="I8" s="52">
        <f t="shared" ref="I8:CN8" si="5">IF(MOD(I$9,4)=1,H8+1,H8)</f>
        <v>2</v>
      </c>
      <c r="J8" s="52">
        <f t="shared" si="5"/>
        <v>2</v>
      </c>
      <c r="K8" s="52">
        <f t="shared" si="5"/>
        <v>2</v>
      </c>
      <c r="L8" s="52">
        <f t="shared" si="5"/>
        <v>2</v>
      </c>
      <c r="M8" s="52">
        <f t="shared" si="5"/>
        <v>3</v>
      </c>
      <c r="N8" s="52">
        <f t="shared" si="5"/>
        <v>3</v>
      </c>
      <c r="O8" s="52">
        <f t="shared" si="5"/>
        <v>3</v>
      </c>
      <c r="P8" s="52">
        <f t="shared" si="5"/>
        <v>3</v>
      </c>
      <c r="Q8" s="52">
        <f t="shared" si="5"/>
        <v>4</v>
      </c>
      <c r="R8" s="52">
        <f t="shared" si="5"/>
        <v>4</v>
      </c>
      <c r="S8" s="52">
        <f t="shared" si="5"/>
        <v>4</v>
      </c>
      <c r="T8" s="52">
        <f t="shared" si="5"/>
        <v>4</v>
      </c>
      <c r="U8" s="52">
        <f t="shared" si="5"/>
        <v>5</v>
      </c>
      <c r="V8" s="52">
        <f t="shared" si="5"/>
        <v>5</v>
      </c>
      <c r="W8" s="52">
        <f t="shared" si="5"/>
        <v>5</v>
      </c>
      <c r="X8" s="52">
        <f t="shared" si="5"/>
        <v>5</v>
      </c>
      <c r="Y8" s="52">
        <f t="shared" si="5"/>
        <v>6</v>
      </c>
      <c r="Z8" s="52">
        <f t="shared" si="5"/>
        <v>6</v>
      </c>
      <c r="AA8" s="52">
        <f t="shared" si="5"/>
        <v>6</v>
      </c>
      <c r="AB8" s="52">
        <f t="shared" si="5"/>
        <v>6</v>
      </c>
      <c r="AC8" s="52">
        <f t="shared" si="5"/>
        <v>7</v>
      </c>
      <c r="AD8" s="52">
        <f t="shared" si="5"/>
        <v>7</v>
      </c>
      <c r="AE8" s="52">
        <f t="shared" si="5"/>
        <v>7</v>
      </c>
      <c r="AF8" s="52">
        <f t="shared" si="5"/>
        <v>7</v>
      </c>
      <c r="AG8" s="52">
        <f t="shared" si="5"/>
        <v>8</v>
      </c>
      <c r="AH8" s="52">
        <f t="shared" si="5"/>
        <v>8</v>
      </c>
      <c r="AI8" s="52">
        <f t="shared" si="5"/>
        <v>8</v>
      </c>
      <c r="AJ8" s="52">
        <f t="shared" si="5"/>
        <v>8</v>
      </c>
      <c r="AK8" s="52">
        <f t="shared" si="5"/>
        <v>9</v>
      </c>
      <c r="AL8" s="52">
        <f t="shared" si="5"/>
        <v>9</v>
      </c>
      <c r="AM8" s="52">
        <f t="shared" si="5"/>
        <v>9</v>
      </c>
      <c r="AN8" s="52">
        <f t="shared" si="5"/>
        <v>9</v>
      </c>
      <c r="AO8" s="52">
        <f t="shared" si="5"/>
        <v>10</v>
      </c>
      <c r="AP8" s="52">
        <f t="shared" si="5"/>
        <v>10</v>
      </c>
      <c r="AQ8" s="52">
        <f t="shared" si="5"/>
        <v>10</v>
      </c>
      <c r="AR8" s="52">
        <f t="shared" si="5"/>
        <v>10</v>
      </c>
      <c r="AS8" s="52">
        <f t="shared" si="5"/>
        <v>11</v>
      </c>
      <c r="AT8" s="52">
        <f t="shared" si="5"/>
        <v>11</v>
      </c>
      <c r="AU8" s="52">
        <f t="shared" si="5"/>
        <v>11</v>
      </c>
      <c r="AV8" s="52">
        <f t="shared" si="5"/>
        <v>11</v>
      </c>
      <c r="AW8" s="52">
        <f t="shared" si="5"/>
        <v>12</v>
      </c>
      <c r="AX8" s="52">
        <f t="shared" si="5"/>
        <v>12</v>
      </c>
      <c r="AY8" s="52">
        <f t="shared" si="5"/>
        <v>12</v>
      </c>
      <c r="AZ8" s="52">
        <f t="shared" si="5"/>
        <v>12</v>
      </c>
      <c r="BA8" s="52">
        <f t="shared" si="5"/>
        <v>13</v>
      </c>
      <c r="BB8" s="52">
        <f t="shared" si="5"/>
        <v>13</v>
      </c>
      <c r="BC8" s="52">
        <f t="shared" si="5"/>
        <v>13</v>
      </c>
      <c r="BD8" s="52">
        <f t="shared" si="5"/>
        <v>13</v>
      </c>
      <c r="BE8" s="52">
        <f t="shared" si="5"/>
        <v>14</v>
      </c>
      <c r="BF8" s="52">
        <f t="shared" si="5"/>
        <v>14</v>
      </c>
      <c r="BG8" s="52">
        <f t="shared" si="5"/>
        <v>14</v>
      </c>
      <c r="BH8" s="52">
        <f t="shared" si="5"/>
        <v>14</v>
      </c>
      <c r="BI8" s="52">
        <f t="shared" si="5"/>
        <v>15</v>
      </c>
      <c r="BJ8" s="52">
        <f t="shared" si="5"/>
        <v>15</v>
      </c>
      <c r="BK8" s="52">
        <f t="shared" si="5"/>
        <v>15</v>
      </c>
      <c r="BL8" s="52">
        <f t="shared" si="5"/>
        <v>15</v>
      </c>
      <c r="BM8" s="52">
        <f t="shared" si="5"/>
        <v>16</v>
      </c>
      <c r="BN8" s="52">
        <f t="shared" si="5"/>
        <v>16</v>
      </c>
      <c r="BO8" s="52">
        <f t="shared" si="5"/>
        <v>16</v>
      </c>
      <c r="BP8" s="52">
        <f t="shared" si="5"/>
        <v>16</v>
      </c>
      <c r="BQ8" s="52">
        <f t="shared" si="5"/>
        <v>17</v>
      </c>
      <c r="BR8" s="52">
        <f t="shared" si="5"/>
        <v>17</v>
      </c>
      <c r="BS8" s="52">
        <f t="shared" si="5"/>
        <v>17</v>
      </c>
      <c r="BT8" s="52">
        <f t="shared" si="5"/>
        <v>17</v>
      </c>
      <c r="BU8" s="52">
        <f t="shared" si="5"/>
        <v>18</v>
      </c>
      <c r="BV8" s="52">
        <f t="shared" si="5"/>
        <v>18</v>
      </c>
      <c r="BW8" s="52">
        <f t="shared" si="5"/>
        <v>18</v>
      </c>
      <c r="BX8" s="52">
        <f t="shared" si="5"/>
        <v>18</v>
      </c>
      <c r="BY8" s="52">
        <f t="shared" si="5"/>
        <v>19</v>
      </c>
      <c r="BZ8" s="52">
        <f t="shared" si="5"/>
        <v>19</v>
      </c>
      <c r="CA8" s="52">
        <f t="shared" si="5"/>
        <v>19</v>
      </c>
      <c r="CB8" s="52">
        <f t="shared" si="5"/>
        <v>19</v>
      </c>
      <c r="CC8" s="52">
        <f t="shared" si="5"/>
        <v>20</v>
      </c>
      <c r="CD8" s="52">
        <f t="shared" si="5"/>
        <v>20</v>
      </c>
      <c r="CE8" s="52">
        <f t="shared" si="5"/>
        <v>20</v>
      </c>
      <c r="CF8" s="52">
        <f t="shared" si="5"/>
        <v>20</v>
      </c>
      <c r="CG8" s="52">
        <f t="shared" si="5"/>
        <v>21</v>
      </c>
      <c r="CH8" s="52">
        <f t="shared" si="5"/>
        <v>21</v>
      </c>
      <c r="CI8" s="52">
        <f t="shared" si="5"/>
        <v>21</v>
      </c>
      <c r="CJ8" s="52">
        <f t="shared" si="5"/>
        <v>21</v>
      </c>
      <c r="CK8" s="52">
        <f t="shared" si="5"/>
        <v>22</v>
      </c>
      <c r="CL8" s="52">
        <f t="shared" si="5"/>
        <v>22</v>
      </c>
      <c r="CM8" s="52">
        <f t="shared" si="5"/>
        <v>22</v>
      </c>
      <c r="CN8" s="52">
        <f t="shared" si="5"/>
        <v>22</v>
      </c>
      <c r="CO8" s="35">
        <f>CN8+1</f>
        <v>23</v>
      </c>
    </row>
    <row r="9" spans="1:93" ht="12.75" customHeight="1" outlineLevel="1">
      <c r="A9" s="35"/>
      <c r="B9" s="54" t="s">
        <v>113</v>
      </c>
      <c r="C9" s="55"/>
      <c r="D9" s="56">
        <v>0</v>
      </c>
      <c r="E9" s="57">
        <f t="shared" ref="E9:H9" si="6">D9+1</f>
        <v>1</v>
      </c>
      <c r="F9" s="57">
        <f t="shared" si="6"/>
        <v>2</v>
      </c>
      <c r="G9" s="57">
        <f t="shared" si="6"/>
        <v>3</v>
      </c>
      <c r="H9" s="57">
        <f t="shared" si="6"/>
        <v>4</v>
      </c>
      <c r="I9" s="57">
        <f t="shared" ref="I9:CN9" si="7">H9+1</f>
        <v>5</v>
      </c>
      <c r="J9" s="57">
        <f t="shared" si="7"/>
        <v>6</v>
      </c>
      <c r="K9" s="57">
        <f t="shared" si="7"/>
        <v>7</v>
      </c>
      <c r="L9" s="57">
        <f t="shared" si="7"/>
        <v>8</v>
      </c>
      <c r="M9" s="57">
        <f t="shared" si="7"/>
        <v>9</v>
      </c>
      <c r="N9" s="57">
        <f t="shared" si="7"/>
        <v>10</v>
      </c>
      <c r="O9" s="57">
        <f t="shared" si="7"/>
        <v>11</v>
      </c>
      <c r="P9" s="57">
        <f t="shared" si="7"/>
        <v>12</v>
      </c>
      <c r="Q9" s="57">
        <f t="shared" si="7"/>
        <v>13</v>
      </c>
      <c r="R9" s="57">
        <f t="shared" si="7"/>
        <v>14</v>
      </c>
      <c r="S9" s="57">
        <f t="shared" si="7"/>
        <v>15</v>
      </c>
      <c r="T9" s="57">
        <f t="shared" si="7"/>
        <v>16</v>
      </c>
      <c r="U9" s="57">
        <f t="shared" si="7"/>
        <v>17</v>
      </c>
      <c r="V9" s="57">
        <f t="shared" si="7"/>
        <v>18</v>
      </c>
      <c r="W9" s="57">
        <f t="shared" si="7"/>
        <v>19</v>
      </c>
      <c r="X9" s="57">
        <f t="shared" si="7"/>
        <v>20</v>
      </c>
      <c r="Y9" s="57">
        <f t="shared" si="7"/>
        <v>21</v>
      </c>
      <c r="Z9" s="57">
        <f t="shared" si="7"/>
        <v>22</v>
      </c>
      <c r="AA9" s="57">
        <f t="shared" si="7"/>
        <v>23</v>
      </c>
      <c r="AB9" s="57">
        <f t="shared" si="7"/>
        <v>24</v>
      </c>
      <c r="AC9" s="57">
        <f t="shared" si="7"/>
        <v>25</v>
      </c>
      <c r="AD9" s="57">
        <f t="shared" si="7"/>
        <v>26</v>
      </c>
      <c r="AE9" s="57">
        <f t="shared" si="7"/>
        <v>27</v>
      </c>
      <c r="AF9" s="57">
        <f t="shared" si="7"/>
        <v>28</v>
      </c>
      <c r="AG9" s="57">
        <f t="shared" si="7"/>
        <v>29</v>
      </c>
      <c r="AH9" s="57">
        <f t="shared" si="7"/>
        <v>30</v>
      </c>
      <c r="AI9" s="57">
        <f t="shared" si="7"/>
        <v>31</v>
      </c>
      <c r="AJ9" s="57">
        <f t="shared" si="7"/>
        <v>32</v>
      </c>
      <c r="AK9" s="57">
        <f t="shared" si="7"/>
        <v>33</v>
      </c>
      <c r="AL9" s="57">
        <f t="shared" si="7"/>
        <v>34</v>
      </c>
      <c r="AM9" s="57">
        <f t="shared" si="7"/>
        <v>35</v>
      </c>
      <c r="AN9" s="57">
        <f t="shared" si="7"/>
        <v>36</v>
      </c>
      <c r="AO9" s="57">
        <f t="shared" si="7"/>
        <v>37</v>
      </c>
      <c r="AP9" s="57">
        <f t="shared" si="7"/>
        <v>38</v>
      </c>
      <c r="AQ9" s="57">
        <f t="shared" si="7"/>
        <v>39</v>
      </c>
      <c r="AR9" s="57">
        <f t="shared" si="7"/>
        <v>40</v>
      </c>
      <c r="AS9" s="57">
        <f t="shared" si="7"/>
        <v>41</v>
      </c>
      <c r="AT9" s="57">
        <f t="shared" si="7"/>
        <v>42</v>
      </c>
      <c r="AU9" s="57">
        <f t="shared" si="7"/>
        <v>43</v>
      </c>
      <c r="AV9" s="57">
        <f t="shared" si="7"/>
        <v>44</v>
      </c>
      <c r="AW9" s="57">
        <f t="shared" si="7"/>
        <v>45</v>
      </c>
      <c r="AX9" s="57">
        <f t="shared" si="7"/>
        <v>46</v>
      </c>
      <c r="AY9" s="57">
        <f t="shared" si="7"/>
        <v>47</v>
      </c>
      <c r="AZ9" s="57">
        <f t="shared" si="7"/>
        <v>48</v>
      </c>
      <c r="BA9" s="57">
        <f t="shared" si="7"/>
        <v>49</v>
      </c>
      <c r="BB9" s="57">
        <f t="shared" si="7"/>
        <v>50</v>
      </c>
      <c r="BC9" s="57">
        <f t="shared" si="7"/>
        <v>51</v>
      </c>
      <c r="BD9" s="57">
        <f t="shared" si="7"/>
        <v>52</v>
      </c>
      <c r="BE9" s="57">
        <f t="shared" si="7"/>
        <v>53</v>
      </c>
      <c r="BF9" s="57">
        <f t="shared" si="7"/>
        <v>54</v>
      </c>
      <c r="BG9" s="57">
        <f t="shared" si="7"/>
        <v>55</v>
      </c>
      <c r="BH9" s="57">
        <f t="shared" si="7"/>
        <v>56</v>
      </c>
      <c r="BI9" s="57">
        <f t="shared" si="7"/>
        <v>57</v>
      </c>
      <c r="BJ9" s="57">
        <f t="shared" si="7"/>
        <v>58</v>
      </c>
      <c r="BK9" s="57">
        <f t="shared" si="7"/>
        <v>59</v>
      </c>
      <c r="BL9" s="57">
        <f t="shared" si="7"/>
        <v>60</v>
      </c>
      <c r="BM9" s="57">
        <f t="shared" si="7"/>
        <v>61</v>
      </c>
      <c r="BN9" s="57">
        <f t="shared" si="7"/>
        <v>62</v>
      </c>
      <c r="BO9" s="57">
        <f t="shared" si="7"/>
        <v>63</v>
      </c>
      <c r="BP9" s="57">
        <f t="shared" si="7"/>
        <v>64</v>
      </c>
      <c r="BQ9" s="57">
        <f t="shared" si="7"/>
        <v>65</v>
      </c>
      <c r="BR9" s="57">
        <f t="shared" si="7"/>
        <v>66</v>
      </c>
      <c r="BS9" s="57">
        <f t="shared" si="7"/>
        <v>67</v>
      </c>
      <c r="BT9" s="57">
        <f t="shared" si="7"/>
        <v>68</v>
      </c>
      <c r="BU9" s="57">
        <f t="shared" si="7"/>
        <v>69</v>
      </c>
      <c r="BV9" s="57">
        <f t="shared" si="7"/>
        <v>70</v>
      </c>
      <c r="BW9" s="57">
        <f t="shared" si="7"/>
        <v>71</v>
      </c>
      <c r="BX9" s="57">
        <f t="shared" si="7"/>
        <v>72</v>
      </c>
      <c r="BY9" s="57">
        <f t="shared" si="7"/>
        <v>73</v>
      </c>
      <c r="BZ9" s="57">
        <f t="shared" si="7"/>
        <v>74</v>
      </c>
      <c r="CA9" s="57">
        <f t="shared" si="7"/>
        <v>75</v>
      </c>
      <c r="CB9" s="57">
        <f t="shared" si="7"/>
        <v>76</v>
      </c>
      <c r="CC9" s="57">
        <f t="shared" si="7"/>
        <v>77</v>
      </c>
      <c r="CD9" s="57">
        <f t="shared" si="7"/>
        <v>78</v>
      </c>
      <c r="CE9" s="57">
        <f t="shared" si="7"/>
        <v>79</v>
      </c>
      <c r="CF9" s="57">
        <f t="shared" si="7"/>
        <v>80</v>
      </c>
      <c r="CG9" s="57">
        <f t="shared" si="7"/>
        <v>81</v>
      </c>
      <c r="CH9" s="57">
        <f t="shared" si="7"/>
        <v>82</v>
      </c>
      <c r="CI9" s="57">
        <f t="shared" si="7"/>
        <v>83</v>
      </c>
      <c r="CJ9" s="57">
        <f t="shared" si="7"/>
        <v>84</v>
      </c>
      <c r="CK9" s="57">
        <f t="shared" si="7"/>
        <v>85</v>
      </c>
      <c r="CL9" s="57">
        <f t="shared" si="7"/>
        <v>86</v>
      </c>
      <c r="CM9" s="57">
        <f t="shared" si="7"/>
        <v>87</v>
      </c>
      <c r="CN9" s="57">
        <f t="shared" si="7"/>
        <v>88</v>
      </c>
      <c r="CO9" s="35"/>
    </row>
    <row r="10" spans="1:93" ht="12.75" customHeight="1">
      <c r="A10" s="35"/>
      <c r="B10" s="35"/>
      <c r="C10" s="35"/>
      <c r="D10" s="59"/>
      <c r="E10" s="35">
        <v>1</v>
      </c>
      <c r="F10" s="35">
        <v>2</v>
      </c>
      <c r="G10" s="35">
        <v>3</v>
      </c>
      <c r="H10" s="35">
        <v>4</v>
      </c>
      <c r="I10" s="35">
        <f t="shared" ref="I10:X10" si="8">E10</f>
        <v>1</v>
      </c>
      <c r="J10" s="35">
        <f t="shared" si="8"/>
        <v>2</v>
      </c>
      <c r="K10" s="35">
        <f t="shared" si="8"/>
        <v>3</v>
      </c>
      <c r="L10" s="35">
        <f t="shared" si="8"/>
        <v>4</v>
      </c>
      <c r="M10" s="35">
        <f t="shared" si="8"/>
        <v>1</v>
      </c>
      <c r="N10" s="35">
        <f t="shared" si="8"/>
        <v>2</v>
      </c>
      <c r="O10" s="35">
        <f t="shared" si="8"/>
        <v>3</v>
      </c>
      <c r="P10" s="35">
        <f t="shared" si="8"/>
        <v>4</v>
      </c>
      <c r="Q10" s="35">
        <f t="shared" si="8"/>
        <v>1</v>
      </c>
      <c r="R10" s="35">
        <f t="shared" si="8"/>
        <v>2</v>
      </c>
      <c r="S10" s="35">
        <f t="shared" si="8"/>
        <v>3</v>
      </c>
      <c r="T10" s="35">
        <f t="shared" si="8"/>
        <v>4</v>
      </c>
      <c r="U10" s="35">
        <f t="shared" si="8"/>
        <v>1</v>
      </c>
      <c r="V10" s="35">
        <f t="shared" si="8"/>
        <v>2</v>
      </c>
      <c r="W10" s="35">
        <f t="shared" si="8"/>
        <v>3</v>
      </c>
      <c r="X10" s="35">
        <f t="shared" si="8"/>
        <v>4</v>
      </c>
      <c r="Y10" s="35">
        <f>E10</f>
        <v>1</v>
      </c>
      <c r="Z10" s="35">
        <f t="shared" ref="Z10:CN10" si="9">V10</f>
        <v>2</v>
      </c>
      <c r="AA10" s="35">
        <f t="shared" si="9"/>
        <v>3</v>
      </c>
      <c r="AB10" s="35">
        <f t="shared" si="9"/>
        <v>4</v>
      </c>
      <c r="AC10" s="35">
        <f t="shared" si="9"/>
        <v>1</v>
      </c>
      <c r="AD10" s="35">
        <f t="shared" si="9"/>
        <v>2</v>
      </c>
      <c r="AE10" s="35">
        <f t="shared" si="9"/>
        <v>3</v>
      </c>
      <c r="AF10" s="35">
        <f t="shared" si="9"/>
        <v>4</v>
      </c>
      <c r="AG10" s="35">
        <f t="shared" si="9"/>
        <v>1</v>
      </c>
      <c r="AH10" s="35">
        <f t="shared" si="9"/>
        <v>2</v>
      </c>
      <c r="AI10" s="35">
        <f t="shared" si="9"/>
        <v>3</v>
      </c>
      <c r="AJ10" s="35">
        <f t="shared" si="9"/>
        <v>4</v>
      </c>
      <c r="AK10" s="35">
        <f t="shared" si="9"/>
        <v>1</v>
      </c>
      <c r="AL10" s="35">
        <f t="shared" si="9"/>
        <v>2</v>
      </c>
      <c r="AM10" s="35">
        <f t="shared" si="9"/>
        <v>3</v>
      </c>
      <c r="AN10" s="35">
        <f t="shared" si="9"/>
        <v>4</v>
      </c>
      <c r="AO10" s="35">
        <f t="shared" si="9"/>
        <v>1</v>
      </c>
      <c r="AP10" s="35">
        <f t="shared" si="9"/>
        <v>2</v>
      </c>
      <c r="AQ10" s="35">
        <f t="shared" si="9"/>
        <v>3</v>
      </c>
      <c r="AR10" s="35">
        <f t="shared" si="9"/>
        <v>4</v>
      </c>
      <c r="AS10" s="35">
        <f t="shared" si="9"/>
        <v>1</v>
      </c>
      <c r="AT10" s="35">
        <f t="shared" si="9"/>
        <v>2</v>
      </c>
      <c r="AU10" s="35">
        <f t="shared" si="9"/>
        <v>3</v>
      </c>
      <c r="AV10" s="35">
        <f t="shared" si="9"/>
        <v>4</v>
      </c>
      <c r="AW10" s="35">
        <f t="shared" si="9"/>
        <v>1</v>
      </c>
      <c r="AX10" s="35">
        <f t="shared" si="9"/>
        <v>2</v>
      </c>
      <c r="AY10" s="35">
        <f t="shared" si="9"/>
        <v>3</v>
      </c>
      <c r="AZ10" s="35">
        <f t="shared" si="9"/>
        <v>4</v>
      </c>
      <c r="BA10" s="35">
        <f t="shared" si="9"/>
        <v>1</v>
      </c>
      <c r="BB10" s="35">
        <f t="shared" si="9"/>
        <v>2</v>
      </c>
      <c r="BC10" s="35">
        <f t="shared" si="9"/>
        <v>3</v>
      </c>
      <c r="BD10" s="35">
        <f t="shared" si="9"/>
        <v>4</v>
      </c>
      <c r="BE10" s="35">
        <f t="shared" si="9"/>
        <v>1</v>
      </c>
      <c r="BF10" s="35">
        <f t="shared" si="9"/>
        <v>2</v>
      </c>
      <c r="BG10" s="35">
        <f t="shared" si="9"/>
        <v>3</v>
      </c>
      <c r="BH10" s="35">
        <f t="shared" si="9"/>
        <v>4</v>
      </c>
      <c r="BI10" s="35">
        <f t="shared" si="9"/>
        <v>1</v>
      </c>
      <c r="BJ10" s="35">
        <f t="shared" si="9"/>
        <v>2</v>
      </c>
      <c r="BK10" s="35">
        <f t="shared" si="9"/>
        <v>3</v>
      </c>
      <c r="BL10" s="35">
        <f t="shared" si="9"/>
        <v>4</v>
      </c>
      <c r="BM10" s="35">
        <f t="shared" si="9"/>
        <v>1</v>
      </c>
      <c r="BN10" s="35">
        <f t="shared" si="9"/>
        <v>2</v>
      </c>
      <c r="BO10" s="35">
        <f t="shared" si="9"/>
        <v>3</v>
      </c>
      <c r="BP10" s="35">
        <f t="shared" si="9"/>
        <v>4</v>
      </c>
      <c r="BQ10" s="35">
        <f t="shared" si="9"/>
        <v>1</v>
      </c>
      <c r="BR10" s="35">
        <f t="shared" si="9"/>
        <v>2</v>
      </c>
      <c r="BS10" s="35">
        <f t="shared" si="9"/>
        <v>3</v>
      </c>
      <c r="BT10" s="35">
        <f t="shared" si="9"/>
        <v>4</v>
      </c>
      <c r="BU10" s="35">
        <f t="shared" si="9"/>
        <v>1</v>
      </c>
      <c r="BV10" s="35">
        <f t="shared" si="9"/>
        <v>2</v>
      </c>
      <c r="BW10" s="35">
        <f t="shared" si="9"/>
        <v>3</v>
      </c>
      <c r="BX10" s="35">
        <f t="shared" si="9"/>
        <v>4</v>
      </c>
      <c r="BY10" s="35">
        <f t="shared" si="9"/>
        <v>1</v>
      </c>
      <c r="BZ10" s="35">
        <f t="shared" si="9"/>
        <v>2</v>
      </c>
      <c r="CA10" s="35">
        <f t="shared" si="9"/>
        <v>3</v>
      </c>
      <c r="CB10" s="35">
        <f t="shared" si="9"/>
        <v>4</v>
      </c>
      <c r="CC10" s="35">
        <f t="shared" si="9"/>
        <v>1</v>
      </c>
      <c r="CD10" s="35">
        <f t="shared" si="9"/>
        <v>2</v>
      </c>
      <c r="CE10" s="35">
        <f t="shared" si="9"/>
        <v>3</v>
      </c>
      <c r="CF10" s="35">
        <f t="shared" si="9"/>
        <v>4</v>
      </c>
      <c r="CG10" s="35">
        <f t="shared" si="9"/>
        <v>1</v>
      </c>
      <c r="CH10" s="35">
        <f t="shared" si="9"/>
        <v>2</v>
      </c>
      <c r="CI10" s="35">
        <f t="shared" si="9"/>
        <v>3</v>
      </c>
      <c r="CJ10" s="35">
        <f t="shared" si="9"/>
        <v>4</v>
      </c>
      <c r="CK10" s="35">
        <f t="shared" si="9"/>
        <v>1</v>
      </c>
      <c r="CL10" s="35">
        <f t="shared" si="9"/>
        <v>2</v>
      </c>
      <c r="CM10" s="35">
        <f t="shared" si="9"/>
        <v>3</v>
      </c>
      <c r="CN10" s="35">
        <f t="shared" si="9"/>
        <v>4</v>
      </c>
      <c r="CO10" s="5"/>
    </row>
    <row r="11" spans="1:93" ht="12.75" customHeight="1">
      <c r="A11" s="35"/>
      <c r="B11" s="35"/>
      <c r="C11" s="35"/>
      <c r="D11" s="60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5"/>
    </row>
    <row r="12" spans="1:93" ht="12.75" customHeight="1">
      <c r="A12" s="35"/>
      <c r="B12" s="42" t="s">
        <v>114</v>
      </c>
      <c r="C12" s="42"/>
      <c r="D12" s="44"/>
      <c r="E12" s="45">
        <f>E6</f>
        <v>44562</v>
      </c>
      <c r="F12" s="45">
        <f t="shared" ref="F12:CN12" si="10">EOMONTH(E12,3)</f>
        <v>44681</v>
      </c>
      <c r="G12" s="45">
        <f t="shared" si="10"/>
        <v>44773</v>
      </c>
      <c r="H12" s="45">
        <f t="shared" si="10"/>
        <v>44865</v>
      </c>
      <c r="I12" s="45">
        <f t="shared" si="10"/>
        <v>44957</v>
      </c>
      <c r="J12" s="45">
        <f t="shared" si="10"/>
        <v>45046</v>
      </c>
      <c r="K12" s="45">
        <f t="shared" si="10"/>
        <v>45138</v>
      </c>
      <c r="L12" s="45">
        <f t="shared" si="10"/>
        <v>45230</v>
      </c>
      <c r="M12" s="45">
        <f t="shared" si="10"/>
        <v>45322</v>
      </c>
      <c r="N12" s="45">
        <f t="shared" si="10"/>
        <v>45412</v>
      </c>
      <c r="O12" s="45">
        <f t="shared" si="10"/>
        <v>45504</v>
      </c>
      <c r="P12" s="45">
        <f t="shared" si="10"/>
        <v>45596</v>
      </c>
      <c r="Q12" s="45">
        <f t="shared" si="10"/>
        <v>45688</v>
      </c>
      <c r="R12" s="45">
        <f t="shared" si="10"/>
        <v>45777</v>
      </c>
      <c r="S12" s="45">
        <f t="shared" si="10"/>
        <v>45869</v>
      </c>
      <c r="T12" s="45">
        <f t="shared" si="10"/>
        <v>45961</v>
      </c>
      <c r="U12" s="45">
        <f t="shared" si="10"/>
        <v>46053</v>
      </c>
      <c r="V12" s="45">
        <f t="shared" si="10"/>
        <v>46142</v>
      </c>
      <c r="W12" s="45">
        <f t="shared" si="10"/>
        <v>46234</v>
      </c>
      <c r="X12" s="45">
        <f t="shared" si="10"/>
        <v>46326</v>
      </c>
      <c r="Y12" s="45">
        <f t="shared" si="10"/>
        <v>46418</v>
      </c>
      <c r="Z12" s="45">
        <f t="shared" si="10"/>
        <v>46507</v>
      </c>
      <c r="AA12" s="45">
        <f t="shared" si="10"/>
        <v>46599</v>
      </c>
      <c r="AB12" s="45">
        <f t="shared" si="10"/>
        <v>46691</v>
      </c>
      <c r="AC12" s="45">
        <f t="shared" si="10"/>
        <v>46783</v>
      </c>
      <c r="AD12" s="45">
        <f t="shared" si="10"/>
        <v>46873</v>
      </c>
      <c r="AE12" s="45">
        <f t="shared" si="10"/>
        <v>46965</v>
      </c>
      <c r="AF12" s="45">
        <f t="shared" si="10"/>
        <v>47057</v>
      </c>
      <c r="AG12" s="45">
        <f t="shared" si="10"/>
        <v>47149</v>
      </c>
      <c r="AH12" s="45">
        <f t="shared" si="10"/>
        <v>47238</v>
      </c>
      <c r="AI12" s="45">
        <f t="shared" si="10"/>
        <v>47330</v>
      </c>
      <c r="AJ12" s="45">
        <f t="shared" si="10"/>
        <v>47422</v>
      </c>
      <c r="AK12" s="45">
        <f t="shared" si="10"/>
        <v>47514</v>
      </c>
      <c r="AL12" s="45">
        <f t="shared" si="10"/>
        <v>47603</v>
      </c>
      <c r="AM12" s="45">
        <f t="shared" si="10"/>
        <v>47695</v>
      </c>
      <c r="AN12" s="45">
        <f t="shared" si="10"/>
        <v>47787</v>
      </c>
      <c r="AO12" s="45">
        <f t="shared" si="10"/>
        <v>47879</v>
      </c>
      <c r="AP12" s="45">
        <f t="shared" si="10"/>
        <v>47968</v>
      </c>
      <c r="AQ12" s="45">
        <f t="shared" si="10"/>
        <v>48060</v>
      </c>
      <c r="AR12" s="45">
        <f t="shared" si="10"/>
        <v>48152</v>
      </c>
      <c r="AS12" s="45">
        <f t="shared" si="10"/>
        <v>48244</v>
      </c>
      <c r="AT12" s="45">
        <f t="shared" si="10"/>
        <v>48334</v>
      </c>
      <c r="AU12" s="45">
        <f t="shared" si="10"/>
        <v>48426</v>
      </c>
      <c r="AV12" s="45">
        <f t="shared" si="10"/>
        <v>48518</v>
      </c>
      <c r="AW12" s="45">
        <f t="shared" si="10"/>
        <v>48610</v>
      </c>
      <c r="AX12" s="45">
        <f t="shared" si="10"/>
        <v>48699</v>
      </c>
      <c r="AY12" s="45">
        <f t="shared" si="10"/>
        <v>48791</v>
      </c>
      <c r="AZ12" s="45">
        <f t="shared" si="10"/>
        <v>48883</v>
      </c>
      <c r="BA12" s="45">
        <f t="shared" si="10"/>
        <v>48975</v>
      </c>
      <c r="BB12" s="45">
        <f t="shared" si="10"/>
        <v>49064</v>
      </c>
      <c r="BC12" s="45">
        <f t="shared" si="10"/>
        <v>49156</v>
      </c>
      <c r="BD12" s="45">
        <f t="shared" si="10"/>
        <v>49248</v>
      </c>
      <c r="BE12" s="45">
        <f t="shared" si="10"/>
        <v>49340</v>
      </c>
      <c r="BF12" s="45">
        <f t="shared" si="10"/>
        <v>49429</v>
      </c>
      <c r="BG12" s="45">
        <f t="shared" si="10"/>
        <v>49521</v>
      </c>
      <c r="BH12" s="45">
        <f t="shared" si="10"/>
        <v>49613</v>
      </c>
      <c r="BI12" s="45">
        <f t="shared" si="10"/>
        <v>49705</v>
      </c>
      <c r="BJ12" s="45">
        <f t="shared" si="10"/>
        <v>49795</v>
      </c>
      <c r="BK12" s="45">
        <f t="shared" si="10"/>
        <v>49887</v>
      </c>
      <c r="BL12" s="45">
        <f t="shared" si="10"/>
        <v>49979</v>
      </c>
      <c r="BM12" s="45">
        <f t="shared" si="10"/>
        <v>50071</v>
      </c>
      <c r="BN12" s="45">
        <f t="shared" si="10"/>
        <v>50160</v>
      </c>
      <c r="BO12" s="45">
        <f t="shared" si="10"/>
        <v>50252</v>
      </c>
      <c r="BP12" s="45">
        <f t="shared" si="10"/>
        <v>50344</v>
      </c>
      <c r="BQ12" s="45">
        <f t="shared" si="10"/>
        <v>50436</v>
      </c>
      <c r="BR12" s="45">
        <f t="shared" si="10"/>
        <v>50525</v>
      </c>
      <c r="BS12" s="45">
        <f t="shared" si="10"/>
        <v>50617</v>
      </c>
      <c r="BT12" s="45">
        <f t="shared" si="10"/>
        <v>50709</v>
      </c>
      <c r="BU12" s="45">
        <f t="shared" si="10"/>
        <v>50801</v>
      </c>
      <c r="BV12" s="45">
        <f t="shared" si="10"/>
        <v>50890</v>
      </c>
      <c r="BW12" s="45">
        <f t="shared" si="10"/>
        <v>50982</v>
      </c>
      <c r="BX12" s="45">
        <f t="shared" si="10"/>
        <v>51074</v>
      </c>
      <c r="BY12" s="45">
        <f t="shared" si="10"/>
        <v>51166</v>
      </c>
      <c r="BZ12" s="45">
        <f t="shared" si="10"/>
        <v>51256</v>
      </c>
      <c r="CA12" s="45">
        <f t="shared" si="10"/>
        <v>51348</v>
      </c>
      <c r="CB12" s="45">
        <f t="shared" si="10"/>
        <v>51440</v>
      </c>
      <c r="CC12" s="45">
        <f t="shared" si="10"/>
        <v>51532</v>
      </c>
      <c r="CD12" s="45">
        <f t="shared" si="10"/>
        <v>51621</v>
      </c>
      <c r="CE12" s="45">
        <f t="shared" si="10"/>
        <v>51713</v>
      </c>
      <c r="CF12" s="45">
        <f t="shared" si="10"/>
        <v>51805</v>
      </c>
      <c r="CG12" s="45">
        <f t="shared" si="10"/>
        <v>51897</v>
      </c>
      <c r="CH12" s="45">
        <f t="shared" si="10"/>
        <v>51986</v>
      </c>
      <c r="CI12" s="45">
        <f t="shared" si="10"/>
        <v>52078</v>
      </c>
      <c r="CJ12" s="45">
        <f t="shared" si="10"/>
        <v>52170</v>
      </c>
      <c r="CK12" s="45">
        <f t="shared" si="10"/>
        <v>52262</v>
      </c>
      <c r="CL12" s="45">
        <f t="shared" si="10"/>
        <v>52351</v>
      </c>
      <c r="CM12" s="45">
        <f t="shared" si="10"/>
        <v>52443</v>
      </c>
      <c r="CN12" s="45">
        <f t="shared" si="10"/>
        <v>52535</v>
      </c>
      <c r="CO12" s="37" t="s">
        <v>111</v>
      </c>
    </row>
    <row r="13" spans="1:93" ht="12.75" customHeight="1">
      <c r="A13" s="35"/>
      <c r="B13" s="63" t="s">
        <v>100</v>
      </c>
      <c r="C13" s="35">
        <f t="shared" ref="C13" si="11">SUM(D13:CN13)</f>
        <v>8035</v>
      </c>
      <c r="D13" s="60"/>
      <c r="E13" s="35">
        <f>E7-E6+1</f>
        <v>90</v>
      </c>
      <c r="F13" s="35">
        <f t="shared" ref="F13:BQ13" si="12">F7-F6+1</f>
        <v>91</v>
      </c>
      <c r="G13" s="35">
        <f t="shared" si="12"/>
        <v>92</v>
      </c>
      <c r="H13" s="35">
        <f t="shared" si="12"/>
        <v>92</v>
      </c>
      <c r="I13" s="35">
        <f t="shared" si="12"/>
        <v>90</v>
      </c>
      <c r="J13" s="35">
        <f t="shared" si="12"/>
        <v>91</v>
      </c>
      <c r="K13" s="35">
        <f t="shared" si="12"/>
        <v>92</v>
      </c>
      <c r="L13" s="35">
        <f t="shared" si="12"/>
        <v>92</v>
      </c>
      <c r="M13" s="35">
        <f t="shared" si="12"/>
        <v>91</v>
      </c>
      <c r="N13" s="35">
        <f t="shared" si="12"/>
        <v>91</v>
      </c>
      <c r="O13" s="35">
        <f t="shared" si="12"/>
        <v>92</v>
      </c>
      <c r="P13" s="35">
        <f t="shared" si="12"/>
        <v>92</v>
      </c>
      <c r="Q13" s="35">
        <f t="shared" si="12"/>
        <v>90</v>
      </c>
      <c r="R13" s="35">
        <f t="shared" si="12"/>
        <v>91</v>
      </c>
      <c r="S13" s="35">
        <f t="shared" si="12"/>
        <v>92</v>
      </c>
      <c r="T13" s="35">
        <f t="shared" si="12"/>
        <v>92</v>
      </c>
      <c r="U13" s="35">
        <f t="shared" si="12"/>
        <v>90</v>
      </c>
      <c r="V13" s="35">
        <f t="shared" si="12"/>
        <v>91</v>
      </c>
      <c r="W13" s="35">
        <f t="shared" si="12"/>
        <v>92</v>
      </c>
      <c r="X13" s="35">
        <f t="shared" si="12"/>
        <v>92</v>
      </c>
      <c r="Y13" s="35">
        <f t="shared" si="12"/>
        <v>90</v>
      </c>
      <c r="Z13" s="35">
        <f t="shared" si="12"/>
        <v>91</v>
      </c>
      <c r="AA13" s="35">
        <f t="shared" si="12"/>
        <v>92</v>
      </c>
      <c r="AB13" s="35">
        <f t="shared" si="12"/>
        <v>92</v>
      </c>
      <c r="AC13" s="35">
        <f t="shared" si="12"/>
        <v>91</v>
      </c>
      <c r="AD13" s="35">
        <f t="shared" si="12"/>
        <v>91</v>
      </c>
      <c r="AE13" s="35">
        <f t="shared" si="12"/>
        <v>92</v>
      </c>
      <c r="AF13" s="35">
        <f t="shared" si="12"/>
        <v>92</v>
      </c>
      <c r="AG13" s="35">
        <f t="shared" si="12"/>
        <v>90</v>
      </c>
      <c r="AH13" s="35">
        <f t="shared" si="12"/>
        <v>91</v>
      </c>
      <c r="AI13" s="35">
        <f t="shared" si="12"/>
        <v>92</v>
      </c>
      <c r="AJ13" s="35">
        <f t="shared" si="12"/>
        <v>92</v>
      </c>
      <c r="AK13" s="35">
        <f t="shared" si="12"/>
        <v>90</v>
      </c>
      <c r="AL13" s="35">
        <f t="shared" si="12"/>
        <v>91</v>
      </c>
      <c r="AM13" s="35">
        <f t="shared" si="12"/>
        <v>92</v>
      </c>
      <c r="AN13" s="35">
        <f t="shared" si="12"/>
        <v>92</v>
      </c>
      <c r="AO13" s="35">
        <f t="shared" si="12"/>
        <v>90</v>
      </c>
      <c r="AP13" s="35">
        <f t="shared" si="12"/>
        <v>91</v>
      </c>
      <c r="AQ13" s="35">
        <f t="shared" si="12"/>
        <v>92</v>
      </c>
      <c r="AR13" s="35">
        <f t="shared" si="12"/>
        <v>92</v>
      </c>
      <c r="AS13" s="35">
        <f t="shared" si="12"/>
        <v>91</v>
      </c>
      <c r="AT13" s="35">
        <f t="shared" si="12"/>
        <v>91</v>
      </c>
      <c r="AU13" s="35">
        <f t="shared" si="12"/>
        <v>92</v>
      </c>
      <c r="AV13" s="35">
        <f t="shared" si="12"/>
        <v>92</v>
      </c>
      <c r="AW13" s="35">
        <f t="shared" si="12"/>
        <v>90</v>
      </c>
      <c r="AX13" s="35">
        <f t="shared" si="12"/>
        <v>91</v>
      </c>
      <c r="AY13" s="35">
        <f t="shared" si="12"/>
        <v>92</v>
      </c>
      <c r="AZ13" s="35">
        <f t="shared" si="12"/>
        <v>92</v>
      </c>
      <c r="BA13" s="35">
        <f t="shared" si="12"/>
        <v>90</v>
      </c>
      <c r="BB13" s="35">
        <f t="shared" si="12"/>
        <v>91</v>
      </c>
      <c r="BC13" s="35">
        <f t="shared" si="12"/>
        <v>92</v>
      </c>
      <c r="BD13" s="35">
        <f t="shared" si="12"/>
        <v>92</v>
      </c>
      <c r="BE13" s="35">
        <f t="shared" si="12"/>
        <v>90</v>
      </c>
      <c r="BF13" s="35">
        <f t="shared" si="12"/>
        <v>91</v>
      </c>
      <c r="BG13" s="35">
        <f t="shared" si="12"/>
        <v>92</v>
      </c>
      <c r="BH13" s="35">
        <f t="shared" si="12"/>
        <v>92</v>
      </c>
      <c r="BI13" s="35">
        <f t="shared" si="12"/>
        <v>91</v>
      </c>
      <c r="BJ13" s="35">
        <f t="shared" si="12"/>
        <v>91</v>
      </c>
      <c r="BK13" s="35">
        <f t="shared" si="12"/>
        <v>92</v>
      </c>
      <c r="BL13" s="35">
        <f t="shared" si="12"/>
        <v>92</v>
      </c>
      <c r="BM13" s="35">
        <f t="shared" si="12"/>
        <v>90</v>
      </c>
      <c r="BN13" s="35">
        <f t="shared" si="12"/>
        <v>91</v>
      </c>
      <c r="BO13" s="35">
        <f t="shared" si="12"/>
        <v>92</v>
      </c>
      <c r="BP13" s="35">
        <f t="shared" si="12"/>
        <v>92</v>
      </c>
      <c r="BQ13" s="35">
        <f t="shared" si="12"/>
        <v>90</v>
      </c>
      <c r="BR13" s="35">
        <f t="shared" ref="BR13:CO13" si="13">BR7-BR6+1</f>
        <v>91</v>
      </c>
      <c r="BS13" s="35">
        <f t="shared" si="13"/>
        <v>92</v>
      </c>
      <c r="BT13" s="35">
        <f t="shared" si="13"/>
        <v>92</v>
      </c>
      <c r="BU13" s="35">
        <f t="shared" si="13"/>
        <v>90</v>
      </c>
      <c r="BV13" s="35">
        <f t="shared" si="13"/>
        <v>91</v>
      </c>
      <c r="BW13" s="35">
        <f t="shared" si="13"/>
        <v>92</v>
      </c>
      <c r="BX13" s="35">
        <f t="shared" si="13"/>
        <v>92</v>
      </c>
      <c r="BY13" s="35">
        <f t="shared" si="13"/>
        <v>91</v>
      </c>
      <c r="BZ13" s="35">
        <f t="shared" si="13"/>
        <v>91</v>
      </c>
      <c r="CA13" s="35">
        <f t="shared" si="13"/>
        <v>92</v>
      </c>
      <c r="CB13" s="35">
        <f t="shared" si="13"/>
        <v>92</v>
      </c>
      <c r="CC13" s="35">
        <f t="shared" si="13"/>
        <v>90</v>
      </c>
      <c r="CD13" s="35">
        <f t="shared" si="13"/>
        <v>91</v>
      </c>
      <c r="CE13" s="35">
        <f t="shared" si="13"/>
        <v>92</v>
      </c>
      <c r="CF13" s="35">
        <f t="shared" si="13"/>
        <v>92</v>
      </c>
      <c r="CG13" s="35">
        <f t="shared" si="13"/>
        <v>90</v>
      </c>
      <c r="CH13" s="35">
        <f t="shared" si="13"/>
        <v>91</v>
      </c>
      <c r="CI13" s="35">
        <f t="shared" si="13"/>
        <v>92</v>
      </c>
      <c r="CJ13" s="35">
        <f t="shared" si="13"/>
        <v>92</v>
      </c>
      <c r="CK13" s="35">
        <f t="shared" si="13"/>
        <v>90</v>
      </c>
      <c r="CL13" s="35">
        <f t="shared" si="13"/>
        <v>91</v>
      </c>
      <c r="CM13" s="35">
        <f t="shared" si="13"/>
        <v>92</v>
      </c>
      <c r="CN13" s="35">
        <f t="shared" si="13"/>
        <v>92</v>
      </c>
      <c r="CO13" s="35">
        <f t="shared" si="13"/>
        <v>91</v>
      </c>
    </row>
    <row r="14" spans="1:93" ht="12.75" customHeight="1">
      <c r="A14" s="35"/>
      <c r="B14" s="63" t="s">
        <v>115</v>
      </c>
      <c r="C14" s="35"/>
      <c r="D14" s="64"/>
      <c r="E14" s="39">
        <f>Model!E14</f>
        <v>0</v>
      </c>
      <c r="F14" s="39">
        <f>Model!F14</f>
        <v>0</v>
      </c>
      <c r="G14" s="39">
        <f>Model!G14</f>
        <v>0</v>
      </c>
      <c r="H14" s="39">
        <f>Model!H14</f>
        <v>0</v>
      </c>
      <c r="I14" s="39">
        <f>Model!I14</f>
        <v>0</v>
      </c>
      <c r="J14" s="39">
        <f>Model!J14</f>
        <v>0</v>
      </c>
      <c r="K14" s="39">
        <f>Model!K14</f>
        <v>0</v>
      </c>
      <c r="L14" s="39">
        <f>Model!L14</f>
        <v>0</v>
      </c>
      <c r="M14" s="39">
        <f>Model!M14</f>
        <v>0</v>
      </c>
      <c r="N14" s="39">
        <f>Model!N14</f>
        <v>0</v>
      </c>
      <c r="O14" s="39">
        <f>Model!O14</f>
        <v>0</v>
      </c>
      <c r="P14" s="39">
        <f>Model!P14</f>
        <v>0</v>
      </c>
      <c r="Q14" s="39">
        <f>Model!Q14</f>
        <v>0</v>
      </c>
      <c r="R14" s="39">
        <f>Model!R14</f>
        <v>0</v>
      </c>
      <c r="S14" s="39">
        <f>Model!S14</f>
        <v>0</v>
      </c>
      <c r="T14" s="39">
        <f>Model!T14</f>
        <v>0</v>
      </c>
      <c r="U14" s="39">
        <f>Model!U14</f>
        <v>0</v>
      </c>
      <c r="V14" s="39">
        <f>Model!V14</f>
        <v>0</v>
      </c>
      <c r="W14" s="39">
        <f>Model!W14</f>
        <v>1</v>
      </c>
      <c r="X14" s="39">
        <f>Model!X14</f>
        <v>1</v>
      </c>
      <c r="Y14" s="39">
        <f>Model!Y14</f>
        <v>1</v>
      </c>
      <c r="Z14" s="39">
        <f>Model!Z14</f>
        <v>1.05</v>
      </c>
      <c r="AA14" s="39">
        <f>Model!AA14</f>
        <v>1.05</v>
      </c>
      <c r="AB14" s="39">
        <f>Model!AB14</f>
        <v>1.05</v>
      </c>
      <c r="AC14" s="39">
        <f>Model!AC14</f>
        <v>1.05</v>
      </c>
      <c r="AD14" s="39">
        <f>Model!AD14</f>
        <v>1.05</v>
      </c>
      <c r="AE14" s="39">
        <f>Model!AE14</f>
        <v>1.05</v>
      </c>
      <c r="AF14" s="39">
        <f>Model!AF14</f>
        <v>1.05</v>
      </c>
      <c r="AG14" s="39">
        <f>Model!AG14</f>
        <v>1.05</v>
      </c>
      <c r="AH14" s="39">
        <f>Model!AH14</f>
        <v>1.05</v>
      </c>
      <c r="AI14" s="39">
        <f>Model!AI14</f>
        <v>1.05</v>
      </c>
      <c r="AJ14" s="39">
        <f>Model!AJ14</f>
        <v>1.05</v>
      </c>
      <c r="AK14" s="39">
        <f>Model!AK14</f>
        <v>1.05</v>
      </c>
      <c r="AL14" s="39">
        <f>Model!AL14</f>
        <v>1.05</v>
      </c>
      <c r="AM14" s="39">
        <f>Model!AM14</f>
        <v>1.05</v>
      </c>
      <c r="AN14" s="39">
        <f>Model!AN14</f>
        <v>1.05</v>
      </c>
      <c r="AO14" s="39">
        <f>Model!AO14</f>
        <v>1.05</v>
      </c>
      <c r="AP14" s="39">
        <f>Model!AP14</f>
        <v>1.05</v>
      </c>
      <c r="AQ14" s="39">
        <f>Model!AQ14</f>
        <v>1.05</v>
      </c>
      <c r="AR14" s="39">
        <f>Model!AR14</f>
        <v>1.05</v>
      </c>
      <c r="AS14" s="39">
        <f>Model!AS14</f>
        <v>1.05</v>
      </c>
      <c r="AT14" s="39">
        <f>Model!AT14</f>
        <v>1.05</v>
      </c>
      <c r="AU14" s="39">
        <f>Model!AU14</f>
        <v>1.05</v>
      </c>
      <c r="AV14" s="39">
        <f>Model!AV14</f>
        <v>1.05</v>
      </c>
      <c r="AW14" s="39">
        <f>Model!AW14</f>
        <v>1.05</v>
      </c>
      <c r="AX14" s="39">
        <f>Model!AX14</f>
        <v>1.05</v>
      </c>
      <c r="AY14" s="39">
        <f>Model!AY14</f>
        <v>1.05</v>
      </c>
      <c r="AZ14" s="39">
        <f>Model!AZ14</f>
        <v>1.05</v>
      </c>
      <c r="BA14" s="39">
        <f>Model!BA14</f>
        <v>1.05</v>
      </c>
      <c r="BB14" s="39">
        <f>Model!BB14</f>
        <v>1.05</v>
      </c>
      <c r="BC14" s="39">
        <f>Model!BC14</f>
        <v>1.05</v>
      </c>
      <c r="BD14" s="39">
        <f>Model!BD14</f>
        <v>1.05</v>
      </c>
      <c r="BE14" s="39">
        <f>Model!BE14</f>
        <v>1.05</v>
      </c>
      <c r="BF14" s="39">
        <f>Model!BF14</f>
        <v>1.05</v>
      </c>
      <c r="BG14" s="39">
        <f>Model!BG14</f>
        <v>1.05</v>
      </c>
      <c r="BH14" s="39">
        <f>Model!BH14</f>
        <v>1.05</v>
      </c>
      <c r="BI14" s="39">
        <f>Model!BI14</f>
        <v>1.05</v>
      </c>
      <c r="BJ14" s="39">
        <f>Model!BJ14</f>
        <v>1.05</v>
      </c>
      <c r="BK14" s="39">
        <f>Model!BK14</f>
        <v>1.05</v>
      </c>
      <c r="BL14" s="39">
        <f>Model!BL14</f>
        <v>1.05</v>
      </c>
      <c r="BM14" s="39">
        <f>Model!BM14</f>
        <v>1.05</v>
      </c>
      <c r="BN14" s="39">
        <f>Model!BN14</f>
        <v>1.05</v>
      </c>
      <c r="BO14" s="39">
        <f>Model!BO14</f>
        <v>1.05</v>
      </c>
      <c r="BP14" s="39">
        <f>Model!BP14</f>
        <v>1.05</v>
      </c>
      <c r="BQ14" s="39">
        <f>Model!BQ14</f>
        <v>1.05</v>
      </c>
      <c r="BR14" s="39">
        <f>Model!BR14</f>
        <v>1.05</v>
      </c>
      <c r="BS14" s="39">
        <f>Model!BS14</f>
        <v>1.05</v>
      </c>
      <c r="BT14" s="39">
        <f>Model!BT14</f>
        <v>1.05</v>
      </c>
      <c r="BU14" s="39">
        <f>Model!BU14</f>
        <v>1.05</v>
      </c>
      <c r="BV14" s="39">
        <f>Model!BV14</f>
        <v>1.05</v>
      </c>
      <c r="BW14" s="39">
        <f>Model!BW14</f>
        <v>1.05</v>
      </c>
      <c r="BX14" s="39">
        <f>Model!BX14</f>
        <v>1.05</v>
      </c>
      <c r="BY14" s="39">
        <f>Model!BY14</f>
        <v>1.05</v>
      </c>
      <c r="BZ14" s="39">
        <f>Model!BZ14</f>
        <v>1.05</v>
      </c>
      <c r="CA14" s="39">
        <f>Model!CA14</f>
        <v>1.05</v>
      </c>
      <c r="CB14" s="39">
        <f>Model!CB14</f>
        <v>1.05</v>
      </c>
      <c r="CC14" s="39">
        <f>Model!CC14</f>
        <v>1.05</v>
      </c>
      <c r="CD14" s="39">
        <f>Model!CD14</f>
        <v>1.05</v>
      </c>
      <c r="CE14" s="39">
        <f>Model!CE14</f>
        <v>1.05</v>
      </c>
      <c r="CF14" s="39">
        <f>Model!CF14</f>
        <v>1.05</v>
      </c>
      <c r="CG14" s="39">
        <f>Model!CG14</f>
        <v>1.05</v>
      </c>
      <c r="CH14" s="39">
        <f>Model!CH14</f>
        <v>1.05</v>
      </c>
      <c r="CI14" s="39">
        <f>Model!CI14</f>
        <v>1.05</v>
      </c>
      <c r="CJ14" s="39">
        <f>Model!CJ14</f>
        <v>1.05</v>
      </c>
      <c r="CK14" s="39">
        <f>Model!CK14</f>
        <v>1.05</v>
      </c>
      <c r="CL14" s="39">
        <f>Model!CL14</f>
        <v>1.05</v>
      </c>
      <c r="CM14" s="39">
        <f>Model!CM14</f>
        <v>1.05</v>
      </c>
      <c r="CN14" s="39">
        <f>Model!CN14</f>
        <v>1.05</v>
      </c>
      <c r="CO14" s="39">
        <f>Model!CO14</f>
        <v>1.05</v>
      </c>
    </row>
    <row r="15" spans="1:93" ht="12.75" customHeight="1">
      <c r="A15" s="35"/>
      <c r="B15" s="63" t="s">
        <v>116</v>
      </c>
      <c r="C15" s="35"/>
      <c r="D15" s="64"/>
      <c r="E15" s="435">
        <f>Model!E15*(sensitivity!$C$199+1)</f>
        <v>0</v>
      </c>
      <c r="F15" s="435">
        <f>Model!F15*(sensitivity!$C$199+1)</f>
        <v>0</v>
      </c>
      <c r="G15" s="435">
        <f>Model!G15*(sensitivity!$C$199+1)</f>
        <v>0</v>
      </c>
      <c r="H15" s="435">
        <f>Model!H15*(sensitivity!$C$199+1)</f>
        <v>0</v>
      </c>
      <c r="I15" s="435">
        <f>Model!I15*(sensitivity!$C$199+1)</f>
        <v>0</v>
      </c>
      <c r="J15" s="435">
        <f>Model!J15*(sensitivity!$C$199+1)</f>
        <v>0</v>
      </c>
      <c r="K15" s="435">
        <f>Model!K15*(sensitivity!$C$199+1)</f>
        <v>0</v>
      </c>
      <c r="L15" s="435">
        <f>Model!L15*(sensitivity!$C$199+1)</f>
        <v>0</v>
      </c>
      <c r="M15" s="435">
        <f>Model!M15*(sensitivity!$C$199+1)</f>
        <v>0</v>
      </c>
      <c r="N15" s="435">
        <f>Model!N15*(sensitivity!$C$199+1)</f>
        <v>0</v>
      </c>
      <c r="O15" s="435">
        <f>Model!O15*(sensitivity!$C$199+1)</f>
        <v>0</v>
      </c>
      <c r="P15" s="435">
        <f>Model!P15*(sensitivity!$C$199+1)</f>
        <v>0</v>
      </c>
      <c r="Q15" s="435">
        <f>Model!Q15*(sensitivity!$C$199+1)</f>
        <v>0</v>
      </c>
      <c r="R15" s="435">
        <f>Model!R15*(sensitivity!$C$199+1)</f>
        <v>0</v>
      </c>
      <c r="S15" s="435">
        <f>Model!S15*(sensitivity!$C$199+1)</f>
        <v>0</v>
      </c>
      <c r="T15" s="435">
        <f>Model!T15*(sensitivity!$C$199+1)</f>
        <v>0</v>
      </c>
      <c r="U15" s="435">
        <f>Model!U15*(sensitivity!$C$199+1)</f>
        <v>0</v>
      </c>
      <c r="V15" s="435">
        <f>Model!V15*(sensitivity!$C$199+1)</f>
        <v>0</v>
      </c>
      <c r="W15" s="435">
        <f>Model!W15*(sensitivity!$C$199+1)</f>
        <v>0.71703296703296704</v>
      </c>
      <c r="X15" s="435">
        <f>Model!X15*(sensitivity!$C$199+1)</f>
        <v>0.61888888888888893</v>
      </c>
      <c r="Y15" s="127">
        <f>Model!Y15*(sensitivity!$C$199+1)</f>
        <v>0.76793478260869563</v>
      </c>
      <c r="Z15" s="127">
        <f>Model!Z15*(sensitivity!$C$199+1)</f>
        <v>0.61888888888888893</v>
      </c>
      <c r="AA15" s="127">
        <f>Model!AA15*(sensitivity!$C$199+1)</f>
        <v>0.71703296703296704</v>
      </c>
      <c r="AB15" s="127">
        <f>Model!AB15*(sensitivity!$C$199+1)</f>
        <v>0.61888888888888893</v>
      </c>
      <c r="AC15" s="127">
        <f>Model!AC15*(sensitivity!$C$199+1)</f>
        <v>0.76793478260869563</v>
      </c>
      <c r="AD15" s="127">
        <f>Model!AD15*(sensitivity!$C$199+1)</f>
        <v>0.61888888888888893</v>
      </c>
      <c r="AE15" s="127">
        <f>Model!AE15*(sensitivity!$C$199+1)</f>
        <v>0.71703296703296704</v>
      </c>
      <c r="AF15" s="127">
        <f>Model!AF15*(sensitivity!$C$199+1)</f>
        <v>0.61888888888888893</v>
      </c>
      <c r="AG15" s="127">
        <f>Model!AG15*(sensitivity!$C$199+1)</f>
        <v>0.76793478260869563</v>
      </c>
      <c r="AH15" s="127">
        <f>Model!AH15*(sensitivity!$C$199+1)</f>
        <v>0.61888888888888893</v>
      </c>
      <c r="AI15" s="127">
        <f>Model!AI15*(sensitivity!$C$199+1)</f>
        <v>0.71703296703296704</v>
      </c>
      <c r="AJ15" s="127">
        <f>Model!AJ15*(sensitivity!$C$199+1)</f>
        <v>0.61888888888888893</v>
      </c>
      <c r="AK15" s="127">
        <f>Model!AK15*(sensitivity!$C$199+1)</f>
        <v>0.76793478260869563</v>
      </c>
      <c r="AL15" s="127">
        <f>Model!AL15*(sensitivity!$C$199+1)</f>
        <v>0.61888888888888893</v>
      </c>
      <c r="AM15" s="127">
        <f>Model!AM15*(sensitivity!$C$199+1)</f>
        <v>0.71703296703296704</v>
      </c>
      <c r="AN15" s="127">
        <f>Model!AN15*(sensitivity!$C$199+1)</f>
        <v>0.61888888888888893</v>
      </c>
      <c r="AO15" s="127">
        <f>Model!AO15*(sensitivity!$C$199+1)</f>
        <v>0.76793478260869563</v>
      </c>
      <c r="AP15" s="127">
        <f>Model!AP15*(sensitivity!$C$199+1)</f>
        <v>0.61888888888888893</v>
      </c>
      <c r="AQ15" s="127">
        <f>Model!AQ15*(sensitivity!$C$199+1)</f>
        <v>0.71703296703296704</v>
      </c>
      <c r="AR15" s="127">
        <f>Model!AR15*(sensitivity!$C$199+1)</f>
        <v>0.61888888888888893</v>
      </c>
      <c r="AS15" s="127">
        <f>Model!AS15*(sensitivity!$C$199+1)</f>
        <v>0.76793478260869563</v>
      </c>
      <c r="AT15" s="127">
        <f>Model!AT15*(sensitivity!$C$199+1)</f>
        <v>0.61888888888888893</v>
      </c>
      <c r="AU15" s="127">
        <f>Model!AU15*(sensitivity!$C$199+1)</f>
        <v>0.71703296703296704</v>
      </c>
      <c r="AV15" s="127">
        <f>Model!AV15*(sensitivity!$C$199+1)</f>
        <v>0.61888888888888893</v>
      </c>
      <c r="AW15" s="127">
        <f>Model!AW15*(sensitivity!$C$199+1)</f>
        <v>0.76793478260869563</v>
      </c>
      <c r="AX15" s="127">
        <f>Model!AX15*(sensitivity!$C$199+1)</f>
        <v>0.61888888888888893</v>
      </c>
      <c r="AY15" s="127">
        <f>Model!AY15*(sensitivity!$C$199+1)</f>
        <v>0.71703296703296704</v>
      </c>
      <c r="AZ15" s="127">
        <f>Model!AZ15*(sensitivity!$C$199+1)</f>
        <v>0.61888888888888893</v>
      </c>
      <c r="BA15" s="127">
        <f>Model!BA15*(sensitivity!$C$199+1)</f>
        <v>0.76793478260869563</v>
      </c>
      <c r="BB15" s="127">
        <f>Model!BB15*(sensitivity!$C$199+1)</f>
        <v>0.61888888888888893</v>
      </c>
      <c r="BC15" s="127">
        <f>Model!BC15*(sensitivity!$C$199+1)</f>
        <v>0.71703296703296704</v>
      </c>
      <c r="BD15" s="127">
        <f>Model!BD15*(sensitivity!$C$199+1)</f>
        <v>0.61888888888888893</v>
      </c>
      <c r="BE15" s="127">
        <f>Model!BE15*(sensitivity!$C$199+1)</f>
        <v>0.76793478260869563</v>
      </c>
      <c r="BF15" s="127">
        <f>Model!BF15*(sensitivity!$C$199+1)</f>
        <v>0.61888888888888893</v>
      </c>
      <c r="BG15" s="127">
        <f>Model!BG15*(sensitivity!$C$199+1)</f>
        <v>0.71703296703296704</v>
      </c>
      <c r="BH15" s="127">
        <f>Model!BH15*(sensitivity!$C$199+1)</f>
        <v>0.61888888888888893</v>
      </c>
      <c r="BI15" s="127">
        <f>Model!BI15*(sensitivity!$C$199+1)</f>
        <v>0.76793478260869563</v>
      </c>
      <c r="BJ15" s="127">
        <f>Model!BJ15*(sensitivity!$C$199+1)</f>
        <v>0.61888888888888893</v>
      </c>
      <c r="BK15" s="127">
        <f>Model!BK15*(sensitivity!$C$199+1)</f>
        <v>0.71703296703296704</v>
      </c>
      <c r="BL15" s="127">
        <f>Model!BL15*(sensitivity!$C$199+1)</f>
        <v>0.61888888888888893</v>
      </c>
      <c r="BM15" s="127">
        <f>Model!BM15*(sensitivity!$C$199+1)</f>
        <v>0.76793478260869563</v>
      </c>
      <c r="BN15" s="127">
        <f>Model!BN15*(sensitivity!$C$199+1)</f>
        <v>0.61888888888888893</v>
      </c>
      <c r="BO15" s="127">
        <f>Model!BO15*(sensitivity!$C$199+1)</f>
        <v>0.71703296703296704</v>
      </c>
      <c r="BP15" s="127">
        <f>Model!BP15*(sensitivity!$C$199+1)</f>
        <v>0.61888888888888893</v>
      </c>
      <c r="BQ15" s="127">
        <f>Model!BQ15*(sensitivity!$C$199+1)</f>
        <v>0.76793478260869563</v>
      </c>
      <c r="BR15" s="127">
        <f>Model!BR15*(sensitivity!$C$199+1)</f>
        <v>0.61888888888888893</v>
      </c>
      <c r="BS15" s="127">
        <f>Model!BS15*(sensitivity!$C$199+1)</f>
        <v>0.71703296703296704</v>
      </c>
      <c r="BT15" s="127">
        <f>Model!BT15*(sensitivity!$C$199+1)</f>
        <v>0.61888888888888893</v>
      </c>
      <c r="BU15" s="127">
        <f>Model!BU15*(sensitivity!$C$199+1)</f>
        <v>0.76793478260869563</v>
      </c>
      <c r="BV15" s="127">
        <f>Model!BV15*(sensitivity!$C$199+1)</f>
        <v>0.61888888888888893</v>
      </c>
      <c r="BW15" s="127">
        <f>Model!BW15*(sensitivity!$C$199+1)</f>
        <v>0.71703296703296704</v>
      </c>
      <c r="BX15" s="127">
        <f>Model!BX15*(sensitivity!$C$199+1)</f>
        <v>0.61888888888888893</v>
      </c>
      <c r="BY15" s="127">
        <f>Model!BY15*(sensitivity!$C$199+1)</f>
        <v>0.76793478260869563</v>
      </c>
      <c r="BZ15" s="127">
        <f>Model!BZ15*(sensitivity!$C$199+1)</f>
        <v>0.61888888888888893</v>
      </c>
      <c r="CA15" s="127">
        <f>Model!CA15*(sensitivity!$C$199+1)</f>
        <v>0.71703296703296704</v>
      </c>
      <c r="CB15" s="127">
        <f>Model!CB15*(sensitivity!$C$199+1)</f>
        <v>0.61888888888888893</v>
      </c>
      <c r="CC15" s="127">
        <f>Model!CC15*(sensitivity!$C$199+1)</f>
        <v>0.76793478260869563</v>
      </c>
      <c r="CD15" s="127">
        <f>Model!CD15*(sensitivity!$C$199+1)</f>
        <v>0.61888888888888893</v>
      </c>
      <c r="CE15" s="127">
        <f>Model!CE15*(sensitivity!$C$199+1)</f>
        <v>0.71703296703296704</v>
      </c>
      <c r="CF15" s="127">
        <f>Model!CF15*(sensitivity!$C$199+1)</f>
        <v>0.61888888888888893</v>
      </c>
      <c r="CG15" s="127">
        <f>Model!CG15*(sensitivity!$C$199+1)</f>
        <v>0.76793478260869563</v>
      </c>
      <c r="CH15" s="127">
        <f>Model!CH15*(sensitivity!$C$199+1)</f>
        <v>0.61888888888888893</v>
      </c>
      <c r="CI15" s="127">
        <f>Model!CI15*(sensitivity!$C$199+1)</f>
        <v>0.71703296703296704</v>
      </c>
      <c r="CJ15" s="127">
        <f>Model!CJ15*(sensitivity!$C$199+1)</f>
        <v>0.61888888888888893</v>
      </c>
      <c r="CK15" s="127">
        <f>Model!CK15*(sensitivity!$C$199+1)</f>
        <v>0.76793478260869563</v>
      </c>
      <c r="CL15" s="127">
        <f>Model!CL15*(sensitivity!$C$199+1)</f>
        <v>0.61888888888888893</v>
      </c>
      <c r="CM15" s="127">
        <f>Model!CM15*(sensitivity!$C$199+1)</f>
        <v>0.71703296703296704</v>
      </c>
      <c r="CN15" s="127">
        <f>Model!CN15*(sensitivity!$C$199+1)</f>
        <v>0.61888888888888893</v>
      </c>
      <c r="CO15" s="128">
        <f>Model!CO15*(sensitivity!$C$199+1)</f>
        <v>0.76793478260869563</v>
      </c>
    </row>
    <row r="16" spans="1:93" ht="12.75" customHeight="1">
      <c r="A16" s="35"/>
      <c r="B16" s="63" t="s">
        <v>117</v>
      </c>
      <c r="C16" s="35"/>
      <c r="D16" s="64"/>
      <c r="E16" s="435">
        <f>Model!E16*(sensitivity!$C$200+1)</f>
        <v>0</v>
      </c>
      <c r="F16" s="435">
        <f>Model!F16*(sensitivity!$C$200+1)</f>
        <v>0</v>
      </c>
      <c r="G16" s="435">
        <f>Model!G16*(sensitivity!$C$200+1)</f>
        <v>0</v>
      </c>
      <c r="H16" s="435">
        <f>Model!H16*(sensitivity!$C$200+1)</f>
        <v>0</v>
      </c>
      <c r="I16" s="435">
        <f>Model!I16*(sensitivity!$C$200+1)</f>
        <v>0</v>
      </c>
      <c r="J16" s="435">
        <f>Model!J16*(sensitivity!$C$200+1)</f>
        <v>0</v>
      </c>
      <c r="K16" s="435">
        <f>Model!K16*(sensitivity!$C$200+1)</f>
        <v>0</v>
      </c>
      <c r="L16" s="435">
        <f>Model!L16*(sensitivity!$C$200+1)</f>
        <v>0</v>
      </c>
      <c r="M16" s="435">
        <f>Model!M16*(sensitivity!$C$200+1)</f>
        <v>0</v>
      </c>
      <c r="N16" s="435">
        <f>Model!N16*(sensitivity!$C$200+1)</f>
        <v>0</v>
      </c>
      <c r="O16" s="435">
        <f>Model!O16*(sensitivity!$C$200+1)</f>
        <v>0</v>
      </c>
      <c r="P16" s="435">
        <f>Model!P16*(sensitivity!$C$200+1)</f>
        <v>0</v>
      </c>
      <c r="Q16" s="435">
        <f>Model!Q16*(sensitivity!$C$200+1)</f>
        <v>0</v>
      </c>
      <c r="R16" s="435">
        <f>Model!R16*(sensitivity!$C$200+1)</f>
        <v>0</v>
      </c>
      <c r="S16" s="435">
        <f>Model!S16*(sensitivity!$C$200+1)</f>
        <v>0</v>
      </c>
      <c r="T16" s="435">
        <f>Model!T16*(sensitivity!$C$200+1)</f>
        <v>0</v>
      </c>
      <c r="U16" s="435">
        <f>Model!U16*(sensitivity!$C$200+1)</f>
        <v>0</v>
      </c>
      <c r="V16" s="435">
        <f>Model!V16*(sensitivity!$C$200+1)</f>
        <v>0</v>
      </c>
      <c r="W16" s="435">
        <f>Model!W16*(sensitivity!$C$200+1)</f>
        <v>5.4928714656354947</v>
      </c>
      <c r="X16" s="435">
        <f>Model!X16*(sensitivity!$C$200+1)</f>
        <v>8.0802555902208599</v>
      </c>
      <c r="Y16" s="129">
        <f>Model!Y16*(sensitivity!$C$200+1)</f>
        <v>2.680787982075612</v>
      </c>
      <c r="Z16" s="129">
        <f>Model!Z16*(sensitivity!$C$200+1)</f>
        <v>4.8613105361518389</v>
      </c>
      <c r="AA16" s="129">
        <f>Model!AA16*(sensitivity!$C$200+1)</f>
        <v>5.7464600029681652</v>
      </c>
      <c r="AB16" s="129">
        <f>Model!AB16*(sensitivity!$C$200+1)</f>
        <v>8.4519105580802414</v>
      </c>
      <c r="AC16" s="129">
        <f>Model!AC16*(sensitivity!$C$200+1)</f>
        <v>2.8061016793061353</v>
      </c>
      <c r="AD16" s="129">
        <f>Model!AD16*(sensitivity!$C$200+1)</f>
        <v>5.332028261947463</v>
      </c>
      <c r="AE16" s="129">
        <f>Model!AE16*(sensitivity!$C$200+1)</f>
        <v>6.2919787465400905</v>
      </c>
      <c r="AF16" s="129">
        <f>Model!AF16*(sensitivity!$C$200+1)</f>
        <v>9.2414314408882294</v>
      </c>
      <c r="AG16" s="129">
        <f>Model!AG16*(sensitivity!$C$200+1)</f>
        <v>3.0868490422266279</v>
      </c>
      <c r="AH16" s="129">
        <f>Model!AH16*(sensitivity!$C$200+1)</f>
        <v>7.068300555715556</v>
      </c>
      <c r="AI16" s="129">
        <f>Model!AI16*(sensitivity!$C$200+1)</f>
        <v>7.7439793932767484</v>
      </c>
      <c r="AJ16" s="129">
        <f>Model!AJ16*(sensitivity!$C$200+1)</f>
        <v>3.6559845843926042</v>
      </c>
      <c r="AK16" s="129">
        <f>Model!AK16*(sensitivity!$C$200+1)</f>
        <v>4.4139231832979107</v>
      </c>
      <c r="AL16" s="129">
        <f>Model!AL16*(sensitivity!$C$200+1)</f>
        <v>7.6542560120957077</v>
      </c>
      <c r="AM16" s="129">
        <f>Model!AM16*(sensitivity!$C$200+1)</f>
        <v>8.4673700876069873</v>
      </c>
      <c r="AN16" s="129">
        <f>Model!AN16*(sensitivity!$C$200+1)</f>
        <v>4.0217617900140334</v>
      </c>
      <c r="AO16" s="129">
        <f>Model!AO16*(sensitivity!$C$200+1)</f>
        <v>5.851232243468143</v>
      </c>
      <c r="AP16" s="129">
        <f>Model!AP16*(sensitivity!$C$200+1)</f>
        <v>9.5253031989564327</v>
      </c>
      <c r="AQ16" s="129">
        <f>Model!AQ16*(sensitivity!$C$200+1)</f>
        <v>3.3497596891399808</v>
      </c>
      <c r="AR16" s="129">
        <f>Model!AR16*(sensitivity!$C$200+1)</f>
        <v>5.7507663509971421</v>
      </c>
      <c r="AS16" s="129">
        <f>Model!AS16*(sensitivity!$C$200+1)</f>
        <v>6.4066971488456392</v>
      </c>
      <c r="AT16" s="129">
        <f>Model!AT16*(sensitivity!$C$200+1)</f>
        <v>10.415093233881038</v>
      </c>
      <c r="AU16" s="129">
        <f>Model!AU16*(sensitivity!$C$200+1)</f>
        <v>3.6848994333904317</v>
      </c>
      <c r="AV16" s="129">
        <f>Model!AV16*(sensitivity!$C$200+1)</f>
        <v>7.6233926374008272</v>
      </c>
      <c r="AW16" s="129">
        <f>Model!AW16*(sensitivity!$C$200+1)</f>
        <v>7.8851713742528942</v>
      </c>
      <c r="AX16" s="129">
        <f>Model!AX16*(sensitivity!$C$200+1)</f>
        <v>4.1202946266104661</v>
      </c>
      <c r="AY16" s="129">
        <f>Model!AY16*(sensitivity!$C$200+1)</f>
        <v>5.2690827489999563</v>
      </c>
      <c r="AZ16" s="129">
        <f>Model!AZ16*(sensitivity!$C$200+1)</f>
        <v>8.3470909788427416</v>
      </c>
      <c r="BA16" s="129">
        <f>Model!BA16*(sensitivity!$C$200+1)</f>
        <v>8.6217512778985501</v>
      </c>
      <c r="BB16" s="129">
        <f>Model!BB16*(sensitivity!$C$200+1)</f>
        <v>4.4827175644079498</v>
      </c>
      <c r="BC16" s="129">
        <f>Model!BC16*(sensitivity!$C$200+1)</f>
        <v>6.9848580489828249</v>
      </c>
      <c r="BD16" s="129">
        <f>Model!BD16*(sensitivity!$C$200+1)</f>
        <v>10.273350107787522</v>
      </c>
      <c r="BE16" s="129">
        <f>Model!BE16*(sensitivity!$C$200+1)</f>
        <v>3.4108341293321036</v>
      </c>
      <c r="BF16" s="129">
        <f>Model!BF16*(sensitivity!$C$200+1)</f>
        <v>6.481113677573779</v>
      </c>
      <c r="BG16" s="129">
        <f>Model!BG16*(sensitivity!$C$200+1)</f>
        <v>7.647939491286647</v>
      </c>
      <c r="BH16" s="129">
        <f>Model!BH16*(sensitivity!$C$200+1)</f>
        <v>11.233017675346153</v>
      </c>
      <c r="BI16" s="129">
        <f>Model!BI16*(sensitivity!$C$200+1)</f>
        <v>3.7520843036329805</v>
      </c>
      <c r="BJ16" s="129">
        <f>Model!BJ16*(sensitivity!$C$200+1)</f>
        <v>8.5915635023507324</v>
      </c>
      <c r="BK16" s="129">
        <f>Model!BK16*(sensitivity!$C$200+1)</f>
        <v>9.412855352399097</v>
      </c>
      <c r="BL16" s="129">
        <f>Model!BL16*(sensitivity!$C$200+1)</f>
        <v>4.4438721122328637</v>
      </c>
      <c r="BM16" s="129">
        <f>Model!BM16*(sensitivity!$C$200+1)</f>
        <v>5.3651512163185071</v>
      </c>
      <c r="BN16" s="129">
        <f>Model!BN16*(sensitivity!$C$200+1)</f>
        <v>9.4071715331557719</v>
      </c>
      <c r="BO16" s="129">
        <f>Model!BO16*(sensitivity!$C$200+1)</f>
        <v>10.292141262549343</v>
      </c>
      <c r="BP16" s="129">
        <f>Model!BP16*(sensitivity!$C$200+1)</f>
        <v>4.8884765917732453</v>
      </c>
      <c r="BQ16" s="129">
        <f>Model!BQ16*(sensitivity!$C$200+1)</f>
        <v>7.1122093621370501</v>
      </c>
      <c r="BR16" s="129">
        <f>Model!BR16*(sensitivity!$C$200+1)</f>
        <v>11.450834081680094</v>
      </c>
      <c r="BS16" s="129">
        <f>Model!BS16*(sensitivity!$C$200+1)</f>
        <v>4.0716538381477045</v>
      </c>
      <c r="BT16" s="129">
        <f>Model!BT16*(sensitivity!$C$200+1)</f>
        <v>6.9900924419267207</v>
      </c>
      <c r="BU16" s="129">
        <f>Model!BU16*(sensitivity!$C$200+1)</f>
        <v>7.7873804262790562</v>
      </c>
      <c r="BV16" s="129">
        <f>Model!BV16*(sensitivity!$C$200+1)</f>
        <v>12.659610920115115</v>
      </c>
      <c r="BW16" s="129">
        <f>Model!BW16*(sensitivity!$C$200+1)</f>
        <v>4.4790182919075283</v>
      </c>
      <c r="BX16" s="129">
        <f>Model!BX16*(sensitivity!$C$200+1)</f>
        <v>9.2662813969646898</v>
      </c>
      <c r="BY16" s="129">
        <f>Model!BY16*(sensitivity!$C$200+1)</f>
        <v>9.5844750877254832</v>
      </c>
      <c r="BZ16" s="129">
        <f>Model!BZ16*(sensitivity!$C$200+1)</f>
        <v>5.0082438704864387</v>
      </c>
      <c r="CA16" s="129">
        <f>Model!CA16*(sensitivity!$C$200+1)</f>
        <v>6.4046030131766285</v>
      </c>
      <c r="CB16" s="129">
        <f>Model!CB16*(sensitivity!$C$200+1)</f>
        <v>10.145941254101972</v>
      </c>
      <c r="CC16" s="129">
        <f>Model!CC16*(sensitivity!$C$200+1)</f>
        <v>10.479792564231177</v>
      </c>
      <c r="CD16" s="129">
        <f>Model!CD16*(sensitivity!$C$200+1)</f>
        <v>5.509313118928449</v>
      </c>
      <c r="CE16" s="129">
        <f>Model!CE16*(sensitivity!$C$200+1)</f>
        <v>8.490138613901431</v>
      </c>
      <c r="CF16" s="129">
        <f>Model!CF16*(sensitivity!$C$200+1)</f>
        <v>12.487321264453909</v>
      </c>
      <c r="CG16" s="129">
        <f>Model!CG16*(sensitivity!$C$200+1)</f>
        <v>4.1458902019164814</v>
      </c>
      <c r="CH16" s="129">
        <f>Model!CH16*(sensitivity!$C$200+1)</f>
        <v>7.7912645756552452</v>
      </c>
      <c r="CI16" s="129">
        <f>Model!CI16*(sensitivity!$C$200+1)</f>
        <v>9.2961182512807419</v>
      </c>
      <c r="CJ16" s="129">
        <f>Model!CJ16*(sensitivity!$C$200+1)</f>
        <v>13.653803190743723</v>
      </c>
      <c r="CK16" s="129">
        <f>Model!CK16*(sensitivity!$C$200+1)</f>
        <v>4.5606819215927858</v>
      </c>
      <c r="CL16" s="129">
        <f>Model!CL16*(sensitivity!$C$200+1)</f>
        <v>10.443099134379208</v>
      </c>
      <c r="CM16" s="129">
        <f>Model!CM16*(sensitivity!$C$200+1)</f>
        <v>11.441384511187058</v>
      </c>
      <c r="CN16" s="129">
        <f>Model!CN16*(sensitivity!$C$200+1)</f>
        <v>5.401554326619749</v>
      </c>
      <c r="CO16" s="130">
        <f>Model!CO16*(sensitivity!$C$200+1)</f>
        <v>6.5213748356302483</v>
      </c>
    </row>
    <row r="17" spans="1:93" ht="12.75" customHeight="1">
      <c r="A17" s="35"/>
      <c r="B17" s="35"/>
      <c r="C17" s="35"/>
      <c r="D17" s="60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5"/>
    </row>
    <row r="18" spans="1:93" ht="12.75" customHeight="1">
      <c r="A18" s="35"/>
      <c r="B18" s="67" t="s">
        <v>118</v>
      </c>
      <c r="C18" s="68"/>
      <c r="D18" s="44" t="str">
        <f>D6</f>
        <v>0 период</v>
      </c>
      <c r="E18" s="45">
        <f>E12</f>
        <v>44562</v>
      </c>
      <c r="F18" s="45">
        <f t="shared" ref="F18:CO18" si="14">EOMONTH(E18,3)</f>
        <v>44681</v>
      </c>
      <c r="G18" s="45">
        <f t="shared" si="14"/>
        <v>44773</v>
      </c>
      <c r="H18" s="45">
        <f t="shared" si="14"/>
        <v>44865</v>
      </c>
      <c r="I18" s="45">
        <f t="shared" si="14"/>
        <v>44957</v>
      </c>
      <c r="J18" s="45">
        <f t="shared" si="14"/>
        <v>45046</v>
      </c>
      <c r="K18" s="45">
        <f t="shared" si="14"/>
        <v>45138</v>
      </c>
      <c r="L18" s="45">
        <f t="shared" si="14"/>
        <v>45230</v>
      </c>
      <c r="M18" s="45">
        <f t="shared" si="14"/>
        <v>45322</v>
      </c>
      <c r="N18" s="45">
        <f t="shared" si="14"/>
        <v>45412</v>
      </c>
      <c r="O18" s="45">
        <f t="shared" si="14"/>
        <v>45504</v>
      </c>
      <c r="P18" s="45">
        <f t="shared" si="14"/>
        <v>45596</v>
      </c>
      <c r="Q18" s="45">
        <f t="shared" si="14"/>
        <v>45688</v>
      </c>
      <c r="R18" s="45">
        <f t="shared" si="14"/>
        <v>45777</v>
      </c>
      <c r="S18" s="45">
        <f t="shared" si="14"/>
        <v>45869</v>
      </c>
      <c r="T18" s="45">
        <f t="shared" si="14"/>
        <v>45961</v>
      </c>
      <c r="U18" s="45">
        <f t="shared" si="14"/>
        <v>46053</v>
      </c>
      <c r="V18" s="45">
        <f t="shared" si="14"/>
        <v>46142</v>
      </c>
      <c r="W18" s="45">
        <f t="shared" si="14"/>
        <v>46234</v>
      </c>
      <c r="X18" s="45">
        <f t="shared" si="14"/>
        <v>46326</v>
      </c>
      <c r="Y18" s="45">
        <f t="shared" si="14"/>
        <v>46418</v>
      </c>
      <c r="Z18" s="45">
        <f t="shared" si="14"/>
        <v>46507</v>
      </c>
      <c r="AA18" s="45">
        <f t="shared" si="14"/>
        <v>46599</v>
      </c>
      <c r="AB18" s="45">
        <f t="shared" si="14"/>
        <v>46691</v>
      </c>
      <c r="AC18" s="45">
        <f t="shared" si="14"/>
        <v>46783</v>
      </c>
      <c r="AD18" s="45">
        <f t="shared" si="14"/>
        <v>46873</v>
      </c>
      <c r="AE18" s="45">
        <f t="shared" si="14"/>
        <v>46965</v>
      </c>
      <c r="AF18" s="45">
        <f t="shared" si="14"/>
        <v>47057</v>
      </c>
      <c r="AG18" s="45">
        <f t="shared" si="14"/>
        <v>47149</v>
      </c>
      <c r="AH18" s="45">
        <f t="shared" si="14"/>
        <v>47238</v>
      </c>
      <c r="AI18" s="45">
        <f t="shared" si="14"/>
        <v>47330</v>
      </c>
      <c r="AJ18" s="45">
        <f t="shared" si="14"/>
        <v>47422</v>
      </c>
      <c r="AK18" s="45">
        <f t="shared" si="14"/>
        <v>47514</v>
      </c>
      <c r="AL18" s="45">
        <f t="shared" si="14"/>
        <v>47603</v>
      </c>
      <c r="AM18" s="45">
        <f t="shared" si="14"/>
        <v>47695</v>
      </c>
      <c r="AN18" s="45">
        <f t="shared" si="14"/>
        <v>47787</v>
      </c>
      <c r="AO18" s="45">
        <f t="shared" si="14"/>
        <v>47879</v>
      </c>
      <c r="AP18" s="45">
        <f t="shared" si="14"/>
        <v>47968</v>
      </c>
      <c r="AQ18" s="45">
        <f t="shared" si="14"/>
        <v>48060</v>
      </c>
      <c r="AR18" s="45">
        <f t="shared" si="14"/>
        <v>48152</v>
      </c>
      <c r="AS18" s="45">
        <f t="shared" si="14"/>
        <v>48244</v>
      </c>
      <c r="AT18" s="45">
        <f t="shared" si="14"/>
        <v>48334</v>
      </c>
      <c r="AU18" s="45">
        <f t="shared" si="14"/>
        <v>48426</v>
      </c>
      <c r="AV18" s="45">
        <f t="shared" si="14"/>
        <v>48518</v>
      </c>
      <c r="AW18" s="45">
        <f t="shared" si="14"/>
        <v>48610</v>
      </c>
      <c r="AX18" s="45">
        <f t="shared" si="14"/>
        <v>48699</v>
      </c>
      <c r="AY18" s="45">
        <f t="shared" si="14"/>
        <v>48791</v>
      </c>
      <c r="AZ18" s="45">
        <f t="shared" si="14"/>
        <v>48883</v>
      </c>
      <c r="BA18" s="45">
        <f t="shared" si="14"/>
        <v>48975</v>
      </c>
      <c r="BB18" s="45">
        <f t="shared" si="14"/>
        <v>49064</v>
      </c>
      <c r="BC18" s="45">
        <f t="shared" si="14"/>
        <v>49156</v>
      </c>
      <c r="BD18" s="45">
        <f t="shared" si="14"/>
        <v>49248</v>
      </c>
      <c r="BE18" s="45">
        <f t="shared" si="14"/>
        <v>49340</v>
      </c>
      <c r="BF18" s="45">
        <f t="shared" si="14"/>
        <v>49429</v>
      </c>
      <c r="BG18" s="45">
        <f t="shared" si="14"/>
        <v>49521</v>
      </c>
      <c r="BH18" s="45">
        <f t="shared" si="14"/>
        <v>49613</v>
      </c>
      <c r="BI18" s="45">
        <f t="shared" si="14"/>
        <v>49705</v>
      </c>
      <c r="BJ18" s="45">
        <f t="shared" si="14"/>
        <v>49795</v>
      </c>
      <c r="BK18" s="45">
        <f t="shared" si="14"/>
        <v>49887</v>
      </c>
      <c r="BL18" s="45">
        <f t="shared" si="14"/>
        <v>49979</v>
      </c>
      <c r="BM18" s="45">
        <f t="shared" si="14"/>
        <v>50071</v>
      </c>
      <c r="BN18" s="45">
        <f t="shared" si="14"/>
        <v>50160</v>
      </c>
      <c r="BO18" s="45">
        <f t="shared" si="14"/>
        <v>50252</v>
      </c>
      <c r="BP18" s="45">
        <f t="shared" si="14"/>
        <v>50344</v>
      </c>
      <c r="BQ18" s="45">
        <f t="shared" si="14"/>
        <v>50436</v>
      </c>
      <c r="BR18" s="45">
        <f t="shared" si="14"/>
        <v>50525</v>
      </c>
      <c r="BS18" s="45">
        <f t="shared" si="14"/>
        <v>50617</v>
      </c>
      <c r="BT18" s="45">
        <f t="shared" si="14"/>
        <v>50709</v>
      </c>
      <c r="BU18" s="45">
        <f t="shared" si="14"/>
        <v>50801</v>
      </c>
      <c r="BV18" s="45">
        <f t="shared" si="14"/>
        <v>50890</v>
      </c>
      <c r="BW18" s="45">
        <f t="shared" si="14"/>
        <v>50982</v>
      </c>
      <c r="BX18" s="45">
        <f t="shared" si="14"/>
        <v>51074</v>
      </c>
      <c r="BY18" s="45">
        <f t="shared" si="14"/>
        <v>51166</v>
      </c>
      <c r="BZ18" s="45">
        <f t="shared" si="14"/>
        <v>51256</v>
      </c>
      <c r="CA18" s="45">
        <f t="shared" si="14"/>
        <v>51348</v>
      </c>
      <c r="CB18" s="45">
        <f t="shared" si="14"/>
        <v>51440</v>
      </c>
      <c r="CC18" s="45">
        <f t="shared" si="14"/>
        <v>51532</v>
      </c>
      <c r="CD18" s="45">
        <f t="shared" si="14"/>
        <v>51621</v>
      </c>
      <c r="CE18" s="45">
        <f t="shared" si="14"/>
        <v>51713</v>
      </c>
      <c r="CF18" s="45">
        <f t="shared" si="14"/>
        <v>51805</v>
      </c>
      <c r="CG18" s="45">
        <f t="shared" si="14"/>
        <v>51897</v>
      </c>
      <c r="CH18" s="45">
        <f t="shared" si="14"/>
        <v>51986</v>
      </c>
      <c r="CI18" s="45">
        <f t="shared" si="14"/>
        <v>52078</v>
      </c>
      <c r="CJ18" s="45">
        <f t="shared" si="14"/>
        <v>52170</v>
      </c>
      <c r="CK18" s="45">
        <f t="shared" si="14"/>
        <v>52262</v>
      </c>
      <c r="CL18" s="45">
        <f t="shared" si="14"/>
        <v>52351</v>
      </c>
      <c r="CM18" s="45">
        <f t="shared" si="14"/>
        <v>52443</v>
      </c>
      <c r="CN18" s="45">
        <f t="shared" si="14"/>
        <v>52535</v>
      </c>
      <c r="CO18" s="69">
        <f t="shared" si="14"/>
        <v>52627</v>
      </c>
    </row>
    <row r="19" spans="1:93" ht="12.75" customHeight="1" outlineLevel="4">
      <c r="A19" s="35"/>
      <c r="B19" s="63" t="s">
        <v>119</v>
      </c>
      <c r="C19" s="35" t="e">
        <f t="shared" ref="C19:C28" si="15">SUM(D19:CN19)</f>
        <v>#REF!</v>
      </c>
      <c r="D19" s="60"/>
      <c r="E19" s="35" t="e">
        <f>E16*(E15*E13*(Assump!$D$16+Assump!#REF!))</f>
        <v>#REF!</v>
      </c>
      <c r="F19" s="35" t="e">
        <f>F16*(F15*F13*(Assump!$D$16+Assump!#REF!))</f>
        <v>#REF!</v>
      </c>
      <c r="G19" s="35" t="e">
        <f>G16*(G15*G13*(Assump!$D$16+Assump!#REF!))</f>
        <v>#REF!</v>
      </c>
      <c r="H19" s="35" t="e">
        <f>H16*(H15*H13*(Assump!$D$16+Assump!#REF!))</f>
        <v>#REF!</v>
      </c>
      <c r="I19" s="35" t="e">
        <f>I16*(I15*I13*(Assump!$D$16+Assump!#REF!))</f>
        <v>#REF!</v>
      </c>
      <c r="J19" s="35" t="e">
        <f>J16*(J15*J13*(Assump!$D$16+Assump!#REF!))</f>
        <v>#REF!</v>
      </c>
      <c r="K19" s="35" t="e">
        <f>K16*(K15*K13*(Assump!$D$16+Assump!#REF!))</f>
        <v>#REF!</v>
      </c>
      <c r="L19" s="35" t="e">
        <f>L16*(L15*L13*(Assump!$D$16+Assump!#REF!))</f>
        <v>#REF!</v>
      </c>
      <c r="M19" s="35" t="e">
        <f>M16*(M15*M13*(Assump!$D$16+Assump!#REF!))</f>
        <v>#REF!</v>
      </c>
      <c r="N19" s="35" t="e">
        <f>N16*(N15*N13*(Assump!$D$16+Assump!#REF!))</f>
        <v>#REF!</v>
      </c>
      <c r="O19" s="35" t="e">
        <f>O16*(O15*O13*(Assump!$D$16+Assump!#REF!))</f>
        <v>#REF!</v>
      </c>
      <c r="P19" s="35" t="e">
        <f>P16*(P15*P13*(Assump!$D$16+Assump!#REF!))</f>
        <v>#REF!</v>
      </c>
      <c r="Q19" s="35" t="e">
        <f>Q16*(Q15*Q13*(Assump!$D$16+Assump!#REF!))</f>
        <v>#REF!</v>
      </c>
      <c r="R19" s="35" t="e">
        <f>R16*(R15*R13*(Assump!$D$16+Assump!#REF!))</f>
        <v>#REF!</v>
      </c>
      <c r="S19" s="35" t="e">
        <f>S16*(S15*S13*(Assump!$D$16+Assump!#REF!))</f>
        <v>#REF!</v>
      </c>
      <c r="T19" s="35" t="e">
        <f>T16*(T15*T13*(Assump!$D$16+Assump!#REF!))</f>
        <v>#REF!</v>
      </c>
      <c r="U19" s="35" t="e">
        <f>U16*(U15*U13*(Assump!$D$16+Assump!#REF!))</f>
        <v>#REF!</v>
      </c>
      <c r="V19" s="35" t="e">
        <f>V16*(V15*V13*(Assump!$D$16+Assump!#REF!))</f>
        <v>#REF!</v>
      </c>
      <c r="W19" s="35" t="e">
        <f>W16*(W15*W13*(Assump!$D$16+Assump!#REF!))</f>
        <v>#REF!</v>
      </c>
      <c r="X19" s="35" t="e">
        <f>X16*(X15*X13*(Assump!$D$16+Assump!#REF!))</f>
        <v>#REF!</v>
      </c>
      <c r="Y19" s="35" t="e">
        <f>Y16*(Y15*Y13*(Assump!$D$16+Assump!#REF!))</f>
        <v>#REF!</v>
      </c>
      <c r="Z19" s="35" t="e">
        <f>Z16*(Z15*Z13*(Assump!$D$16+Assump!#REF!))</f>
        <v>#REF!</v>
      </c>
      <c r="AA19" s="35" t="e">
        <f>AA16*(AA15*AA13*(Assump!$D$16+Assump!#REF!))</f>
        <v>#REF!</v>
      </c>
      <c r="AB19" s="35" t="e">
        <f>AB16*(AB15*AB13*(Assump!$D$16+Assump!#REF!))</f>
        <v>#REF!</v>
      </c>
      <c r="AC19" s="35" t="e">
        <f>AC16*(AC15*AC13*(Assump!$D$16+Assump!#REF!))</f>
        <v>#REF!</v>
      </c>
      <c r="AD19" s="35" t="e">
        <f>AD16*(AD15*AD13*(Assump!$D$16+Assump!#REF!))</f>
        <v>#REF!</v>
      </c>
      <c r="AE19" s="35" t="e">
        <f>AE16*(AE15*AE13*(Assump!$D$16+Assump!#REF!))</f>
        <v>#REF!</v>
      </c>
      <c r="AF19" s="35" t="e">
        <f>AF16*(AF15*AF13*(Assump!$D$16+Assump!#REF!))</f>
        <v>#REF!</v>
      </c>
      <c r="AG19" s="35" t="e">
        <f>AG16*(AG15*AG13*(Assump!$D$16+Assump!#REF!))</f>
        <v>#REF!</v>
      </c>
      <c r="AH19" s="35" t="e">
        <f>AH16*(AH15*AH13*(Assump!$D$16+Assump!#REF!))</f>
        <v>#REF!</v>
      </c>
      <c r="AI19" s="35" t="e">
        <f>AI16*(AI15*AI13*(Assump!$D$16+Assump!#REF!))</f>
        <v>#REF!</v>
      </c>
      <c r="AJ19" s="35" t="e">
        <f>AJ16*(AJ15*AJ13*(Assump!$D$16+Assump!#REF!))</f>
        <v>#REF!</v>
      </c>
      <c r="AK19" s="35" t="e">
        <f>AK16*(AK15*AK13*(Assump!$D$16+Assump!#REF!))</f>
        <v>#REF!</v>
      </c>
      <c r="AL19" s="35" t="e">
        <f>AL16*(AL15*AL13*(Assump!$D$16+Assump!#REF!))</f>
        <v>#REF!</v>
      </c>
      <c r="AM19" s="35" t="e">
        <f>AM16*(AM15*AM13*(Assump!$D$16+Assump!#REF!))</f>
        <v>#REF!</v>
      </c>
      <c r="AN19" s="35" t="e">
        <f>AN16*(AN15*AN13*(Assump!$D$16+Assump!#REF!))</f>
        <v>#REF!</v>
      </c>
      <c r="AO19" s="35" t="e">
        <f>AO16*(AO15*AO13*(Assump!$D$16+Assump!#REF!))</f>
        <v>#REF!</v>
      </c>
      <c r="AP19" s="35" t="e">
        <f>AP16*(AP15*AP13*(Assump!$D$16+Assump!#REF!))</f>
        <v>#REF!</v>
      </c>
      <c r="AQ19" s="35" t="e">
        <f>AQ16*(AQ15*AQ13*(Assump!$D$16+Assump!#REF!))</f>
        <v>#REF!</v>
      </c>
      <c r="AR19" s="35" t="e">
        <f>AR16*(AR15*AR13*(Assump!$D$16+Assump!#REF!))</f>
        <v>#REF!</v>
      </c>
      <c r="AS19" s="35" t="e">
        <f>AS16*(AS15*AS13*(Assump!$D$16+Assump!#REF!))</f>
        <v>#REF!</v>
      </c>
      <c r="AT19" s="35" t="e">
        <f>AT16*(AT15*AT13*(Assump!$D$16+Assump!#REF!))</f>
        <v>#REF!</v>
      </c>
      <c r="AU19" s="35" t="e">
        <f>AU16*(AU15*AU13*(Assump!$D$16+Assump!#REF!))</f>
        <v>#REF!</v>
      </c>
      <c r="AV19" s="35" t="e">
        <f>AV16*(AV15*AV13*(Assump!$D$16+Assump!#REF!))</f>
        <v>#REF!</v>
      </c>
      <c r="AW19" s="35" t="e">
        <f>AW16*(AW15*AW13*(Assump!$D$16+Assump!#REF!))</f>
        <v>#REF!</v>
      </c>
      <c r="AX19" s="35" t="e">
        <f>AX16*(AX15*AX13*(Assump!$D$16+Assump!#REF!))</f>
        <v>#REF!</v>
      </c>
      <c r="AY19" s="35" t="e">
        <f>AY16*(AY15*AY13*(Assump!$D$16+Assump!#REF!))</f>
        <v>#REF!</v>
      </c>
      <c r="AZ19" s="35" t="e">
        <f>AZ16*(AZ15*AZ13*(Assump!$D$16+Assump!#REF!))</f>
        <v>#REF!</v>
      </c>
      <c r="BA19" s="35" t="e">
        <f>BA16*(BA15*BA13*(Assump!$D$16+Assump!#REF!))</f>
        <v>#REF!</v>
      </c>
      <c r="BB19" s="35" t="e">
        <f>BB16*(BB15*BB13*(Assump!$D$16+Assump!#REF!))</f>
        <v>#REF!</v>
      </c>
      <c r="BC19" s="35" t="e">
        <f>BC16*(BC15*BC13*(Assump!$D$16+Assump!#REF!))</f>
        <v>#REF!</v>
      </c>
      <c r="BD19" s="35" t="e">
        <f>BD16*(BD15*BD13*(Assump!$D$16+Assump!#REF!))</f>
        <v>#REF!</v>
      </c>
      <c r="BE19" s="35" t="e">
        <f>BE16*(BE15*BE13*(Assump!$D$16+Assump!#REF!))</f>
        <v>#REF!</v>
      </c>
      <c r="BF19" s="35" t="e">
        <f>BF16*(BF15*BF13*(Assump!$D$16+Assump!#REF!))</f>
        <v>#REF!</v>
      </c>
      <c r="BG19" s="35" t="e">
        <f>BG16*(BG15*BG13*(Assump!$D$16+Assump!#REF!))</f>
        <v>#REF!</v>
      </c>
      <c r="BH19" s="35" t="e">
        <f>BH16*(BH15*BH13*(Assump!$D$16+Assump!#REF!))</f>
        <v>#REF!</v>
      </c>
      <c r="BI19" s="35" t="e">
        <f>BI16*(BI15*BI13*(Assump!$D$16+Assump!#REF!))</f>
        <v>#REF!</v>
      </c>
      <c r="BJ19" s="35" t="e">
        <f>BJ16*(BJ15*BJ13*(Assump!$D$16+Assump!#REF!))</f>
        <v>#REF!</v>
      </c>
      <c r="BK19" s="35" t="e">
        <f>BK16*(BK15*BK13*(Assump!$D$16+Assump!#REF!))</f>
        <v>#REF!</v>
      </c>
      <c r="BL19" s="35" t="e">
        <f>BL16*(BL15*BL13*(Assump!$D$16+Assump!#REF!))</f>
        <v>#REF!</v>
      </c>
      <c r="BM19" s="35" t="e">
        <f>BM16*(BM15*BM13*(Assump!$D$16+Assump!#REF!))</f>
        <v>#REF!</v>
      </c>
      <c r="BN19" s="35" t="e">
        <f>BN16*(BN15*BN13*(Assump!$D$16+Assump!#REF!))</f>
        <v>#REF!</v>
      </c>
      <c r="BO19" s="35" t="e">
        <f>BO16*(BO15*BO13*(Assump!$D$16+Assump!#REF!))</f>
        <v>#REF!</v>
      </c>
      <c r="BP19" s="35" t="e">
        <f>BP16*(BP15*BP13*(Assump!$D$16+Assump!#REF!))</f>
        <v>#REF!</v>
      </c>
      <c r="BQ19" s="35" t="e">
        <f>BQ16*(BQ15*BQ13*(Assump!$D$16+Assump!#REF!))</f>
        <v>#REF!</v>
      </c>
      <c r="BR19" s="35" t="e">
        <f>BR16*(BR15*BR13*(Assump!$D$16+Assump!#REF!))</f>
        <v>#REF!</v>
      </c>
      <c r="BS19" s="35" t="e">
        <f>BS16*(BS15*BS13*(Assump!$D$16+Assump!#REF!))</f>
        <v>#REF!</v>
      </c>
      <c r="BT19" s="35" t="e">
        <f>BT16*(BT15*BT13*(Assump!$D$16+Assump!#REF!))</f>
        <v>#REF!</v>
      </c>
      <c r="BU19" s="35" t="e">
        <f>BU16*(BU15*BU13*(Assump!$D$16+Assump!#REF!))</f>
        <v>#REF!</v>
      </c>
      <c r="BV19" s="35" t="e">
        <f>BV16*(BV15*BV13*(Assump!$D$16+Assump!#REF!))</f>
        <v>#REF!</v>
      </c>
      <c r="BW19" s="35" t="e">
        <f>BW16*(BW15*BW13*(Assump!$D$16+Assump!#REF!))</f>
        <v>#REF!</v>
      </c>
      <c r="BX19" s="35" t="e">
        <f>BX16*(BX15*BX13*(Assump!$D$16+Assump!#REF!))</f>
        <v>#REF!</v>
      </c>
      <c r="BY19" s="35" t="e">
        <f>BY16*(BY15*BY13*(Assump!$D$16+Assump!#REF!))</f>
        <v>#REF!</v>
      </c>
      <c r="BZ19" s="35" t="e">
        <f>BZ16*(BZ15*BZ13*(Assump!$D$16+Assump!#REF!))</f>
        <v>#REF!</v>
      </c>
      <c r="CA19" s="35" t="e">
        <f>CA16*(CA15*CA13*(Assump!$D$16+Assump!#REF!))</f>
        <v>#REF!</v>
      </c>
      <c r="CB19" s="35" t="e">
        <f>CB16*(CB15*CB13*(Assump!$D$16+Assump!#REF!))</f>
        <v>#REF!</v>
      </c>
      <c r="CC19" s="35" t="e">
        <f>CC16*(CC15*CC13*(Assump!$D$16+Assump!#REF!))</f>
        <v>#REF!</v>
      </c>
      <c r="CD19" s="35" t="e">
        <f>CD16*(CD15*CD13*(Assump!$D$16+Assump!#REF!))</f>
        <v>#REF!</v>
      </c>
      <c r="CE19" s="35" t="e">
        <f>CE16*(CE15*CE13*(Assump!$D$16+Assump!#REF!))</f>
        <v>#REF!</v>
      </c>
      <c r="CF19" s="35" t="e">
        <f>CF16*(CF15*CF13*(Assump!$D$16+Assump!#REF!))</f>
        <v>#REF!</v>
      </c>
      <c r="CG19" s="35" t="e">
        <f>CG16*(CG15*CG13*(Assump!$D$16+Assump!#REF!))</f>
        <v>#REF!</v>
      </c>
      <c r="CH19" s="35" t="e">
        <f>CH16*(CH15*CH13*(Assump!$D$16+Assump!#REF!))</f>
        <v>#REF!</v>
      </c>
      <c r="CI19" s="35" t="e">
        <f>CI16*(CI15*CI13*(Assump!$D$16+Assump!#REF!))</f>
        <v>#REF!</v>
      </c>
      <c r="CJ19" s="35" t="e">
        <f>CJ16*(CJ15*CJ13*(Assump!$D$16+Assump!#REF!))</f>
        <v>#REF!</v>
      </c>
      <c r="CK19" s="35" t="e">
        <f>CK16*(CK15*CK13*(Assump!$D$16+Assump!#REF!))</f>
        <v>#REF!</v>
      </c>
      <c r="CL19" s="35" t="e">
        <f>CL16*(CL15*CL13*(Assump!$D$16+Assump!#REF!))</f>
        <v>#REF!</v>
      </c>
      <c r="CM19" s="35" t="e">
        <f>CM16*(CM15*CM13*(Assump!$D$16+Assump!#REF!))</f>
        <v>#REF!</v>
      </c>
      <c r="CN19" s="35" t="e">
        <f>CN16*(CN15*CN13*(Assump!$D$16+Assump!#REF!))</f>
        <v>#REF!</v>
      </c>
      <c r="CO19" s="5" t="e">
        <f>CO16*(CO15*CO13*(Assump!$D$16+Assump!#REF!))</f>
        <v>#REF!</v>
      </c>
    </row>
    <row r="20" spans="1:93" ht="12.75" customHeight="1" outlineLevel="4">
      <c r="A20" s="35"/>
      <c r="B20" s="63" t="s">
        <v>120</v>
      </c>
      <c r="C20" s="35" t="e">
        <f t="shared" si="15"/>
        <v>#REF!</v>
      </c>
      <c r="D20" s="60"/>
      <c r="E20" s="35">
        <f>IF(Model!E20=0,0,Model!E20/(Model!E$15*Model!E$13*(Assump!$D$16+Assump!#REF!))*(E$15*E$13*(Assump!$D$16+Assump!#REF!)))</f>
        <v>0</v>
      </c>
      <c r="F20" s="35">
        <f>IF(Model!F20=0,0,Model!F20/(Model!F$15*Model!F$13*(Assump!$D$16+Assump!#REF!))*(F$15*F$13*(Assump!$D$16+Assump!#REF!)))</f>
        <v>0</v>
      </c>
      <c r="G20" s="35">
        <f>IF(Model!G20=0,0,Model!G20/(Model!G$15*Model!G$13*(Assump!$D$16+Assump!#REF!))*(G$15*G$13*(Assump!$D$16+Assump!#REF!)))</f>
        <v>0</v>
      </c>
      <c r="H20" s="35">
        <f>IF(Model!H20=0,0,Model!H20/(Model!H$15*Model!H$13*(Assump!$D$16+Assump!#REF!))*(H$15*H$13*(Assump!$D$16+Assump!#REF!)))</f>
        <v>0</v>
      </c>
      <c r="I20" s="35">
        <f>IF(Model!I20=0,0,Model!I20/(Model!I$15*Model!I$13*(Assump!$D$16+Assump!#REF!))*(I$15*I$13*(Assump!$D$16+Assump!#REF!)))</f>
        <v>0</v>
      </c>
      <c r="J20" s="35">
        <f>IF(Model!J20=0,0,Model!J20/(Model!J$15*Model!J$13*(Assump!$D$16+Assump!#REF!))*(J$15*J$13*(Assump!$D$16+Assump!#REF!)))</f>
        <v>0</v>
      </c>
      <c r="K20" s="35">
        <f>IF(Model!K20=0,0,Model!K20/(Model!K$15*Model!K$13*(Assump!$D$16+Assump!#REF!))*(K$15*K$13*(Assump!$D$16+Assump!#REF!)))</f>
        <v>0</v>
      </c>
      <c r="L20" s="35">
        <f>IF(Model!L20=0,0,Model!L20/(Model!L$15*Model!L$13*(Assump!$D$16+Assump!#REF!))*(L$15*L$13*(Assump!$D$16+Assump!#REF!)))</f>
        <v>0</v>
      </c>
      <c r="M20" s="35">
        <f>IF(Model!M20=0,0,Model!M20/(Model!M$15*Model!M$13*(Assump!$D$16+Assump!#REF!))*(M$15*M$13*(Assump!$D$16+Assump!#REF!)))</f>
        <v>0</v>
      </c>
      <c r="N20" s="35">
        <f>IF(Model!N20=0,0,Model!N20/(Model!N$15*Model!N$13*(Assump!$D$16+Assump!#REF!))*(N$15*N$13*(Assump!$D$16+Assump!#REF!)))</f>
        <v>0</v>
      </c>
      <c r="O20" s="35">
        <f>IF(Model!O20=0,0,Model!O20/(Model!O$15*Model!O$13*(Assump!$D$16+Assump!#REF!))*(O$15*O$13*(Assump!$D$16+Assump!#REF!)))</f>
        <v>0</v>
      </c>
      <c r="P20" s="35">
        <f>IF(Model!P20=0,0,Model!P20/(Model!P$15*Model!P$13*(Assump!$D$16+Assump!#REF!))*(P$15*P$13*(Assump!$D$16+Assump!#REF!)))</f>
        <v>0</v>
      </c>
      <c r="Q20" s="35">
        <f>IF(Model!Q20=0,0,Model!Q20/(Model!Q$15*Model!Q$13*(Assump!$D$16+Assump!#REF!))*(Q$15*Q$13*(Assump!$D$16+Assump!#REF!)))</f>
        <v>0</v>
      </c>
      <c r="R20" s="35">
        <f>IF(Model!R20=0,0,Model!R20/(Model!R$15*Model!R$13*(Assump!$D$16+Assump!#REF!))*(R$15*R$13*(Assump!$D$16+Assump!#REF!)))</f>
        <v>0</v>
      </c>
      <c r="S20" s="35">
        <f>IF(Model!S20=0,0,Model!S20/(Model!S$15*Model!S$13*(Assump!$D$16+Assump!#REF!))*(S$15*S$13*(Assump!$D$16+Assump!#REF!)))</f>
        <v>0</v>
      </c>
      <c r="T20" s="35">
        <f>IF(Model!T20=0,0,Model!T20/(Model!T$15*Model!T$13*(Assump!$D$16+Assump!#REF!))*(T$15*T$13*(Assump!$D$16+Assump!#REF!)))</f>
        <v>0</v>
      </c>
      <c r="U20" s="35">
        <f>IF(Model!U20=0,0,Model!U20/(Model!U$15*Model!U$13*(Assump!$D$16+Assump!#REF!))*(U$15*U$13*(Assump!$D$16+Assump!#REF!)))</f>
        <v>0</v>
      </c>
      <c r="V20" s="35">
        <f>IF(Model!V20=0,0,Model!V20/(Model!V$15*Model!V$13*(Assump!$D$16+Assump!#REF!))*(V$15*V$13*(Assump!$D$16+Assump!#REF!)))</f>
        <v>0</v>
      </c>
      <c r="W20" s="35" t="e">
        <f>IF(Model!W20=0,0,Model!W20/(Model!W$15*Model!W$13*(Assump!$D$16+Assump!#REF!))*(W$15*W$13*(Assump!$D$16+Assump!#REF!)))</f>
        <v>#REF!</v>
      </c>
      <c r="X20" s="35" t="e">
        <f>IF(Model!X20=0,0,Model!X20/(Model!X$15*Model!X$13*(Assump!$D$16+Assump!#REF!))*(X$15*X$13*(Assump!$D$16+Assump!#REF!)))</f>
        <v>#REF!</v>
      </c>
      <c r="Y20" s="35" t="e">
        <f>IF(Model!Y20=0,0,Model!Y20/(Model!Y$15*Model!Y$13*(Assump!$D$16+Assump!#REF!))*(Y$15*Y$13*(Assump!$D$16+Assump!#REF!)))</f>
        <v>#REF!</v>
      </c>
      <c r="Z20" s="35" t="e">
        <f>IF(Model!Z20=0,0,Model!Z20/(Model!Z$15*Model!Z$13*(Assump!$D$16+Assump!#REF!))*(Z$15*Z$13*(Assump!$D$16+Assump!#REF!)))</f>
        <v>#REF!</v>
      </c>
      <c r="AA20" s="35" t="e">
        <f>IF(Model!AA20=0,0,Model!AA20/(Model!AA$15*Model!AA$13*(Assump!$D$16+Assump!#REF!))*(AA$15*AA$13*(Assump!$D$16+Assump!#REF!)))</f>
        <v>#REF!</v>
      </c>
      <c r="AB20" s="35" t="e">
        <f>IF(Model!AB20=0,0,Model!AB20/(Model!AB$15*Model!AB$13*(Assump!$D$16+Assump!#REF!))*(AB$15*AB$13*(Assump!$D$16+Assump!#REF!)))</f>
        <v>#REF!</v>
      </c>
      <c r="AC20" s="35" t="e">
        <f>IF(Model!AC20=0,0,Model!AC20/(Model!AC$15*Model!AC$13*(Assump!$D$16+Assump!#REF!))*(AC$15*AC$13*(Assump!$D$16+Assump!#REF!)))</f>
        <v>#REF!</v>
      </c>
      <c r="AD20" s="35" t="e">
        <f>IF(Model!AD20=0,0,Model!AD20/(Model!AD$15*Model!AD$13*(Assump!$D$16+Assump!#REF!))*(AD$15*AD$13*(Assump!$D$16+Assump!#REF!)))</f>
        <v>#REF!</v>
      </c>
      <c r="AE20" s="35" t="e">
        <f>IF(Model!AE20=0,0,Model!AE20/(Model!AE$15*Model!AE$13*(Assump!$D$16+Assump!#REF!))*(AE$15*AE$13*(Assump!$D$16+Assump!#REF!)))</f>
        <v>#REF!</v>
      </c>
      <c r="AF20" s="35" t="e">
        <f>IF(Model!AF20=0,0,Model!AF20/(Model!AF$15*Model!AF$13*(Assump!$D$16+Assump!#REF!))*(AF$15*AF$13*(Assump!$D$16+Assump!#REF!)))</f>
        <v>#REF!</v>
      </c>
      <c r="AG20" s="35" t="e">
        <f>IF(Model!AG20=0,0,Model!AG20/(Model!AG$15*Model!AG$13*(Assump!$D$16+Assump!#REF!))*(AG$15*AG$13*(Assump!$D$16+Assump!#REF!)))</f>
        <v>#REF!</v>
      </c>
      <c r="AH20" s="35" t="e">
        <f>IF(Model!AH20=0,0,Model!AH20/(Model!AH$15*Model!AH$13*(Assump!$D$16+Assump!#REF!))*(AH$15*AH$13*(Assump!$D$16+Assump!#REF!)))</f>
        <v>#REF!</v>
      </c>
      <c r="AI20" s="35" t="e">
        <f>IF(Model!AI20=0,0,Model!AI20/(Model!AI$15*Model!AI$13*(Assump!$D$16+Assump!#REF!))*(AI$15*AI$13*(Assump!$D$16+Assump!#REF!)))</f>
        <v>#REF!</v>
      </c>
      <c r="AJ20" s="35" t="e">
        <f>IF(Model!AJ20=0,0,Model!AJ20/(Model!AJ$15*Model!AJ$13*(Assump!$D$16+Assump!#REF!))*(AJ$15*AJ$13*(Assump!$D$16+Assump!#REF!)))</f>
        <v>#REF!</v>
      </c>
      <c r="AK20" s="35" t="e">
        <f>IF(Model!AK20=0,0,Model!AK20/(Model!AK$15*Model!AK$13*(Assump!$D$16+Assump!#REF!))*(AK$15*AK$13*(Assump!$D$16+Assump!#REF!)))</f>
        <v>#REF!</v>
      </c>
      <c r="AL20" s="35" t="e">
        <f>IF(Model!AL20=0,0,Model!AL20/(Model!AL$15*Model!AL$13*(Assump!$D$16+Assump!#REF!))*(AL$15*AL$13*(Assump!$D$16+Assump!#REF!)))</f>
        <v>#REF!</v>
      </c>
      <c r="AM20" s="35" t="e">
        <f>IF(Model!AM20=0,0,Model!AM20/(Model!AM$15*Model!AM$13*(Assump!$D$16+Assump!#REF!))*(AM$15*AM$13*(Assump!$D$16+Assump!#REF!)))</f>
        <v>#REF!</v>
      </c>
      <c r="AN20" s="35" t="e">
        <f>IF(Model!AN20=0,0,Model!AN20/(Model!AN$15*Model!AN$13*(Assump!$D$16+Assump!#REF!))*(AN$15*AN$13*(Assump!$D$16+Assump!#REF!)))</f>
        <v>#REF!</v>
      </c>
      <c r="AO20" s="35" t="e">
        <f>IF(Model!AO20=0,0,Model!AO20/(Model!AO$15*Model!AO$13*(Assump!$D$16+Assump!#REF!))*(AO$15*AO$13*(Assump!$D$16+Assump!#REF!)))</f>
        <v>#REF!</v>
      </c>
      <c r="AP20" s="35" t="e">
        <f>IF(Model!AP20=0,0,Model!AP20/(Model!AP$15*Model!AP$13*(Assump!$D$16+Assump!#REF!))*(AP$15*AP$13*(Assump!$D$16+Assump!#REF!)))</f>
        <v>#REF!</v>
      </c>
      <c r="AQ20" s="35" t="e">
        <f>IF(Model!AQ20=0,0,Model!AQ20/(Model!AQ$15*Model!AQ$13*(Assump!$D$16+Assump!#REF!))*(AQ$15*AQ$13*(Assump!$D$16+Assump!#REF!)))</f>
        <v>#REF!</v>
      </c>
      <c r="AR20" s="35" t="e">
        <f>IF(Model!AR20=0,0,Model!AR20/(Model!AR$15*Model!AR$13*(Assump!$D$16+Assump!#REF!))*(AR$15*AR$13*(Assump!$D$16+Assump!#REF!)))</f>
        <v>#REF!</v>
      </c>
      <c r="AS20" s="35" t="e">
        <f>IF(Model!AS20=0,0,Model!AS20/(Model!AS$15*Model!AS$13*(Assump!$D$16+Assump!#REF!))*(AS$15*AS$13*(Assump!$D$16+Assump!#REF!)))</f>
        <v>#REF!</v>
      </c>
      <c r="AT20" s="35" t="e">
        <f>IF(Model!AT20=0,0,Model!AT20/(Model!AT$15*Model!AT$13*(Assump!$D$16+Assump!#REF!))*(AT$15*AT$13*(Assump!$D$16+Assump!#REF!)))</f>
        <v>#REF!</v>
      </c>
      <c r="AU20" s="35" t="e">
        <f>IF(Model!AU20=0,0,Model!AU20/(Model!AU$15*Model!AU$13*(Assump!$D$16+Assump!#REF!))*(AU$15*AU$13*(Assump!$D$16+Assump!#REF!)))</f>
        <v>#REF!</v>
      </c>
      <c r="AV20" s="35" t="e">
        <f>IF(Model!AV20=0,0,Model!AV20/(Model!AV$15*Model!AV$13*(Assump!$D$16+Assump!#REF!))*(AV$15*AV$13*(Assump!$D$16+Assump!#REF!)))</f>
        <v>#REF!</v>
      </c>
      <c r="AW20" s="35" t="e">
        <f>IF(Model!AW20=0,0,Model!AW20/(Model!AW$15*Model!AW$13*(Assump!$D$16+Assump!#REF!))*(AW$15*AW$13*(Assump!$D$16+Assump!#REF!)))</f>
        <v>#REF!</v>
      </c>
      <c r="AX20" s="35" t="e">
        <f>IF(Model!AX20=0,0,Model!AX20/(Model!AX$15*Model!AX$13*(Assump!$D$16+Assump!#REF!))*(AX$15*AX$13*(Assump!$D$16+Assump!#REF!)))</f>
        <v>#REF!</v>
      </c>
      <c r="AY20" s="35" t="e">
        <f>IF(Model!AY20=0,0,Model!AY20/(Model!AY$15*Model!AY$13*(Assump!$D$16+Assump!#REF!))*(AY$15*AY$13*(Assump!$D$16+Assump!#REF!)))</f>
        <v>#REF!</v>
      </c>
      <c r="AZ20" s="35" t="e">
        <f>IF(Model!AZ20=0,0,Model!AZ20/(Model!AZ$15*Model!AZ$13*(Assump!$D$16+Assump!#REF!))*(AZ$15*AZ$13*(Assump!$D$16+Assump!#REF!)))</f>
        <v>#REF!</v>
      </c>
      <c r="BA20" s="35" t="e">
        <f>IF(Model!BA20=0,0,Model!BA20/(Model!BA$15*Model!BA$13*(Assump!$D$16+Assump!#REF!))*(BA$15*BA$13*(Assump!$D$16+Assump!#REF!)))</f>
        <v>#REF!</v>
      </c>
      <c r="BB20" s="35" t="e">
        <f>IF(Model!BB20=0,0,Model!BB20/(Model!BB$15*Model!BB$13*(Assump!$D$16+Assump!#REF!))*(BB$15*BB$13*(Assump!$D$16+Assump!#REF!)))</f>
        <v>#REF!</v>
      </c>
      <c r="BC20" s="35" t="e">
        <f>IF(Model!BC20=0,0,Model!BC20/(Model!BC$15*Model!BC$13*(Assump!$D$16+Assump!#REF!))*(BC$15*BC$13*(Assump!$D$16+Assump!#REF!)))</f>
        <v>#REF!</v>
      </c>
      <c r="BD20" s="35" t="e">
        <f>IF(Model!BD20=0,0,Model!BD20/(Model!BD$15*Model!BD$13*(Assump!$D$16+Assump!#REF!))*(BD$15*BD$13*(Assump!$D$16+Assump!#REF!)))</f>
        <v>#REF!</v>
      </c>
      <c r="BE20" s="35" t="e">
        <f>IF(Model!BE20=0,0,Model!BE20/(Model!BE$15*Model!BE$13*(Assump!$D$16+Assump!#REF!))*(BE$15*BE$13*(Assump!$D$16+Assump!#REF!)))</f>
        <v>#REF!</v>
      </c>
      <c r="BF20" s="35" t="e">
        <f>IF(Model!BF20=0,0,Model!BF20/(Model!BF$15*Model!BF$13*(Assump!$D$16+Assump!#REF!))*(BF$15*BF$13*(Assump!$D$16+Assump!#REF!)))</f>
        <v>#REF!</v>
      </c>
      <c r="BG20" s="35" t="e">
        <f>IF(Model!BG20=0,0,Model!BG20/(Model!BG$15*Model!BG$13*(Assump!$D$16+Assump!#REF!))*(BG$15*BG$13*(Assump!$D$16+Assump!#REF!)))</f>
        <v>#REF!</v>
      </c>
      <c r="BH20" s="35" t="e">
        <f>IF(Model!BH20=0,0,Model!BH20/(Model!BH$15*Model!BH$13*(Assump!$D$16+Assump!#REF!))*(BH$15*BH$13*(Assump!$D$16+Assump!#REF!)))</f>
        <v>#REF!</v>
      </c>
      <c r="BI20" s="35" t="e">
        <f>IF(Model!BI20=0,0,Model!BI20/(Model!BI$15*Model!BI$13*(Assump!$D$16+Assump!#REF!))*(BI$15*BI$13*(Assump!$D$16+Assump!#REF!)))</f>
        <v>#REF!</v>
      </c>
      <c r="BJ20" s="35" t="e">
        <f>IF(Model!BJ20=0,0,Model!BJ20/(Model!BJ$15*Model!BJ$13*(Assump!$D$16+Assump!#REF!))*(BJ$15*BJ$13*(Assump!$D$16+Assump!#REF!)))</f>
        <v>#REF!</v>
      </c>
      <c r="BK20" s="35" t="e">
        <f>IF(Model!BK20=0,0,Model!BK20/(Model!BK$15*Model!BK$13*(Assump!$D$16+Assump!#REF!))*(BK$15*BK$13*(Assump!$D$16+Assump!#REF!)))</f>
        <v>#REF!</v>
      </c>
      <c r="BL20" s="35" t="e">
        <f>IF(Model!BL20=0,0,Model!BL20/(Model!BL$15*Model!BL$13*(Assump!$D$16+Assump!#REF!))*(BL$15*BL$13*(Assump!$D$16+Assump!#REF!)))</f>
        <v>#REF!</v>
      </c>
      <c r="BM20" s="35" t="e">
        <f>IF(Model!BM20=0,0,Model!BM20/(Model!BM$15*Model!BM$13*(Assump!$D$16+Assump!#REF!))*(BM$15*BM$13*(Assump!$D$16+Assump!#REF!)))</f>
        <v>#REF!</v>
      </c>
      <c r="BN20" s="35" t="e">
        <f>IF(Model!BN20=0,0,Model!BN20/(Model!BN$15*Model!BN$13*(Assump!$D$16+Assump!#REF!))*(BN$15*BN$13*(Assump!$D$16+Assump!#REF!)))</f>
        <v>#REF!</v>
      </c>
      <c r="BO20" s="35" t="e">
        <f>IF(Model!BO20=0,0,Model!BO20/(Model!BO$15*Model!BO$13*(Assump!$D$16+Assump!#REF!))*(BO$15*BO$13*(Assump!$D$16+Assump!#REF!)))</f>
        <v>#REF!</v>
      </c>
      <c r="BP20" s="35" t="e">
        <f>IF(Model!BP20=0,0,Model!BP20/(Model!BP$15*Model!BP$13*(Assump!$D$16+Assump!#REF!))*(BP$15*BP$13*(Assump!$D$16+Assump!#REF!)))</f>
        <v>#REF!</v>
      </c>
      <c r="BQ20" s="35" t="e">
        <f>IF(Model!BQ20=0,0,Model!BQ20/(Model!BQ$15*Model!BQ$13*(Assump!$D$16+Assump!#REF!))*(BQ$15*BQ$13*(Assump!$D$16+Assump!#REF!)))</f>
        <v>#REF!</v>
      </c>
      <c r="BR20" s="35" t="e">
        <f>IF(Model!BR20=0,0,Model!BR20/(Model!BR$15*Model!BR$13*(Assump!$D$16+Assump!#REF!))*(BR$15*BR$13*(Assump!$D$16+Assump!#REF!)))</f>
        <v>#REF!</v>
      </c>
      <c r="BS20" s="35" t="e">
        <f>IF(Model!BS20=0,0,Model!BS20/(Model!BS$15*Model!BS$13*(Assump!$D$16+Assump!#REF!))*(BS$15*BS$13*(Assump!$D$16+Assump!#REF!)))</f>
        <v>#REF!</v>
      </c>
      <c r="BT20" s="35" t="e">
        <f>IF(Model!BT20=0,0,Model!BT20/(Model!BT$15*Model!BT$13*(Assump!$D$16+Assump!#REF!))*(BT$15*BT$13*(Assump!$D$16+Assump!#REF!)))</f>
        <v>#REF!</v>
      </c>
      <c r="BU20" s="35" t="e">
        <f>IF(Model!BU20=0,0,Model!BU20/(Model!BU$15*Model!BU$13*(Assump!$D$16+Assump!#REF!))*(BU$15*BU$13*(Assump!$D$16+Assump!#REF!)))</f>
        <v>#REF!</v>
      </c>
      <c r="BV20" s="35" t="e">
        <f>IF(Model!BV20=0,0,Model!BV20/(Model!BV$15*Model!BV$13*(Assump!$D$16+Assump!#REF!))*(BV$15*BV$13*(Assump!$D$16+Assump!#REF!)))</f>
        <v>#REF!</v>
      </c>
      <c r="BW20" s="35" t="e">
        <f>IF(Model!BW20=0,0,Model!BW20/(Model!BW$15*Model!BW$13*(Assump!$D$16+Assump!#REF!))*(BW$15*BW$13*(Assump!$D$16+Assump!#REF!)))</f>
        <v>#REF!</v>
      </c>
      <c r="BX20" s="35" t="e">
        <f>IF(Model!BX20=0,0,Model!BX20/(Model!BX$15*Model!BX$13*(Assump!$D$16+Assump!#REF!))*(BX$15*BX$13*(Assump!$D$16+Assump!#REF!)))</f>
        <v>#REF!</v>
      </c>
      <c r="BY20" s="35" t="e">
        <f>IF(Model!BY20=0,0,Model!BY20/(Model!BY$15*Model!BY$13*(Assump!$D$16+Assump!#REF!))*(BY$15*BY$13*(Assump!$D$16+Assump!#REF!)))</f>
        <v>#REF!</v>
      </c>
      <c r="BZ20" s="35" t="e">
        <f>IF(Model!BZ20=0,0,Model!BZ20/(Model!BZ$15*Model!BZ$13*(Assump!$D$16+Assump!#REF!))*(BZ$15*BZ$13*(Assump!$D$16+Assump!#REF!)))</f>
        <v>#REF!</v>
      </c>
      <c r="CA20" s="35" t="e">
        <f>IF(Model!CA20=0,0,Model!CA20/(Model!CA$15*Model!CA$13*(Assump!$D$16+Assump!#REF!))*(CA$15*CA$13*(Assump!$D$16+Assump!#REF!)))</f>
        <v>#REF!</v>
      </c>
      <c r="CB20" s="35" t="e">
        <f>IF(Model!CB20=0,0,Model!CB20/(Model!CB$15*Model!CB$13*(Assump!$D$16+Assump!#REF!))*(CB$15*CB$13*(Assump!$D$16+Assump!#REF!)))</f>
        <v>#REF!</v>
      </c>
      <c r="CC20" s="35" t="e">
        <f>IF(Model!CC20=0,0,Model!CC20/(Model!CC$15*Model!CC$13*(Assump!$D$16+Assump!#REF!))*(CC$15*CC$13*(Assump!$D$16+Assump!#REF!)))</f>
        <v>#REF!</v>
      </c>
      <c r="CD20" s="35" t="e">
        <f>IF(Model!CD20=0,0,Model!CD20/(Model!CD$15*Model!CD$13*(Assump!$D$16+Assump!#REF!))*(CD$15*CD$13*(Assump!$D$16+Assump!#REF!)))</f>
        <v>#REF!</v>
      </c>
      <c r="CE20" s="35" t="e">
        <f>IF(Model!CE20=0,0,Model!CE20/(Model!CE$15*Model!CE$13*(Assump!$D$16+Assump!#REF!))*(CE$15*CE$13*(Assump!$D$16+Assump!#REF!)))</f>
        <v>#REF!</v>
      </c>
      <c r="CF20" s="35" t="e">
        <f>IF(Model!CF20=0,0,Model!CF20/(Model!CF$15*Model!CF$13*(Assump!$D$16+Assump!#REF!))*(CF$15*CF$13*(Assump!$D$16+Assump!#REF!)))</f>
        <v>#REF!</v>
      </c>
      <c r="CG20" s="35" t="e">
        <f>IF(Model!CG20=0,0,Model!CG20/(Model!CG$15*Model!CG$13*(Assump!$D$16+Assump!#REF!))*(CG$15*CG$13*(Assump!$D$16+Assump!#REF!)))</f>
        <v>#REF!</v>
      </c>
      <c r="CH20" s="35" t="e">
        <f>IF(Model!CH20=0,0,Model!CH20/(Model!CH$15*Model!CH$13*(Assump!$D$16+Assump!#REF!))*(CH$15*CH$13*(Assump!$D$16+Assump!#REF!)))</f>
        <v>#REF!</v>
      </c>
      <c r="CI20" s="35" t="e">
        <f>IF(Model!CI20=0,0,Model!CI20/(Model!CI$15*Model!CI$13*(Assump!$D$16+Assump!#REF!))*(CI$15*CI$13*(Assump!$D$16+Assump!#REF!)))</f>
        <v>#REF!</v>
      </c>
      <c r="CJ20" s="35" t="e">
        <f>IF(Model!CJ20=0,0,Model!CJ20/(Model!CJ$15*Model!CJ$13*(Assump!$D$16+Assump!#REF!))*(CJ$15*CJ$13*(Assump!$D$16+Assump!#REF!)))</f>
        <v>#REF!</v>
      </c>
      <c r="CK20" s="35" t="e">
        <f>IF(Model!CK20=0,0,Model!CK20/(Model!CK$15*Model!CK$13*(Assump!$D$16+Assump!#REF!))*(CK$15*CK$13*(Assump!$D$16+Assump!#REF!)))</f>
        <v>#REF!</v>
      </c>
      <c r="CL20" s="35" t="e">
        <f>IF(Model!CL20=0,0,Model!CL20/(Model!CL$15*Model!CL$13*(Assump!$D$16+Assump!#REF!))*(CL$15*CL$13*(Assump!$D$16+Assump!#REF!)))</f>
        <v>#REF!</v>
      </c>
      <c r="CM20" s="35" t="e">
        <f>IF(Model!CM20=0,0,Model!CM20/(Model!CM$15*Model!CM$13*(Assump!$D$16+Assump!#REF!))*(CM$15*CM$13*(Assump!$D$16+Assump!#REF!)))</f>
        <v>#REF!</v>
      </c>
      <c r="CN20" s="35" t="e">
        <f>IF(Model!CN20=0,0,Model!CN20/(Model!CN$15*Model!CN$13*(Assump!$D$16+Assump!#REF!))*(CN$15*CN$13*(Assump!$D$16+Assump!#REF!)))</f>
        <v>#REF!</v>
      </c>
      <c r="CO20" s="35" t="e">
        <f>IF(Model!CO20=0,0,Model!CO20/(Model!CO$15*Model!CO$13*(Assump!$D$16+Assump!#REF!))*(CO$15*CO$13*(Assump!$D$16+Assump!#REF!)))</f>
        <v>#REF!</v>
      </c>
    </row>
    <row r="21" spans="1:93" ht="12.75" customHeight="1" outlineLevel="4">
      <c r="A21" s="35"/>
      <c r="B21" s="63" t="s">
        <v>121</v>
      </c>
      <c r="C21" s="35" t="e">
        <f t="shared" si="15"/>
        <v>#REF!</v>
      </c>
      <c r="D21" s="60"/>
      <c r="E21" s="35">
        <f>IF(Model!E21=0,0,Model!E21/(Model!E$15*Model!E$13*(Assump!$D$16+Assump!#REF!))*(E$15*E$13*(Assump!$D$16+Assump!#REF!)))</f>
        <v>0</v>
      </c>
      <c r="F21" s="35">
        <f>IF(Model!F21=0,0,Model!F21/(Model!F$15*Model!F$13*(Assump!$D$16+Assump!#REF!))*(F$15*F$13*(Assump!$D$16+Assump!#REF!)))</f>
        <v>0</v>
      </c>
      <c r="G21" s="35">
        <f>IF(Model!G21=0,0,Model!G21/(Model!G$15*Model!G$13*(Assump!$D$16+Assump!#REF!))*(G$15*G$13*(Assump!$D$16+Assump!#REF!)))</f>
        <v>0</v>
      </c>
      <c r="H21" s="35">
        <f>IF(Model!H21=0,0,Model!H21/(Model!H$15*Model!H$13*(Assump!$D$16+Assump!#REF!))*(H$15*H$13*(Assump!$D$16+Assump!#REF!)))</f>
        <v>0</v>
      </c>
      <c r="I21" s="35">
        <f>IF(Model!I21=0,0,Model!I21/(Model!I$15*Model!I$13*(Assump!$D$16+Assump!#REF!))*(I$15*I$13*(Assump!$D$16+Assump!#REF!)))</f>
        <v>0</v>
      </c>
      <c r="J21" s="35">
        <f>IF(Model!J21=0,0,Model!J21/(Model!J$15*Model!J$13*(Assump!$D$16+Assump!#REF!))*(J$15*J$13*(Assump!$D$16+Assump!#REF!)))</f>
        <v>0</v>
      </c>
      <c r="K21" s="35">
        <f>IF(Model!K21=0,0,Model!K21/(Model!K$15*Model!K$13*(Assump!$D$16+Assump!#REF!))*(K$15*K$13*(Assump!$D$16+Assump!#REF!)))</f>
        <v>0</v>
      </c>
      <c r="L21" s="35">
        <f>IF(Model!L21=0,0,Model!L21/(Model!L$15*Model!L$13*(Assump!$D$16+Assump!#REF!))*(L$15*L$13*(Assump!$D$16+Assump!#REF!)))</f>
        <v>0</v>
      </c>
      <c r="M21" s="35">
        <f>IF(Model!M21=0,0,Model!M21/(Model!M$15*Model!M$13*(Assump!$D$16+Assump!#REF!))*(M$15*M$13*(Assump!$D$16+Assump!#REF!)))</f>
        <v>0</v>
      </c>
      <c r="N21" s="35">
        <f>IF(Model!N21=0,0,Model!N21/(Model!N$15*Model!N$13*(Assump!$D$16+Assump!#REF!))*(N$15*N$13*(Assump!$D$16+Assump!#REF!)))</f>
        <v>0</v>
      </c>
      <c r="O21" s="35">
        <f>IF(Model!O21=0,0,Model!O21/(Model!O$15*Model!O$13*(Assump!$D$16+Assump!#REF!))*(O$15*O$13*(Assump!$D$16+Assump!#REF!)))</f>
        <v>0</v>
      </c>
      <c r="P21" s="35">
        <f>IF(Model!P21=0,0,Model!P21/(Model!P$15*Model!P$13*(Assump!$D$16+Assump!#REF!))*(P$15*P$13*(Assump!$D$16+Assump!#REF!)))</f>
        <v>0</v>
      </c>
      <c r="Q21" s="35">
        <f>IF(Model!Q21=0,0,Model!Q21/(Model!Q$15*Model!Q$13*(Assump!$D$16+Assump!#REF!))*(Q$15*Q$13*(Assump!$D$16+Assump!#REF!)))</f>
        <v>0</v>
      </c>
      <c r="R21" s="35">
        <f>IF(Model!R21=0,0,Model!R21/(Model!R$15*Model!R$13*(Assump!$D$16+Assump!#REF!))*(R$15*R$13*(Assump!$D$16+Assump!#REF!)))</f>
        <v>0</v>
      </c>
      <c r="S21" s="35">
        <f>IF(Model!S21=0,0,Model!S21/(Model!S$15*Model!S$13*(Assump!$D$16+Assump!#REF!))*(S$15*S$13*(Assump!$D$16+Assump!#REF!)))</f>
        <v>0</v>
      </c>
      <c r="T21" s="35">
        <f>IF(Model!T21=0,0,Model!T21/(Model!T$15*Model!T$13*(Assump!$D$16+Assump!#REF!))*(T$15*T$13*(Assump!$D$16+Assump!#REF!)))</f>
        <v>0</v>
      </c>
      <c r="U21" s="35">
        <f>IF(Model!U21=0,0,Model!U21/(Model!U$15*Model!U$13*(Assump!$D$16+Assump!#REF!))*(U$15*U$13*(Assump!$D$16+Assump!#REF!)))</f>
        <v>0</v>
      </c>
      <c r="V21" s="35">
        <f>IF(Model!V21=0,0,Model!V21/(Model!V$15*Model!V$13*(Assump!$D$16+Assump!#REF!))*(V$15*V$13*(Assump!$D$16+Assump!#REF!)))</f>
        <v>0</v>
      </c>
      <c r="W21" s="35" t="e">
        <f>IF(Model!W21=0,0,Model!W21/(Model!W$15*Model!W$13*(Assump!$D$16+Assump!#REF!))*(W$15*W$13*(Assump!$D$16+Assump!#REF!)))</f>
        <v>#REF!</v>
      </c>
      <c r="X21" s="35" t="e">
        <f>IF(Model!X21=0,0,Model!X21/(Model!X$15*Model!X$13*(Assump!$D$16+Assump!#REF!))*(X$15*X$13*(Assump!$D$16+Assump!#REF!)))</f>
        <v>#REF!</v>
      </c>
      <c r="Y21" s="35" t="e">
        <f>IF(Model!Y21=0,0,Model!Y21/(Model!Y$15*Model!Y$13*(Assump!$D$16+Assump!#REF!))*(Y$15*Y$13*(Assump!$D$16+Assump!#REF!)))</f>
        <v>#REF!</v>
      </c>
      <c r="Z21" s="35" t="e">
        <f>IF(Model!Z21=0,0,Model!Z21/(Model!Z$15*Model!Z$13*(Assump!$D$16+Assump!#REF!))*(Z$15*Z$13*(Assump!$D$16+Assump!#REF!)))</f>
        <v>#REF!</v>
      </c>
      <c r="AA21" s="35" t="e">
        <f>IF(Model!AA21=0,0,Model!AA21/(Model!AA$15*Model!AA$13*(Assump!$D$16+Assump!#REF!))*(AA$15*AA$13*(Assump!$D$16+Assump!#REF!)))</f>
        <v>#REF!</v>
      </c>
      <c r="AB21" s="35" t="e">
        <f>IF(Model!AB21=0,0,Model!AB21/(Model!AB$15*Model!AB$13*(Assump!$D$16+Assump!#REF!))*(AB$15*AB$13*(Assump!$D$16+Assump!#REF!)))</f>
        <v>#REF!</v>
      </c>
      <c r="AC21" s="35" t="e">
        <f>IF(Model!AC21=0,0,Model!AC21/(Model!AC$15*Model!AC$13*(Assump!$D$16+Assump!#REF!))*(AC$15*AC$13*(Assump!$D$16+Assump!#REF!)))</f>
        <v>#REF!</v>
      </c>
      <c r="AD21" s="35" t="e">
        <f>IF(Model!AD21=0,0,Model!AD21/(Model!AD$15*Model!AD$13*(Assump!$D$16+Assump!#REF!))*(AD$15*AD$13*(Assump!$D$16+Assump!#REF!)))</f>
        <v>#REF!</v>
      </c>
      <c r="AE21" s="35" t="e">
        <f>IF(Model!AE21=0,0,Model!AE21/(Model!AE$15*Model!AE$13*(Assump!$D$16+Assump!#REF!))*(AE$15*AE$13*(Assump!$D$16+Assump!#REF!)))</f>
        <v>#REF!</v>
      </c>
      <c r="AF21" s="35" t="e">
        <f>IF(Model!AF21=0,0,Model!AF21/(Model!AF$15*Model!AF$13*(Assump!$D$16+Assump!#REF!))*(AF$15*AF$13*(Assump!$D$16+Assump!#REF!)))</f>
        <v>#REF!</v>
      </c>
      <c r="AG21" s="35" t="e">
        <f>IF(Model!AG21=0,0,Model!AG21/(Model!AG$15*Model!AG$13*(Assump!$D$16+Assump!#REF!))*(AG$15*AG$13*(Assump!$D$16+Assump!#REF!)))</f>
        <v>#REF!</v>
      </c>
      <c r="AH21" s="35" t="e">
        <f>IF(Model!AH21=0,0,Model!AH21/(Model!AH$15*Model!AH$13*(Assump!$D$16+Assump!#REF!))*(AH$15*AH$13*(Assump!$D$16+Assump!#REF!)))</f>
        <v>#REF!</v>
      </c>
      <c r="AI21" s="35" t="e">
        <f>IF(Model!AI21=0,0,Model!AI21/(Model!AI$15*Model!AI$13*(Assump!$D$16+Assump!#REF!))*(AI$15*AI$13*(Assump!$D$16+Assump!#REF!)))</f>
        <v>#REF!</v>
      </c>
      <c r="AJ21" s="35" t="e">
        <f>IF(Model!AJ21=0,0,Model!AJ21/(Model!AJ$15*Model!AJ$13*(Assump!$D$16+Assump!#REF!))*(AJ$15*AJ$13*(Assump!$D$16+Assump!#REF!)))</f>
        <v>#REF!</v>
      </c>
      <c r="AK21" s="35" t="e">
        <f>IF(Model!AK21=0,0,Model!AK21/(Model!AK$15*Model!AK$13*(Assump!$D$16+Assump!#REF!))*(AK$15*AK$13*(Assump!$D$16+Assump!#REF!)))</f>
        <v>#REF!</v>
      </c>
      <c r="AL21" s="35" t="e">
        <f>IF(Model!AL21=0,0,Model!AL21/(Model!AL$15*Model!AL$13*(Assump!$D$16+Assump!#REF!))*(AL$15*AL$13*(Assump!$D$16+Assump!#REF!)))</f>
        <v>#REF!</v>
      </c>
      <c r="AM21" s="35" t="e">
        <f>IF(Model!AM21=0,0,Model!AM21/(Model!AM$15*Model!AM$13*(Assump!$D$16+Assump!#REF!))*(AM$15*AM$13*(Assump!$D$16+Assump!#REF!)))</f>
        <v>#REF!</v>
      </c>
      <c r="AN21" s="35" t="e">
        <f>IF(Model!AN21=0,0,Model!AN21/(Model!AN$15*Model!AN$13*(Assump!$D$16+Assump!#REF!))*(AN$15*AN$13*(Assump!$D$16+Assump!#REF!)))</f>
        <v>#REF!</v>
      </c>
      <c r="AO21" s="35" t="e">
        <f>IF(Model!AO21=0,0,Model!AO21/(Model!AO$15*Model!AO$13*(Assump!$D$16+Assump!#REF!))*(AO$15*AO$13*(Assump!$D$16+Assump!#REF!)))</f>
        <v>#REF!</v>
      </c>
      <c r="AP21" s="35" t="e">
        <f>IF(Model!AP21=0,0,Model!AP21/(Model!AP$15*Model!AP$13*(Assump!$D$16+Assump!#REF!))*(AP$15*AP$13*(Assump!$D$16+Assump!#REF!)))</f>
        <v>#REF!</v>
      </c>
      <c r="AQ21" s="35" t="e">
        <f>IF(Model!AQ21=0,0,Model!AQ21/(Model!AQ$15*Model!AQ$13*(Assump!$D$16+Assump!#REF!))*(AQ$15*AQ$13*(Assump!$D$16+Assump!#REF!)))</f>
        <v>#REF!</v>
      </c>
      <c r="AR21" s="35" t="e">
        <f>IF(Model!AR21=0,0,Model!AR21/(Model!AR$15*Model!AR$13*(Assump!$D$16+Assump!#REF!))*(AR$15*AR$13*(Assump!$D$16+Assump!#REF!)))</f>
        <v>#REF!</v>
      </c>
      <c r="AS21" s="35" t="e">
        <f>IF(Model!AS21=0,0,Model!AS21/(Model!AS$15*Model!AS$13*(Assump!$D$16+Assump!#REF!))*(AS$15*AS$13*(Assump!$D$16+Assump!#REF!)))</f>
        <v>#REF!</v>
      </c>
      <c r="AT21" s="35" t="e">
        <f>IF(Model!AT21=0,0,Model!AT21/(Model!AT$15*Model!AT$13*(Assump!$D$16+Assump!#REF!))*(AT$15*AT$13*(Assump!$D$16+Assump!#REF!)))</f>
        <v>#REF!</v>
      </c>
      <c r="AU21" s="35" t="e">
        <f>IF(Model!AU21=0,0,Model!AU21/(Model!AU$15*Model!AU$13*(Assump!$D$16+Assump!#REF!))*(AU$15*AU$13*(Assump!$D$16+Assump!#REF!)))</f>
        <v>#REF!</v>
      </c>
      <c r="AV21" s="35" t="e">
        <f>IF(Model!AV21=0,0,Model!AV21/(Model!AV$15*Model!AV$13*(Assump!$D$16+Assump!#REF!))*(AV$15*AV$13*(Assump!$D$16+Assump!#REF!)))</f>
        <v>#REF!</v>
      </c>
      <c r="AW21" s="35" t="e">
        <f>IF(Model!AW21=0,0,Model!AW21/(Model!AW$15*Model!AW$13*(Assump!$D$16+Assump!#REF!))*(AW$15*AW$13*(Assump!$D$16+Assump!#REF!)))</f>
        <v>#REF!</v>
      </c>
      <c r="AX21" s="35" t="e">
        <f>IF(Model!AX21=0,0,Model!AX21/(Model!AX$15*Model!AX$13*(Assump!$D$16+Assump!#REF!))*(AX$15*AX$13*(Assump!$D$16+Assump!#REF!)))</f>
        <v>#REF!</v>
      </c>
      <c r="AY21" s="35" t="e">
        <f>IF(Model!AY21=0,0,Model!AY21/(Model!AY$15*Model!AY$13*(Assump!$D$16+Assump!#REF!))*(AY$15*AY$13*(Assump!$D$16+Assump!#REF!)))</f>
        <v>#REF!</v>
      </c>
      <c r="AZ21" s="35" t="e">
        <f>IF(Model!AZ21=0,0,Model!AZ21/(Model!AZ$15*Model!AZ$13*(Assump!$D$16+Assump!#REF!))*(AZ$15*AZ$13*(Assump!$D$16+Assump!#REF!)))</f>
        <v>#REF!</v>
      </c>
      <c r="BA21" s="35" t="e">
        <f>IF(Model!BA21=0,0,Model!BA21/(Model!BA$15*Model!BA$13*(Assump!$D$16+Assump!#REF!))*(BA$15*BA$13*(Assump!$D$16+Assump!#REF!)))</f>
        <v>#REF!</v>
      </c>
      <c r="BB21" s="35" t="e">
        <f>IF(Model!BB21=0,0,Model!BB21/(Model!BB$15*Model!BB$13*(Assump!$D$16+Assump!#REF!))*(BB$15*BB$13*(Assump!$D$16+Assump!#REF!)))</f>
        <v>#REF!</v>
      </c>
      <c r="BC21" s="35" t="e">
        <f>IF(Model!BC21=0,0,Model!BC21/(Model!BC$15*Model!BC$13*(Assump!$D$16+Assump!#REF!))*(BC$15*BC$13*(Assump!$D$16+Assump!#REF!)))</f>
        <v>#REF!</v>
      </c>
      <c r="BD21" s="35" t="e">
        <f>IF(Model!BD21=0,0,Model!BD21/(Model!BD$15*Model!BD$13*(Assump!$D$16+Assump!#REF!))*(BD$15*BD$13*(Assump!$D$16+Assump!#REF!)))</f>
        <v>#REF!</v>
      </c>
      <c r="BE21" s="35" t="e">
        <f>IF(Model!BE21=0,0,Model!BE21/(Model!BE$15*Model!BE$13*(Assump!$D$16+Assump!#REF!))*(BE$15*BE$13*(Assump!$D$16+Assump!#REF!)))</f>
        <v>#REF!</v>
      </c>
      <c r="BF21" s="35" t="e">
        <f>IF(Model!BF21=0,0,Model!BF21/(Model!BF$15*Model!BF$13*(Assump!$D$16+Assump!#REF!))*(BF$15*BF$13*(Assump!$D$16+Assump!#REF!)))</f>
        <v>#REF!</v>
      </c>
      <c r="BG21" s="35" t="e">
        <f>IF(Model!BG21=0,0,Model!BG21/(Model!BG$15*Model!BG$13*(Assump!$D$16+Assump!#REF!))*(BG$15*BG$13*(Assump!$D$16+Assump!#REF!)))</f>
        <v>#REF!</v>
      </c>
      <c r="BH21" s="35" t="e">
        <f>IF(Model!BH21=0,0,Model!BH21/(Model!BH$15*Model!BH$13*(Assump!$D$16+Assump!#REF!))*(BH$15*BH$13*(Assump!$D$16+Assump!#REF!)))</f>
        <v>#REF!</v>
      </c>
      <c r="BI21" s="35" t="e">
        <f>IF(Model!BI21=0,0,Model!BI21/(Model!BI$15*Model!BI$13*(Assump!$D$16+Assump!#REF!))*(BI$15*BI$13*(Assump!$D$16+Assump!#REF!)))</f>
        <v>#REF!</v>
      </c>
      <c r="BJ21" s="35" t="e">
        <f>IF(Model!BJ21=0,0,Model!BJ21/(Model!BJ$15*Model!BJ$13*(Assump!$D$16+Assump!#REF!))*(BJ$15*BJ$13*(Assump!$D$16+Assump!#REF!)))</f>
        <v>#REF!</v>
      </c>
      <c r="BK21" s="35" t="e">
        <f>IF(Model!BK21=0,0,Model!BK21/(Model!BK$15*Model!BK$13*(Assump!$D$16+Assump!#REF!))*(BK$15*BK$13*(Assump!$D$16+Assump!#REF!)))</f>
        <v>#REF!</v>
      </c>
      <c r="BL21" s="35" t="e">
        <f>IF(Model!BL21=0,0,Model!BL21/(Model!BL$15*Model!BL$13*(Assump!$D$16+Assump!#REF!))*(BL$15*BL$13*(Assump!$D$16+Assump!#REF!)))</f>
        <v>#REF!</v>
      </c>
      <c r="BM21" s="35" t="e">
        <f>IF(Model!BM21=0,0,Model!BM21/(Model!BM$15*Model!BM$13*(Assump!$D$16+Assump!#REF!))*(BM$15*BM$13*(Assump!$D$16+Assump!#REF!)))</f>
        <v>#REF!</v>
      </c>
      <c r="BN21" s="35" t="e">
        <f>IF(Model!BN21=0,0,Model!BN21/(Model!BN$15*Model!BN$13*(Assump!$D$16+Assump!#REF!))*(BN$15*BN$13*(Assump!$D$16+Assump!#REF!)))</f>
        <v>#REF!</v>
      </c>
      <c r="BO21" s="35" t="e">
        <f>IF(Model!BO21=0,0,Model!BO21/(Model!BO$15*Model!BO$13*(Assump!$D$16+Assump!#REF!))*(BO$15*BO$13*(Assump!$D$16+Assump!#REF!)))</f>
        <v>#REF!</v>
      </c>
      <c r="BP21" s="35" t="e">
        <f>IF(Model!BP21=0,0,Model!BP21/(Model!BP$15*Model!BP$13*(Assump!$D$16+Assump!#REF!))*(BP$15*BP$13*(Assump!$D$16+Assump!#REF!)))</f>
        <v>#REF!</v>
      </c>
      <c r="BQ21" s="35" t="e">
        <f>IF(Model!BQ21=0,0,Model!BQ21/(Model!BQ$15*Model!BQ$13*(Assump!$D$16+Assump!#REF!))*(BQ$15*BQ$13*(Assump!$D$16+Assump!#REF!)))</f>
        <v>#REF!</v>
      </c>
      <c r="BR21" s="35" t="e">
        <f>IF(Model!BR21=0,0,Model!BR21/(Model!BR$15*Model!BR$13*(Assump!$D$16+Assump!#REF!))*(BR$15*BR$13*(Assump!$D$16+Assump!#REF!)))</f>
        <v>#REF!</v>
      </c>
      <c r="BS21" s="35" t="e">
        <f>IF(Model!BS21=0,0,Model!BS21/(Model!BS$15*Model!BS$13*(Assump!$D$16+Assump!#REF!))*(BS$15*BS$13*(Assump!$D$16+Assump!#REF!)))</f>
        <v>#REF!</v>
      </c>
      <c r="BT21" s="35" t="e">
        <f>IF(Model!BT21=0,0,Model!BT21/(Model!BT$15*Model!BT$13*(Assump!$D$16+Assump!#REF!))*(BT$15*BT$13*(Assump!$D$16+Assump!#REF!)))</f>
        <v>#REF!</v>
      </c>
      <c r="BU21" s="35" t="e">
        <f>IF(Model!BU21=0,0,Model!BU21/(Model!BU$15*Model!BU$13*(Assump!$D$16+Assump!#REF!))*(BU$15*BU$13*(Assump!$D$16+Assump!#REF!)))</f>
        <v>#REF!</v>
      </c>
      <c r="BV21" s="35" t="e">
        <f>IF(Model!BV21=0,0,Model!BV21/(Model!BV$15*Model!BV$13*(Assump!$D$16+Assump!#REF!))*(BV$15*BV$13*(Assump!$D$16+Assump!#REF!)))</f>
        <v>#REF!</v>
      </c>
      <c r="BW21" s="35" t="e">
        <f>IF(Model!BW21=0,0,Model!BW21/(Model!BW$15*Model!BW$13*(Assump!$D$16+Assump!#REF!))*(BW$15*BW$13*(Assump!$D$16+Assump!#REF!)))</f>
        <v>#REF!</v>
      </c>
      <c r="BX21" s="35" t="e">
        <f>IF(Model!BX21=0,0,Model!BX21/(Model!BX$15*Model!BX$13*(Assump!$D$16+Assump!#REF!))*(BX$15*BX$13*(Assump!$D$16+Assump!#REF!)))</f>
        <v>#REF!</v>
      </c>
      <c r="BY21" s="35" t="e">
        <f>IF(Model!BY21=0,0,Model!BY21/(Model!BY$15*Model!BY$13*(Assump!$D$16+Assump!#REF!))*(BY$15*BY$13*(Assump!$D$16+Assump!#REF!)))</f>
        <v>#REF!</v>
      </c>
      <c r="BZ21" s="35" t="e">
        <f>IF(Model!BZ21=0,0,Model!BZ21/(Model!BZ$15*Model!BZ$13*(Assump!$D$16+Assump!#REF!))*(BZ$15*BZ$13*(Assump!$D$16+Assump!#REF!)))</f>
        <v>#REF!</v>
      </c>
      <c r="CA21" s="35" t="e">
        <f>IF(Model!CA21=0,0,Model!CA21/(Model!CA$15*Model!CA$13*(Assump!$D$16+Assump!#REF!))*(CA$15*CA$13*(Assump!$D$16+Assump!#REF!)))</f>
        <v>#REF!</v>
      </c>
      <c r="CB21" s="35" t="e">
        <f>IF(Model!CB21=0,0,Model!CB21/(Model!CB$15*Model!CB$13*(Assump!$D$16+Assump!#REF!))*(CB$15*CB$13*(Assump!$D$16+Assump!#REF!)))</f>
        <v>#REF!</v>
      </c>
      <c r="CC21" s="35" t="e">
        <f>IF(Model!CC21=0,0,Model!CC21/(Model!CC$15*Model!CC$13*(Assump!$D$16+Assump!#REF!))*(CC$15*CC$13*(Assump!$D$16+Assump!#REF!)))</f>
        <v>#REF!</v>
      </c>
      <c r="CD21" s="35" t="e">
        <f>IF(Model!CD21=0,0,Model!CD21/(Model!CD$15*Model!CD$13*(Assump!$D$16+Assump!#REF!))*(CD$15*CD$13*(Assump!$D$16+Assump!#REF!)))</f>
        <v>#REF!</v>
      </c>
      <c r="CE21" s="35" t="e">
        <f>IF(Model!CE21=0,0,Model!CE21/(Model!CE$15*Model!CE$13*(Assump!$D$16+Assump!#REF!))*(CE$15*CE$13*(Assump!$D$16+Assump!#REF!)))</f>
        <v>#REF!</v>
      </c>
      <c r="CF21" s="35" t="e">
        <f>IF(Model!CF21=0,0,Model!CF21/(Model!CF$15*Model!CF$13*(Assump!$D$16+Assump!#REF!))*(CF$15*CF$13*(Assump!$D$16+Assump!#REF!)))</f>
        <v>#REF!</v>
      </c>
      <c r="CG21" s="35" t="e">
        <f>IF(Model!CG21=0,0,Model!CG21/(Model!CG$15*Model!CG$13*(Assump!$D$16+Assump!#REF!))*(CG$15*CG$13*(Assump!$D$16+Assump!#REF!)))</f>
        <v>#REF!</v>
      </c>
      <c r="CH21" s="35" t="e">
        <f>IF(Model!CH21=0,0,Model!CH21/(Model!CH$15*Model!CH$13*(Assump!$D$16+Assump!#REF!))*(CH$15*CH$13*(Assump!$D$16+Assump!#REF!)))</f>
        <v>#REF!</v>
      </c>
      <c r="CI21" s="35" t="e">
        <f>IF(Model!CI21=0,0,Model!CI21/(Model!CI$15*Model!CI$13*(Assump!$D$16+Assump!#REF!))*(CI$15*CI$13*(Assump!$D$16+Assump!#REF!)))</f>
        <v>#REF!</v>
      </c>
      <c r="CJ21" s="35" t="e">
        <f>IF(Model!CJ21=0,0,Model!CJ21/(Model!CJ$15*Model!CJ$13*(Assump!$D$16+Assump!#REF!))*(CJ$15*CJ$13*(Assump!$D$16+Assump!#REF!)))</f>
        <v>#REF!</v>
      </c>
      <c r="CK21" s="35" t="e">
        <f>IF(Model!CK21=0,0,Model!CK21/(Model!CK$15*Model!CK$13*(Assump!$D$16+Assump!#REF!))*(CK$15*CK$13*(Assump!$D$16+Assump!#REF!)))</f>
        <v>#REF!</v>
      </c>
      <c r="CL21" s="35" t="e">
        <f>IF(Model!CL21=0,0,Model!CL21/(Model!CL$15*Model!CL$13*(Assump!$D$16+Assump!#REF!))*(CL$15*CL$13*(Assump!$D$16+Assump!#REF!)))</f>
        <v>#REF!</v>
      </c>
      <c r="CM21" s="35" t="e">
        <f>IF(Model!CM21=0,0,Model!CM21/(Model!CM$15*Model!CM$13*(Assump!$D$16+Assump!#REF!))*(CM$15*CM$13*(Assump!$D$16+Assump!#REF!)))</f>
        <v>#REF!</v>
      </c>
      <c r="CN21" s="35" t="e">
        <f>IF(Model!CN21=0,0,Model!CN21/(Model!CN$15*Model!CN$13*(Assump!$D$16+Assump!#REF!))*(CN$15*CN$13*(Assump!$D$16+Assump!#REF!)))</f>
        <v>#REF!</v>
      </c>
      <c r="CO21" s="35" t="e">
        <f>IF(Model!CO21=0,0,Model!CO21/(Model!CO$15*Model!CO$13*(Assump!$D$16+Assump!#REF!))*(CO$15*CO$13*(Assump!$D$16+Assump!#REF!)))</f>
        <v>#REF!</v>
      </c>
    </row>
    <row r="22" spans="1:93" ht="12.75" customHeight="1" outlineLevel="4">
      <c r="A22" s="35"/>
      <c r="B22" s="63" t="s">
        <v>122</v>
      </c>
      <c r="C22" s="35">
        <f t="shared" si="15"/>
        <v>4066860.9194038785</v>
      </c>
      <c r="D22" s="60"/>
      <c r="E22" s="35">
        <f>Model!E22*(1+$C$201)</f>
        <v>0</v>
      </c>
      <c r="F22" s="35">
        <f>Model!F22*(1+$C$201)</f>
        <v>0</v>
      </c>
      <c r="G22" s="35">
        <f>Model!G22*(1+$C$201)</f>
        <v>0</v>
      </c>
      <c r="H22" s="35">
        <f>Model!H22*(1+$C$201)</f>
        <v>0</v>
      </c>
      <c r="I22" s="35">
        <f>Model!I22*(1+$C$201)</f>
        <v>0</v>
      </c>
      <c r="J22" s="35">
        <f>Model!J22*(1+$C$201)</f>
        <v>0</v>
      </c>
      <c r="K22" s="35">
        <f>Model!K22*(1+$C$201)</f>
        <v>0</v>
      </c>
      <c r="L22" s="35">
        <f>Model!L22*(1+$C$201)</f>
        <v>0</v>
      </c>
      <c r="M22" s="35">
        <f>Model!M22*(1+$C$201)</f>
        <v>0</v>
      </c>
      <c r="N22" s="35">
        <f>Model!N22*(1+$C$201)</f>
        <v>0</v>
      </c>
      <c r="O22" s="35">
        <f>Model!O22*(1+$C$201)</f>
        <v>0</v>
      </c>
      <c r="P22" s="35">
        <f>Model!P22*(1+$C$201)</f>
        <v>0</v>
      </c>
      <c r="Q22" s="35">
        <f>Model!Q22*(1+$C$201)</f>
        <v>0</v>
      </c>
      <c r="R22" s="35">
        <f>Model!R22*(1+$C$201)</f>
        <v>0</v>
      </c>
      <c r="S22" s="35">
        <f>Model!S22*(1+$C$201)</f>
        <v>0</v>
      </c>
      <c r="T22" s="35">
        <f>Model!T22*(1+$C$201)</f>
        <v>0</v>
      </c>
      <c r="U22" s="35">
        <f>Model!U22*(1+$C$201)</f>
        <v>0</v>
      </c>
      <c r="V22" s="35">
        <f>Model!V22*(1+$C$201)</f>
        <v>0</v>
      </c>
      <c r="W22" s="35">
        <f>Model!W22*(1+$C$201)</f>
        <v>46639.327626000006</v>
      </c>
      <c r="X22" s="35">
        <f>Model!X22*(1+$C$201)</f>
        <v>54251.912693999999</v>
      </c>
      <c r="Y22" s="35">
        <f>Model!Y22*(1+$C$201)</f>
        <v>34810.216710000001</v>
      </c>
      <c r="Z22" s="35">
        <f>Model!Z22*(1+$C$201)</f>
        <v>38900.433411000005</v>
      </c>
      <c r="AA22" s="35">
        <f>Model!AA22*(1+$C$201)</f>
        <v>48971.294007300006</v>
      </c>
      <c r="AB22" s="35">
        <f>Model!AB22*(1+$C$201)</f>
        <v>56964.508328700002</v>
      </c>
      <c r="AC22" s="35">
        <f>Model!AC22*(1+$C$201)</f>
        <v>36550.727545499998</v>
      </c>
      <c r="AD22" s="35">
        <f>Model!AD22*(1+$C$201)</f>
        <v>40845.455081549997</v>
      </c>
      <c r="AE22" s="35">
        <f>Model!AE22*(1+$C$201)</f>
        <v>51419.858707665</v>
      </c>
      <c r="AF22" s="35">
        <f>Model!AF22*(1+$C$201)</f>
        <v>59812.733745134989</v>
      </c>
      <c r="AG22" s="35">
        <f>Model!AG22*(1+$C$201)</f>
        <v>38378.263922774997</v>
      </c>
      <c r="AH22" s="35">
        <f>Model!AH22*(1+$C$201)</f>
        <v>51419.858707665007</v>
      </c>
      <c r="AI22" s="35">
        <f>Model!AI22*(1+$C$201)</f>
        <v>59812.733745135003</v>
      </c>
      <c r="AJ22" s="35">
        <f>Model!AJ22*(1+$C$201)</f>
        <v>38378.263922774997</v>
      </c>
      <c r="AK22" s="35">
        <f>Model!AK22*(1+$C$201)</f>
        <v>42887.727835627498</v>
      </c>
      <c r="AL22" s="35">
        <f>Model!AL22*(1+$C$201)</f>
        <v>53990.851643048256</v>
      </c>
      <c r="AM22" s="35">
        <f>Model!AM22*(1+$C$201)</f>
        <v>62803.370432391741</v>
      </c>
      <c r="AN22" s="35">
        <f>Model!AN22*(1+$C$201)</f>
        <v>40297.177118913751</v>
      </c>
      <c r="AO22" s="35">
        <f>Model!AO22*(1+$C$201)</f>
        <v>53990.851643048263</v>
      </c>
      <c r="AP22" s="35">
        <f>Model!AP22*(1+$C$201)</f>
        <v>62803.370432391755</v>
      </c>
      <c r="AQ22" s="35">
        <f>Model!AQ22*(1+$C$201)</f>
        <v>40297.177118913751</v>
      </c>
      <c r="AR22" s="35">
        <f>Model!AR22*(1+$C$201)</f>
        <v>45032.114227408878</v>
      </c>
      <c r="AS22" s="35">
        <f>Model!AS22*(1+$C$201)</f>
        <v>56690.394225200675</v>
      </c>
      <c r="AT22" s="35">
        <f>Model!AT22*(1+$C$201)</f>
        <v>65943.538954011325</v>
      </c>
      <c r="AU22" s="35">
        <f>Model!AU22*(1+$C$201)</f>
        <v>42312.035974859442</v>
      </c>
      <c r="AV22" s="35">
        <f>Model!AV22*(1+$C$201)</f>
        <v>56690.394225200682</v>
      </c>
      <c r="AW22" s="35">
        <f>Model!AW22*(1+$C$201)</f>
        <v>65943.538954011339</v>
      </c>
      <c r="AX22" s="35">
        <f>Model!AX22*(1+$C$201)</f>
        <v>42312.035974859442</v>
      </c>
      <c r="AY22" s="35">
        <f>Model!AY22*(1+$C$201)</f>
        <v>47283.719938779323</v>
      </c>
      <c r="AZ22" s="35">
        <f>Model!AZ22*(1+$C$201)</f>
        <v>59524.913936460711</v>
      </c>
      <c r="BA22" s="35">
        <f>Model!BA22*(1+$C$201)</f>
        <v>69240.715901711897</v>
      </c>
      <c r="BB22" s="35">
        <f>Model!BB22*(1+$C$201)</f>
        <v>44427.637773602415</v>
      </c>
      <c r="BC22" s="35">
        <f>Model!BC22*(1+$C$201)</f>
        <v>59524.913936460718</v>
      </c>
      <c r="BD22" s="35">
        <f>Model!BD22*(1+$C$201)</f>
        <v>69240.715901711912</v>
      </c>
      <c r="BE22" s="35">
        <f>Model!BE22*(1+$C$201)</f>
        <v>44427.637773602415</v>
      </c>
      <c r="BF22" s="35">
        <f>Model!BF22*(1+$C$201)</f>
        <v>49647.905935718292</v>
      </c>
      <c r="BG22" s="35">
        <f>Model!BG22*(1+$C$201)</f>
        <v>62501.159633283751</v>
      </c>
      <c r="BH22" s="35">
        <f>Model!BH22*(1+$C$201)</f>
        <v>72702.751696797495</v>
      </c>
      <c r="BI22" s="35">
        <f>Model!BI22*(1+$C$201)</f>
        <v>46649.019662282539</v>
      </c>
      <c r="BJ22" s="35">
        <f>Model!BJ22*(1+$C$201)</f>
        <v>62501.159633283758</v>
      </c>
      <c r="BK22" s="35">
        <f>Model!BK22*(1+$C$201)</f>
        <v>72702.75169679751</v>
      </c>
      <c r="BL22" s="35">
        <f>Model!BL22*(1+$C$201)</f>
        <v>46649.019662282539</v>
      </c>
      <c r="BM22" s="35">
        <f>Model!BM22*(1+$C$201)</f>
        <v>52130.301232504207</v>
      </c>
      <c r="BN22" s="35">
        <f>Model!BN22*(1+$C$201)</f>
        <v>65626.217614947935</v>
      </c>
      <c r="BO22" s="35">
        <f>Model!BO22*(1+$C$201)</f>
        <v>76337.88928163737</v>
      </c>
      <c r="BP22" s="35">
        <f>Model!BP22*(1+$C$201)</f>
        <v>48981.470645396665</v>
      </c>
      <c r="BQ22" s="35">
        <f>Model!BQ22*(1+$C$201)</f>
        <v>65626.217614947949</v>
      </c>
      <c r="BR22" s="35">
        <f>Model!BR22*(1+$C$201)</f>
        <v>76337.889281637385</v>
      </c>
      <c r="BS22" s="35">
        <f>Model!BS22*(1+$C$201)</f>
        <v>48981.470645396665</v>
      </c>
      <c r="BT22" s="35">
        <f>Model!BT22*(1+$C$201)</f>
        <v>54736.816294129421</v>
      </c>
      <c r="BU22" s="35">
        <f>Model!BU22*(1+$C$201)</f>
        <v>68907.52849569534</v>
      </c>
      <c r="BV22" s="35">
        <f>Model!BV22*(1+$C$201)</f>
        <v>80154.783745719236</v>
      </c>
      <c r="BW22" s="35">
        <f>Model!BW22*(1+$C$201)</f>
        <v>51430.544177666503</v>
      </c>
      <c r="BX22" s="35">
        <f>Model!BX22*(1+$C$201)</f>
        <v>68907.528495695355</v>
      </c>
      <c r="BY22" s="35">
        <f>Model!BY22*(1+$C$201)</f>
        <v>80154.783745719251</v>
      </c>
      <c r="BZ22" s="35">
        <f>Model!BZ22*(1+$C$201)</f>
        <v>51430.544177666503</v>
      </c>
      <c r="CA22" s="35">
        <f>Model!CA22*(1+$C$201)</f>
        <v>57473.657108835898</v>
      </c>
      <c r="CB22" s="35">
        <f>Model!CB22*(1+$C$201)</f>
        <v>72352.904920480112</v>
      </c>
      <c r="CC22" s="35">
        <f>Model!CC22*(1+$C$201)</f>
        <v>84162.522933005195</v>
      </c>
      <c r="CD22" s="35">
        <f>Model!CD22*(1+$C$201)</f>
        <v>54002.071386549833</v>
      </c>
      <c r="CE22" s="35">
        <f>Model!CE22*(1+$C$201)</f>
        <v>72352.904920480127</v>
      </c>
      <c r="CF22" s="35">
        <f>Model!CF22*(1+$C$201)</f>
        <v>84162.52293300521</v>
      </c>
      <c r="CG22" s="35">
        <f>Model!CG22*(1+$C$201)</f>
        <v>54002.071386549833</v>
      </c>
      <c r="CH22" s="35">
        <f>Model!CH22*(1+$C$201)</f>
        <v>60347.339964277693</v>
      </c>
      <c r="CI22" s="35">
        <f>Model!CI22*(1+$C$201)</f>
        <v>75970.550166504123</v>
      </c>
      <c r="CJ22" s="35">
        <f>Model!CJ22*(1+$C$201)</f>
        <v>88370.649079655457</v>
      </c>
      <c r="CK22" s="35">
        <f>Model!CK22*(1+$C$201)</f>
        <v>56702.17495587733</v>
      </c>
      <c r="CL22" s="35">
        <f>Model!CL22*(1+$C$201)</f>
        <v>75970.550166504137</v>
      </c>
      <c r="CM22" s="35">
        <f>Model!CM22*(1+$C$201)</f>
        <v>88370.649079655472</v>
      </c>
      <c r="CN22" s="35">
        <f>Model!CN22*(1+$C$201)</f>
        <v>56702.17495587733</v>
      </c>
      <c r="CO22" s="5">
        <f>Model!CO22*(1+$C$201)</f>
        <v>63364.706962491582</v>
      </c>
    </row>
    <row r="23" spans="1:93" ht="12.75" customHeight="1" outlineLevel="4">
      <c r="A23" s="35"/>
      <c r="B23" s="63" t="s">
        <v>123</v>
      </c>
      <c r="C23" s="35">
        <f t="shared" si="15"/>
        <v>4195806.6464444669</v>
      </c>
      <c r="D23" s="60"/>
      <c r="E23" s="35">
        <f>Model!E23*(1+$C$201)</f>
        <v>0</v>
      </c>
      <c r="F23" s="35">
        <f>Model!F23*(1+$C$201)</f>
        <v>0</v>
      </c>
      <c r="G23" s="35">
        <f>Model!G23*(1+$C$201)</f>
        <v>0</v>
      </c>
      <c r="H23" s="35">
        <f>Model!H23*(1+$C$201)</f>
        <v>0</v>
      </c>
      <c r="I23" s="35">
        <f>Model!I23*(1+$C$201)</f>
        <v>0</v>
      </c>
      <c r="J23" s="35">
        <f>Model!J23*(1+$C$201)</f>
        <v>0</v>
      </c>
      <c r="K23" s="35">
        <f>Model!K23*(1+$C$201)</f>
        <v>0</v>
      </c>
      <c r="L23" s="35">
        <f>Model!L23*(1+$C$201)</f>
        <v>0</v>
      </c>
      <c r="M23" s="35">
        <f>Model!M23*(1+$C$201)</f>
        <v>0</v>
      </c>
      <c r="N23" s="35">
        <f>Model!N23*(1+$C$201)</f>
        <v>0</v>
      </c>
      <c r="O23" s="35">
        <f>Model!O23*(1+$C$201)</f>
        <v>0</v>
      </c>
      <c r="P23" s="35">
        <f>Model!P23*(1+$C$201)</f>
        <v>0</v>
      </c>
      <c r="Q23" s="35">
        <f>Model!Q23*(1+$C$201)</f>
        <v>0</v>
      </c>
      <c r="R23" s="35">
        <f>Model!R23*(1+$C$201)</f>
        <v>0</v>
      </c>
      <c r="S23" s="35">
        <f>Model!S23*(1+$C$201)</f>
        <v>0</v>
      </c>
      <c r="T23" s="35">
        <f>Model!T23*(1+$C$201)</f>
        <v>0</v>
      </c>
      <c r="U23" s="35">
        <f>Model!U23*(1+$C$201)</f>
        <v>0</v>
      </c>
      <c r="V23" s="35">
        <f>Model!V23*(1+$C$201)</f>
        <v>0</v>
      </c>
      <c r="W23" s="35">
        <f>Model!W23*(1+$C$201)</f>
        <v>49410.296773947062</v>
      </c>
      <c r="X23" s="35">
        <f>Model!X23*(1+$C$201)</f>
        <v>63277.366262891177</v>
      </c>
      <c r="Y23" s="35">
        <f>Model!Y23*(1+$C$201)</f>
        <v>26719.158815238236</v>
      </c>
      <c r="Z23" s="35">
        <f>Model!Z23*(1+$C$201)</f>
        <v>41385.672179376619</v>
      </c>
      <c r="AA23" s="35">
        <f>Model!AA23*(1+$C$201)</f>
        <v>51880.811612644415</v>
      </c>
      <c r="AB23" s="35">
        <f>Model!AB23*(1+$C$201)</f>
        <v>66441.234576035728</v>
      </c>
      <c r="AC23" s="35">
        <f>Model!AC23*(1+$C$201)</f>
        <v>28055.116756000152</v>
      </c>
      <c r="AD23" s="35">
        <f>Model!AD23*(1+$C$201)</f>
        <v>43454.955788345447</v>
      </c>
      <c r="AE23" s="35">
        <f>Model!AE23*(1+$C$201)</f>
        <v>54474.852193276631</v>
      </c>
      <c r="AF23" s="35">
        <f>Model!AF23*(1+$C$201)</f>
        <v>69763.29630483751</v>
      </c>
      <c r="AG23" s="35">
        <f>Model!AG23*(1+$C$201)</f>
        <v>29457.872593800155</v>
      </c>
      <c r="AH23" s="35">
        <f>Model!AH23*(1+$C$201)</f>
        <v>54474.852193276638</v>
      </c>
      <c r="AI23" s="35">
        <f>Model!AI23*(1+$C$201)</f>
        <v>69763.296304837524</v>
      </c>
      <c r="AJ23" s="35">
        <f>Model!AJ23*(1+$C$201)</f>
        <v>29457.872593800163</v>
      </c>
      <c r="AK23" s="35">
        <f>Model!AK23*(1+$C$201)</f>
        <v>45627.703577762724</v>
      </c>
      <c r="AL23" s="35">
        <f>Model!AL23*(1+$C$201)</f>
        <v>57198.594802940468</v>
      </c>
      <c r="AM23" s="35">
        <f>Model!AM23*(1+$C$201)</f>
        <v>73251.461120079388</v>
      </c>
      <c r="AN23" s="35">
        <f>Model!AN23*(1+$C$201)</f>
        <v>30930.766223490165</v>
      </c>
      <c r="AO23" s="35">
        <f>Model!AO23*(1+$C$201)</f>
        <v>57198.594802940475</v>
      </c>
      <c r="AP23" s="35">
        <f>Model!AP23*(1+$C$201)</f>
        <v>73251.461120079402</v>
      </c>
      <c r="AQ23" s="35">
        <f>Model!AQ23*(1+$C$201)</f>
        <v>30930.766223490173</v>
      </c>
      <c r="AR23" s="35">
        <f>Model!AR23*(1+$C$201)</f>
        <v>47909.088756650861</v>
      </c>
      <c r="AS23" s="35">
        <f>Model!AS23*(1+$C$201)</f>
        <v>60058.524543087493</v>
      </c>
      <c r="AT23" s="35">
        <f>Model!AT23*(1+$C$201)</f>
        <v>76914.034176083354</v>
      </c>
      <c r="AU23" s="35">
        <f>Model!AU23*(1+$C$201)</f>
        <v>32477.304534664676</v>
      </c>
      <c r="AV23" s="35">
        <f>Model!AV23*(1+$C$201)</f>
        <v>60058.5245430875</v>
      </c>
      <c r="AW23" s="35">
        <f>Model!AW23*(1+$C$201)</f>
        <v>76914.034176083369</v>
      </c>
      <c r="AX23" s="35">
        <f>Model!AX23*(1+$C$201)</f>
        <v>32477.304534664683</v>
      </c>
      <c r="AY23" s="35">
        <f>Model!AY23*(1+$C$201)</f>
        <v>50304.543194483405</v>
      </c>
      <c r="AZ23" s="35">
        <f>Model!AZ23*(1+$C$201)</f>
        <v>63061.45077024187</v>
      </c>
      <c r="BA23" s="35">
        <f>Model!BA23*(1+$C$201)</f>
        <v>80759.73588488753</v>
      </c>
      <c r="BB23" s="35">
        <f>Model!BB23*(1+$C$201)</f>
        <v>34101.169761397912</v>
      </c>
      <c r="BC23" s="35">
        <f>Model!BC23*(1+$C$201)</f>
        <v>63061.450770241878</v>
      </c>
      <c r="BD23" s="35">
        <f>Model!BD23*(1+$C$201)</f>
        <v>80759.735884887545</v>
      </c>
      <c r="BE23" s="35">
        <f>Model!BE23*(1+$C$201)</f>
        <v>34101.16976139792</v>
      </c>
      <c r="BF23" s="35">
        <f>Model!BF23*(1+$C$201)</f>
        <v>52819.770354207576</v>
      </c>
      <c r="BG23" s="35">
        <f>Model!BG23*(1+$C$201)</f>
        <v>66214.523308753967</v>
      </c>
      <c r="BH23" s="35">
        <f>Model!BH23*(1+$C$201)</f>
        <v>84797.722679131912</v>
      </c>
      <c r="BI23" s="35">
        <f>Model!BI23*(1+$C$201)</f>
        <v>35806.228249467807</v>
      </c>
      <c r="BJ23" s="35">
        <f>Model!BJ23*(1+$C$201)</f>
        <v>66214.523308753967</v>
      </c>
      <c r="BK23" s="35">
        <f>Model!BK23*(1+$C$201)</f>
        <v>84797.722679131926</v>
      </c>
      <c r="BL23" s="35">
        <f>Model!BL23*(1+$C$201)</f>
        <v>35806.228249467815</v>
      </c>
      <c r="BM23" s="35">
        <f>Model!BM23*(1+$C$201)</f>
        <v>55460.758871917955</v>
      </c>
      <c r="BN23" s="35">
        <f>Model!BN23*(1+$C$201)</f>
        <v>69525.249474191674</v>
      </c>
      <c r="BO23" s="35">
        <f>Model!BO23*(1+$C$201)</f>
        <v>89037.608813088518</v>
      </c>
      <c r="BP23" s="35">
        <f>Model!BP23*(1+$C$201)</f>
        <v>37596.539661941199</v>
      </c>
      <c r="BQ23" s="35">
        <f>Model!BQ23*(1+$C$201)</f>
        <v>69525.249474191674</v>
      </c>
      <c r="BR23" s="35">
        <f>Model!BR23*(1+$C$201)</f>
        <v>89037.608813088533</v>
      </c>
      <c r="BS23" s="35">
        <f>Model!BS23*(1+$C$201)</f>
        <v>37596.539661941206</v>
      </c>
      <c r="BT23" s="35">
        <f>Model!BT23*(1+$C$201)</f>
        <v>58233.796815513851</v>
      </c>
      <c r="BU23" s="35">
        <f>Model!BU23*(1+$C$201)</f>
        <v>73001.511947901265</v>
      </c>
      <c r="BV23" s="35">
        <f>Model!BV23*(1+$C$201)</f>
        <v>93489.489253742955</v>
      </c>
      <c r="BW23" s="35">
        <f>Model!BW23*(1+$C$201)</f>
        <v>39476.366645038259</v>
      </c>
      <c r="BX23" s="35">
        <f>Model!BX23*(1+$C$201)</f>
        <v>73001.511947901265</v>
      </c>
      <c r="BY23" s="35">
        <f>Model!BY23*(1+$C$201)</f>
        <v>93489.48925374297</v>
      </c>
      <c r="BZ23" s="35">
        <f>Model!BZ23*(1+$C$201)</f>
        <v>39476.366645038266</v>
      </c>
      <c r="CA23" s="35">
        <f>Model!CA23*(1+$C$201)</f>
        <v>61145.486656289548</v>
      </c>
      <c r="CB23" s="35">
        <f>Model!CB23*(1+$C$201)</f>
        <v>76651.587545296337</v>
      </c>
      <c r="CC23" s="35">
        <f>Model!CC23*(1+$C$201)</f>
        <v>98163.963716430109</v>
      </c>
      <c r="CD23" s="35">
        <f>Model!CD23*(1+$C$201)</f>
        <v>41450.184977290177</v>
      </c>
      <c r="CE23" s="35">
        <f>Model!CE23*(1+$C$201)</f>
        <v>76651.587545296337</v>
      </c>
      <c r="CF23" s="35">
        <f>Model!CF23*(1+$C$201)</f>
        <v>98163.963716430124</v>
      </c>
      <c r="CG23" s="35">
        <f>Model!CG23*(1+$C$201)</f>
        <v>41450.184977290184</v>
      </c>
      <c r="CH23" s="35">
        <f>Model!CH23*(1+$C$201)</f>
        <v>64202.760989104027</v>
      </c>
      <c r="CI23" s="35">
        <f>Model!CI23*(1+$C$201)</f>
        <v>80484.166922561155</v>
      </c>
      <c r="CJ23" s="35">
        <f>Model!CJ23*(1+$C$201)</f>
        <v>103072.16190225162</v>
      </c>
      <c r="CK23" s="35">
        <f>Model!CK23*(1+$C$201)</f>
        <v>43522.694226154686</v>
      </c>
      <c r="CL23" s="35">
        <f>Model!CL23*(1+$C$201)</f>
        <v>80484.166922561155</v>
      </c>
      <c r="CM23" s="35">
        <f>Model!CM23*(1+$C$201)</f>
        <v>103072.16190225164</v>
      </c>
      <c r="CN23" s="35">
        <f>Model!CN23*(1+$C$201)</f>
        <v>43522.694226154694</v>
      </c>
      <c r="CO23" s="5">
        <f>Model!CO23*(1+$C$201)</f>
        <v>67412.899038559233</v>
      </c>
    </row>
    <row r="24" spans="1:93" ht="12.75" customHeight="1" outlineLevel="4">
      <c r="A24" s="35"/>
      <c r="B24" s="63" t="s">
        <v>124</v>
      </c>
      <c r="C24" s="35">
        <f t="shared" si="15"/>
        <v>3186086.9813057072</v>
      </c>
      <c r="D24" s="60"/>
      <c r="E24" s="35">
        <f>Model!E24*(1+$C$202)</f>
        <v>0</v>
      </c>
      <c r="F24" s="35">
        <f>Model!F24*(1+$C$202)</f>
        <v>0</v>
      </c>
      <c r="G24" s="35">
        <f>Model!G24*(1+$C$202)</f>
        <v>0</v>
      </c>
      <c r="H24" s="35">
        <f>Model!H24*(1+$C$202)</f>
        <v>0</v>
      </c>
      <c r="I24" s="35">
        <f>Model!I24*(1+$C$202)</f>
        <v>0</v>
      </c>
      <c r="J24" s="35">
        <f>Model!J24*(1+$C$202)</f>
        <v>0</v>
      </c>
      <c r="K24" s="35">
        <f>Model!K24*(1+$C$202)</f>
        <v>0</v>
      </c>
      <c r="L24" s="35">
        <f>Model!L24*(1+$C$202)</f>
        <v>0</v>
      </c>
      <c r="M24" s="35">
        <f>Model!M24*(1+$C$202)</f>
        <v>0</v>
      </c>
      <c r="N24" s="35">
        <f>Model!N24*(1+$C$202)</f>
        <v>0</v>
      </c>
      <c r="O24" s="35">
        <f>Model!O24*(1+$C$202)</f>
        <v>0</v>
      </c>
      <c r="P24" s="35">
        <f>Model!P24*(1+$C$202)</f>
        <v>0</v>
      </c>
      <c r="Q24" s="35">
        <f>Model!Q24*(1+$C$202)</f>
        <v>0</v>
      </c>
      <c r="R24" s="35">
        <f>Model!R24*(1+$C$202)</f>
        <v>0</v>
      </c>
      <c r="S24" s="35">
        <f>Model!S24*(1+$C$202)</f>
        <v>0</v>
      </c>
      <c r="T24" s="35">
        <f>Model!T24*(1+$C$202)</f>
        <v>0</v>
      </c>
      <c r="U24" s="35">
        <f>Model!U24*(1+$C$202)</f>
        <v>0</v>
      </c>
      <c r="V24" s="35">
        <f>Model!V24*(1+$C$202)</f>
        <v>0</v>
      </c>
      <c r="W24" s="35">
        <f>Model!W24*(1+$C$202)</f>
        <v>34592.251552941176</v>
      </c>
      <c r="X24" s="35">
        <f>Model!X24*(1+$C$202)</f>
        <v>35343.856058823534</v>
      </c>
      <c r="Y24" s="35">
        <f>Model!Y24*(1+$C$202)</f>
        <v>34661.417611764708</v>
      </c>
      <c r="Z24" s="35">
        <f>Model!Z24*(1+$C$202)</f>
        <v>34917.332029411766</v>
      </c>
      <c r="AA24" s="35">
        <f>Model!AA24*(1+$C$202)</f>
        <v>34592.251552941176</v>
      </c>
      <c r="AB24" s="35">
        <f>Model!AB24*(1+$C$202)</f>
        <v>35343.856058823534</v>
      </c>
      <c r="AC24" s="35">
        <f>Model!AC24*(1+$C$202)</f>
        <v>34661.417611764708</v>
      </c>
      <c r="AD24" s="35">
        <f>Model!AD24*(1+$C$202)</f>
        <v>39288.579751829129</v>
      </c>
      <c r="AE24" s="35">
        <f>Model!AE24*(1+$C$202)</f>
        <v>38922.802944631527</v>
      </c>
      <c r="AF24" s="35">
        <f>Model!AF24*(1+$C$202)</f>
        <v>39768.499676166437</v>
      </c>
      <c r="AG24" s="35">
        <f>Model!AG24*(1+$C$202)</f>
        <v>39000.627797226756</v>
      </c>
      <c r="AH24" s="35">
        <f>Model!AH24*(1+$C$202)</f>
        <v>36321.864130588234</v>
      </c>
      <c r="AI24" s="35">
        <f>Model!AI24*(1+$C$202)</f>
        <v>37111.048861764713</v>
      </c>
      <c r="AJ24" s="35">
        <f>Model!AJ24*(1+$C$202)</f>
        <v>36394.488492352946</v>
      </c>
      <c r="AK24" s="35">
        <f>Model!AK24*(1+$C$202)</f>
        <v>41253.008739420584</v>
      </c>
      <c r="AL24" s="35">
        <f>Model!AL24*(1+$C$202)</f>
        <v>40868.943091863104</v>
      </c>
      <c r="AM24" s="35">
        <f>Model!AM24*(1+$C$202)</f>
        <v>41756.924659974764</v>
      </c>
      <c r="AN24" s="35">
        <f>Model!AN24*(1+$C$202)</f>
        <v>40950.659187088095</v>
      </c>
      <c r="AO24" s="35">
        <f>Model!AO24*(1+$C$202)</f>
        <v>38137.957337117645</v>
      </c>
      <c r="AP24" s="35">
        <f>Model!AP24*(1+$C$202)</f>
        <v>38966.601304852949</v>
      </c>
      <c r="AQ24" s="35">
        <f>Model!AQ24*(1+$C$202)</f>
        <v>38214.212916970595</v>
      </c>
      <c r="AR24" s="35">
        <f>Model!AR24*(1+$C$202)</f>
        <v>43315.659176391615</v>
      </c>
      <c r="AS24" s="35">
        <f>Model!AS24*(1+$C$202)</f>
        <v>42912.390246456263</v>
      </c>
      <c r="AT24" s="35">
        <f>Model!AT24*(1+$C$202)</f>
        <v>43844.770892973502</v>
      </c>
      <c r="AU24" s="35">
        <f>Model!AU24*(1+$C$202)</f>
        <v>42998.192146442503</v>
      </c>
      <c r="AV24" s="35">
        <f>Model!AV24*(1+$C$202)</f>
        <v>40044.85520397353</v>
      </c>
      <c r="AW24" s="35">
        <f>Model!AW24*(1+$C$202)</f>
        <v>40914.931370095597</v>
      </c>
      <c r="AX24" s="35">
        <f>Model!AX24*(1+$C$202)</f>
        <v>40124.923562819124</v>
      </c>
      <c r="AY24" s="35">
        <f>Model!AY24*(1+$C$202)</f>
        <v>45481.442135211197</v>
      </c>
      <c r="AZ24" s="35">
        <f>Model!AZ24*(1+$C$202)</f>
        <v>45058.009758779081</v>
      </c>
      <c r="BA24" s="35">
        <f>Model!BA24*(1+$C$202)</f>
        <v>46037.009437622182</v>
      </c>
      <c r="BB24" s="35">
        <f>Model!BB24*(1+$C$202)</f>
        <v>45148.101753764633</v>
      </c>
      <c r="BC24" s="35">
        <f>Model!BC24*(1+$C$202)</f>
        <v>42047.097964172208</v>
      </c>
      <c r="BD24" s="35">
        <f>Model!BD24*(1+$C$202)</f>
        <v>42960.677938600376</v>
      </c>
      <c r="BE24" s="35">
        <f>Model!BE24*(1+$C$202)</f>
        <v>42131.169740960082</v>
      </c>
      <c r="BF24" s="35">
        <f>Model!BF24*(1+$C$202)</f>
        <v>47755.514241971759</v>
      </c>
      <c r="BG24" s="35">
        <f>Model!BG24*(1+$C$202)</f>
        <v>47310.910246718035</v>
      </c>
      <c r="BH24" s="35">
        <f>Model!BH24*(1+$C$202)</f>
        <v>48338.859909503291</v>
      </c>
      <c r="BI24" s="35">
        <f>Model!BI24*(1+$C$202)</f>
        <v>47405.506841452865</v>
      </c>
      <c r="BJ24" s="35">
        <f>Model!BJ24*(1+$C$202)</f>
        <v>44149.452862380822</v>
      </c>
      <c r="BK24" s="35">
        <f>Model!BK24*(1+$C$202)</f>
        <v>45108.711835530397</v>
      </c>
      <c r="BL24" s="35">
        <f>Model!BL24*(1+$C$202)</f>
        <v>44237.728228008091</v>
      </c>
      <c r="BM24" s="35">
        <f>Model!BM24*(1+$C$202)</f>
        <v>50143.289954070351</v>
      </c>
      <c r="BN24" s="35">
        <f>Model!BN24*(1+$C$202)</f>
        <v>49676.455759053941</v>
      </c>
      <c r="BO24" s="35">
        <f>Model!BO24*(1+$C$202)</f>
        <v>50755.80290497846</v>
      </c>
      <c r="BP24" s="35">
        <f>Model!BP24*(1+$C$202)</f>
        <v>49775.782183525509</v>
      </c>
      <c r="BQ24" s="35">
        <f>Model!BQ24*(1+$C$202)</f>
        <v>46356.925505499865</v>
      </c>
      <c r="BR24" s="35">
        <f>Model!BR24*(1+$C$202)</f>
        <v>47364.147427306918</v>
      </c>
      <c r="BS24" s="35">
        <f>Model!BS24*(1+$C$202)</f>
        <v>46449.614639408501</v>
      </c>
      <c r="BT24" s="35">
        <f>Model!BT24*(1+$C$202)</f>
        <v>52650.454451773869</v>
      </c>
      <c r="BU24" s="35">
        <f>Model!BU24*(1+$C$202)</f>
        <v>52160.278547006637</v>
      </c>
      <c r="BV24" s="35">
        <f>Model!BV24*(1+$C$202)</f>
        <v>53293.593050227384</v>
      </c>
      <c r="BW24" s="35">
        <f>Model!BW24*(1+$C$202)</f>
        <v>52264.571292701788</v>
      </c>
      <c r="BX24" s="35">
        <f>Model!BX24*(1+$C$202)</f>
        <v>48674.771780774863</v>
      </c>
      <c r="BY24" s="35">
        <f>Model!BY24*(1+$C$202)</f>
        <v>49732.354798672262</v>
      </c>
      <c r="BZ24" s="35">
        <f>Model!BZ24*(1+$C$202)</f>
        <v>48772.095371378928</v>
      </c>
      <c r="CA24" s="35">
        <f>Model!CA24*(1+$C$202)</f>
        <v>55282.977174362568</v>
      </c>
      <c r="CB24" s="35">
        <f>Model!CB24*(1+$C$202)</f>
        <v>54768.292474356975</v>
      </c>
      <c r="CC24" s="35">
        <f>Model!CC24*(1+$C$202)</f>
        <v>55958.272702738759</v>
      </c>
      <c r="CD24" s="35">
        <f>Model!CD24*(1+$C$202)</f>
        <v>54877.799857336882</v>
      </c>
      <c r="CE24" s="35">
        <f>Model!CE24*(1+$C$202)</f>
        <v>51108.510369813608</v>
      </c>
      <c r="CF24" s="35">
        <f>Model!CF24*(1+$C$202)</f>
        <v>52218.972538605878</v>
      </c>
      <c r="CG24" s="35">
        <f>Model!CG24*(1+$C$202)</f>
        <v>51210.700139947876</v>
      </c>
      <c r="CH24" s="35">
        <f>Model!CH24*(1+$C$202)</f>
        <v>58047.126033080698</v>
      </c>
      <c r="CI24" s="35">
        <f>Model!CI24*(1+$C$202)</f>
        <v>57506.707098074825</v>
      </c>
      <c r="CJ24" s="35">
        <f>Model!CJ24*(1+$C$202)</f>
        <v>58756.186337875697</v>
      </c>
      <c r="CK24" s="35">
        <f>Model!CK24*(1+$C$202)</f>
        <v>57621.689850203729</v>
      </c>
      <c r="CL24" s="35">
        <f>Model!CL24*(1+$C$202)</f>
        <v>53663.935888304288</v>
      </c>
      <c r="CM24" s="35">
        <f>Model!CM24*(1+$C$202)</f>
        <v>54829.921165536172</v>
      </c>
      <c r="CN24" s="35">
        <f>Model!CN24*(1+$C$202)</f>
        <v>53771.23514694527</v>
      </c>
      <c r="CO24" s="5">
        <f>Model!CO24*(1+$C$202)</f>
        <v>60949.482334734734</v>
      </c>
    </row>
    <row r="25" spans="1:93" ht="12.75" customHeight="1" outlineLevel="4">
      <c r="A25" s="35"/>
      <c r="B25" s="63" t="s">
        <v>125</v>
      </c>
      <c r="C25" s="35">
        <f t="shared" si="15"/>
        <v>0</v>
      </c>
      <c r="D25" s="60"/>
      <c r="E25" s="35">
        <f>Model!E25*(1+$C$202)</f>
        <v>0</v>
      </c>
      <c r="F25" s="35">
        <f>Model!F25*(1+$C$202)</f>
        <v>0</v>
      </c>
      <c r="G25" s="35">
        <f>Model!G25*(1+$C$202)</f>
        <v>0</v>
      </c>
      <c r="H25" s="35">
        <f>Model!H25*(1+$C$202)</f>
        <v>0</v>
      </c>
      <c r="I25" s="35">
        <f>Model!I25*(1+$C$202)</f>
        <v>0</v>
      </c>
      <c r="J25" s="35">
        <f>Model!J25*(1+$C$202)</f>
        <v>0</v>
      </c>
      <c r="K25" s="35">
        <f>Model!K25*(1+$C$202)</f>
        <v>0</v>
      </c>
      <c r="L25" s="35">
        <f>Model!L25*(1+$C$202)</f>
        <v>0</v>
      </c>
      <c r="M25" s="35">
        <f>Model!M25*(1+$C$202)</f>
        <v>0</v>
      </c>
      <c r="N25" s="35">
        <f>Model!N25*(1+$C$202)</f>
        <v>0</v>
      </c>
      <c r="O25" s="35">
        <f>Model!O25*(1+$C$202)</f>
        <v>0</v>
      </c>
      <c r="P25" s="35">
        <f>Model!P25*(1+$C$202)</f>
        <v>0</v>
      </c>
      <c r="Q25" s="35">
        <f>Model!Q25*(1+$C$202)</f>
        <v>0</v>
      </c>
      <c r="R25" s="35">
        <f>Model!R25*(1+$C$202)</f>
        <v>0</v>
      </c>
      <c r="S25" s="35">
        <f>Model!S25*(1+$C$202)</f>
        <v>0</v>
      </c>
      <c r="T25" s="35">
        <f>Model!T25*(1+$C$202)</f>
        <v>0</v>
      </c>
      <c r="U25" s="35">
        <f>Model!U25*(1+$C$202)</f>
        <v>0</v>
      </c>
      <c r="V25" s="35">
        <f>Model!V25*(1+$C$202)</f>
        <v>0</v>
      </c>
      <c r="W25" s="35">
        <f>Model!W25*(1+$C$202)</f>
        <v>0</v>
      </c>
      <c r="X25" s="35">
        <f>Model!X25*(1+$C$202)</f>
        <v>0</v>
      </c>
      <c r="Y25" s="35">
        <f>Model!Y25*(1+$C$202)</f>
        <v>0</v>
      </c>
      <c r="Z25" s="35">
        <f>Model!Z25*(1+$C$202)</f>
        <v>0</v>
      </c>
      <c r="AA25" s="35">
        <f>Model!AA25*(1+$C$202)</f>
        <v>0</v>
      </c>
      <c r="AB25" s="35">
        <f>Model!AB25*(1+$C$202)</f>
        <v>0</v>
      </c>
      <c r="AC25" s="35">
        <f>Model!AC25*(1+$C$202)</f>
        <v>0</v>
      </c>
      <c r="AD25" s="35">
        <f>Model!AD25*(1+$C$202)</f>
        <v>0</v>
      </c>
      <c r="AE25" s="35">
        <f>Model!AE25*(1+$C$202)</f>
        <v>0</v>
      </c>
      <c r="AF25" s="35">
        <f>Model!AF25*(1+$C$202)</f>
        <v>0</v>
      </c>
      <c r="AG25" s="35">
        <f>Model!AG25*(1+$C$202)</f>
        <v>0</v>
      </c>
      <c r="AH25" s="35">
        <f>Model!AH25*(1+$C$202)</f>
        <v>0</v>
      </c>
      <c r="AI25" s="35">
        <f>Model!AI25*(1+$C$202)</f>
        <v>0</v>
      </c>
      <c r="AJ25" s="35">
        <f>Model!AJ25*(1+$C$202)</f>
        <v>0</v>
      </c>
      <c r="AK25" s="35">
        <f>Model!AK25*(1+$C$202)</f>
        <v>0</v>
      </c>
      <c r="AL25" s="35">
        <f>Model!AL25*(1+$C$202)</f>
        <v>0</v>
      </c>
      <c r="AM25" s="35">
        <f>Model!AM25*(1+$C$202)</f>
        <v>0</v>
      </c>
      <c r="AN25" s="35">
        <f>Model!AN25*(1+$C$202)</f>
        <v>0</v>
      </c>
      <c r="AO25" s="35">
        <f>Model!AO25*(1+$C$202)</f>
        <v>0</v>
      </c>
      <c r="AP25" s="35">
        <f>Model!AP25*(1+$C$202)</f>
        <v>0</v>
      </c>
      <c r="AQ25" s="35">
        <f>Model!AQ25*(1+$C$202)</f>
        <v>0</v>
      </c>
      <c r="AR25" s="35">
        <f>Model!AR25*(1+$C$202)</f>
        <v>0</v>
      </c>
      <c r="AS25" s="35">
        <f>Model!AS25*(1+$C$202)</f>
        <v>0</v>
      </c>
      <c r="AT25" s="35">
        <f>Model!AT25*(1+$C$202)</f>
        <v>0</v>
      </c>
      <c r="AU25" s="35">
        <f>Model!AU25*(1+$C$202)</f>
        <v>0</v>
      </c>
      <c r="AV25" s="35">
        <f>Model!AV25*(1+$C$202)</f>
        <v>0</v>
      </c>
      <c r="AW25" s="35">
        <f>Model!AW25*(1+$C$202)</f>
        <v>0</v>
      </c>
      <c r="AX25" s="35">
        <f>Model!AX25*(1+$C$202)</f>
        <v>0</v>
      </c>
      <c r="AY25" s="35">
        <f>Model!AY25*(1+$C$202)</f>
        <v>0</v>
      </c>
      <c r="AZ25" s="35">
        <f>Model!AZ25*(1+$C$202)</f>
        <v>0</v>
      </c>
      <c r="BA25" s="35">
        <f>Model!BA25*(1+$C$202)</f>
        <v>0</v>
      </c>
      <c r="BB25" s="35">
        <f>Model!BB25*(1+$C$202)</f>
        <v>0</v>
      </c>
      <c r="BC25" s="35">
        <f>Model!BC25*(1+$C$202)</f>
        <v>0</v>
      </c>
      <c r="BD25" s="35">
        <f>Model!BD25*(1+$C$202)</f>
        <v>0</v>
      </c>
      <c r="BE25" s="35">
        <f>Model!BE25*(1+$C$202)</f>
        <v>0</v>
      </c>
      <c r="BF25" s="35">
        <f>Model!BF25*(1+$C$202)</f>
        <v>0</v>
      </c>
      <c r="BG25" s="35">
        <f>Model!BG25*(1+$C$202)</f>
        <v>0</v>
      </c>
      <c r="BH25" s="35">
        <f>Model!BH25*(1+$C$202)</f>
        <v>0</v>
      </c>
      <c r="BI25" s="35">
        <f>Model!BI25*(1+$C$202)</f>
        <v>0</v>
      </c>
      <c r="BJ25" s="35">
        <f>Model!BJ25*(1+$C$202)</f>
        <v>0</v>
      </c>
      <c r="BK25" s="35">
        <f>Model!BK25*(1+$C$202)</f>
        <v>0</v>
      </c>
      <c r="BL25" s="35">
        <f>Model!BL25*(1+$C$202)</f>
        <v>0</v>
      </c>
      <c r="BM25" s="35">
        <f>Model!BM25*(1+$C$202)</f>
        <v>0</v>
      </c>
      <c r="BN25" s="35">
        <f>Model!BN25*(1+$C$202)</f>
        <v>0</v>
      </c>
      <c r="BO25" s="35">
        <f>Model!BO25*(1+$C$202)</f>
        <v>0</v>
      </c>
      <c r="BP25" s="35">
        <f>Model!BP25*(1+$C$202)</f>
        <v>0</v>
      </c>
      <c r="BQ25" s="35">
        <f>Model!BQ25*(1+$C$202)</f>
        <v>0</v>
      </c>
      <c r="BR25" s="35">
        <f>Model!BR25*(1+$C$202)</f>
        <v>0</v>
      </c>
      <c r="BS25" s="35">
        <f>Model!BS25*(1+$C$202)</f>
        <v>0</v>
      </c>
      <c r="BT25" s="35">
        <f>Model!BT25*(1+$C$202)</f>
        <v>0</v>
      </c>
      <c r="BU25" s="35">
        <f>Model!BU25*(1+$C$202)</f>
        <v>0</v>
      </c>
      <c r="BV25" s="35">
        <f>Model!BV25*(1+$C$202)</f>
        <v>0</v>
      </c>
      <c r="BW25" s="35">
        <f>Model!BW25*(1+$C$202)</f>
        <v>0</v>
      </c>
      <c r="BX25" s="35">
        <f>Model!BX25*(1+$C$202)</f>
        <v>0</v>
      </c>
      <c r="BY25" s="35">
        <f>Model!BY25*(1+$C$202)</f>
        <v>0</v>
      </c>
      <c r="BZ25" s="35">
        <f>Model!BZ25*(1+$C$202)</f>
        <v>0</v>
      </c>
      <c r="CA25" s="35">
        <f>Model!CA25*(1+$C$202)</f>
        <v>0</v>
      </c>
      <c r="CB25" s="35">
        <f>Model!CB25*(1+$C$202)</f>
        <v>0</v>
      </c>
      <c r="CC25" s="35">
        <f>Model!CC25*(1+$C$202)</f>
        <v>0</v>
      </c>
      <c r="CD25" s="35">
        <f>Model!CD25*(1+$C$202)</f>
        <v>0</v>
      </c>
      <c r="CE25" s="35">
        <f>Model!CE25*(1+$C$202)</f>
        <v>0</v>
      </c>
      <c r="CF25" s="35">
        <f>Model!CF25*(1+$C$202)</f>
        <v>0</v>
      </c>
      <c r="CG25" s="35">
        <f>Model!CG25*(1+$C$202)</f>
        <v>0</v>
      </c>
      <c r="CH25" s="35">
        <f>Model!CH25*(1+$C$202)</f>
        <v>0</v>
      </c>
      <c r="CI25" s="35">
        <f>Model!CI25*(1+$C$202)</f>
        <v>0</v>
      </c>
      <c r="CJ25" s="35">
        <f>Model!CJ25*(1+$C$202)</f>
        <v>0</v>
      </c>
      <c r="CK25" s="35">
        <f>Model!CK25*(1+$C$202)</f>
        <v>0</v>
      </c>
      <c r="CL25" s="35">
        <f>Model!CL25*(1+$C$202)</f>
        <v>0</v>
      </c>
      <c r="CM25" s="35">
        <f>Model!CM25*(1+$C$202)</f>
        <v>0</v>
      </c>
      <c r="CN25" s="35">
        <f>Model!CN25*(1+$C$202)</f>
        <v>0</v>
      </c>
      <c r="CO25" s="5">
        <f>Model!CO25*(1+$C$202)</f>
        <v>0</v>
      </c>
    </row>
    <row r="26" spans="1:93" ht="12.75" customHeight="1" outlineLevel="4">
      <c r="A26" s="35"/>
      <c r="B26" s="63" t="s">
        <v>126</v>
      </c>
      <c r="C26" s="35" t="e">
        <f t="shared" si="15"/>
        <v>#REF!</v>
      </c>
      <c r="D26" s="60"/>
      <c r="E26" s="35" t="e">
        <f>Model!#REF!*(1+$C$202)</f>
        <v>#REF!</v>
      </c>
      <c r="F26" s="35" t="e">
        <f>Model!#REF!*(1+$C$202)</f>
        <v>#REF!</v>
      </c>
      <c r="G26" s="35" t="e">
        <f>Model!#REF!*(1+$C$202)</f>
        <v>#REF!</v>
      </c>
      <c r="H26" s="35" t="e">
        <f>Model!#REF!*(1+$C$202)</f>
        <v>#REF!</v>
      </c>
      <c r="I26" s="35" t="e">
        <f>Model!#REF!*(1+$C$202)</f>
        <v>#REF!</v>
      </c>
      <c r="J26" s="35" t="e">
        <f>Model!#REF!*(1+$C$202)</f>
        <v>#REF!</v>
      </c>
      <c r="K26" s="35" t="e">
        <f>Model!#REF!*(1+$C$202)</f>
        <v>#REF!</v>
      </c>
      <c r="L26" s="35" t="e">
        <f>Model!#REF!*(1+$C$202)</f>
        <v>#REF!</v>
      </c>
      <c r="M26" s="35" t="e">
        <f>Model!#REF!*(1+$C$202)</f>
        <v>#REF!</v>
      </c>
      <c r="N26" s="35" t="e">
        <f>Model!#REF!*(1+$C$202)</f>
        <v>#REF!</v>
      </c>
      <c r="O26" s="35" t="e">
        <f>Model!#REF!*(1+$C$202)</f>
        <v>#REF!</v>
      </c>
      <c r="P26" s="35" t="e">
        <f>Model!#REF!*(1+$C$202)</f>
        <v>#REF!</v>
      </c>
      <c r="Q26" s="35" t="e">
        <f>Model!#REF!*(1+$C$202)</f>
        <v>#REF!</v>
      </c>
      <c r="R26" s="35" t="e">
        <f>Model!#REF!*(1+$C$202)</f>
        <v>#REF!</v>
      </c>
      <c r="S26" s="35" t="e">
        <f>Model!#REF!*(1+$C$202)</f>
        <v>#REF!</v>
      </c>
      <c r="T26" s="35" t="e">
        <f>Model!#REF!*(1+$C$202)</f>
        <v>#REF!</v>
      </c>
      <c r="U26" s="35" t="e">
        <f>Model!#REF!*(1+$C$202)</f>
        <v>#REF!</v>
      </c>
      <c r="V26" s="35" t="e">
        <f>Model!#REF!*(1+$C$202)</f>
        <v>#REF!</v>
      </c>
      <c r="W26" s="35" t="e">
        <f>Model!#REF!*(1+$C$202)</f>
        <v>#REF!</v>
      </c>
      <c r="X26" s="35" t="e">
        <f>Model!#REF!*(1+$C$202)</f>
        <v>#REF!</v>
      </c>
      <c r="Y26" s="35" t="e">
        <f>Model!#REF!*(1+$C$202)</f>
        <v>#REF!</v>
      </c>
      <c r="Z26" s="35" t="e">
        <f>Model!#REF!*(1+$C$202)</f>
        <v>#REF!</v>
      </c>
      <c r="AA26" s="35" t="e">
        <f>Model!#REF!*(1+$C$202)</f>
        <v>#REF!</v>
      </c>
      <c r="AB26" s="35" t="e">
        <f>Model!#REF!*(1+$C$202)</f>
        <v>#REF!</v>
      </c>
      <c r="AC26" s="35" t="e">
        <f>Model!#REF!*(1+$C$202)</f>
        <v>#REF!</v>
      </c>
      <c r="AD26" s="35" t="e">
        <f>Model!#REF!*(1+$C$202)</f>
        <v>#REF!</v>
      </c>
      <c r="AE26" s="35" t="e">
        <f>Model!#REF!*(1+$C$202)</f>
        <v>#REF!</v>
      </c>
      <c r="AF26" s="35" t="e">
        <f>Model!#REF!*(1+$C$202)</f>
        <v>#REF!</v>
      </c>
      <c r="AG26" s="35" t="e">
        <f>Model!#REF!*(1+$C$202)</f>
        <v>#REF!</v>
      </c>
      <c r="AH26" s="35" t="e">
        <f>Model!#REF!*(1+$C$202)</f>
        <v>#REF!</v>
      </c>
      <c r="AI26" s="35" t="e">
        <f>Model!#REF!*(1+$C$202)</f>
        <v>#REF!</v>
      </c>
      <c r="AJ26" s="35" t="e">
        <f>Model!#REF!*(1+$C$202)</f>
        <v>#REF!</v>
      </c>
      <c r="AK26" s="35" t="e">
        <f>Model!#REF!*(1+$C$202)</f>
        <v>#REF!</v>
      </c>
      <c r="AL26" s="35" t="e">
        <f>Model!#REF!*(1+$C$202)</f>
        <v>#REF!</v>
      </c>
      <c r="AM26" s="35" t="e">
        <f>Model!#REF!*(1+$C$202)</f>
        <v>#REF!</v>
      </c>
      <c r="AN26" s="35" t="e">
        <f>Model!#REF!*(1+$C$202)</f>
        <v>#REF!</v>
      </c>
      <c r="AO26" s="35" t="e">
        <f>Model!#REF!*(1+$C$202)</f>
        <v>#REF!</v>
      </c>
      <c r="AP26" s="35" t="e">
        <f>Model!#REF!*(1+$C$202)</f>
        <v>#REF!</v>
      </c>
      <c r="AQ26" s="35" t="e">
        <f>Model!#REF!*(1+$C$202)</f>
        <v>#REF!</v>
      </c>
      <c r="AR26" s="35" t="e">
        <f>Model!#REF!*(1+$C$202)</f>
        <v>#REF!</v>
      </c>
      <c r="AS26" s="35" t="e">
        <f>Model!#REF!*(1+$C$202)</f>
        <v>#REF!</v>
      </c>
      <c r="AT26" s="35" t="e">
        <f>Model!#REF!*(1+$C$202)</f>
        <v>#REF!</v>
      </c>
      <c r="AU26" s="35" t="e">
        <f>Model!#REF!*(1+$C$202)</f>
        <v>#REF!</v>
      </c>
      <c r="AV26" s="35" t="e">
        <f>Model!#REF!*(1+$C$202)</f>
        <v>#REF!</v>
      </c>
      <c r="AW26" s="35" t="e">
        <f>Model!#REF!*(1+$C$202)</f>
        <v>#REF!</v>
      </c>
      <c r="AX26" s="35" t="e">
        <f>Model!#REF!*(1+$C$202)</f>
        <v>#REF!</v>
      </c>
      <c r="AY26" s="35" t="e">
        <f>Model!#REF!*(1+$C$202)</f>
        <v>#REF!</v>
      </c>
      <c r="AZ26" s="35" t="e">
        <f>Model!#REF!*(1+$C$202)</f>
        <v>#REF!</v>
      </c>
      <c r="BA26" s="35" t="e">
        <f>Model!#REF!*(1+$C$202)</f>
        <v>#REF!</v>
      </c>
      <c r="BB26" s="35" t="e">
        <f>Model!#REF!*(1+$C$202)</f>
        <v>#REF!</v>
      </c>
      <c r="BC26" s="35" t="e">
        <f>Model!#REF!*(1+$C$202)</f>
        <v>#REF!</v>
      </c>
      <c r="BD26" s="35" t="e">
        <f>Model!#REF!*(1+$C$202)</f>
        <v>#REF!</v>
      </c>
      <c r="BE26" s="35" t="e">
        <f>Model!#REF!*(1+$C$202)</f>
        <v>#REF!</v>
      </c>
      <c r="BF26" s="35" t="e">
        <f>Model!#REF!*(1+$C$202)</f>
        <v>#REF!</v>
      </c>
      <c r="BG26" s="35" t="e">
        <f>Model!#REF!*(1+$C$202)</f>
        <v>#REF!</v>
      </c>
      <c r="BH26" s="35" t="e">
        <f>Model!#REF!*(1+$C$202)</f>
        <v>#REF!</v>
      </c>
      <c r="BI26" s="35" t="e">
        <f>Model!#REF!*(1+$C$202)</f>
        <v>#REF!</v>
      </c>
      <c r="BJ26" s="35" t="e">
        <f>Model!#REF!*(1+$C$202)</f>
        <v>#REF!</v>
      </c>
      <c r="BK26" s="35" t="e">
        <f>Model!#REF!*(1+$C$202)</f>
        <v>#REF!</v>
      </c>
      <c r="BL26" s="35" t="e">
        <f>Model!#REF!*(1+$C$202)</f>
        <v>#REF!</v>
      </c>
      <c r="BM26" s="35" t="e">
        <f>Model!#REF!*(1+$C$202)</f>
        <v>#REF!</v>
      </c>
      <c r="BN26" s="35" t="e">
        <f>Model!#REF!*(1+$C$202)</f>
        <v>#REF!</v>
      </c>
      <c r="BO26" s="35" t="e">
        <f>Model!#REF!*(1+$C$202)</f>
        <v>#REF!</v>
      </c>
      <c r="BP26" s="35" t="e">
        <f>Model!#REF!*(1+$C$202)</f>
        <v>#REF!</v>
      </c>
      <c r="BQ26" s="35" t="e">
        <f>Model!#REF!*(1+$C$202)</f>
        <v>#REF!</v>
      </c>
      <c r="BR26" s="35" t="e">
        <f>Model!#REF!*(1+$C$202)</f>
        <v>#REF!</v>
      </c>
      <c r="BS26" s="35" t="e">
        <f>Model!#REF!*(1+$C$202)</f>
        <v>#REF!</v>
      </c>
      <c r="BT26" s="35" t="e">
        <f>Model!#REF!*(1+$C$202)</f>
        <v>#REF!</v>
      </c>
      <c r="BU26" s="35" t="e">
        <f>Model!#REF!*(1+$C$202)</f>
        <v>#REF!</v>
      </c>
      <c r="BV26" s="35" t="e">
        <f>Model!#REF!*(1+$C$202)</f>
        <v>#REF!</v>
      </c>
      <c r="BW26" s="35" t="e">
        <f>Model!#REF!*(1+$C$202)</f>
        <v>#REF!</v>
      </c>
      <c r="BX26" s="35" t="e">
        <f>Model!#REF!*(1+$C$202)</f>
        <v>#REF!</v>
      </c>
      <c r="BY26" s="35" t="e">
        <f>Model!#REF!*(1+$C$202)</f>
        <v>#REF!</v>
      </c>
      <c r="BZ26" s="35" t="e">
        <f>Model!#REF!*(1+$C$202)</f>
        <v>#REF!</v>
      </c>
      <c r="CA26" s="35" t="e">
        <f>Model!#REF!*(1+$C$202)</f>
        <v>#REF!</v>
      </c>
      <c r="CB26" s="35" t="e">
        <f>Model!#REF!*(1+$C$202)</f>
        <v>#REF!</v>
      </c>
      <c r="CC26" s="35" t="e">
        <f>Model!#REF!*(1+$C$202)</f>
        <v>#REF!</v>
      </c>
      <c r="CD26" s="35" t="e">
        <f>Model!#REF!*(1+$C$202)</f>
        <v>#REF!</v>
      </c>
      <c r="CE26" s="35" t="e">
        <f>Model!#REF!*(1+$C$202)</f>
        <v>#REF!</v>
      </c>
      <c r="CF26" s="35" t="e">
        <f>Model!#REF!*(1+$C$202)</f>
        <v>#REF!</v>
      </c>
      <c r="CG26" s="35" t="e">
        <f>Model!#REF!*(1+$C$202)</f>
        <v>#REF!</v>
      </c>
      <c r="CH26" s="35" t="e">
        <f>Model!#REF!*(1+$C$202)</f>
        <v>#REF!</v>
      </c>
      <c r="CI26" s="35" t="e">
        <f>Model!#REF!*(1+$C$202)</f>
        <v>#REF!</v>
      </c>
      <c r="CJ26" s="35" t="e">
        <f>Model!#REF!*(1+$C$202)</f>
        <v>#REF!</v>
      </c>
      <c r="CK26" s="35" t="e">
        <f>Model!#REF!*(1+$C$202)</f>
        <v>#REF!</v>
      </c>
      <c r="CL26" s="35" t="e">
        <f>Model!#REF!*(1+$C$202)</f>
        <v>#REF!</v>
      </c>
      <c r="CM26" s="35" t="e">
        <f>Model!#REF!*(1+$C$202)</f>
        <v>#REF!</v>
      </c>
      <c r="CN26" s="35" t="e">
        <f>Model!#REF!*(1+$C$202)</f>
        <v>#REF!</v>
      </c>
      <c r="CO26" s="5" t="e">
        <f>Model!#REF!*(1+$C$202)</f>
        <v>#REF!</v>
      </c>
    </row>
    <row r="27" spans="1:93" ht="12.75" customHeight="1" outlineLevel="4">
      <c r="A27" s="35"/>
      <c r="B27" s="63" t="s">
        <v>127</v>
      </c>
      <c r="C27" s="35">
        <f t="shared" si="15"/>
        <v>0</v>
      </c>
      <c r="D27" s="60"/>
      <c r="E27" s="35">
        <f>Model!E26*(1+$C$201)</f>
        <v>0</v>
      </c>
      <c r="F27" s="35">
        <f>Model!F26*(1+$C$201)</f>
        <v>0</v>
      </c>
      <c r="G27" s="35">
        <f>Model!G26*(1+$C$201)</f>
        <v>0</v>
      </c>
      <c r="H27" s="35">
        <f>Model!H26*(1+$C$201)</f>
        <v>0</v>
      </c>
      <c r="I27" s="35">
        <f>Model!I26*(1+$C$201)</f>
        <v>0</v>
      </c>
      <c r="J27" s="35">
        <f>Model!J26*(1+$C$201)</f>
        <v>0</v>
      </c>
      <c r="K27" s="35">
        <f>Model!K26*(1+$C$201)</f>
        <v>0</v>
      </c>
      <c r="L27" s="35">
        <f>Model!L26*(1+$C$201)</f>
        <v>0</v>
      </c>
      <c r="M27" s="35">
        <f>Model!M26*(1+$C$201)</f>
        <v>0</v>
      </c>
      <c r="N27" s="35">
        <f>Model!N26*(1+$C$201)</f>
        <v>0</v>
      </c>
      <c r="O27" s="35">
        <f>Model!O26*(1+$C$201)</f>
        <v>0</v>
      </c>
      <c r="P27" s="35">
        <f>Model!P26*(1+$C$201)</f>
        <v>0</v>
      </c>
      <c r="Q27" s="35">
        <f>Model!Q26*(1+$C$201)</f>
        <v>0</v>
      </c>
      <c r="R27" s="35">
        <f>Model!R26*(1+$C$201)</f>
        <v>0</v>
      </c>
      <c r="S27" s="35">
        <f>Model!S26*(1+$C$201)</f>
        <v>0</v>
      </c>
      <c r="T27" s="35">
        <f>Model!T26*(1+$C$201)</f>
        <v>0</v>
      </c>
      <c r="U27" s="35">
        <f>Model!U26*(1+$C$201)</f>
        <v>0</v>
      </c>
      <c r="V27" s="35">
        <f>Model!V26*(1+$C$201)</f>
        <v>0</v>
      </c>
      <c r="W27" s="35">
        <f>Model!W26*(1+$C$201)</f>
        <v>0</v>
      </c>
      <c r="X27" s="35">
        <f>Model!X26*(1+$C$201)</f>
        <v>0</v>
      </c>
      <c r="Y27" s="35">
        <f>Model!Y26*(1+$C$201)</f>
        <v>0</v>
      </c>
      <c r="Z27" s="35">
        <f>Model!Z26*(1+$C$201)</f>
        <v>0</v>
      </c>
      <c r="AA27" s="35">
        <f>Model!AA26*(1+$C$201)</f>
        <v>0</v>
      </c>
      <c r="AB27" s="35">
        <f>Model!AB26*(1+$C$201)</f>
        <v>0</v>
      </c>
      <c r="AC27" s="35">
        <f>Model!AC26*(1+$C$201)</f>
        <v>0</v>
      </c>
      <c r="AD27" s="35">
        <f>Model!AD26*(1+$C$201)</f>
        <v>0</v>
      </c>
      <c r="AE27" s="35">
        <f>Model!AE26*(1+$C$201)</f>
        <v>0</v>
      </c>
      <c r="AF27" s="35">
        <f>Model!AF26*(1+$C$201)</f>
        <v>0</v>
      </c>
      <c r="AG27" s="35">
        <f>Model!AG26*(1+$C$201)</f>
        <v>0</v>
      </c>
      <c r="AH27" s="35">
        <f>Model!AH26*(1+$C$201)</f>
        <v>0</v>
      </c>
      <c r="AI27" s="35">
        <f>Model!AI26*(1+$C$201)</f>
        <v>0</v>
      </c>
      <c r="AJ27" s="35">
        <f>Model!AJ26*(1+$C$201)</f>
        <v>0</v>
      </c>
      <c r="AK27" s="35">
        <f>Model!AK26*(1+$C$201)</f>
        <v>0</v>
      </c>
      <c r="AL27" s="35">
        <f>Model!AL26*(1+$C$201)</f>
        <v>0</v>
      </c>
      <c r="AM27" s="35">
        <f>Model!AM26*(1+$C$201)</f>
        <v>0</v>
      </c>
      <c r="AN27" s="35">
        <f>Model!AN26*(1+$C$201)</f>
        <v>0</v>
      </c>
      <c r="AO27" s="35">
        <f>Model!AO26*(1+$C$201)</f>
        <v>0</v>
      </c>
      <c r="AP27" s="35">
        <f>Model!AP26*(1+$C$201)</f>
        <v>0</v>
      </c>
      <c r="AQ27" s="35">
        <f>Model!AQ26*(1+$C$201)</f>
        <v>0</v>
      </c>
      <c r="AR27" s="35">
        <f>Model!AR26*(1+$C$201)</f>
        <v>0</v>
      </c>
      <c r="AS27" s="35">
        <f>Model!AS26*(1+$C$201)</f>
        <v>0</v>
      </c>
      <c r="AT27" s="35">
        <f>Model!AT26*(1+$C$201)</f>
        <v>0</v>
      </c>
      <c r="AU27" s="35">
        <f>Model!AU26*(1+$C$201)</f>
        <v>0</v>
      </c>
      <c r="AV27" s="35">
        <f>Model!AV26*(1+$C$201)</f>
        <v>0</v>
      </c>
      <c r="AW27" s="35">
        <f>Model!AW26*(1+$C$201)</f>
        <v>0</v>
      </c>
      <c r="AX27" s="35">
        <f>Model!AX26*(1+$C$201)</f>
        <v>0</v>
      </c>
      <c r="AY27" s="35">
        <f>Model!AY26*(1+$C$201)</f>
        <v>0</v>
      </c>
      <c r="AZ27" s="35">
        <f>Model!AZ26*(1+$C$201)</f>
        <v>0</v>
      </c>
      <c r="BA27" s="35">
        <f>Model!BA26*(1+$C$201)</f>
        <v>0</v>
      </c>
      <c r="BB27" s="35">
        <f>Model!BB26*(1+$C$201)</f>
        <v>0</v>
      </c>
      <c r="BC27" s="35">
        <f>Model!BC26*(1+$C$201)</f>
        <v>0</v>
      </c>
      <c r="BD27" s="35">
        <f>Model!BD26*(1+$C$201)</f>
        <v>0</v>
      </c>
      <c r="BE27" s="35">
        <f>Model!BE26*(1+$C$201)</f>
        <v>0</v>
      </c>
      <c r="BF27" s="35">
        <f>Model!BF26*(1+$C$201)</f>
        <v>0</v>
      </c>
      <c r="BG27" s="35">
        <f>Model!BG26*(1+$C$201)</f>
        <v>0</v>
      </c>
      <c r="BH27" s="35">
        <f>Model!BH26*(1+$C$201)</f>
        <v>0</v>
      </c>
      <c r="BI27" s="35">
        <f>Model!BI26*(1+$C$201)</f>
        <v>0</v>
      </c>
      <c r="BJ27" s="35">
        <f>Model!BJ26*(1+$C$201)</f>
        <v>0</v>
      </c>
      <c r="BK27" s="35">
        <f>Model!BK26*(1+$C$201)</f>
        <v>0</v>
      </c>
      <c r="BL27" s="35">
        <f>Model!BL26*(1+$C$201)</f>
        <v>0</v>
      </c>
      <c r="BM27" s="35">
        <f>Model!BM26*(1+$C$201)</f>
        <v>0</v>
      </c>
      <c r="BN27" s="35">
        <f>Model!BN26*(1+$C$201)</f>
        <v>0</v>
      </c>
      <c r="BO27" s="35">
        <f>Model!BO26*(1+$C$201)</f>
        <v>0</v>
      </c>
      <c r="BP27" s="35">
        <f>Model!BP26*(1+$C$201)</f>
        <v>0</v>
      </c>
      <c r="BQ27" s="35">
        <f>Model!BQ26*(1+$C$201)</f>
        <v>0</v>
      </c>
      <c r="BR27" s="35">
        <f>Model!BR26*(1+$C$201)</f>
        <v>0</v>
      </c>
      <c r="BS27" s="35">
        <f>Model!BS26*(1+$C$201)</f>
        <v>0</v>
      </c>
      <c r="BT27" s="35">
        <f>Model!BT26*(1+$C$201)</f>
        <v>0</v>
      </c>
      <c r="BU27" s="35">
        <f>Model!BU26*(1+$C$201)</f>
        <v>0</v>
      </c>
      <c r="BV27" s="35">
        <f>Model!BV26*(1+$C$201)</f>
        <v>0</v>
      </c>
      <c r="BW27" s="35">
        <f>Model!BW26*(1+$C$201)</f>
        <v>0</v>
      </c>
      <c r="BX27" s="35">
        <f>Model!BX26*(1+$C$201)</f>
        <v>0</v>
      </c>
      <c r="BY27" s="35">
        <f>Model!BY26*(1+$C$201)</f>
        <v>0</v>
      </c>
      <c r="BZ27" s="35">
        <f>Model!BZ26*(1+$C$201)</f>
        <v>0</v>
      </c>
      <c r="CA27" s="35">
        <f>Model!CA26*(1+$C$201)</f>
        <v>0</v>
      </c>
      <c r="CB27" s="35">
        <f>Model!CB26*(1+$C$201)</f>
        <v>0</v>
      </c>
      <c r="CC27" s="35">
        <f>Model!CC26*(1+$C$201)</f>
        <v>0</v>
      </c>
      <c r="CD27" s="35">
        <f>Model!CD26*(1+$C$201)</f>
        <v>0</v>
      </c>
      <c r="CE27" s="35">
        <f>Model!CE26*(1+$C$201)</f>
        <v>0</v>
      </c>
      <c r="CF27" s="35">
        <f>Model!CF26*(1+$C$201)</f>
        <v>0</v>
      </c>
      <c r="CG27" s="35">
        <f>Model!CG26*(1+$C$201)</f>
        <v>0</v>
      </c>
      <c r="CH27" s="35">
        <f>Model!CH26*(1+$C$201)</f>
        <v>0</v>
      </c>
      <c r="CI27" s="35">
        <f>Model!CI26*(1+$C$201)</f>
        <v>0</v>
      </c>
      <c r="CJ27" s="35">
        <f>Model!CJ26*(1+$C$201)</f>
        <v>0</v>
      </c>
      <c r="CK27" s="35">
        <f>Model!CK26*(1+$C$201)</f>
        <v>0</v>
      </c>
      <c r="CL27" s="35">
        <f>Model!CL26*(1+$C$201)</f>
        <v>0</v>
      </c>
      <c r="CM27" s="35">
        <f>Model!CM26*(1+$C$201)</f>
        <v>0</v>
      </c>
      <c r="CN27" s="35">
        <f>Model!CN26*(1+$C$201)</f>
        <v>0</v>
      </c>
      <c r="CO27" s="5">
        <f>Model!CO26*(1+$C$201)</f>
        <v>0</v>
      </c>
    </row>
    <row r="28" spans="1:93" ht="12.75" customHeight="1">
      <c r="A28" s="37"/>
      <c r="B28" s="70" t="s">
        <v>128</v>
      </c>
      <c r="C28" s="70" t="e">
        <f t="shared" si="15"/>
        <v>#REF!</v>
      </c>
      <c r="D28" s="71">
        <f t="shared" ref="D28:CO28" si="16">SUM(D19:D27)</f>
        <v>0</v>
      </c>
      <c r="E28" s="70" t="e">
        <f t="shared" si="16"/>
        <v>#REF!</v>
      </c>
      <c r="F28" s="70" t="e">
        <f t="shared" si="16"/>
        <v>#REF!</v>
      </c>
      <c r="G28" s="70" t="e">
        <f t="shared" si="16"/>
        <v>#REF!</v>
      </c>
      <c r="H28" s="70" t="e">
        <f t="shared" si="16"/>
        <v>#REF!</v>
      </c>
      <c r="I28" s="70" t="e">
        <f t="shared" si="16"/>
        <v>#REF!</v>
      </c>
      <c r="J28" s="70" t="e">
        <f t="shared" si="16"/>
        <v>#REF!</v>
      </c>
      <c r="K28" s="70" t="e">
        <f t="shared" si="16"/>
        <v>#REF!</v>
      </c>
      <c r="L28" s="70" t="e">
        <f t="shared" si="16"/>
        <v>#REF!</v>
      </c>
      <c r="M28" s="70" t="e">
        <f t="shared" si="16"/>
        <v>#REF!</v>
      </c>
      <c r="N28" s="70" t="e">
        <f t="shared" si="16"/>
        <v>#REF!</v>
      </c>
      <c r="O28" s="70" t="e">
        <f t="shared" si="16"/>
        <v>#REF!</v>
      </c>
      <c r="P28" s="70" t="e">
        <f t="shared" si="16"/>
        <v>#REF!</v>
      </c>
      <c r="Q28" s="70" t="e">
        <f t="shared" si="16"/>
        <v>#REF!</v>
      </c>
      <c r="R28" s="70" t="e">
        <f t="shared" si="16"/>
        <v>#REF!</v>
      </c>
      <c r="S28" s="70" t="e">
        <f t="shared" si="16"/>
        <v>#REF!</v>
      </c>
      <c r="T28" s="70" t="e">
        <f t="shared" si="16"/>
        <v>#REF!</v>
      </c>
      <c r="U28" s="70" t="e">
        <f t="shared" si="16"/>
        <v>#REF!</v>
      </c>
      <c r="V28" s="70" t="e">
        <f t="shared" si="16"/>
        <v>#REF!</v>
      </c>
      <c r="W28" s="70" t="e">
        <f t="shared" si="16"/>
        <v>#REF!</v>
      </c>
      <c r="X28" s="70" t="e">
        <f t="shared" si="16"/>
        <v>#REF!</v>
      </c>
      <c r="Y28" s="70" t="e">
        <f t="shared" si="16"/>
        <v>#REF!</v>
      </c>
      <c r="Z28" s="70" t="e">
        <f t="shared" si="16"/>
        <v>#REF!</v>
      </c>
      <c r="AA28" s="70" t="e">
        <f t="shared" si="16"/>
        <v>#REF!</v>
      </c>
      <c r="AB28" s="70" t="e">
        <f t="shared" si="16"/>
        <v>#REF!</v>
      </c>
      <c r="AC28" s="70" t="e">
        <f t="shared" si="16"/>
        <v>#REF!</v>
      </c>
      <c r="AD28" s="70" t="e">
        <f t="shared" si="16"/>
        <v>#REF!</v>
      </c>
      <c r="AE28" s="70" t="e">
        <f t="shared" si="16"/>
        <v>#REF!</v>
      </c>
      <c r="AF28" s="70" t="e">
        <f t="shared" si="16"/>
        <v>#REF!</v>
      </c>
      <c r="AG28" s="70" t="e">
        <f t="shared" si="16"/>
        <v>#REF!</v>
      </c>
      <c r="AH28" s="70" t="e">
        <f t="shared" si="16"/>
        <v>#REF!</v>
      </c>
      <c r="AI28" s="70" t="e">
        <f t="shared" si="16"/>
        <v>#REF!</v>
      </c>
      <c r="AJ28" s="70" t="e">
        <f t="shared" si="16"/>
        <v>#REF!</v>
      </c>
      <c r="AK28" s="70" t="e">
        <f t="shared" si="16"/>
        <v>#REF!</v>
      </c>
      <c r="AL28" s="70" t="e">
        <f t="shared" si="16"/>
        <v>#REF!</v>
      </c>
      <c r="AM28" s="70" t="e">
        <f t="shared" si="16"/>
        <v>#REF!</v>
      </c>
      <c r="AN28" s="70" t="e">
        <f t="shared" si="16"/>
        <v>#REF!</v>
      </c>
      <c r="AO28" s="70" t="e">
        <f t="shared" si="16"/>
        <v>#REF!</v>
      </c>
      <c r="AP28" s="70" t="e">
        <f t="shared" si="16"/>
        <v>#REF!</v>
      </c>
      <c r="AQ28" s="70" t="e">
        <f t="shared" si="16"/>
        <v>#REF!</v>
      </c>
      <c r="AR28" s="70" t="e">
        <f t="shared" si="16"/>
        <v>#REF!</v>
      </c>
      <c r="AS28" s="70" t="e">
        <f t="shared" si="16"/>
        <v>#REF!</v>
      </c>
      <c r="AT28" s="70" t="e">
        <f t="shared" si="16"/>
        <v>#REF!</v>
      </c>
      <c r="AU28" s="70" t="e">
        <f t="shared" si="16"/>
        <v>#REF!</v>
      </c>
      <c r="AV28" s="70" t="e">
        <f t="shared" si="16"/>
        <v>#REF!</v>
      </c>
      <c r="AW28" s="70" t="e">
        <f t="shared" si="16"/>
        <v>#REF!</v>
      </c>
      <c r="AX28" s="70" t="e">
        <f t="shared" si="16"/>
        <v>#REF!</v>
      </c>
      <c r="AY28" s="70" t="e">
        <f t="shared" si="16"/>
        <v>#REF!</v>
      </c>
      <c r="AZ28" s="70" t="e">
        <f t="shared" si="16"/>
        <v>#REF!</v>
      </c>
      <c r="BA28" s="70" t="e">
        <f t="shared" si="16"/>
        <v>#REF!</v>
      </c>
      <c r="BB28" s="70" t="e">
        <f t="shared" si="16"/>
        <v>#REF!</v>
      </c>
      <c r="BC28" s="70" t="e">
        <f t="shared" si="16"/>
        <v>#REF!</v>
      </c>
      <c r="BD28" s="70" t="e">
        <f t="shared" si="16"/>
        <v>#REF!</v>
      </c>
      <c r="BE28" s="70" t="e">
        <f t="shared" si="16"/>
        <v>#REF!</v>
      </c>
      <c r="BF28" s="70" t="e">
        <f t="shared" si="16"/>
        <v>#REF!</v>
      </c>
      <c r="BG28" s="70" t="e">
        <f t="shared" si="16"/>
        <v>#REF!</v>
      </c>
      <c r="BH28" s="70" t="e">
        <f t="shared" si="16"/>
        <v>#REF!</v>
      </c>
      <c r="BI28" s="70" t="e">
        <f t="shared" si="16"/>
        <v>#REF!</v>
      </c>
      <c r="BJ28" s="70" t="e">
        <f t="shared" si="16"/>
        <v>#REF!</v>
      </c>
      <c r="BK28" s="70" t="e">
        <f t="shared" si="16"/>
        <v>#REF!</v>
      </c>
      <c r="BL28" s="70" t="e">
        <f t="shared" si="16"/>
        <v>#REF!</v>
      </c>
      <c r="BM28" s="70" t="e">
        <f t="shared" si="16"/>
        <v>#REF!</v>
      </c>
      <c r="BN28" s="70" t="e">
        <f t="shared" si="16"/>
        <v>#REF!</v>
      </c>
      <c r="BO28" s="70" t="e">
        <f t="shared" si="16"/>
        <v>#REF!</v>
      </c>
      <c r="BP28" s="70" t="e">
        <f t="shared" si="16"/>
        <v>#REF!</v>
      </c>
      <c r="BQ28" s="70" t="e">
        <f t="shared" si="16"/>
        <v>#REF!</v>
      </c>
      <c r="BR28" s="70" t="e">
        <f t="shared" si="16"/>
        <v>#REF!</v>
      </c>
      <c r="BS28" s="70" t="e">
        <f t="shared" si="16"/>
        <v>#REF!</v>
      </c>
      <c r="BT28" s="70" t="e">
        <f t="shared" si="16"/>
        <v>#REF!</v>
      </c>
      <c r="BU28" s="70" t="e">
        <f t="shared" si="16"/>
        <v>#REF!</v>
      </c>
      <c r="BV28" s="70" t="e">
        <f t="shared" si="16"/>
        <v>#REF!</v>
      </c>
      <c r="BW28" s="70" t="e">
        <f t="shared" si="16"/>
        <v>#REF!</v>
      </c>
      <c r="BX28" s="70" t="e">
        <f t="shared" si="16"/>
        <v>#REF!</v>
      </c>
      <c r="BY28" s="70" t="e">
        <f t="shared" si="16"/>
        <v>#REF!</v>
      </c>
      <c r="BZ28" s="70" t="e">
        <f t="shared" si="16"/>
        <v>#REF!</v>
      </c>
      <c r="CA28" s="70" t="e">
        <f t="shared" si="16"/>
        <v>#REF!</v>
      </c>
      <c r="CB28" s="70" t="e">
        <f t="shared" si="16"/>
        <v>#REF!</v>
      </c>
      <c r="CC28" s="70" t="e">
        <f t="shared" si="16"/>
        <v>#REF!</v>
      </c>
      <c r="CD28" s="70" t="e">
        <f t="shared" si="16"/>
        <v>#REF!</v>
      </c>
      <c r="CE28" s="70" t="e">
        <f t="shared" si="16"/>
        <v>#REF!</v>
      </c>
      <c r="CF28" s="70" t="e">
        <f t="shared" si="16"/>
        <v>#REF!</v>
      </c>
      <c r="CG28" s="70" t="e">
        <f t="shared" si="16"/>
        <v>#REF!</v>
      </c>
      <c r="CH28" s="70" t="e">
        <f t="shared" si="16"/>
        <v>#REF!</v>
      </c>
      <c r="CI28" s="70" t="e">
        <f t="shared" si="16"/>
        <v>#REF!</v>
      </c>
      <c r="CJ28" s="70" t="e">
        <f t="shared" si="16"/>
        <v>#REF!</v>
      </c>
      <c r="CK28" s="70" t="e">
        <f t="shared" si="16"/>
        <v>#REF!</v>
      </c>
      <c r="CL28" s="70" t="e">
        <f t="shared" si="16"/>
        <v>#REF!</v>
      </c>
      <c r="CM28" s="70" t="e">
        <f t="shared" si="16"/>
        <v>#REF!</v>
      </c>
      <c r="CN28" s="70" t="e">
        <f t="shared" si="16"/>
        <v>#REF!</v>
      </c>
      <c r="CO28" s="72" t="e">
        <f t="shared" si="16"/>
        <v>#REF!</v>
      </c>
    </row>
    <row r="29" spans="1:93" ht="12.75" customHeight="1">
      <c r="A29" s="35"/>
      <c r="B29" s="73" t="s">
        <v>129</v>
      </c>
      <c r="C29" s="70" t="e">
        <f>SUM(C30:C41)</f>
        <v>#REF!</v>
      </c>
      <c r="D29" s="60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5"/>
    </row>
    <row r="30" spans="1:93" ht="12.75" customHeight="1" outlineLevel="2">
      <c r="A30" s="35"/>
      <c r="B30" s="63" t="s">
        <v>130</v>
      </c>
      <c r="C30" s="74" t="e">
        <f t="shared" ref="C30:C41" si="17">SUM(D30:CN30)</f>
        <v>#REF!</v>
      </c>
      <c r="D30" s="60"/>
      <c r="E30" s="35" t="e">
        <f>-E28*'операционные  расходы 1 этап'!$P$7</f>
        <v>#REF!</v>
      </c>
      <c r="F30" s="35" t="e">
        <f>-F28*'операционные  расходы 1 этап'!$P$7</f>
        <v>#REF!</v>
      </c>
      <c r="G30" s="35" t="e">
        <f>-G28*'операционные  расходы 1 этап'!$P$7</f>
        <v>#REF!</v>
      </c>
      <c r="H30" s="35" t="e">
        <f>-H28*'операционные  расходы 1 этап'!$P$7</f>
        <v>#REF!</v>
      </c>
      <c r="I30" s="35" t="e">
        <f>-I28*'операционные  расходы 1 этап'!$P$7</f>
        <v>#REF!</v>
      </c>
      <c r="J30" s="35" t="e">
        <f>-J28*'операционные  расходы 1 этап'!$P$7</f>
        <v>#REF!</v>
      </c>
      <c r="K30" s="35" t="e">
        <f>-K28*'операционные  расходы 1 этап'!$P$7</f>
        <v>#REF!</v>
      </c>
      <c r="L30" s="35" t="e">
        <f>-L28*'операционные  расходы 1 этап'!$P$7</f>
        <v>#REF!</v>
      </c>
      <c r="M30" s="35" t="e">
        <f>-M28*'операционные  расходы 1 этап'!$P$7</f>
        <v>#REF!</v>
      </c>
      <c r="N30" s="35" t="e">
        <f>-N28*'операционные  расходы 1 этап'!$P$7</f>
        <v>#REF!</v>
      </c>
      <c r="O30" s="35" t="e">
        <f>-O28*'операционные  расходы 1 этап'!$P$7</f>
        <v>#REF!</v>
      </c>
      <c r="P30" s="35" t="e">
        <f>-P28*'операционные  расходы 1 этап'!$P$7</f>
        <v>#REF!</v>
      </c>
      <c r="Q30" s="35" t="e">
        <f>-Q28*'операционные  расходы 1 этап'!$P$7</f>
        <v>#REF!</v>
      </c>
      <c r="R30" s="35" t="e">
        <f>-R28*'операционные  расходы 1 этап'!$P$7</f>
        <v>#REF!</v>
      </c>
      <c r="S30" s="35" t="e">
        <f>-S28*'операционные  расходы 1 этап'!$P$7</f>
        <v>#REF!</v>
      </c>
      <c r="T30" s="35" t="e">
        <f>-T28*'операционные  расходы 1 этап'!$P$7</f>
        <v>#REF!</v>
      </c>
      <c r="U30" s="35" t="e">
        <f>-U28*'операционные  расходы 1 этап'!$P$7</f>
        <v>#REF!</v>
      </c>
      <c r="V30" s="35" t="e">
        <f>-V28*'операционные  расходы 1 этап'!$P$7</f>
        <v>#REF!</v>
      </c>
      <c r="W30" s="35" t="e">
        <f>-W28*'операционные  расходы 1 этап'!$P$7</f>
        <v>#REF!</v>
      </c>
      <c r="X30" s="35" t="e">
        <f>-X28*'операционные  расходы 1 этап'!$P$7</f>
        <v>#REF!</v>
      </c>
      <c r="Y30" s="35" t="e">
        <f>-Y28*'операционные  расходы 1 этап'!$P$7</f>
        <v>#REF!</v>
      </c>
      <c r="Z30" s="35" t="e">
        <f>-Z28*'операционные  расходы 1 этап'!$P$7</f>
        <v>#REF!</v>
      </c>
      <c r="AA30" s="35" t="e">
        <f>-AA28*'операционные  расходы 1 этап'!$P$7</f>
        <v>#REF!</v>
      </c>
      <c r="AB30" s="35" t="e">
        <f>-AB28*'операционные  расходы 1 этап'!$P$7</f>
        <v>#REF!</v>
      </c>
      <c r="AC30" s="35" t="e">
        <f>-AC28*'операционные  расходы 1 этап'!$P$7</f>
        <v>#REF!</v>
      </c>
      <c r="AD30" s="35" t="e">
        <f>-AD28*'операционные  расходы 1 этап'!$P$7</f>
        <v>#REF!</v>
      </c>
      <c r="AE30" s="35" t="e">
        <f>-AE28*'операционные  расходы 1 этап'!$P$7</f>
        <v>#REF!</v>
      </c>
      <c r="AF30" s="35" t="e">
        <f>-AF28*'операционные  расходы 1 этап'!$P$7</f>
        <v>#REF!</v>
      </c>
      <c r="AG30" s="35" t="e">
        <f>-AG28*'операционные  расходы 1 этап'!$P$7</f>
        <v>#REF!</v>
      </c>
      <c r="AH30" s="35" t="e">
        <f>-AH28*'операционные  расходы 1 этап'!$P$7</f>
        <v>#REF!</v>
      </c>
      <c r="AI30" s="35" t="e">
        <f>-AI28*'операционные  расходы 1 этап'!$P$7</f>
        <v>#REF!</v>
      </c>
      <c r="AJ30" s="35" t="e">
        <f>-AJ28*'операционные  расходы 1 этап'!$P$7</f>
        <v>#REF!</v>
      </c>
      <c r="AK30" s="35" t="e">
        <f>-AK28*'операционные  расходы 1 этап'!$P$7</f>
        <v>#REF!</v>
      </c>
      <c r="AL30" s="35" t="e">
        <f>-AL28*'операционные  расходы 1 этап'!$P$7</f>
        <v>#REF!</v>
      </c>
      <c r="AM30" s="35" t="e">
        <f>-AM28*'операционные  расходы 1 этап'!$P$7</f>
        <v>#REF!</v>
      </c>
      <c r="AN30" s="35" t="e">
        <f>-AN28*'операционные  расходы 1 этап'!$P$7</f>
        <v>#REF!</v>
      </c>
      <c r="AO30" s="35" t="e">
        <f>-AO28*'операционные  расходы 1 этап'!$P$7</f>
        <v>#REF!</v>
      </c>
      <c r="AP30" s="35" t="e">
        <f>-AP28*'операционные  расходы 1 этап'!$P$7</f>
        <v>#REF!</v>
      </c>
      <c r="AQ30" s="35" t="e">
        <f>-AQ28*'операционные  расходы 1 этап'!$P$7</f>
        <v>#REF!</v>
      </c>
      <c r="AR30" s="35" t="e">
        <f>-AR28*'операционные  расходы 1 этап'!$P$7</f>
        <v>#REF!</v>
      </c>
      <c r="AS30" s="35" t="e">
        <f>-AS28*'операционные  расходы 1 этап'!$P$7</f>
        <v>#REF!</v>
      </c>
      <c r="AT30" s="35" t="e">
        <f>-AT28*'операционные  расходы 1 этап'!$P$7</f>
        <v>#REF!</v>
      </c>
      <c r="AU30" s="35" t="e">
        <f>-AU28*'операционные  расходы 1 этап'!$P$7</f>
        <v>#REF!</v>
      </c>
      <c r="AV30" s="35" t="e">
        <f>-AV28*'операционные  расходы 1 этап'!$P$7</f>
        <v>#REF!</v>
      </c>
      <c r="AW30" s="35" t="e">
        <f>-AW28*'операционные  расходы 1 этап'!$P$7</f>
        <v>#REF!</v>
      </c>
      <c r="AX30" s="35" t="e">
        <f>-AX28*'операционные  расходы 1 этап'!$P$7</f>
        <v>#REF!</v>
      </c>
      <c r="AY30" s="35" t="e">
        <f>-AY28*'операционные  расходы 1 этап'!$P$7</f>
        <v>#REF!</v>
      </c>
      <c r="AZ30" s="35" t="e">
        <f>-AZ28*'операционные  расходы 1 этап'!$P$7</f>
        <v>#REF!</v>
      </c>
      <c r="BA30" s="35" t="e">
        <f>-BA28*'операционные  расходы 1 этап'!$P$7</f>
        <v>#REF!</v>
      </c>
      <c r="BB30" s="35" t="e">
        <f>-BB28*'операционные  расходы 1 этап'!$P$7</f>
        <v>#REF!</v>
      </c>
      <c r="BC30" s="35" t="e">
        <f>-BC28*'операционные  расходы 1 этап'!$P$7</f>
        <v>#REF!</v>
      </c>
      <c r="BD30" s="35" t="e">
        <f>-BD28*'операционные  расходы 1 этап'!$P$7</f>
        <v>#REF!</v>
      </c>
      <c r="BE30" s="35" t="e">
        <f>-BE28*'операционные  расходы 1 этап'!$P$7</f>
        <v>#REF!</v>
      </c>
      <c r="BF30" s="35" t="e">
        <f>-BF28*'операционные  расходы 1 этап'!$P$7</f>
        <v>#REF!</v>
      </c>
      <c r="BG30" s="35" t="e">
        <f>-BG28*'операционные  расходы 1 этап'!$P$7</f>
        <v>#REF!</v>
      </c>
      <c r="BH30" s="35" t="e">
        <f>-BH28*'операционные  расходы 1 этап'!$P$7</f>
        <v>#REF!</v>
      </c>
      <c r="BI30" s="35" t="e">
        <f>-BI28*'операционные  расходы 1 этап'!$P$7</f>
        <v>#REF!</v>
      </c>
      <c r="BJ30" s="35" t="e">
        <f>-BJ28*'операционные  расходы 1 этап'!$P$7</f>
        <v>#REF!</v>
      </c>
      <c r="BK30" s="35" t="e">
        <f>-BK28*'операционные  расходы 1 этап'!$P$7</f>
        <v>#REF!</v>
      </c>
      <c r="BL30" s="35" t="e">
        <f>-BL28*'операционные  расходы 1 этап'!$P$7</f>
        <v>#REF!</v>
      </c>
      <c r="BM30" s="35" t="e">
        <f>-BM28*'операционные  расходы 1 этап'!$P$7</f>
        <v>#REF!</v>
      </c>
      <c r="BN30" s="35" t="e">
        <f>-BN28*'операционные  расходы 1 этап'!$P$7</f>
        <v>#REF!</v>
      </c>
      <c r="BO30" s="35" t="e">
        <f>-BO28*'операционные  расходы 1 этап'!$P$7</f>
        <v>#REF!</v>
      </c>
      <c r="BP30" s="35" t="e">
        <f>-BP28*'операционные  расходы 1 этап'!$P$7</f>
        <v>#REF!</v>
      </c>
      <c r="BQ30" s="35" t="e">
        <f>-BQ28*'операционные  расходы 1 этап'!$P$7</f>
        <v>#REF!</v>
      </c>
      <c r="BR30" s="35" t="e">
        <f>-BR28*'операционные  расходы 1 этап'!$P$7</f>
        <v>#REF!</v>
      </c>
      <c r="BS30" s="35" t="e">
        <f>-BS28*'операционные  расходы 1 этап'!$P$7</f>
        <v>#REF!</v>
      </c>
      <c r="BT30" s="35" t="e">
        <f>-BT28*'операционные  расходы 1 этап'!$P$7</f>
        <v>#REF!</v>
      </c>
      <c r="BU30" s="35" t="e">
        <f>-BU28*'операционные  расходы 1 этап'!$P$7</f>
        <v>#REF!</v>
      </c>
      <c r="BV30" s="35" t="e">
        <f>-BV28*'операционные  расходы 1 этап'!$P$7</f>
        <v>#REF!</v>
      </c>
      <c r="BW30" s="35" t="e">
        <f>-BW28*'операционные  расходы 1 этап'!$P$7</f>
        <v>#REF!</v>
      </c>
      <c r="BX30" s="35" t="e">
        <f>-BX28*'операционные  расходы 1 этап'!$P$7</f>
        <v>#REF!</v>
      </c>
      <c r="BY30" s="35" t="e">
        <f>-BY28*'операционные  расходы 1 этап'!$P$7</f>
        <v>#REF!</v>
      </c>
      <c r="BZ30" s="35" t="e">
        <f>-BZ28*'операционные  расходы 1 этап'!$P$7</f>
        <v>#REF!</v>
      </c>
      <c r="CA30" s="35" t="e">
        <f>-CA28*'операционные  расходы 1 этап'!$P$7</f>
        <v>#REF!</v>
      </c>
      <c r="CB30" s="35" t="e">
        <f>-CB28*'операционные  расходы 1 этап'!$P$7</f>
        <v>#REF!</v>
      </c>
      <c r="CC30" s="35" t="e">
        <f>-CC28*'операционные  расходы 1 этап'!$P$7</f>
        <v>#REF!</v>
      </c>
      <c r="CD30" s="35" t="e">
        <f>-CD28*'операционные  расходы 1 этап'!$P$7</f>
        <v>#REF!</v>
      </c>
      <c r="CE30" s="35" t="e">
        <f>-CE28*'операционные  расходы 1 этап'!$P$7</f>
        <v>#REF!</v>
      </c>
      <c r="CF30" s="35" t="e">
        <f>-CF28*'операционные  расходы 1 этап'!$P$7</f>
        <v>#REF!</v>
      </c>
      <c r="CG30" s="35" t="e">
        <f>-CG28*'операционные  расходы 1 этап'!$P$7</f>
        <v>#REF!</v>
      </c>
      <c r="CH30" s="35" t="e">
        <f>-CH28*'операционные  расходы 1 этап'!$P$7</f>
        <v>#REF!</v>
      </c>
      <c r="CI30" s="35" t="e">
        <f>-CI28*'операционные  расходы 1 этап'!$P$7</f>
        <v>#REF!</v>
      </c>
      <c r="CJ30" s="35" t="e">
        <f>-CJ28*'операционные  расходы 1 этап'!$P$7</f>
        <v>#REF!</v>
      </c>
      <c r="CK30" s="35" t="e">
        <f>-CK28*'операционные  расходы 1 этап'!$P$7</f>
        <v>#REF!</v>
      </c>
      <c r="CL30" s="35" t="e">
        <f>-CL28*'операционные  расходы 1 этап'!$P$7</f>
        <v>#REF!</v>
      </c>
      <c r="CM30" s="35" t="e">
        <f>-CM28*'операционные  расходы 1 этап'!$P$7</f>
        <v>#REF!</v>
      </c>
      <c r="CN30" s="35" t="e">
        <f>-CN28*'операционные  расходы 1 этап'!$P$7</f>
        <v>#REF!</v>
      </c>
      <c r="CO30" s="5" t="e">
        <f>-CO28*'операционные  расходы 1 этап'!$P$7</f>
        <v>#REF!</v>
      </c>
    </row>
    <row r="31" spans="1:93" ht="12.75" customHeight="1" outlineLevel="2">
      <c r="A31" s="35"/>
      <c r="B31" s="63" t="s">
        <v>131</v>
      </c>
      <c r="C31" s="74" t="e">
        <f t="shared" si="17"/>
        <v>#REF!</v>
      </c>
      <c r="D31" s="60"/>
      <c r="E31" s="35" t="e">
        <f>E30*Assump!$D$24</f>
        <v>#REF!</v>
      </c>
      <c r="F31" s="35" t="e">
        <f>F30*Assump!$D$24</f>
        <v>#REF!</v>
      </c>
      <c r="G31" s="35" t="e">
        <f>G30*Assump!$D$24</f>
        <v>#REF!</v>
      </c>
      <c r="H31" s="35" t="e">
        <f>H30*Assump!$D$24</f>
        <v>#REF!</v>
      </c>
      <c r="I31" s="35" t="e">
        <f>I30*Assump!$D$24</f>
        <v>#REF!</v>
      </c>
      <c r="J31" s="35" t="e">
        <f>J30*Assump!$D$24</f>
        <v>#REF!</v>
      </c>
      <c r="K31" s="35" t="e">
        <f>K30*Assump!$D$24</f>
        <v>#REF!</v>
      </c>
      <c r="L31" s="35" t="e">
        <f>L30*Assump!$D$24</f>
        <v>#REF!</v>
      </c>
      <c r="M31" s="35" t="e">
        <f>M30*Assump!$D$24</f>
        <v>#REF!</v>
      </c>
      <c r="N31" s="35" t="e">
        <f>N30*Assump!$D$24</f>
        <v>#REF!</v>
      </c>
      <c r="O31" s="35" t="e">
        <f>O30*Assump!$D$24</f>
        <v>#REF!</v>
      </c>
      <c r="P31" s="35" t="e">
        <f>P30*Assump!$D$24</f>
        <v>#REF!</v>
      </c>
      <c r="Q31" s="35" t="e">
        <f>Q30*Assump!$D$24</f>
        <v>#REF!</v>
      </c>
      <c r="R31" s="35" t="e">
        <f>R30*Assump!$D$24</f>
        <v>#REF!</v>
      </c>
      <c r="S31" s="35" t="e">
        <f>S30*Assump!$D$24</f>
        <v>#REF!</v>
      </c>
      <c r="T31" s="35" t="e">
        <f>T30*Assump!$D$24</f>
        <v>#REF!</v>
      </c>
      <c r="U31" s="35" t="e">
        <f>U30*Assump!$D$24</f>
        <v>#REF!</v>
      </c>
      <c r="V31" s="35" t="e">
        <f>V30*Assump!$D$24</f>
        <v>#REF!</v>
      </c>
      <c r="W31" s="35" t="e">
        <f>W30*Assump!$D$24</f>
        <v>#REF!</v>
      </c>
      <c r="X31" s="35" t="e">
        <f>X30*Assump!$D$24</f>
        <v>#REF!</v>
      </c>
      <c r="Y31" s="35" t="e">
        <f>Y30*Assump!$D$24</f>
        <v>#REF!</v>
      </c>
      <c r="Z31" s="35" t="e">
        <f>Z30*Assump!$D$24</f>
        <v>#REF!</v>
      </c>
      <c r="AA31" s="35" t="e">
        <f>AA30*Assump!$D$24</f>
        <v>#REF!</v>
      </c>
      <c r="AB31" s="35" t="e">
        <f>AB30*Assump!$D$24</f>
        <v>#REF!</v>
      </c>
      <c r="AC31" s="35" t="e">
        <f>AC30*Assump!$D$24</f>
        <v>#REF!</v>
      </c>
      <c r="AD31" s="35" t="e">
        <f>AD30*Assump!$D$24</f>
        <v>#REF!</v>
      </c>
      <c r="AE31" s="35" t="e">
        <f>AE30*Assump!$D$24</f>
        <v>#REF!</v>
      </c>
      <c r="AF31" s="35" t="e">
        <f>AF30*Assump!$D$24</f>
        <v>#REF!</v>
      </c>
      <c r="AG31" s="35" t="e">
        <f>AG30*Assump!$D$24</f>
        <v>#REF!</v>
      </c>
      <c r="AH31" s="35" t="e">
        <f>AH30*Assump!$D$24</f>
        <v>#REF!</v>
      </c>
      <c r="AI31" s="35" t="e">
        <f>AI30*Assump!$D$24</f>
        <v>#REF!</v>
      </c>
      <c r="AJ31" s="35" t="e">
        <f>AJ30*Assump!$D$24</f>
        <v>#REF!</v>
      </c>
      <c r="AK31" s="35" t="e">
        <f>AK30*Assump!$D$24</f>
        <v>#REF!</v>
      </c>
      <c r="AL31" s="35" t="e">
        <f>AL30*Assump!$D$24</f>
        <v>#REF!</v>
      </c>
      <c r="AM31" s="35" t="e">
        <f>AM30*Assump!$D$24</f>
        <v>#REF!</v>
      </c>
      <c r="AN31" s="35" t="e">
        <f>AN30*Assump!$D$24</f>
        <v>#REF!</v>
      </c>
      <c r="AO31" s="35" t="e">
        <f>AO30*Assump!$D$24</f>
        <v>#REF!</v>
      </c>
      <c r="AP31" s="35" t="e">
        <f>AP30*Assump!$D$24</f>
        <v>#REF!</v>
      </c>
      <c r="AQ31" s="35" t="e">
        <f>AQ30*Assump!$D$24</f>
        <v>#REF!</v>
      </c>
      <c r="AR31" s="35" t="e">
        <f>AR30*Assump!$D$24</f>
        <v>#REF!</v>
      </c>
      <c r="AS31" s="35" t="e">
        <f>AS30*Assump!$D$24</f>
        <v>#REF!</v>
      </c>
      <c r="AT31" s="35" t="e">
        <f>AT30*Assump!$D$24</f>
        <v>#REF!</v>
      </c>
      <c r="AU31" s="35" t="e">
        <f>AU30*Assump!$D$24</f>
        <v>#REF!</v>
      </c>
      <c r="AV31" s="35" t="e">
        <f>AV30*Assump!$D$24</f>
        <v>#REF!</v>
      </c>
      <c r="AW31" s="35" t="e">
        <f>AW30*Assump!$D$24</f>
        <v>#REF!</v>
      </c>
      <c r="AX31" s="35" t="e">
        <f>AX30*Assump!$D$24</f>
        <v>#REF!</v>
      </c>
      <c r="AY31" s="35" t="e">
        <f>AY30*Assump!$D$24</f>
        <v>#REF!</v>
      </c>
      <c r="AZ31" s="35" t="e">
        <f>AZ30*Assump!$D$24</f>
        <v>#REF!</v>
      </c>
      <c r="BA31" s="35" t="e">
        <f>BA30*Assump!$D$24</f>
        <v>#REF!</v>
      </c>
      <c r="BB31" s="35" t="e">
        <f>BB30*Assump!$D$24</f>
        <v>#REF!</v>
      </c>
      <c r="BC31" s="35" t="e">
        <f>BC30*Assump!$D$24</f>
        <v>#REF!</v>
      </c>
      <c r="BD31" s="35" t="e">
        <f>BD30*Assump!$D$24</f>
        <v>#REF!</v>
      </c>
      <c r="BE31" s="35" t="e">
        <f>BE30*Assump!$D$24</f>
        <v>#REF!</v>
      </c>
      <c r="BF31" s="35" t="e">
        <f>BF30*Assump!$D$24</f>
        <v>#REF!</v>
      </c>
      <c r="BG31" s="35" t="e">
        <f>BG30*Assump!$D$24</f>
        <v>#REF!</v>
      </c>
      <c r="BH31" s="35" t="e">
        <f>BH30*Assump!$D$24</f>
        <v>#REF!</v>
      </c>
      <c r="BI31" s="35" t="e">
        <f>BI30*Assump!$D$24</f>
        <v>#REF!</v>
      </c>
      <c r="BJ31" s="35" t="e">
        <f>BJ30*Assump!$D$24</f>
        <v>#REF!</v>
      </c>
      <c r="BK31" s="35" t="e">
        <f>BK30*Assump!$D$24</f>
        <v>#REF!</v>
      </c>
      <c r="BL31" s="35" t="e">
        <f>BL30*Assump!$D$24</f>
        <v>#REF!</v>
      </c>
      <c r="BM31" s="35" t="e">
        <f>BM30*Assump!$D$24</f>
        <v>#REF!</v>
      </c>
      <c r="BN31" s="35" t="e">
        <f>BN30*Assump!$D$24</f>
        <v>#REF!</v>
      </c>
      <c r="BO31" s="35" t="e">
        <f>BO30*Assump!$D$24</f>
        <v>#REF!</v>
      </c>
      <c r="BP31" s="35" t="e">
        <f>BP30*Assump!$D$24</f>
        <v>#REF!</v>
      </c>
      <c r="BQ31" s="35" t="e">
        <f>BQ30*Assump!$D$24</f>
        <v>#REF!</v>
      </c>
      <c r="BR31" s="35" t="e">
        <f>BR30*Assump!$D$24</f>
        <v>#REF!</v>
      </c>
      <c r="BS31" s="35" t="e">
        <f>BS30*Assump!$D$24</f>
        <v>#REF!</v>
      </c>
      <c r="BT31" s="35" t="e">
        <f>BT30*Assump!$D$24</f>
        <v>#REF!</v>
      </c>
      <c r="BU31" s="35" t="e">
        <f>BU30*Assump!$D$24</f>
        <v>#REF!</v>
      </c>
      <c r="BV31" s="35" t="e">
        <f>BV30*Assump!$D$24</f>
        <v>#REF!</v>
      </c>
      <c r="BW31" s="35" t="e">
        <f>BW30*Assump!$D$24</f>
        <v>#REF!</v>
      </c>
      <c r="BX31" s="35" t="e">
        <f>BX30*Assump!$D$24</f>
        <v>#REF!</v>
      </c>
      <c r="BY31" s="35" t="e">
        <f>BY30*Assump!$D$24</f>
        <v>#REF!</v>
      </c>
      <c r="BZ31" s="35" t="e">
        <f>BZ30*Assump!$D$24</f>
        <v>#REF!</v>
      </c>
      <c r="CA31" s="35" t="e">
        <f>CA30*Assump!$D$24</f>
        <v>#REF!</v>
      </c>
      <c r="CB31" s="35" t="e">
        <f>CB30*Assump!$D$24</f>
        <v>#REF!</v>
      </c>
      <c r="CC31" s="35" t="e">
        <f>CC30*Assump!$D$24</f>
        <v>#REF!</v>
      </c>
      <c r="CD31" s="35" t="e">
        <f>CD30*Assump!$D$24</f>
        <v>#REF!</v>
      </c>
      <c r="CE31" s="35" t="e">
        <f>CE30*Assump!$D$24</f>
        <v>#REF!</v>
      </c>
      <c r="CF31" s="35" t="e">
        <f>CF30*Assump!$D$24</f>
        <v>#REF!</v>
      </c>
      <c r="CG31" s="35" t="e">
        <f>CG30*Assump!$D$24</f>
        <v>#REF!</v>
      </c>
      <c r="CH31" s="35" t="e">
        <f>CH30*Assump!$D$24</f>
        <v>#REF!</v>
      </c>
      <c r="CI31" s="35" t="e">
        <f>CI30*Assump!$D$24</f>
        <v>#REF!</v>
      </c>
      <c r="CJ31" s="35" t="e">
        <f>CJ30*Assump!$D$24</f>
        <v>#REF!</v>
      </c>
      <c r="CK31" s="35" t="e">
        <f>CK30*Assump!$D$24</f>
        <v>#REF!</v>
      </c>
      <c r="CL31" s="35" t="e">
        <f>CL30*Assump!$D$24</f>
        <v>#REF!</v>
      </c>
      <c r="CM31" s="35" t="e">
        <f>CM30*Assump!$D$24</f>
        <v>#REF!</v>
      </c>
      <c r="CN31" s="35" t="e">
        <f>CN30*Assump!$D$24</f>
        <v>#REF!</v>
      </c>
      <c r="CO31" s="5" t="e">
        <f>CO30*Assump!$D$24</f>
        <v>#REF!</v>
      </c>
    </row>
    <row r="32" spans="1:93" ht="12.75" customHeight="1" outlineLevel="2">
      <c r="A32" s="35"/>
      <c r="B32" s="63" t="s">
        <v>132</v>
      </c>
      <c r="C32" s="74" t="e">
        <f t="shared" si="17"/>
        <v>#REF!</v>
      </c>
      <c r="D32" s="60"/>
      <c r="E32" s="35">
        <f>-IF(E15&gt;60%,#REF!*3/1000,0)</f>
        <v>0</v>
      </c>
      <c r="F32" s="35">
        <f>-IF(F15&gt;60%,#REF!*3/1000,0)</f>
        <v>0</v>
      </c>
      <c r="G32" s="35">
        <f>-IF(G15&gt;60%,#REF!*3/1000,0)</f>
        <v>0</v>
      </c>
      <c r="H32" s="35">
        <f>-IF(H15&gt;60%,#REF!*3/1000,0)</f>
        <v>0</v>
      </c>
      <c r="I32" s="35">
        <f>-IF(I15&gt;60%,#REF!*3/1000,0)</f>
        <v>0</v>
      </c>
      <c r="J32" s="35">
        <f>-IF(J15&gt;60%,#REF!*3/1000,0)</f>
        <v>0</v>
      </c>
      <c r="K32" s="35">
        <f>-IF(K15&gt;60%,#REF!*3/1000,0)</f>
        <v>0</v>
      </c>
      <c r="L32" s="35">
        <f>-IF(L15&gt;60%,#REF!*3/1000,0)</f>
        <v>0</v>
      </c>
      <c r="M32" s="35">
        <f>-IF(M15&gt;60%,#REF!*3/1000,0)</f>
        <v>0</v>
      </c>
      <c r="N32" s="35">
        <f>-IF(N15&gt;60%,#REF!*3/1000,0)</f>
        <v>0</v>
      </c>
      <c r="O32" s="35">
        <f>-IF(O15&gt;60%,#REF!*3/1000,0)</f>
        <v>0</v>
      </c>
      <c r="P32" s="35">
        <f>-IF(P15&gt;60%,#REF!*3/1000,0)</f>
        <v>0</v>
      </c>
      <c r="Q32" s="35">
        <f>-IF(Q15&gt;60%,#REF!*3/1000,0)</f>
        <v>0</v>
      </c>
      <c r="R32" s="35">
        <f>-IF(R15&gt;60%,#REF!*3/1000,0)</f>
        <v>0</v>
      </c>
      <c r="S32" s="35">
        <f>-IF(S15&gt;60%,#REF!*3/1000,0)</f>
        <v>0</v>
      </c>
      <c r="T32" s="35">
        <f>-IF(T15&gt;60%,#REF!*3/1000,0)</f>
        <v>0</v>
      </c>
      <c r="U32" s="35">
        <f>-IF(U15&gt;60%,#REF!*3/1000,0)</f>
        <v>0</v>
      </c>
      <c r="V32" s="35">
        <f>-IF(V15&gt;60%,#REF!*3/1000,0)</f>
        <v>0</v>
      </c>
      <c r="W32" s="35" t="e">
        <f>-IF(W15&gt;60%,#REF!*3/1000,0)</f>
        <v>#REF!</v>
      </c>
      <c r="X32" s="35" t="e">
        <f>-IF(X15&gt;60%,#REF!*3/1000,0)</f>
        <v>#REF!</v>
      </c>
      <c r="Y32" s="35" t="e">
        <f>-IF(Y15&gt;60%,#REF!*3/1000,0)</f>
        <v>#REF!</v>
      </c>
      <c r="Z32" s="35" t="e">
        <f>-IF(Z15&gt;60%,#REF!*3/1000,0)</f>
        <v>#REF!</v>
      </c>
      <c r="AA32" s="35" t="e">
        <f>-IF(AA15&gt;60%,#REF!*3/1000,0)</f>
        <v>#REF!</v>
      </c>
      <c r="AB32" s="35" t="e">
        <f>-IF(AB15&gt;60%,#REF!*3/1000,0)</f>
        <v>#REF!</v>
      </c>
      <c r="AC32" s="35" t="e">
        <f>-IF(AC15&gt;60%,#REF!*3/1000,0)</f>
        <v>#REF!</v>
      </c>
      <c r="AD32" s="35" t="e">
        <f>-IF(AD15&gt;60%,#REF!*3/1000,0)</f>
        <v>#REF!</v>
      </c>
      <c r="AE32" s="35" t="e">
        <f>-IF(AE15&gt;60%,#REF!*3/1000,0)</f>
        <v>#REF!</v>
      </c>
      <c r="AF32" s="35" t="e">
        <f>-IF(AF15&gt;60%,#REF!*3/1000,0)</f>
        <v>#REF!</v>
      </c>
      <c r="AG32" s="35" t="e">
        <f>-IF(AG15&gt;60%,#REF!*3/1000,0)</f>
        <v>#REF!</v>
      </c>
      <c r="AH32" s="35" t="e">
        <f>-IF(AH15&gt;60%,#REF!*3/1000,0)</f>
        <v>#REF!</v>
      </c>
      <c r="AI32" s="35" t="e">
        <f>-IF(AI15&gt;60%,#REF!*3/1000,0)</f>
        <v>#REF!</v>
      </c>
      <c r="AJ32" s="35" t="e">
        <f>-IF(AJ15&gt;60%,#REF!*3/1000,0)</f>
        <v>#REF!</v>
      </c>
      <c r="AK32" s="35" t="e">
        <f>-IF(AK15&gt;60%,#REF!*3/1000,0)</f>
        <v>#REF!</v>
      </c>
      <c r="AL32" s="35" t="e">
        <f>-IF(AL15&gt;60%,#REF!*3/1000,0)</f>
        <v>#REF!</v>
      </c>
      <c r="AM32" s="35" t="e">
        <f>-IF(AM15&gt;60%,#REF!*3/1000,0)</f>
        <v>#REF!</v>
      </c>
      <c r="AN32" s="35" t="e">
        <f>-IF(AN15&gt;60%,#REF!*3/1000,0)</f>
        <v>#REF!</v>
      </c>
      <c r="AO32" s="35" t="e">
        <f>-IF(AO15&gt;60%,#REF!*3/1000,0)</f>
        <v>#REF!</v>
      </c>
      <c r="AP32" s="35" t="e">
        <f>-IF(AP15&gt;60%,#REF!*3/1000,0)</f>
        <v>#REF!</v>
      </c>
      <c r="AQ32" s="35" t="e">
        <f>-IF(AQ15&gt;60%,#REF!*3/1000,0)</f>
        <v>#REF!</v>
      </c>
      <c r="AR32" s="35" t="e">
        <f>-IF(AR15&gt;60%,#REF!*3/1000,0)</f>
        <v>#REF!</v>
      </c>
      <c r="AS32" s="35" t="e">
        <f>-IF(AS15&gt;60%,#REF!*3/1000,0)</f>
        <v>#REF!</v>
      </c>
      <c r="AT32" s="35" t="e">
        <f>-IF(AT15&gt;60%,#REF!*3/1000,0)</f>
        <v>#REF!</v>
      </c>
      <c r="AU32" s="35" t="e">
        <f>-IF(AU15&gt;60%,#REF!*3/1000,0)</f>
        <v>#REF!</v>
      </c>
      <c r="AV32" s="35" t="e">
        <f>-IF(AV15&gt;60%,#REF!*3/1000,0)</f>
        <v>#REF!</v>
      </c>
      <c r="AW32" s="35" t="e">
        <f>-IF(AW15&gt;60%,#REF!*3/1000,0)</f>
        <v>#REF!</v>
      </c>
      <c r="AX32" s="35" t="e">
        <f>-IF(AX15&gt;60%,#REF!*3/1000,0)</f>
        <v>#REF!</v>
      </c>
      <c r="AY32" s="35" t="e">
        <f>-IF(AY15&gt;60%,#REF!*3/1000,0)</f>
        <v>#REF!</v>
      </c>
      <c r="AZ32" s="35" t="e">
        <f>-IF(AZ15&gt;60%,#REF!*3/1000,0)</f>
        <v>#REF!</v>
      </c>
      <c r="BA32" s="35" t="e">
        <f>-IF(BA15&gt;60%,#REF!*3/1000,0)</f>
        <v>#REF!</v>
      </c>
      <c r="BB32" s="35" t="e">
        <f>-IF(BB15&gt;60%,#REF!*3/1000,0)</f>
        <v>#REF!</v>
      </c>
      <c r="BC32" s="35" t="e">
        <f>-IF(BC15&gt;60%,#REF!*3/1000,0)</f>
        <v>#REF!</v>
      </c>
      <c r="BD32" s="35" t="e">
        <f>-IF(BD15&gt;60%,#REF!*3/1000,0)</f>
        <v>#REF!</v>
      </c>
      <c r="BE32" s="35" t="e">
        <f>-IF(BE15&gt;60%,#REF!*3/1000,0)</f>
        <v>#REF!</v>
      </c>
      <c r="BF32" s="35" t="e">
        <f>-IF(BF15&gt;60%,#REF!*3/1000,0)</f>
        <v>#REF!</v>
      </c>
      <c r="BG32" s="35" t="e">
        <f>-IF(BG15&gt;60%,#REF!*3/1000,0)</f>
        <v>#REF!</v>
      </c>
      <c r="BH32" s="35" t="e">
        <f>-IF(BH15&gt;60%,#REF!*3/1000,0)</f>
        <v>#REF!</v>
      </c>
      <c r="BI32" s="35" t="e">
        <f>-IF(BI15&gt;60%,#REF!*3/1000,0)</f>
        <v>#REF!</v>
      </c>
      <c r="BJ32" s="35" t="e">
        <f>-IF(BJ15&gt;60%,#REF!*3/1000,0)</f>
        <v>#REF!</v>
      </c>
      <c r="BK32" s="35" t="e">
        <f>-IF(BK15&gt;60%,#REF!*3/1000,0)</f>
        <v>#REF!</v>
      </c>
      <c r="BL32" s="35" t="e">
        <f>-IF(BL15&gt;60%,#REF!*3/1000,0)</f>
        <v>#REF!</v>
      </c>
      <c r="BM32" s="35" t="e">
        <f>-IF(BM15&gt;60%,#REF!*3/1000,0)</f>
        <v>#REF!</v>
      </c>
      <c r="BN32" s="35" t="e">
        <f>-IF(BN15&gt;60%,#REF!*3/1000,0)</f>
        <v>#REF!</v>
      </c>
      <c r="BO32" s="35" t="e">
        <f>-IF(BO15&gt;60%,#REF!*3/1000,0)</f>
        <v>#REF!</v>
      </c>
      <c r="BP32" s="35" t="e">
        <f>-IF(BP15&gt;60%,#REF!*3/1000,0)</f>
        <v>#REF!</v>
      </c>
      <c r="BQ32" s="35" t="e">
        <f>-IF(BQ15&gt;60%,#REF!*3/1000,0)</f>
        <v>#REF!</v>
      </c>
      <c r="BR32" s="35" t="e">
        <f>-IF(BR15&gt;60%,#REF!*3/1000,0)</f>
        <v>#REF!</v>
      </c>
      <c r="BS32" s="35" t="e">
        <f>-IF(BS15&gt;60%,#REF!*3/1000,0)</f>
        <v>#REF!</v>
      </c>
      <c r="BT32" s="35" t="e">
        <f>-IF(BT15&gt;60%,#REF!*3/1000,0)</f>
        <v>#REF!</v>
      </c>
      <c r="BU32" s="35" t="e">
        <f>-IF(BU15&gt;60%,#REF!*3/1000,0)</f>
        <v>#REF!</v>
      </c>
      <c r="BV32" s="35" t="e">
        <f>-IF(BV15&gt;60%,#REF!*3/1000,0)</f>
        <v>#REF!</v>
      </c>
      <c r="BW32" s="35" t="e">
        <f>-IF(BW15&gt;60%,#REF!*3/1000,0)</f>
        <v>#REF!</v>
      </c>
      <c r="BX32" s="35" t="e">
        <f>-IF(BX15&gt;60%,#REF!*3/1000,0)</f>
        <v>#REF!</v>
      </c>
      <c r="BY32" s="35" t="e">
        <f>-IF(BY15&gt;60%,#REF!*3/1000,0)</f>
        <v>#REF!</v>
      </c>
      <c r="BZ32" s="35" t="e">
        <f>-IF(BZ15&gt;60%,#REF!*3/1000,0)</f>
        <v>#REF!</v>
      </c>
      <c r="CA32" s="35" t="e">
        <f>-IF(CA15&gt;60%,#REF!*3/1000,0)</f>
        <v>#REF!</v>
      </c>
      <c r="CB32" s="35" t="e">
        <f>-IF(CB15&gt;60%,#REF!*3/1000,0)</f>
        <v>#REF!</v>
      </c>
      <c r="CC32" s="35" t="e">
        <f>-IF(CC15&gt;60%,#REF!*3/1000,0)</f>
        <v>#REF!</v>
      </c>
      <c r="CD32" s="35" t="e">
        <f>-IF(CD15&gt;60%,#REF!*3/1000,0)</f>
        <v>#REF!</v>
      </c>
      <c r="CE32" s="35" t="e">
        <f>-IF(CE15&gt;60%,#REF!*3/1000,0)</f>
        <v>#REF!</v>
      </c>
      <c r="CF32" s="35" t="e">
        <f>-IF(CF15&gt;60%,#REF!*3/1000,0)</f>
        <v>#REF!</v>
      </c>
      <c r="CG32" s="35" t="e">
        <f>-IF(CG15&gt;60%,#REF!*3/1000,0)</f>
        <v>#REF!</v>
      </c>
      <c r="CH32" s="35" t="e">
        <f>-IF(CH15&gt;60%,#REF!*3/1000,0)</f>
        <v>#REF!</v>
      </c>
      <c r="CI32" s="35" t="e">
        <f>-IF(CI15&gt;60%,#REF!*3/1000,0)</f>
        <v>#REF!</v>
      </c>
      <c r="CJ32" s="35" t="e">
        <f>-IF(CJ15&gt;60%,#REF!*3/1000,0)</f>
        <v>#REF!</v>
      </c>
      <c r="CK32" s="35" t="e">
        <f>-IF(CK15&gt;60%,#REF!*3/1000,0)</f>
        <v>#REF!</v>
      </c>
      <c r="CL32" s="35" t="e">
        <f>-IF(CL15&gt;60%,#REF!*3/1000,0)</f>
        <v>#REF!</v>
      </c>
      <c r="CM32" s="35" t="e">
        <f>-IF(CM15&gt;60%,#REF!*3/1000,0)</f>
        <v>#REF!</v>
      </c>
      <c r="CN32" s="35" t="e">
        <f>-IF(CN15&gt;60%,#REF!*3/1000,0)</f>
        <v>#REF!</v>
      </c>
      <c r="CO32" s="5" t="e">
        <f>-IF(CO15&gt;60%,#REF!*3/1000,0)</f>
        <v>#REF!</v>
      </c>
    </row>
    <row r="33" spans="1:93" ht="12.75" customHeight="1" outlineLevel="2">
      <c r="A33" s="35"/>
      <c r="B33" s="63" t="s">
        <v>133</v>
      </c>
      <c r="C33" s="74">
        <f t="shared" si="17"/>
        <v>-1138721.0574330864</v>
      </c>
      <c r="D33" s="60"/>
      <c r="E33" s="35">
        <f>-E22*'операционные  расходы 1 этап'!$R$11</f>
        <v>0</v>
      </c>
      <c r="F33" s="35">
        <f>-F22*'операционные  расходы 1 этап'!$R$11</f>
        <v>0</v>
      </c>
      <c r="G33" s="35">
        <f>-G22*'операционные  расходы 1 этап'!$R$11</f>
        <v>0</v>
      </c>
      <c r="H33" s="35">
        <f>-H22*'операционные  расходы 1 этап'!$R$11</f>
        <v>0</v>
      </c>
      <c r="I33" s="35">
        <f>-I22*'операционные  расходы 1 этап'!$R$11</f>
        <v>0</v>
      </c>
      <c r="J33" s="35">
        <f>-J22*'операционные  расходы 1 этап'!$R$11</f>
        <v>0</v>
      </c>
      <c r="K33" s="35">
        <f>-K22*'операционные  расходы 1 этап'!$R$11</f>
        <v>0</v>
      </c>
      <c r="L33" s="35">
        <f>-L22*'операционные  расходы 1 этап'!$R$11</f>
        <v>0</v>
      </c>
      <c r="M33" s="35">
        <f>-M22*'операционные  расходы 1 этап'!$R$11</f>
        <v>0</v>
      </c>
      <c r="N33" s="35">
        <f>-N22*'операционные  расходы 1 этап'!$R$11</f>
        <v>0</v>
      </c>
      <c r="O33" s="35">
        <f>-O22*'операционные  расходы 1 этап'!$R$11</f>
        <v>0</v>
      </c>
      <c r="P33" s="35">
        <f>-P22*'операционные  расходы 1 этап'!$R$11</f>
        <v>0</v>
      </c>
      <c r="Q33" s="35">
        <f>-Q22*'операционные  расходы 1 этап'!$R$11</f>
        <v>0</v>
      </c>
      <c r="R33" s="35">
        <f>-R22*'операционные  расходы 1 этап'!$R$11</f>
        <v>0</v>
      </c>
      <c r="S33" s="35">
        <f>-S22*'операционные  расходы 1 этап'!$R$11</f>
        <v>0</v>
      </c>
      <c r="T33" s="35">
        <f>-T22*'операционные  расходы 1 этап'!$R$11</f>
        <v>0</v>
      </c>
      <c r="U33" s="35">
        <f>-U22*'операционные  расходы 1 этап'!$R$11</f>
        <v>0</v>
      </c>
      <c r="V33" s="35">
        <f>-V22*'операционные  расходы 1 этап'!$R$11</f>
        <v>0</v>
      </c>
      <c r="W33" s="35">
        <f>-W22*'операционные  расходы 1 этап'!$R$11</f>
        <v>-13059.011735280003</v>
      </c>
      <c r="X33" s="35">
        <f>-X22*'операционные  расходы 1 этап'!$R$11</f>
        <v>-15190.53555432</v>
      </c>
      <c r="Y33" s="35">
        <f>-Y22*'операционные  расходы 1 этап'!$R$11</f>
        <v>-9746.8606788000016</v>
      </c>
      <c r="Z33" s="35">
        <f>-Z22*'операционные  расходы 1 этап'!$R$11</f>
        <v>-10892.121355080002</v>
      </c>
      <c r="AA33" s="35">
        <f>-AA22*'операционные  расходы 1 этап'!$R$11</f>
        <v>-13711.962322044003</v>
      </c>
      <c r="AB33" s="35">
        <f>-AB22*'операционные  расходы 1 этап'!$R$11</f>
        <v>-15950.062332036003</v>
      </c>
      <c r="AC33" s="35">
        <f>-AC22*'операционные  расходы 1 этап'!$R$11</f>
        <v>-10234.20371274</v>
      </c>
      <c r="AD33" s="35">
        <f>-AD22*'операционные  расходы 1 этап'!$R$11</f>
        <v>-11436.727422834001</v>
      </c>
      <c r="AE33" s="35">
        <f>-AE22*'операционные  расходы 1 этап'!$R$11</f>
        <v>-14397.560438146202</v>
      </c>
      <c r="AF33" s="35">
        <f>-AF22*'операционные  расходы 1 этап'!$R$11</f>
        <v>-16747.565448637797</v>
      </c>
      <c r="AG33" s="35">
        <f>-AG22*'операционные  расходы 1 этап'!$R$11</f>
        <v>-10745.913898377001</v>
      </c>
      <c r="AH33" s="35">
        <f>-AH22*'операционные  расходы 1 этап'!$R$11</f>
        <v>-14397.560438146204</v>
      </c>
      <c r="AI33" s="35">
        <f>-AI22*'операционные  расходы 1 этап'!$R$11</f>
        <v>-16747.565448637801</v>
      </c>
      <c r="AJ33" s="35">
        <f>-AJ22*'операционные  расходы 1 этап'!$R$11</f>
        <v>-10745.913898377001</v>
      </c>
      <c r="AK33" s="35">
        <f>-AK22*'операционные  расходы 1 этап'!$R$11</f>
        <v>-12008.5637939757</v>
      </c>
      <c r="AL33" s="35">
        <f>-AL22*'операционные  расходы 1 этап'!$R$11</f>
        <v>-15117.438460053512</v>
      </c>
      <c r="AM33" s="35">
        <f>-AM22*'операционные  расходы 1 этап'!$R$11</f>
        <v>-17584.943721069689</v>
      </c>
      <c r="AN33" s="35">
        <f>-AN22*'операционные  расходы 1 этап'!$R$11</f>
        <v>-11283.209593295851</v>
      </c>
      <c r="AO33" s="35">
        <f>-AO22*'операционные  расходы 1 этап'!$R$11</f>
        <v>-15117.438460053516</v>
      </c>
      <c r="AP33" s="35">
        <f>-AP22*'операционные  расходы 1 этап'!$R$11</f>
        <v>-17584.943721069692</v>
      </c>
      <c r="AQ33" s="35">
        <f>-AQ22*'операционные  расходы 1 этап'!$R$11</f>
        <v>-11283.209593295851</v>
      </c>
      <c r="AR33" s="35">
        <f>-AR22*'операционные  расходы 1 этап'!$R$11</f>
        <v>-12608.991983674487</v>
      </c>
      <c r="AS33" s="35">
        <f>-AS22*'операционные  расходы 1 этап'!$R$11</f>
        <v>-15873.31038305619</v>
      </c>
      <c r="AT33" s="35">
        <f>-AT22*'операционные  расходы 1 этап'!$R$11</f>
        <v>-18464.190907123171</v>
      </c>
      <c r="AU33" s="35">
        <f>-AU22*'операционные  расходы 1 этап'!$R$11</f>
        <v>-11847.370072960644</v>
      </c>
      <c r="AV33" s="35">
        <f>-AV22*'операционные  расходы 1 этап'!$R$11</f>
        <v>-15873.310383056192</v>
      </c>
      <c r="AW33" s="35">
        <f>-AW22*'операционные  расходы 1 этап'!$R$11</f>
        <v>-18464.190907123178</v>
      </c>
      <c r="AX33" s="35">
        <f>-AX22*'операционные  расходы 1 этап'!$R$11</f>
        <v>-11847.370072960644</v>
      </c>
      <c r="AY33" s="35">
        <f>-AY22*'операционные  расходы 1 этап'!$R$11</f>
        <v>-13239.441582858211</v>
      </c>
      <c r="AZ33" s="35">
        <f>-AZ22*'операционные  расходы 1 этап'!$R$11</f>
        <v>-16666.975902209</v>
      </c>
      <c r="BA33" s="35">
        <f>-BA22*'операционные  расходы 1 этап'!$R$11</f>
        <v>-19387.400452479334</v>
      </c>
      <c r="BB33" s="35">
        <f>-BB22*'операционные  расходы 1 этап'!$R$11</f>
        <v>-12439.738576608677</v>
      </c>
      <c r="BC33" s="35">
        <f>-BC22*'операционные  расходы 1 этап'!$R$11</f>
        <v>-16666.975902209004</v>
      </c>
      <c r="BD33" s="35">
        <f>-BD22*'операционные  расходы 1 этап'!$R$11</f>
        <v>-19387.400452479338</v>
      </c>
      <c r="BE33" s="35">
        <f>-BE22*'операционные  расходы 1 этап'!$R$11</f>
        <v>-12439.738576608677</v>
      </c>
      <c r="BF33" s="35">
        <f>-BF22*'операционные  расходы 1 этап'!$R$11</f>
        <v>-13901.413662001123</v>
      </c>
      <c r="BG33" s="35">
        <f>-BG22*'операционные  расходы 1 этап'!$R$11</f>
        <v>-17500.324697319451</v>
      </c>
      <c r="BH33" s="35">
        <f>-BH22*'операционные  расходы 1 этап'!$R$11</f>
        <v>-20356.770475103302</v>
      </c>
      <c r="BI33" s="35">
        <f>-BI22*'операционные  расходы 1 этап'!$R$11</f>
        <v>-13061.725505439112</v>
      </c>
      <c r="BJ33" s="35">
        <f>-BJ22*'операционные  расходы 1 этап'!$R$11</f>
        <v>-17500.324697319455</v>
      </c>
      <c r="BK33" s="35">
        <f>-BK22*'операционные  расходы 1 этап'!$R$11</f>
        <v>-20356.770475103305</v>
      </c>
      <c r="BL33" s="35">
        <f>-BL22*'операционные  расходы 1 этап'!$R$11</f>
        <v>-13061.725505439112</v>
      </c>
      <c r="BM33" s="35">
        <f>-BM22*'операционные  расходы 1 этап'!$R$11</f>
        <v>-14596.48434510118</v>
      </c>
      <c r="BN33" s="35">
        <f>-BN22*'операционные  расходы 1 этап'!$R$11</f>
        <v>-18375.340932185423</v>
      </c>
      <c r="BO33" s="35">
        <f>-BO22*'операционные  расходы 1 этап'!$R$11</f>
        <v>-21374.608998858464</v>
      </c>
      <c r="BP33" s="35">
        <f>-BP22*'операционные  расходы 1 этап'!$R$11</f>
        <v>-13714.811780711067</v>
      </c>
      <c r="BQ33" s="35">
        <f>-BQ22*'операционные  расходы 1 этап'!$R$11</f>
        <v>-18375.340932185427</v>
      </c>
      <c r="BR33" s="35">
        <f>-BR22*'операционные  расходы 1 этап'!$R$11</f>
        <v>-21374.608998858468</v>
      </c>
      <c r="BS33" s="35">
        <f>-BS22*'операционные  расходы 1 этап'!$R$11</f>
        <v>-13714.811780711067</v>
      </c>
      <c r="BT33" s="35">
        <f>-BT22*'операционные  расходы 1 этап'!$R$11</f>
        <v>-15326.30856235624</v>
      </c>
      <c r="BU33" s="35">
        <f>-BU22*'операционные  расходы 1 этап'!$R$11</f>
        <v>-19294.107978794698</v>
      </c>
      <c r="BV33" s="35">
        <f>-BV22*'операционные  расходы 1 этап'!$R$11</f>
        <v>-22443.339448801387</v>
      </c>
      <c r="BW33" s="35">
        <f>-BW22*'операционные  расходы 1 этап'!$R$11</f>
        <v>-14400.552369746621</v>
      </c>
      <c r="BX33" s="35">
        <f>-BX22*'операционные  расходы 1 этап'!$R$11</f>
        <v>-19294.107978794702</v>
      </c>
      <c r="BY33" s="35">
        <f>-BY22*'операционные  расходы 1 этап'!$R$11</f>
        <v>-22443.339448801391</v>
      </c>
      <c r="BZ33" s="35">
        <f>-BZ22*'операционные  расходы 1 этап'!$R$11</f>
        <v>-14400.552369746621</v>
      </c>
      <c r="CA33" s="35">
        <f>-CA22*'операционные  расходы 1 этап'!$R$11</f>
        <v>-16092.623990474052</v>
      </c>
      <c r="CB33" s="35">
        <f>-CB22*'операционные  расходы 1 этап'!$R$11</f>
        <v>-20258.813377734434</v>
      </c>
      <c r="CC33" s="35">
        <f>-CC22*'операционные  расходы 1 этап'!$R$11</f>
        <v>-23565.506421241458</v>
      </c>
      <c r="CD33" s="35">
        <f>-CD22*'операционные  расходы 1 этап'!$R$11</f>
        <v>-15120.579988233954</v>
      </c>
      <c r="CE33" s="35">
        <f>-CE22*'операционные  расходы 1 этап'!$R$11</f>
        <v>-20258.813377734437</v>
      </c>
      <c r="CF33" s="35">
        <f>-CF22*'операционные  расходы 1 этап'!$R$11</f>
        <v>-23565.506421241462</v>
      </c>
      <c r="CG33" s="35">
        <f>-CG22*'операционные  расходы 1 этап'!$R$11</f>
        <v>-15120.579988233954</v>
      </c>
      <c r="CH33" s="35">
        <f>-CH22*'операционные  расходы 1 этап'!$R$11</f>
        <v>-16897.255189997755</v>
      </c>
      <c r="CI33" s="35">
        <f>-CI22*'операционные  расходы 1 этап'!$R$11</f>
        <v>-21271.754046621158</v>
      </c>
      <c r="CJ33" s="35">
        <f>-CJ22*'операционные  расходы 1 этап'!$R$11</f>
        <v>-24743.78174230353</v>
      </c>
      <c r="CK33" s="35">
        <f>-CK22*'операционные  расходы 1 этап'!$R$11</f>
        <v>-15876.608987645654</v>
      </c>
      <c r="CL33" s="35">
        <f>-CL22*'операционные  расходы 1 этап'!$R$11</f>
        <v>-21271.754046621161</v>
      </c>
      <c r="CM33" s="35">
        <f>-CM22*'операционные  расходы 1 этап'!$R$11</f>
        <v>-24743.781742303534</v>
      </c>
      <c r="CN33" s="35">
        <f>-CN22*'операционные  расходы 1 этап'!$R$11</f>
        <v>-15876.608987645654</v>
      </c>
      <c r="CO33" s="5">
        <f>-CO22*'операционные  расходы 1 этап'!$R$11</f>
        <v>-17742.117949497646</v>
      </c>
    </row>
    <row r="34" spans="1:93" ht="12.75" customHeight="1" outlineLevel="2">
      <c r="A34" s="35"/>
      <c r="B34" s="63" t="s">
        <v>134</v>
      </c>
      <c r="C34" s="74" t="e">
        <f t="shared" si="17"/>
        <v>#REF!</v>
      </c>
      <c r="D34" s="60"/>
      <c r="E34" s="35">
        <f>-E20*'операционные  расходы 1 этап'!$S$12</f>
        <v>0</v>
      </c>
      <c r="F34" s="35">
        <f>-F20*'операционные  расходы 1 этап'!$S$12</f>
        <v>0</v>
      </c>
      <c r="G34" s="35">
        <f>-G20*'операционные  расходы 1 этап'!$S$12</f>
        <v>0</v>
      </c>
      <c r="H34" s="35">
        <f>-H20*'операционные  расходы 1 этап'!$S$12</f>
        <v>0</v>
      </c>
      <c r="I34" s="35">
        <f>-I20*'операционные  расходы 1 этап'!$S$12</f>
        <v>0</v>
      </c>
      <c r="J34" s="35">
        <f>-J20*'операционные  расходы 1 этап'!$S$12</f>
        <v>0</v>
      </c>
      <c r="K34" s="35">
        <f>-K20*'операционные  расходы 1 этап'!$S$12</f>
        <v>0</v>
      </c>
      <c r="L34" s="35">
        <f>-L20*'операционные  расходы 1 этап'!$S$12</f>
        <v>0</v>
      </c>
      <c r="M34" s="35">
        <f>-M20*'операционные  расходы 1 этап'!$S$12</f>
        <v>0</v>
      </c>
      <c r="N34" s="35">
        <f>-N20*'операционные  расходы 1 этап'!$S$12</f>
        <v>0</v>
      </c>
      <c r="O34" s="35">
        <f>-O20*'операционные  расходы 1 этап'!$S$12</f>
        <v>0</v>
      </c>
      <c r="P34" s="35">
        <f>-P20*'операционные  расходы 1 этап'!$S$12</f>
        <v>0</v>
      </c>
      <c r="Q34" s="35">
        <f>-Q20*'операционные  расходы 1 этап'!$S$12</f>
        <v>0</v>
      </c>
      <c r="R34" s="35">
        <f>-R20*'операционные  расходы 1 этап'!$S$12</f>
        <v>0</v>
      </c>
      <c r="S34" s="35">
        <f>-S20*'операционные  расходы 1 этап'!$S$12</f>
        <v>0</v>
      </c>
      <c r="T34" s="35">
        <f>-T20*'операционные  расходы 1 этап'!$S$12</f>
        <v>0</v>
      </c>
      <c r="U34" s="35">
        <f>-U20*'операционные  расходы 1 этап'!$S$12</f>
        <v>0</v>
      </c>
      <c r="V34" s="35">
        <f>-V20*'операционные  расходы 1 этап'!$S$12</f>
        <v>0</v>
      </c>
      <c r="W34" s="35" t="e">
        <f>-W20*'операционные  расходы 1 этап'!$S$12</f>
        <v>#REF!</v>
      </c>
      <c r="X34" s="35" t="e">
        <f>-X20*'операционные  расходы 1 этап'!$S$12</f>
        <v>#REF!</v>
      </c>
      <c r="Y34" s="35" t="e">
        <f>-Y20*'операционные  расходы 1 этап'!$S$12</f>
        <v>#REF!</v>
      </c>
      <c r="Z34" s="35" t="e">
        <f>-Z20*'операционные  расходы 1 этап'!$S$12</f>
        <v>#REF!</v>
      </c>
      <c r="AA34" s="35" t="e">
        <f>-AA20*'операционные  расходы 1 этап'!$S$12</f>
        <v>#REF!</v>
      </c>
      <c r="AB34" s="35" t="e">
        <f>-AB20*'операционные  расходы 1 этап'!$S$12</f>
        <v>#REF!</v>
      </c>
      <c r="AC34" s="35" t="e">
        <f>-AC20*'операционные  расходы 1 этап'!$S$12</f>
        <v>#REF!</v>
      </c>
      <c r="AD34" s="35" t="e">
        <f>-AD20*'операционные  расходы 1 этап'!$S$12</f>
        <v>#REF!</v>
      </c>
      <c r="AE34" s="35" t="e">
        <f>-AE20*'операционные  расходы 1 этап'!$S$12</f>
        <v>#REF!</v>
      </c>
      <c r="AF34" s="35" t="e">
        <f>-AF20*'операционные  расходы 1 этап'!$S$12</f>
        <v>#REF!</v>
      </c>
      <c r="AG34" s="35" t="e">
        <f>-AG20*'операционные  расходы 1 этап'!$S$12</f>
        <v>#REF!</v>
      </c>
      <c r="AH34" s="35" t="e">
        <f>-AH20*'операционные  расходы 1 этап'!$S$12</f>
        <v>#REF!</v>
      </c>
      <c r="AI34" s="35" t="e">
        <f>-AI20*'операционные  расходы 1 этап'!$S$12</f>
        <v>#REF!</v>
      </c>
      <c r="AJ34" s="35" t="e">
        <f>-AJ20*'операционные  расходы 1 этап'!$S$12</f>
        <v>#REF!</v>
      </c>
      <c r="AK34" s="35" t="e">
        <f>-AK20*'операционные  расходы 1 этап'!$S$12</f>
        <v>#REF!</v>
      </c>
      <c r="AL34" s="35" t="e">
        <f>-AL20*'операционные  расходы 1 этап'!$S$12</f>
        <v>#REF!</v>
      </c>
      <c r="AM34" s="35" t="e">
        <f>-AM20*'операционные  расходы 1 этап'!$S$12</f>
        <v>#REF!</v>
      </c>
      <c r="AN34" s="35" t="e">
        <f>-AN20*'операционные  расходы 1 этап'!$S$12</f>
        <v>#REF!</v>
      </c>
      <c r="AO34" s="35" t="e">
        <f>-AO20*'операционные  расходы 1 этап'!$S$12</f>
        <v>#REF!</v>
      </c>
      <c r="AP34" s="35" t="e">
        <f>-AP20*'операционные  расходы 1 этап'!$S$12</f>
        <v>#REF!</v>
      </c>
      <c r="AQ34" s="35" t="e">
        <f>-AQ20*'операционные  расходы 1 этап'!$S$12</f>
        <v>#REF!</v>
      </c>
      <c r="AR34" s="35" t="e">
        <f>-AR20*'операционные  расходы 1 этап'!$S$12</f>
        <v>#REF!</v>
      </c>
      <c r="AS34" s="35" t="e">
        <f>-AS20*'операционные  расходы 1 этап'!$S$12</f>
        <v>#REF!</v>
      </c>
      <c r="AT34" s="35" t="e">
        <f>-AT20*'операционные  расходы 1 этап'!$S$12</f>
        <v>#REF!</v>
      </c>
      <c r="AU34" s="35" t="e">
        <f>-AU20*'операционные  расходы 1 этап'!$S$12</f>
        <v>#REF!</v>
      </c>
      <c r="AV34" s="35" t="e">
        <f>-AV20*'операционные  расходы 1 этап'!$S$12</f>
        <v>#REF!</v>
      </c>
      <c r="AW34" s="35" t="e">
        <f>-AW20*'операционные  расходы 1 этап'!$S$12</f>
        <v>#REF!</v>
      </c>
      <c r="AX34" s="35" t="e">
        <f>-AX20*'операционные  расходы 1 этап'!$S$12</f>
        <v>#REF!</v>
      </c>
      <c r="AY34" s="35" t="e">
        <f>-AY20*'операционные  расходы 1 этап'!$S$12</f>
        <v>#REF!</v>
      </c>
      <c r="AZ34" s="35" t="e">
        <f>-AZ20*'операционные  расходы 1 этап'!$S$12</f>
        <v>#REF!</v>
      </c>
      <c r="BA34" s="35" t="e">
        <f>-BA20*'операционные  расходы 1 этап'!$S$12</f>
        <v>#REF!</v>
      </c>
      <c r="BB34" s="35" t="e">
        <f>-BB20*'операционные  расходы 1 этап'!$S$12</f>
        <v>#REF!</v>
      </c>
      <c r="BC34" s="35" t="e">
        <f>-BC20*'операционные  расходы 1 этап'!$S$12</f>
        <v>#REF!</v>
      </c>
      <c r="BD34" s="35" t="e">
        <f>-BD20*'операционные  расходы 1 этап'!$S$12</f>
        <v>#REF!</v>
      </c>
      <c r="BE34" s="35" t="e">
        <f>-BE20*'операционные  расходы 1 этап'!$S$12</f>
        <v>#REF!</v>
      </c>
      <c r="BF34" s="35" t="e">
        <f>-BF20*'операционные  расходы 1 этап'!$S$12</f>
        <v>#REF!</v>
      </c>
      <c r="BG34" s="35" t="e">
        <f>-BG20*'операционные  расходы 1 этап'!$S$12</f>
        <v>#REF!</v>
      </c>
      <c r="BH34" s="35" t="e">
        <f>-BH20*'операционные  расходы 1 этап'!$S$12</f>
        <v>#REF!</v>
      </c>
      <c r="BI34" s="35" t="e">
        <f>-BI20*'операционные  расходы 1 этап'!$S$12</f>
        <v>#REF!</v>
      </c>
      <c r="BJ34" s="35" t="e">
        <f>-BJ20*'операционные  расходы 1 этап'!$S$12</f>
        <v>#REF!</v>
      </c>
      <c r="BK34" s="35" t="e">
        <f>-BK20*'операционные  расходы 1 этап'!$S$12</f>
        <v>#REF!</v>
      </c>
      <c r="BL34" s="35" t="e">
        <f>-BL20*'операционные  расходы 1 этап'!$S$12</f>
        <v>#REF!</v>
      </c>
      <c r="BM34" s="35" t="e">
        <f>-BM20*'операционные  расходы 1 этап'!$S$12</f>
        <v>#REF!</v>
      </c>
      <c r="BN34" s="35" t="e">
        <f>-BN20*'операционные  расходы 1 этап'!$S$12</f>
        <v>#REF!</v>
      </c>
      <c r="BO34" s="35" t="e">
        <f>-BO20*'операционные  расходы 1 этап'!$S$12</f>
        <v>#REF!</v>
      </c>
      <c r="BP34" s="35" t="e">
        <f>-BP20*'операционные  расходы 1 этап'!$S$12</f>
        <v>#REF!</v>
      </c>
      <c r="BQ34" s="35" t="e">
        <f>-BQ20*'операционные  расходы 1 этап'!$S$12</f>
        <v>#REF!</v>
      </c>
      <c r="BR34" s="35" t="e">
        <f>-BR20*'операционные  расходы 1 этап'!$S$12</f>
        <v>#REF!</v>
      </c>
      <c r="BS34" s="35" t="e">
        <f>-BS20*'операционные  расходы 1 этап'!$S$12</f>
        <v>#REF!</v>
      </c>
      <c r="BT34" s="35" t="e">
        <f>-BT20*'операционные  расходы 1 этап'!$S$12</f>
        <v>#REF!</v>
      </c>
      <c r="BU34" s="35" t="e">
        <f>-BU20*'операционные  расходы 1 этап'!$S$12</f>
        <v>#REF!</v>
      </c>
      <c r="BV34" s="35" t="e">
        <f>-BV20*'операционные  расходы 1 этап'!$S$12</f>
        <v>#REF!</v>
      </c>
      <c r="BW34" s="35" t="e">
        <f>-BW20*'операционные  расходы 1 этап'!$S$12</f>
        <v>#REF!</v>
      </c>
      <c r="BX34" s="35" t="e">
        <f>-BX20*'операционные  расходы 1 этап'!$S$12</f>
        <v>#REF!</v>
      </c>
      <c r="BY34" s="35" t="e">
        <f>-BY20*'операционные  расходы 1 этап'!$S$12</f>
        <v>#REF!</v>
      </c>
      <c r="BZ34" s="35" t="e">
        <f>-BZ20*'операционные  расходы 1 этап'!$S$12</f>
        <v>#REF!</v>
      </c>
      <c r="CA34" s="35" t="e">
        <f>-CA20*'операционные  расходы 1 этап'!$S$12</f>
        <v>#REF!</v>
      </c>
      <c r="CB34" s="35" t="e">
        <f>-CB20*'операционные  расходы 1 этап'!$S$12</f>
        <v>#REF!</v>
      </c>
      <c r="CC34" s="35" t="e">
        <f>-CC20*'операционные  расходы 1 этап'!$S$12</f>
        <v>#REF!</v>
      </c>
      <c r="CD34" s="35" t="e">
        <f>-CD20*'операционные  расходы 1 этап'!$S$12</f>
        <v>#REF!</v>
      </c>
      <c r="CE34" s="35" t="e">
        <f>-CE20*'операционные  расходы 1 этап'!$S$12</f>
        <v>#REF!</v>
      </c>
      <c r="CF34" s="35" t="e">
        <f>-CF20*'операционные  расходы 1 этап'!$S$12</f>
        <v>#REF!</v>
      </c>
      <c r="CG34" s="35" t="e">
        <f>-CG20*'операционные  расходы 1 этап'!$S$12</f>
        <v>#REF!</v>
      </c>
      <c r="CH34" s="35" t="e">
        <f>-CH20*'операционные  расходы 1 этап'!$S$12</f>
        <v>#REF!</v>
      </c>
      <c r="CI34" s="35" t="e">
        <f>-CI20*'операционные  расходы 1 этап'!$S$12</f>
        <v>#REF!</v>
      </c>
      <c r="CJ34" s="35" t="e">
        <f>-CJ20*'операционные  расходы 1 этап'!$S$12</f>
        <v>#REF!</v>
      </c>
      <c r="CK34" s="35" t="e">
        <f>-CK20*'операционные  расходы 1 этап'!$S$12</f>
        <v>#REF!</v>
      </c>
      <c r="CL34" s="35" t="e">
        <f>-CL20*'операционные  расходы 1 этап'!$S$12</f>
        <v>#REF!</v>
      </c>
      <c r="CM34" s="35" t="e">
        <f>-CM20*'операционные  расходы 1 этап'!$S$12</f>
        <v>#REF!</v>
      </c>
      <c r="CN34" s="35" t="e">
        <f>-CN20*'операционные  расходы 1 этап'!$S$12</f>
        <v>#REF!</v>
      </c>
      <c r="CO34" s="5" t="e">
        <f>-CO20*'операционные  расходы 1 этап'!$S$12</f>
        <v>#REF!</v>
      </c>
    </row>
    <row r="35" spans="1:93" ht="12.75" customHeight="1" outlineLevel="2">
      <c r="A35" s="35"/>
      <c r="B35" s="63" t="s">
        <v>135</v>
      </c>
      <c r="C35" s="74" t="e">
        <f t="shared" si="17"/>
        <v>#REF!</v>
      </c>
      <c r="D35" s="60"/>
      <c r="E35" s="35" t="e">
        <f>-E19*'операционные  расходы 1 этап'!$Q$13-(E20+E22)*'операционные  расходы 1 этап'!$R$13</f>
        <v>#REF!</v>
      </c>
      <c r="F35" s="35" t="e">
        <f>-F19*'операционные  расходы 1 этап'!$Q$13-(F20+F22)*'операционные  расходы 1 этап'!$R$13</f>
        <v>#REF!</v>
      </c>
      <c r="G35" s="35" t="e">
        <f>-G19*'операционные  расходы 1 этап'!$Q$13-(G20+G22)*'операционные  расходы 1 этап'!$R$13</f>
        <v>#REF!</v>
      </c>
      <c r="H35" s="35" t="e">
        <f>-H19*'операционные  расходы 1 этап'!$Q$13-(H20+H22)*'операционные  расходы 1 этап'!$R$13</f>
        <v>#REF!</v>
      </c>
      <c r="I35" s="35" t="e">
        <f>-I19*'операционные  расходы 1 этап'!$Q$13-(I20+I22)*'операционные  расходы 1 этап'!$R$13</f>
        <v>#REF!</v>
      </c>
      <c r="J35" s="35" t="e">
        <f>-J19*'операционные  расходы 1 этап'!$Q$13-(J20+J22)*'операционные  расходы 1 этап'!$R$13</f>
        <v>#REF!</v>
      </c>
      <c r="K35" s="35" t="e">
        <f>-K19*'операционные  расходы 1 этап'!$Q$13-(K20+K22)*'операционные  расходы 1 этап'!$R$13</f>
        <v>#REF!</v>
      </c>
      <c r="L35" s="35" t="e">
        <f>-L19*'операционные  расходы 1 этап'!$Q$13-(L20+L22)*'операционные  расходы 1 этап'!$R$13</f>
        <v>#REF!</v>
      </c>
      <c r="M35" s="35" t="e">
        <f>-M19*'операционные  расходы 1 этап'!$Q$13-(M20+M22)*'операционные  расходы 1 этап'!$R$13</f>
        <v>#REF!</v>
      </c>
      <c r="N35" s="35" t="e">
        <f>-N19*'операционные  расходы 1 этап'!$Q$13-(N20+N22)*'операционные  расходы 1 этап'!$R$13</f>
        <v>#REF!</v>
      </c>
      <c r="O35" s="35" t="e">
        <f>-O19*'операционные  расходы 1 этап'!$Q$13-(O20+O22)*'операционные  расходы 1 этап'!$R$13</f>
        <v>#REF!</v>
      </c>
      <c r="P35" s="35" t="e">
        <f>-P19*'операционные  расходы 1 этап'!$Q$13-(P20+P22)*'операционные  расходы 1 этап'!$R$13</f>
        <v>#REF!</v>
      </c>
      <c r="Q35" s="35" t="e">
        <f>-Q19*'операционные  расходы 1 этап'!$Q$13-(Q20+Q22)*'операционные  расходы 1 этап'!$R$13</f>
        <v>#REF!</v>
      </c>
      <c r="R35" s="35" t="e">
        <f>-R19*'операционные  расходы 1 этап'!$Q$13-(R20+R22)*'операционные  расходы 1 этап'!$R$13</f>
        <v>#REF!</v>
      </c>
      <c r="S35" s="35" t="e">
        <f>-S19*'операционные  расходы 1 этап'!$Q$13-(S20+S22)*'операционные  расходы 1 этап'!$R$13</f>
        <v>#REF!</v>
      </c>
      <c r="T35" s="35" t="e">
        <f>-T19*'операционные  расходы 1 этап'!$Q$13-(T20+T22)*'операционные  расходы 1 этап'!$R$13</f>
        <v>#REF!</v>
      </c>
      <c r="U35" s="35" t="e">
        <f>-U19*'операционные  расходы 1 этап'!$Q$13-(U20+U22)*'операционные  расходы 1 этап'!$R$13</f>
        <v>#REF!</v>
      </c>
      <c r="V35" s="35" t="e">
        <f>-V19*'операционные  расходы 1 этап'!$Q$13-(V20+V22)*'операционные  расходы 1 этап'!$R$13</f>
        <v>#REF!</v>
      </c>
      <c r="W35" s="35" t="e">
        <f>-W19*'операционные  расходы 1 этап'!$Q$13-(W20+W22)*'операционные  расходы 1 этап'!$R$13</f>
        <v>#REF!</v>
      </c>
      <c r="X35" s="35" t="e">
        <f>-X19*'операционные  расходы 1 этап'!$Q$13-(X20+X22)*'операционные  расходы 1 этап'!$R$13</f>
        <v>#REF!</v>
      </c>
      <c r="Y35" s="35" t="e">
        <f>-Y19*'операционные  расходы 1 этап'!$Q$13-(Y20+Y22)*'операционные  расходы 1 этап'!$R$13</f>
        <v>#REF!</v>
      </c>
      <c r="Z35" s="35" t="e">
        <f>-Z19*'операционные  расходы 1 этап'!$Q$13-(Z20+Z22)*'операционные  расходы 1 этап'!$R$13</f>
        <v>#REF!</v>
      </c>
      <c r="AA35" s="35" t="e">
        <f>-AA19*'операционные  расходы 1 этап'!$Q$13-(AA20+AA22)*'операционные  расходы 1 этап'!$R$13</f>
        <v>#REF!</v>
      </c>
      <c r="AB35" s="35" t="e">
        <f>-AB19*'операционные  расходы 1 этап'!$Q$13-(AB20+AB22)*'операционные  расходы 1 этап'!$R$13</f>
        <v>#REF!</v>
      </c>
      <c r="AC35" s="35" t="e">
        <f>-AC19*'операционные  расходы 1 этап'!$Q$13-(AC20+AC22)*'операционные  расходы 1 этап'!$R$13</f>
        <v>#REF!</v>
      </c>
      <c r="AD35" s="35" t="e">
        <f>-AD19*'операционные  расходы 1 этап'!$Q$13-(AD20+AD22)*'операционные  расходы 1 этап'!$R$13</f>
        <v>#REF!</v>
      </c>
      <c r="AE35" s="35" t="e">
        <f>-AE19*'операционные  расходы 1 этап'!$Q$13-(AE20+AE22)*'операционные  расходы 1 этап'!$R$13</f>
        <v>#REF!</v>
      </c>
      <c r="AF35" s="35" t="e">
        <f>-AF19*'операционные  расходы 1 этап'!$Q$13-(AF20+AF22)*'операционные  расходы 1 этап'!$R$13</f>
        <v>#REF!</v>
      </c>
      <c r="AG35" s="35" t="e">
        <f>-AG19*'операционные  расходы 1 этап'!$Q$13-(AG20+AG22)*'операционные  расходы 1 этап'!$R$13</f>
        <v>#REF!</v>
      </c>
      <c r="AH35" s="35" t="e">
        <f>-AH19*'операционные  расходы 1 этап'!$Q$13-(AH20+AH22)*'операционные  расходы 1 этап'!$R$13</f>
        <v>#REF!</v>
      </c>
      <c r="AI35" s="35" t="e">
        <f>-AI19*'операционные  расходы 1 этап'!$Q$13-(AI20+AI22)*'операционные  расходы 1 этап'!$R$13</f>
        <v>#REF!</v>
      </c>
      <c r="AJ35" s="35" t="e">
        <f>-AJ19*'операционные  расходы 1 этап'!$Q$13-(AJ20+AJ22)*'операционные  расходы 1 этап'!$R$13</f>
        <v>#REF!</v>
      </c>
      <c r="AK35" s="35" t="e">
        <f>-AK19*'операционные  расходы 1 этап'!$Q$13-(AK20+AK22)*'операционные  расходы 1 этап'!$R$13</f>
        <v>#REF!</v>
      </c>
      <c r="AL35" s="35" t="e">
        <f>-AL19*'операционные  расходы 1 этап'!$Q$13-(AL20+AL22)*'операционные  расходы 1 этап'!$R$13</f>
        <v>#REF!</v>
      </c>
      <c r="AM35" s="35" t="e">
        <f>-AM19*'операционные  расходы 1 этап'!$Q$13-(AM20+AM22)*'операционные  расходы 1 этап'!$R$13</f>
        <v>#REF!</v>
      </c>
      <c r="AN35" s="35" t="e">
        <f>-AN19*'операционные  расходы 1 этап'!$Q$13-(AN20+AN22)*'операционные  расходы 1 этап'!$R$13</f>
        <v>#REF!</v>
      </c>
      <c r="AO35" s="35" t="e">
        <f>-AO19*'операционные  расходы 1 этап'!$Q$13-(AO20+AO22)*'операционные  расходы 1 этап'!$R$13</f>
        <v>#REF!</v>
      </c>
      <c r="AP35" s="35" t="e">
        <f>-AP19*'операционные  расходы 1 этап'!$Q$13-(AP20+AP22)*'операционные  расходы 1 этап'!$R$13</f>
        <v>#REF!</v>
      </c>
      <c r="AQ35" s="35" t="e">
        <f>-AQ19*'операционные  расходы 1 этап'!$Q$13-(AQ20+AQ22)*'операционные  расходы 1 этап'!$R$13</f>
        <v>#REF!</v>
      </c>
      <c r="AR35" s="35" t="e">
        <f>-AR19*'операционные  расходы 1 этап'!$Q$13-(AR20+AR22)*'операционные  расходы 1 этап'!$R$13</f>
        <v>#REF!</v>
      </c>
      <c r="AS35" s="35" t="e">
        <f>-AS19*'операционные  расходы 1 этап'!$Q$13-(AS20+AS22)*'операционные  расходы 1 этап'!$R$13</f>
        <v>#REF!</v>
      </c>
      <c r="AT35" s="35" t="e">
        <f>-AT19*'операционные  расходы 1 этап'!$Q$13-(AT20+AT22)*'операционные  расходы 1 этап'!$R$13</f>
        <v>#REF!</v>
      </c>
      <c r="AU35" s="35" t="e">
        <f>-AU19*'операционные  расходы 1 этап'!$Q$13-(AU20+AU22)*'операционные  расходы 1 этап'!$R$13</f>
        <v>#REF!</v>
      </c>
      <c r="AV35" s="35" t="e">
        <f>-AV19*'операционные  расходы 1 этап'!$Q$13-(AV20+AV22)*'операционные  расходы 1 этап'!$R$13</f>
        <v>#REF!</v>
      </c>
      <c r="AW35" s="35" t="e">
        <f>-AW19*'операционные  расходы 1 этап'!$Q$13-(AW20+AW22)*'операционные  расходы 1 этап'!$R$13</f>
        <v>#REF!</v>
      </c>
      <c r="AX35" s="35" t="e">
        <f>-AX19*'операционные  расходы 1 этап'!$Q$13-(AX20+AX22)*'операционные  расходы 1 этап'!$R$13</f>
        <v>#REF!</v>
      </c>
      <c r="AY35" s="35" t="e">
        <f>-AY19*'операционные  расходы 1 этап'!$Q$13-(AY20+AY22)*'операционные  расходы 1 этап'!$R$13</f>
        <v>#REF!</v>
      </c>
      <c r="AZ35" s="35" t="e">
        <f>-AZ19*'операционные  расходы 1 этап'!$Q$13-(AZ20+AZ22)*'операционные  расходы 1 этап'!$R$13</f>
        <v>#REF!</v>
      </c>
      <c r="BA35" s="35" t="e">
        <f>-BA19*'операционные  расходы 1 этап'!$Q$13-(BA20+BA22)*'операционные  расходы 1 этап'!$R$13</f>
        <v>#REF!</v>
      </c>
      <c r="BB35" s="35" t="e">
        <f>-BB19*'операционные  расходы 1 этап'!$Q$13-(BB20+BB22)*'операционные  расходы 1 этап'!$R$13</f>
        <v>#REF!</v>
      </c>
      <c r="BC35" s="35" t="e">
        <f>-BC19*'операционные  расходы 1 этап'!$Q$13-(BC20+BC22)*'операционные  расходы 1 этап'!$R$13</f>
        <v>#REF!</v>
      </c>
      <c r="BD35" s="35" t="e">
        <f>-BD19*'операционные  расходы 1 этап'!$Q$13-(BD20+BD22)*'операционные  расходы 1 этап'!$R$13</f>
        <v>#REF!</v>
      </c>
      <c r="BE35" s="35" t="e">
        <f>-BE19*'операционные  расходы 1 этап'!$Q$13-(BE20+BE22)*'операционные  расходы 1 этап'!$R$13</f>
        <v>#REF!</v>
      </c>
      <c r="BF35" s="35" t="e">
        <f>-BF19*'операционные  расходы 1 этап'!$Q$13-(BF20+BF22)*'операционные  расходы 1 этап'!$R$13</f>
        <v>#REF!</v>
      </c>
      <c r="BG35" s="35" t="e">
        <f>-BG19*'операционные  расходы 1 этап'!$Q$13-(BG20+BG22)*'операционные  расходы 1 этап'!$R$13</f>
        <v>#REF!</v>
      </c>
      <c r="BH35" s="35" t="e">
        <f>-BH19*'операционные  расходы 1 этап'!$Q$13-(BH20+BH22)*'операционные  расходы 1 этап'!$R$13</f>
        <v>#REF!</v>
      </c>
      <c r="BI35" s="35" t="e">
        <f>-BI19*'операционные  расходы 1 этап'!$Q$13-(BI20+BI22)*'операционные  расходы 1 этап'!$R$13</f>
        <v>#REF!</v>
      </c>
      <c r="BJ35" s="35" t="e">
        <f>-BJ19*'операционные  расходы 1 этап'!$Q$13-(BJ20+BJ22)*'операционные  расходы 1 этап'!$R$13</f>
        <v>#REF!</v>
      </c>
      <c r="BK35" s="35" t="e">
        <f>-BK19*'операционные  расходы 1 этап'!$Q$13-(BK20+BK22)*'операционные  расходы 1 этап'!$R$13</f>
        <v>#REF!</v>
      </c>
      <c r="BL35" s="35" t="e">
        <f>-BL19*'операционные  расходы 1 этап'!$Q$13-(BL20+BL22)*'операционные  расходы 1 этап'!$R$13</f>
        <v>#REF!</v>
      </c>
      <c r="BM35" s="35" t="e">
        <f>-BM19*'операционные  расходы 1 этап'!$Q$13-(BM20+BM22)*'операционные  расходы 1 этап'!$R$13</f>
        <v>#REF!</v>
      </c>
      <c r="BN35" s="35" t="e">
        <f>-BN19*'операционные  расходы 1 этап'!$Q$13-(BN20+BN22)*'операционные  расходы 1 этап'!$R$13</f>
        <v>#REF!</v>
      </c>
      <c r="BO35" s="35" t="e">
        <f>-BO19*'операционные  расходы 1 этап'!$Q$13-(BO20+BO22)*'операционные  расходы 1 этап'!$R$13</f>
        <v>#REF!</v>
      </c>
      <c r="BP35" s="35" t="e">
        <f>-BP19*'операционные  расходы 1 этап'!$Q$13-(BP20+BP22)*'операционные  расходы 1 этап'!$R$13</f>
        <v>#REF!</v>
      </c>
      <c r="BQ35" s="35" t="e">
        <f>-BQ19*'операционные  расходы 1 этап'!$Q$13-(BQ20+BQ22)*'операционные  расходы 1 этап'!$R$13</f>
        <v>#REF!</v>
      </c>
      <c r="BR35" s="35" t="e">
        <f>-BR19*'операционные  расходы 1 этап'!$Q$13-(BR20+BR22)*'операционные  расходы 1 этап'!$R$13</f>
        <v>#REF!</v>
      </c>
      <c r="BS35" s="35" t="e">
        <f>-BS19*'операционные  расходы 1 этап'!$Q$13-(BS20+BS22)*'операционные  расходы 1 этап'!$R$13</f>
        <v>#REF!</v>
      </c>
      <c r="BT35" s="35" t="e">
        <f>-BT19*'операционные  расходы 1 этап'!$Q$13-(BT20+BT22)*'операционные  расходы 1 этап'!$R$13</f>
        <v>#REF!</v>
      </c>
      <c r="BU35" s="35" t="e">
        <f>-BU19*'операционные  расходы 1 этап'!$Q$13-(BU20+BU22)*'операционные  расходы 1 этап'!$R$13</f>
        <v>#REF!</v>
      </c>
      <c r="BV35" s="35" t="e">
        <f>-BV19*'операционные  расходы 1 этап'!$Q$13-(BV20+BV22)*'операционные  расходы 1 этап'!$R$13</f>
        <v>#REF!</v>
      </c>
      <c r="BW35" s="35" t="e">
        <f>-BW19*'операционные  расходы 1 этап'!$Q$13-(BW20+BW22)*'операционные  расходы 1 этап'!$R$13</f>
        <v>#REF!</v>
      </c>
      <c r="BX35" s="35" t="e">
        <f>-BX19*'операционные  расходы 1 этап'!$Q$13-(BX20+BX22)*'операционные  расходы 1 этап'!$R$13</f>
        <v>#REF!</v>
      </c>
      <c r="BY35" s="35" t="e">
        <f>-BY19*'операционные  расходы 1 этап'!$Q$13-(BY20+BY22)*'операционные  расходы 1 этап'!$R$13</f>
        <v>#REF!</v>
      </c>
      <c r="BZ35" s="35" t="e">
        <f>-BZ19*'операционные  расходы 1 этап'!$Q$13-(BZ20+BZ22)*'операционные  расходы 1 этап'!$R$13</f>
        <v>#REF!</v>
      </c>
      <c r="CA35" s="35" t="e">
        <f>-CA19*'операционные  расходы 1 этап'!$Q$13-(CA20+CA22)*'операционные  расходы 1 этап'!$R$13</f>
        <v>#REF!</v>
      </c>
      <c r="CB35" s="35" t="e">
        <f>-CB19*'операционные  расходы 1 этап'!$Q$13-(CB20+CB22)*'операционные  расходы 1 этап'!$R$13</f>
        <v>#REF!</v>
      </c>
      <c r="CC35" s="35" t="e">
        <f>-CC19*'операционные  расходы 1 этап'!$Q$13-(CC20+CC22)*'операционные  расходы 1 этап'!$R$13</f>
        <v>#REF!</v>
      </c>
      <c r="CD35" s="35" t="e">
        <f>-CD19*'операционные  расходы 1 этап'!$Q$13-(CD20+CD22)*'операционные  расходы 1 этап'!$R$13</f>
        <v>#REF!</v>
      </c>
      <c r="CE35" s="35" t="e">
        <f>-CE19*'операционные  расходы 1 этап'!$Q$13-(CE20+CE22)*'операционные  расходы 1 этап'!$R$13</f>
        <v>#REF!</v>
      </c>
      <c r="CF35" s="35" t="e">
        <f>-CF19*'операционные  расходы 1 этап'!$Q$13-(CF20+CF22)*'операционные  расходы 1 этап'!$R$13</f>
        <v>#REF!</v>
      </c>
      <c r="CG35" s="35" t="e">
        <f>-CG19*'операционные  расходы 1 этап'!$Q$13-(CG20+CG22)*'операционные  расходы 1 этап'!$R$13</f>
        <v>#REF!</v>
      </c>
      <c r="CH35" s="35" t="e">
        <f>-CH19*'операционные  расходы 1 этап'!$Q$13-(CH20+CH22)*'операционные  расходы 1 этап'!$R$13</f>
        <v>#REF!</v>
      </c>
      <c r="CI35" s="35" t="e">
        <f>-CI19*'операционные  расходы 1 этап'!$Q$13-(CI20+CI22)*'операционные  расходы 1 этап'!$R$13</f>
        <v>#REF!</v>
      </c>
      <c r="CJ35" s="35" t="e">
        <f>-CJ19*'операционные  расходы 1 этап'!$Q$13-(CJ20+CJ22)*'операционные  расходы 1 этап'!$R$13</f>
        <v>#REF!</v>
      </c>
      <c r="CK35" s="35" t="e">
        <f>-CK19*'операционные  расходы 1 этап'!$Q$13-(CK20+CK22)*'операционные  расходы 1 этап'!$R$13</f>
        <v>#REF!</v>
      </c>
      <c r="CL35" s="35" t="e">
        <f>-CL19*'операционные  расходы 1 этап'!$Q$13-(CL20+CL22)*'операционные  расходы 1 этап'!$R$13</f>
        <v>#REF!</v>
      </c>
      <c r="CM35" s="35" t="e">
        <f>-CM19*'операционные  расходы 1 этап'!$Q$13-(CM20+CM22)*'операционные  расходы 1 этап'!$R$13</f>
        <v>#REF!</v>
      </c>
      <c r="CN35" s="35" t="e">
        <f>-CN19*'операционные  расходы 1 этап'!$Q$13-(CN20+CN22)*'операционные  расходы 1 этап'!$R$13</f>
        <v>#REF!</v>
      </c>
      <c r="CO35" s="5" t="e">
        <f>-CO19*'операционные  расходы 1 этап'!$Q$13-(CO20+CO22)*'операционные  расходы 1 этап'!$R$13</f>
        <v>#REF!</v>
      </c>
    </row>
    <row r="36" spans="1:93" ht="12.75" customHeight="1" outlineLevel="2">
      <c r="A36" s="35"/>
      <c r="B36" s="63" t="s">
        <v>136</v>
      </c>
      <c r="C36" s="74" t="e">
        <f t="shared" si="17"/>
        <v>#REF!</v>
      </c>
      <c r="D36" s="60"/>
      <c r="E36" s="35" t="e">
        <f>-E$24*'операционные  расходы 1 этап'!#REF!</f>
        <v>#REF!</v>
      </c>
      <c r="F36" s="35" t="e">
        <f>-F$24*'операционные  расходы 1 этап'!#REF!</f>
        <v>#REF!</v>
      </c>
      <c r="G36" s="35" t="e">
        <f>-G$24*'операционные  расходы 1 этап'!#REF!</f>
        <v>#REF!</v>
      </c>
      <c r="H36" s="35" t="e">
        <f>-H$24*'операционные  расходы 1 этап'!#REF!</f>
        <v>#REF!</v>
      </c>
      <c r="I36" s="35" t="e">
        <f>-I$24*'операционные  расходы 1 этап'!#REF!</f>
        <v>#REF!</v>
      </c>
      <c r="J36" s="35" t="e">
        <f>-J$24*'операционные  расходы 1 этап'!#REF!</f>
        <v>#REF!</v>
      </c>
      <c r="K36" s="35" t="e">
        <f>-K$24*'операционные  расходы 1 этап'!#REF!</f>
        <v>#REF!</v>
      </c>
      <c r="L36" s="35" t="e">
        <f>-L$24*'операционные  расходы 1 этап'!#REF!</f>
        <v>#REF!</v>
      </c>
      <c r="M36" s="35" t="e">
        <f>-M$24*'операционные  расходы 1 этап'!#REF!</f>
        <v>#REF!</v>
      </c>
      <c r="N36" s="35" t="e">
        <f>-N$24*'операционные  расходы 1 этап'!#REF!</f>
        <v>#REF!</v>
      </c>
      <c r="O36" s="35" t="e">
        <f>-O$24*'операционные  расходы 1 этап'!#REF!</f>
        <v>#REF!</v>
      </c>
      <c r="P36" s="35" t="e">
        <f>-P$24*'операционные  расходы 1 этап'!#REF!</f>
        <v>#REF!</v>
      </c>
      <c r="Q36" s="35" t="e">
        <f>-Q$24*'операционные  расходы 1 этап'!#REF!</f>
        <v>#REF!</v>
      </c>
      <c r="R36" s="35" t="e">
        <f>-R$24*'операционные  расходы 1 этап'!#REF!</f>
        <v>#REF!</v>
      </c>
      <c r="S36" s="35" t="e">
        <f>-S$24*'операционные  расходы 1 этап'!#REF!</f>
        <v>#REF!</v>
      </c>
      <c r="T36" s="35" t="e">
        <f>-T$24*'операционные  расходы 1 этап'!#REF!</f>
        <v>#REF!</v>
      </c>
      <c r="U36" s="35" t="e">
        <f>-U$24*'операционные  расходы 1 этап'!#REF!</f>
        <v>#REF!</v>
      </c>
      <c r="V36" s="35" t="e">
        <f>-V$24*'операционные  расходы 1 этап'!#REF!</f>
        <v>#REF!</v>
      </c>
      <c r="W36" s="35" t="e">
        <f>-W$24*'операционные  расходы 1 этап'!#REF!</f>
        <v>#REF!</v>
      </c>
      <c r="X36" s="35" t="e">
        <f>-X$24*'операционные  расходы 1 этап'!#REF!</f>
        <v>#REF!</v>
      </c>
      <c r="Y36" s="35" t="e">
        <f>-Y$24*'операционные  расходы 1 этап'!#REF!</f>
        <v>#REF!</v>
      </c>
      <c r="Z36" s="35" t="e">
        <f>-Z$24*'операционные  расходы 1 этап'!#REF!</f>
        <v>#REF!</v>
      </c>
      <c r="AA36" s="35" t="e">
        <f>-AA$24*'операционные  расходы 1 этап'!#REF!</f>
        <v>#REF!</v>
      </c>
      <c r="AB36" s="35" t="e">
        <f>-AB$24*'операционные  расходы 1 этап'!#REF!</f>
        <v>#REF!</v>
      </c>
      <c r="AC36" s="35" t="e">
        <f>-AC$24*'операционные  расходы 1 этап'!#REF!</f>
        <v>#REF!</v>
      </c>
      <c r="AD36" s="35" t="e">
        <f>-AD$24*'операционные  расходы 1 этап'!#REF!</f>
        <v>#REF!</v>
      </c>
      <c r="AE36" s="35" t="e">
        <f>-AE$24*'операционные  расходы 1 этап'!#REF!</f>
        <v>#REF!</v>
      </c>
      <c r="AF36" s="35" t="e">
        <f>-AF$24*'операционные  расходы 1 этап'!#REF!</f>
        <v>#REF!</v>
      </c>
      <c r="AG36" s="35" t="e">
        <f>-AG$24*'операционные  расходы 1 этап'!#REF!</f>
        <v>#REF!</v>
      </c>
      <c r="AH36" s="35" t="e">
        <f>-AH$24*'операционные  расходы 1 этап'!#REF!</f>
        <v>#REF!</v>
      </c>
      <c r="AI36" s="35" t="e">
        <f>-AI$24*'операционные  расходы 1 этап'!#REF!</f>
        <v>#REF!</v>
      </c>
      <c r="AJ36" s="35" t="e">
        <f>-AJ$24*'операционные  расходы 1 этап'!#REF!</f>
        <v>#REF!</v>
      </c>
      <c r="AK36" s="35" t="e">
        <f>-AK$24*'операционные  расходы 1 этап'!#REF!</f>
        <v>#REF!</v>
      </c>
      <c r="AL36" s="35" t="e">
        <f>-AL$24*'операционные  расходы 1 этап'!#REF!</f>
        <v>#REF!</v>
      </c>
      <c r="AM36" s="35" t="e">
        <f>-AM$24*'операционные  расходы 1 этап'!#REF!</f>
        <v>#REF!</v>
      </c>
      <c r="AN36" s="35" t="e">
        <f>-AN$24*'операционные  расходы 1 этап'!#REF!</f>
        <v>#REF!</v>
      </c>
      <c r="AO36" s="35" t="e">
        <f>-AO$24*'операционные  расходы 1 этап'!#REF!</f>
        <v>#REF!</v>
      </c>
      <c r="AP36" s="35" t="e">
        <f>-AP$24*'операционные  расходы 1 этап'!#REF!</f>
        <v>#REF!</v>
      </c>
      <c r="AQ36" s="35" t="e">
        <f>-AQ$24*'операционные  расходы 1 этап'!#REF!</f>
        <v>#REF!</v>
      </c>
      <c r="AR36" s="35" t="e">
        <f>-AR$24*'операционные  расходы 1 этап'!#REF!</f>
        <v>#REF!</v>
      </c>
      <c r="AS36" s="35" t="e">
        <f>-AS$24*'операционные  расходы 1 этап'!#REF!</f>
        <v>#REF!</v>
      </c>
      <c r="AT36" s="35" t="e">
        <f>-AT$24*'операционные  расходы 1 этап'!#REF!</f>
        <v>#REF!</v>
      </c>
      <c r="AU36" s="35" t="e">
        <f>-AU$24*'операционные  расходы 1 этап'!#REF!</f>
        <v>#REF!</v>
      </c>
      <c r="AV36" s="35" t="e">
        <f>-AV$24*'операционные  расходы 1 этап'!#REF!</f>
        <v>#REF!</v>
      </c>
      <c r="AW36" s="35" t="e">
        <f>-AW$24*'операционные  расходы 1 этап'!#REF!</f>
        <v>#REF!</v>
      </c>
      <c r="AX36" s="35" t="e">
        <f>-AX$24*'операционные  расходы 1 этап'!#REF!</f>
        <v>#REF!</v>
      </c>
      <c r="AY36" s="35" t="e">
        <f>-AY$24*'операционные  расходы 1 этап'!#REF!</f>
        <v>#REF!</v>
      </c>
      <c r="AZ36" s="35" t="e">
        <f>-AZ$24*'операционные  расходы 1 этап'!#REF!</f>
        <v>#REF!</v>
      </c>
      <c r="BA36" s="35" t="e">
        <f>-BA$24*'операционные  расходы 1 этап'!#REF!</f>
        <v>#REF!</v>
      </c>
      <c r="BB36" s="35" t="e">
        <f>-BB$24*'операционные  расходы 1 этап'!#REF!</f>
        <v>#REF!</v>
      </c>
      <c r="BC36" s="35" t="e">
        <f>-BC$24*'операционные  расходы 1 этап'!#REF!</f>
        <v>#REF!</v>
      </c>
      <c r="BD36" s="35" t="e">
        <f>-BD$24*'операционные  расходы 1 этап'!#REF!</f>
        <v>#REF!</v>
      </c>
      <c r="BE36" s="35" t="e">
        <f>-BE$24*'операционные  расходы 1 этап'!#REF!</f>
        <v>#REF!</v>
      </c>
      <c r="BF36" s="35" t="e">
        <f>-BF$24*'операционные  расходы 1 этап'!#REF!</f>
        <v>#REF!</v>
      </c>
      <c r="BG36" s="35" t="e">
        <f>-BG$24*'операционные  расходы 1 этап'!#REF!</f>
        <v>#REF!</v>
      </c>
      <c r="BH36" s="35" t="e">
        <f>-BH$24*'операционные  расходы 1 этап'!#REF!</f>
        <v>#REF!</v>
      </c>
      <c r="BI36" s="35" t="e">
        <f>-BI$24*'операционные  расходы 1 этап'!#REF!</f>
        <v>#REF!</v>
      </c>
      <c r="BJ36" s="35" t="e">
        <f>-BJ$24*'операционные  расходы 1 этап'!#REF!</f>
        <v>#REF!</v>
      </c>
      <c r="BK36" s="35" t="e">
        <f>-BK$24*'операционные  расходы 1 этап'!#REF!</f>
        <v>#REF!</v>
      </c>
      <c r="BL36" s="35" t="e">
        <f>-BL$24*'операционные  расходы 1 этап'!#REF!</f>
        <v>#REF!</v>
      </c>
      <c r="BM36" s="35" t="e">
        <f>-BM$24*'операционные  расходы 1 этап'!#REF!</f>
        <v>#REF!</v>
      </c>
      <c r="BN36" s="35" t="e">
        <f>-BN$24*'операционные  расходы 1 этап'!#REF!</f>
        <v>#REF!</v>
      </c>
      <c r="BO36" s="35" t="e">
        <f>-BO$24*'операционные  расходы 1 этап'!#REF!</f>
        <v>#REF!</v>
      </c>
      <c r="BP36" s="35" t="e">
        <f>-BP$24*'операционные  расходы 1 этап'!#REF!</f>
        <v>#REF!</v>
      </c>
      <c r="BQ36" s="35" t="e">
        <f>-BQ$24*'операционные  расходы 1 этап'!#REF!</f>
        <v>#REF!</v>
      </c>
      <c r="BR36" s="35" t="e">
        <f>-BR$24*'операционные  расходы 1 этап'!#REF!</f>
        <v>#REF!</v>
      </c>
      <c r="BS36" s="35" t="e">
        <f>-BS$24*'операционные  расходы 1 этап'!#REF!</f>
        <v>#REF!</v>
      </c>
      <c r="BT36" s="35" t="e">
        <f>-BT$24*'операционные  расходы 1 этап'!#REF!</f>
        <v>#REF!</v>
      </c>
      <c r="BU36" s="35" t="e">
        <f>-BU$24*'операционные  расходы 1 этап'!#REF!</f>
        <v>#REF!</v>
      </c>
      <c r="BV36" s="35" t="e">
        <f>-BV$24*'операционные  расходы 1 этап'!#REF!</f>
        <v>#REF!</v>
      </c>
      <c r="BW36" s="35" t="e">
        <f>-BW$24*'операционные  расходы 1 этап'!#REF!</f>
        <v>#REF!</v>
      </c>
      <c r="BX36" s="35" t="e">
        <f>-BX$24*'операционные  расходы 1 этап'!#REF!</f>
        <v>#REF!</v>
      </c>
      <c r="BY36" s="35" t="e">
        <f>-BY$24*'операционные  расходы 1 этап'!#REF!</f>
        <v>#REF!</v>
      </c>
      <c r="BZ36" s="35" t="e">
        <f>-BZ$24*'операционные  расходы 1 этап'!#REF!</f>
        <v>#REF!</v>
      </c>
      <c r="CA36" s="35" t="e">
        <f>-CA$24*'операционные  расходы 1 этап'!#REF!</f>
        <v>#REF!</v>
      </c>
      <c r="CB36" s="35" t="e">
        <f>-CB$24*'операционные  расходы 1 этап'!#REF!</f>
        <v>#REF!</v>
      </c>
      <c r="CC36" s="35" t="e">
        <f>-CC$24*'операционные  расходы 1 этап'!#REF!</f>
        <v>#REF!</v>
      </c>
      <c r="CD36" s="35" t="e">
        <f>-CD$24*'операционные  расходы 1 этап'!#REF!</f>
        <v>#REF!</v>
      </c>
      <c r="CE36" s="35" t="e">
        <f>-CE$24*'операционные  расходы 1 этап'!#REF!</f>
        <v>#REF!</v>
      </c>
      <c r="CF36" s="35" t="e">
        <f>-CF$24*'операционные  расходы 1 этап'!#REF!</f>
        <v>#REF!</v>
      </c>
      <c r="CG36" s="35" t="e">
        <f>-CG$24*'операционные  расходы 1 этап'!#REF!</f>
        <v>#REF!</v>
      </c>
      <c r="CH36" s="35" t="e">
        <f>-CH$24*'операционные  расходы 1 этап'!#REF!</f>
        <v>#REF!</v>
      </c>
      <c r="CI36" s="35" t="e">
        <f>-CI$24*'операционные  расходы 1 этап'!#REF!</f>
        <v>#REF!</v>
      </c>
      <c r="CJ36" s="35" t="e">
        <f>-CJ$24*'операционные  расходы 1 этап'!#REF!</f>
        <v>#REF!</v>
      </c>
      <c r="CK36" s="35" t="e">
        <f>-CK$24*'операционные  расходы 1 этап'!#REF!</f>
        <v>#REF!</v>
      </c>
      <c r="CL36" s="35" t="e">
        <f>-CL$24*'операционные  расходы 1 этап'!#REF!</f>
        <v>#REF!</v>
      </c>
      <c r="CM36" s="35" t="e">
        <f>-CM$24*'операционные  расходы 1 этап'!#REF!</f>
        <v>#REF!</v>
      </c>
      <c r="CN36" s="35" t="e">
        <f>-CN$24*'операционные  расходы 1 этап'!#REF!</f>
        <v>#REF!</v>
      </c>
      <c r="CO36" s="35" t="e">
        <f>-CO$24*'операционные  расходы 1 этап'!#REF!</f>
        <v>#REF!</v>
      </c>
    </row>
    <row r="37" spans="1:93" ht="12.75" customHeight="1" outlineLevel="2">
      <c r="A37" s="35"/>
      <c r="B37" s="63" t="s">
        <v>137</v>
      </c>
      <c r="C37" s="74" t="e">
        <f t="shared" si="17"/>
        <v>#REF!</v>
      </c>
      <c r="D37" s="60"/>
      <c r="E37" s="35" t="e">
        <f>-E$24*'операционные  расходы 1 этап'!#REF!</f>
        <v>#REF!</v>
      </c>
      <c r="F37" s="35" t="e">
        <f>-F$24*'операционные  расходы 1 этап'!#REF!</f>
        <v>#REF!</v>
      </c>
      <c r="G37" s="35" t="e">
        <f>-G$24*'операционные  расходы 1 этап'!#REF!</f>
        <v>#REF!</v>
      </c>
      <c r="H37" s="35" t="e">
        <f>-H$24*'операционные  расходы 1 этап'!#REF!</f>
        <v>#REF!</v>
      </c>
      <c r="I37" s="35" t="e">
        <f>-I$24*'операционные  расходы 1 этап'!#REF!</f>
        <v>#REF!</v>
      </c>
      <c r="J37" s="35" t="e">
        <f>-J$24*'операционные  расходы 1 этап'!#REF!</f>
        <v>#REF!</v>
      </c>
      <c r="K37" s="35" t="e">
        <f>-K$24*'операционные  расходы 1 этап'!#REF!</f>
        <v>#REF!</v>
      </c>
      <c r="L37" s="35" t="e">
        <f>-L$24*'операционные  расходы 1 этап'!#REF!</f>
        <v>#REF!</v>
      </c>
      <c r="M37" s="35" t="e">
        <f>-M$24*'операционные  расходы 1 этап'!#REF!</f>
        <v>#REF!</v>
      </c>
      <c r="N37" s="35" t="e">
        <f>-N$24*'операционные  расходы 1 этап'!#REF!</f>
        <v>#REF!</v>
      </c>
      <c r="O37" s="35" t="e">
        <f>-O$24*'операционные  расходы 1 этап'!#REF!</f>
        <v>#REF!</v>
      </c>
      <c r="P37" s="35" t="e">
        <f>-P$24*'операционные  расходы 1 этап'!#REF!</f>
        <v>#REF!</v>
      </c>
      <c r="Q37" s="35" t="e">
        <f>-Q$24*'операционные  расходы 1 этап'!#REF!</f>
        <v>#REF!</v>
      </c>
      <c r="R37" s="35" t="e">
        <f>-R$24*'операционные  расходы 1 этап'!#REF!</f>
        <v>#REF!</v>
      </c>
      <c r="S37" s="35" t="e">
        <f>-S$24*'операционные  расходы 1 этап'!#REF!</f>
        <v>#REF!</v>
      </c>
      <c r="T37" s="35" t="e">
        <f>-T$24*'операционные  расходы 1 этап'!#REF!</f>
        <v>#REF!</v>
      </c>
      <c r="U37" s="35" t="e">
        <f>-U$24*'операционные  расходы 1 этап'!#REF!</f>
        <v>#REF!</v>
      </c>
      <c r="V37" s="35" t="e">
        <f>-V$24*'операционные  расходы 1 этап'!#REF!</f>
        <v>#REF!</v>
      </c>
      <c r="W37" s="35" t="e">
        <f>-W$24*'операционные  расходы 1 этап'!#REF!</f>
        <v>#REF!</v>
      </c>
      <c r="X37" s="35" t="e">
        <f>-X$24*'операционные  расходы 1 этап'!#REF!</f>
        <v>#REF!</v>
      </c>
      <c r="Y37" s="35" t="e">
        <f>-Y$24*'операционные  расходы 1 этап'!#REF!</f>
        <v>#REF!</v>
      </c>
      <c r="Z37" s="35" t="e">
        <f>-Z$24*'операционные  расходы 1 этап'!#REF!</f>
        <v>#REF!</v>
      </c>
      <c r="AA37" s="35" t="e">
        <f>-AA$24*'операционные  расходы 1 этап'!#REF!</f>
        <v>#REF!</v>
      </c>
      <c r="AB37" s="35" t="e">
        <f>-AB$24*'операционные  расходы 1 этап'!#REF!</f>
        <v>#REF!</v>
      </c>
      <c r="AC37" s="35" t="e">
        <f>-AC$24*'операционные  расходы 1 этап'!#REF!</f>
        <v>#REF!</v>
      </c>
      <c r="AD37" s="35" t="e">
        <f>-AD$24*'операционные  расходы 1 этап'!#REF!</f>
        <v>#REF!</v>
      </c>
      <c r="AE37" s="35" t="e">
        <f>-AE$24*'операционные  расходы 1 этап'!#REF!</f>
        <v>#REF!</v>
      </c>
      <c r="AF37" s="35" t="e">
        <f>-AF$24*'операционные  расходы 1 этап'!#REF!</f>
        <v>#REF!</v>
      </c>
      <c r="AG37" s="35" t="e">
        <f>-AG$24*'операционные  расходы 1 этап'!#REF!</f>
        <v>#REF!</v>
      </c>
      <c r="AH37" s="35" t="e">
        <f>-AH$24*'операционные  расходы 1 этап'!#REF!</f>
        <v>#REF!</v>
      </c>
      <c r="AI37" s="35" t="e">
        <f>-AI$24*'операционные  расходы 1 этап'!#REF!</f>
        <v>#REF!</v>
      </c>
      <c r="AJ37" s="35" t="e">
        <f>-AJ$24*'операционные  расходы 1 этап'!#REF!</f>
        <v>#REF!</v>
      </c>
      <c r="AK37" s="35" t="e">
        <f>-AK$24*'операционные  расходы 1 этап'!#REF!</f>
        <v>#REF!</v>
      </c>
      <c r="AL37" s="35" t="e">
        <f>-AL$24*'операционные  расходы 1 этап'!#REF!</f>
        <v>#REF!</v>
      </c>
      <c r="AM37" s="35" t="e">
        <f>-AM$24*'операционные  расходы 1 этап'!#REF!</f>
        <v>#REF!</v>
      </c>
      <c r="AN37" s="35" t="e">
        <f>-AN$24*'операционные  расходы 1 этап'!#REF!</f>
        <v>#REF!</v>
      </c>
      <c r="AO37" s="35" t="e">
        <f>-AO$24*'операционные  расходы 1 этап'!#REF!</f>
        <v>#REF!</v>
      </c>
      <c r="AP37" s="35" t="e">
        <f>-AP$24*'операционные  расходы 1 этап'!#REF!</f>
        <v>#REF!</v>
      </c>
      <c r="AQ37" s="35" t="e">
        <f>-AQ$24*'операционные  расходы 1 этап'!#REF!</f>
        <v>#REF!</v>
      </c>
      <c r="AR37" s="35" t="e">
        <f>-AR$24*'операционные  расходы 1 этап'!#REF!</f>
        <v>#REF!</v>
      </c>
      <c r="AS37" s="35" t="e">
        <f>-AS$24*'операционные  расходы 1 этап'!#REF!</f>
        <v>#REF!</v>
      </c>
      <c r="AT37" s="35" t="e">
        <f>-AT$24*'операционные  расходы 1 этап'!#REF!</f>
        <v>#REF!</v>
      </c>
      <c r="AU37" s="35" t="e">
        <f>-AU$24*'операционные  расходы 1 этап'!#REF!</f>
        <v>#REF!</v>
      </c>
      <c r="AV37" s="35" t="e">
        <f>-AV$24*'операционные  расходы 1 этап'!#REF!</f>
        <v>#REF!</v>
      </c>
      <c r="AW37" s="35" t="e">
        <f>-AW$24*'операционные  расходы 1 этап'!#REF!</f>
        <v>#REF!</v>
      </c>
      <c r="AX37" s="35" t="e">
        <f>-AX$24*'операционные  расходы 1 этап'!#REF!</f>
        <v>#REF!</v>
      </c>
      <c r="AY37" s="35" t="e">
        <f>-AY$24*'операционные  расходы 1 этап'!#REF!</f>
        <v>#REF!</v>
      </c>
      <c r="AZ37" s="35" t="e">
        <f>-AZ$24*'операционные  расходы 1 этап'!#REF!</f>
        <v>#REF!</v>
      </c>
      <c r="BA37" s="35" t="e">
        <f>-BA$24*'операционные  расходы 1 этап'!#REF!</f>
        <v>#REF!</v>
      </c>
      <c r="BB37" s="35" t="e">
        <f>-BB$24*'операционные  расходы 1 этап'!#REF!</f>
        <v>#REF!</v>
      </c>
      <c r="BC37" s="35" t="e">
        <f>-BC$24*'операционные  расходы 1 этап'!#REF!</f>
        <v>#REF!</v>
      </c>
      <c r="BD37" s="35" t="e">
        <f>-BD$24*'операционные  расходы 1 этап'!#REF!</f>
        <v>#REF!</v>
      </c>
      <c r="BE37" s="35" t="e">
        <f>-BE$24*'операционные  расходы 1 этап'!#REF!</f>
        <v>#REF!</v>
      </c>
      <c r="BF37" s="35" t="e">
        <f>-BF$24*'операционные  расходы 1 этап'!#REF!</f>
        <v>#REF!</v>
      </c>
      <c r="BG37" s="35" t="e">
        <f>-BG$24*'операционные  расходы 1 этап'!#REF!</f>
        <v>#REF!</v>
      </c>
      <c r="BH37" s="35" t="e">
        <f>-BH$24*'операционные  расходы 1 этап'!#REF!</f>
        <v>#REF!</v>
      </c>
      <c r="BI37" s="35" t="e">
        <f>-BI$24*'операционные  расходы 1 этап'!#REF!</f>
        <v>#REF!</v>
      </c>
      <c r="BJ37" s="35" t="e">
        <f>-BJ$24*'операционные  расходы 1 этап'!#REF!</f>
        <v>#REF!</v>
      </c>
      <c r="BK37" s="35" t="e">
        <f>-BK$24*'операционные  расходы 1 этап'!#REF!</f>
        <v>#REF!</v>
      </c>
      <c r="BL37" s="35" t="e">
        <f>-BL$24*'операционные  расходы 1 этап'!#REF!</f>
        <v>#REF!</v>
      </c>
      <c r="BM37" s="35" t="e">
        <f>-BM$24*'операционные  расходы 1 этап'!#REF!</f>
        <v>#REF!</v>
      </c>
      <c r="BN37" s="35" t="e">
        <f>-BN$24*'операционные  расходы 1 этап'!#REF!</f>
        <v>#REF!</v>
      </c>
      <c r="BO37" s="35" t="e">
        <f>-BO$24*'операционные  расходы 1 этап'!#REF!</f>
        <v>#REF!</v>
      </c>
      <c r="BP37" s="35" t="e">
        <f>-BP$24*'операционные  расходы 1 этап'!#REF!</f>
        <v>#REF!</v>
      </c>
      <c r="BQ37" s="35" t="e">
        <f>-BQ$24*'операционные  расходы 1 этап'!#REF!</f>
        <v>#REF!</v>
      </c>
      <c r="BR37" s="35" t="e">
        <f>-BR$24*'операционные  расходы 1 этап'!#REF!</f>
        <v>#REF!</v>
      </c>
      <c r="BS37" s="35" t="e">
        <f>-BS$24*'операционные  расходы 1 этап'!#REF!</f>
        <v>#REF!</v>
      </c>
      <c r="BT37" s="35" t="e">
        <f>-BT$24*'операционные  расходы 1 этап'!#REF!</f>
        <v>#REF!</v>
      </c>
      <c r="BU37" s="35" t="e">
        <f>-BU$24*'операционные  расходы 1 этап'!#REF!</f>
        <v>#REF!</v>
      </c>
      <c r="BV37" s="35" t="e">
        <f>-BV$24*'операционные  расходы 1 этап'!#REF!</f>
        <v>#REF!</v>
      </c>
      <c r="BW37" s="35" t="e">
        <f>-BW$24*'операционные  расходы 1 этап'!#REF!</f>
        <v>#REF!</v>
      </c>
      <c r="BX37" s="35" t="e">
        <f>-BX$24*'операционные  расходы 1 этап'!#REF!</f>
        <v>#REF!</v>
      </c>
      <c r="BY37" s="35" t="e">
        <f>-BY$24*'операционные  расходы 1 этап'!#REF!</f>
        <v>#REF!</v>
      </c>
      <c r="BZ37" s="35" t="e">
        <f>-BZ$24*'операционные  расходы 1 этап'!#REF!</f>
        <v>#REF!</v>
      </c>
      <c r="CA37" s="35" t="e">
        <f>-CA$24*'операционные  расходы 1 этап'!#REF!</f>
        <v>#REF!</v>
      </c>
      <c r="CB37" s="35" t="e">
        <f>-CB$24*'операционные  расходы 1 этап'!#REF!</f>
        <v>#REF!</v>
      </c>
      <c r="CC37" s="35" t="e">
        <f>-CC$24*'операционные  расходы 1 этап'!#REF!</f>
        <v>#REF!</v>
      </c>
      <c r="CD37" s="35" t="e">
        <f>-CD$24*'операционные  расходы 1 этап'!#REF!</f>
        <v>#REF!</v>
      </c>
      <c r="CE37" s="35" t="e">
        <f>-CE$24*'операционные  расходы 1 этап'!#REF!</f>
        <v>#REF!</v>
      </c>
      <c r="CF37" s="35" t="e">
        <f>-CF$24*'операционные  расходы 1 этап'!#REF!</f>
        <v>#REF!</v>
      </c>
      <c r="CG37" s="35" t="e">
        <f>-CG$24*'операционные  расходы 1 этап'!#REF!</f>
        <v>#REF!</v>
      </c>
      <c r="CH37" s="35" t="e">
        <f>-CH$24*'операционные  расходы 1 этап'!#REF!</f>
        <v>#REF!</v>
      </c>
      <c r="CI37" s="35" t="e">
        <f>-CI$24*'операционные  расходы 1 этап'!#REF!</f>
        <v>#REF!</v>
      </c>
      <c r="CJ37" s="35" t="e">
        <f>-CJ$24*'операционные  расходы 1 этап'!#REF!</f>
        <v>#REF!</v>
      </c>
      <c r="CK37" s="35" t="e">
        <f>-CK$24*'операционные  расходы 1 этап'!#REF!</f>
        <v>#REF!</v>
      </c>
      <c r="CL37" s="35" t="e">
        <f>-CL$24*'операционные  расходы 1 этап'!#REF!</f>
        <v>#REF!</v>
      </c>
      <c r="CM37" s="35" t="e">
        <f>-CM$24*'операционные  расходы 1 этап'!#REF!</f>
        <v>#REF!</v>
      </c>
      <c r="CN37" s="35" t="e">
        <f>-CN$24*'операционные  расходы 1 этап'!#REF!</f>
        <v>#REF!</v>
      </c>
      <c r="CO37" s="35" t="e">
        <f>-CO$24*'операционные  расходы 1 этап'!#REF!</f>
        <v>#REF!</v>
      </c>
    </row>
    <row r="38" spans="1:93" ht="12.75" customHeight="1" outlineLevel="2">
      <c r="A38" s="35"/>
      <c r="B38" s="63" t="s">
        <v>138</v>
      </c>
      <c r="C38" s="74" t="e">
        <f t="shared" si="17"/>
        <v>#REF!</v>
      </c>
      <c r="D38" s="60"/>
      <c r="E38" s="35" t="e">
        <f>-E$19*'операционные  расходы 1 этап'!#REF!</f>
        <v>#REF!</v>
      </c>
      <c r="F38" s="35" t="e">
        <f>-F$19*'операционные  расходы 1 этап'!#REF!</f>
        <v>#REF!</v>
      </c>
      <c r="G38" s="35" t="e">
        <f>-G$19*'операционные  расходы 1 этап'!#REF!</f>
        <v>#REF!</v>
      </c>
      <c r="H38" s="35" t="e">
        <f>-H$19*'операционные  расходы 1 этап'!#REF!</f>
        <v>#REF!</v>
      </c>
      <c r="I38" s="35" t="e">
        <f>-I$19*'операционные  расходы 1 этап'!#REF!</f>
        <v>#REF!</v>
      </c>
      <c r="J38" s="35" t="e">
        <f>-J$19*'операционные  расходы 1 этап'!#REF!</f>
        <v>#REF!</v>
      </c>
      <c r="K38" s="35" t="e">
        <f>-K$19*'операционные  расходы 1 этап'!#REF!</f>
        <v>#REF!</v>
      </c>
      <c r="L38" s="35" t="e">
        <f>-L$19*'операционные  расходы 1 этап'!#REF!</f>
        <v>#REF!</v>
      </c>
      <c r="M38" s="35" t="e">
        <f>-M$19*'операционные  расходы 1 этап'!#REF!</f>
        <v>#REF!</v>
      </c>
      <c r="N38" s="35" t="e">
        <f>-N$19*'операционные  расходы 1 этап'!#REF!</f>
        <v>#REF!</v>
      </c>
      <c r="O38" s="35" t="e">
        <f>-O$19*'операционные  расходы 1 этап'!#REF!</f>
        <v>#REF!</v>
      </c>
      <c r="P38" s="35" t="e">
        <f>-P$19*'операционные  расходы 1 этап'!#REF!</f>
        <v>#REF!</v>
      </c>
      <c r="Q38" s="35" t="e">
        <f>-Q$19*'операционные  расходы 1 этап'!#REF!</f>
        <v>#REF!</v>
      </c>
      <c r="R38" s="35" t="e">
        <f>-R$19*'операционные  расходы 1 этап'!#REF!</f>
        <v>#REF!</v>
      </c>
      <c r="S38" s="35" t="e">
        <f>-S$19*'операционные  расходы 1 этап'!#REF!</f>
        <v>#REF!</v>
      </c>
      <c r="T38" s="35" t="e">
        <f>-T$19*'операционные  расходы 1 этап'!#REF!</f>
        <v>#REF!</v>
      </c>
      <c r="U38" s="35" t="e">
        <f>-U$19*'операционные  расходы 1 этап'!#REF!</f>
        <v>#REF!</v>
      </c>
      <c r="V38" s="35" t="e">
        <f>-V$19*'операционные  расходы 1 этап'!#REF!</f>
        <v>#REF!</v>
      </c>
      <c r="W38" s="35" t="e">
        <f>-W$19*'операционные  расходы 1 этап'!#REF!</f>
        <v>#REF!</v>
      </c>
      <c r="X38" s="35" t="e">
        <f>-X$19*'операционные  расходы 1 этап'!#REF!</f>
        <v>#REF!</v>
      </c>
      <c r="Y38" s="35" t="e">
        <f>-Y$19*'операционные  расходы 1 этап'!#REF!</f>
        <v>#REF!</v>
      </c>
      <c r="Z38" s="35" t="e">
        <f>-Z$19*'операционные  расходы 1 этап'!#REF!</f>
        <v>#REF!</v>
      </c>
      <c r="AA38" s="35" t="e">
        <f>-AA$19*'операционные  расходы 1 этап'!#REF!</f>
        <v>#REF!</v>
      </c>
      <c r="AB38" s="35" t="e">
        <f>-AB$19*'операционные  расходы 1 этап'!#REF!</f>
        <v>#REF!</v>
      </c>
      <c r="AC38" s="35" t="e">
        <f>-AC$19*'операционные  расходы 1 этап'!#REF!</f>
        <v>#REF!</v>
      </c>
      <c r="AD38" s="35" t="e">
        <f>-AD$19*'операционные  расходы 1 этап'!#REF!</f>
        <v>#REF!</v>
      </c>
      <c r="AE38" s="35" t="e">
        <f>-AE$19*'операционные  расходы 1 этап'!#REF!</f>
        <v>#REF!</v>
      </c>
      <c r="AF38" s="35" t="e">
        <f>-AF$19*'операционные  расходы 1 этап'!#REF!</f>
        <v>#REF!</v>
      </c>
      <c r="AG38" s="35" t="e">
        <f>-AG$19*'операционные  расходы 1 этап'!#REF!</f>
        <v>#REF!</v>
      </c>
      <c r="AH38" s="35" t="e">
        <f>-AH$19*'операционные  расходы 1 этап'!#REF!</f>
        <v>#REF!</v>
      </c>
      <c r="AI38" s="35" t="e">
        <f>-AI$19*'операционные  расходы 1 этап'!#REF!</f>
        <v>#REF!</v>
      </c>
      <c r="AJ38" s="35" t="e">
        <f>-AJ$19*'операционные  расходы 1 этап'!#REF!</f>
        <v>#REF!</v>
      </c>
      <c r="AK38" s="35" t="e">
        <f>-AK$19*'операционные  расходы 1 этап'!#REF!</f>
        <v>#REF!</v>
      </c>
      <c r="AL38" s="35" t="e">
        <f>-AL$19*'операционные  расходы 1 этап'!#REF!</f>
        <v>#REF!</v>
      </c>
      <c r="AM38" s="35" t="e">
        <f>-AM$19*'операционные  расходы 1 этап'!#REF!</f>
        <v>#REF!</v>
      </c>
      <c r="AN38" s="35" t="e">
        <f>-AN$19*'операционные  расходы 1 этап'!#REF!</f>
        <v>#REF!</v>
      </c>
      <c r="AO38" s="35" t="e">
        <f>-AO$19*'операционные  расходы 1 этап'!#REF!</f>
        <v>#REF!</v>
      </c>
      <c r="AP38" s="35" t="e">
        <f>-AP$19*'операционные  расходы 1 этап'!#REF!</f>
        <v>#REF!</v>
      </c>
      <c r="AQ38" s="35" t="e">
        <f>-AQ$19*'операционные  расходы 1 этап'!#REF!</f>
        <v>#REF!</v>
      </c>
      <c r="AR38" s="35" t="e">
        <f>-AR$19*'операционные  расходы 1 этап'!#REF!</f>
        <v>#REF!</v>
      </c>
      <c r="AS38" s="35" t="e">
        <f>-AS$19*'операционные  расходы 1 этап'!#REF!</f>
        <v>#REF!</v>
      </c>
      <c r="AT38" s="35" t="e">
        <f>-AT$19*'операционные  расходы 1 этап'!#REF!</f>
        <v>#REF!</v>
      </c>
      <c r="AU38" s="35" t="e">
        <f>-AU$19*'операционные  расходы 1 этап'!#REF!</f>
        <v>#REF!</v>
      </c>
      <c r="AV38" s="35" t="e">
        <f>-AV$19*'операционные  расходы 1 этап'!#REF!</f>
        <v>#REF!</v>
      </c>
      <c r="AW38" s="35" t="e">
        <f>-AW$19*'операционные  расходы 1 этап'!#REF!</f>
        <v>#REF!</v>
      </c>
      <c r="AX38" s="35" t="e">
        <f>-AX$19*'операционные  расходы 1 этап'!#REF!</f>
        <v>#REF!</v>
      </c>
      <c r="AY38" s="35" t="e">
        <f>-AY$19*'операционные  расходы 1 этап'!#REF!</f>
        <v>#REF!</v>
      </c>
      <c r="AZ38" s="35" t="e">
        <f>-AZ$19*'операционные  расходы 1 этап'!#REF!</f>
        <v>#REF!</v>
      </c>
      <c r="BA38" s="35" t="e">
        <f>-BA$19*'операционные  расходы 1 этап'!#REF!</f>
        <v>#REF!</v>
      </c>
      <c r="BB38" s="35" t="e">
        <f>-BB$19*'операционные  расходы 1 этап'!#REF!</f>
        <v>#REF!</v>
      </c>
      <c r="BC38" s="35" t="e">
        <f>-BC$19*'операционные  расходы 1 этап'!#REF!</f>
        <v>#REF!</v>
      </c>
      <c r="BD38" s="35" t="e">
        <f>-BD$19*'операционные  расходы 1 этап'!#REF!</f>
        <v>#REF!</v>
      </c>
      <c r="BE38" s="35" t="e">
        <f>-BE$19*'операционные  расходы 1 этап'!#REF!</f>
        <v>#REF!</v>
      </c>
      <c r="BF38" s="35" t="e">
        <f>-BF$19*'операционные  расходы 1 этап'!#REF!</f>
        <v>#REF!</v>
      </c>
      <c r="BG38" s="35" t="e">
        <f>-BG$19*'операционные  расходы 1 этап'!#REF!</f>
        <v>#REF!</v>
      </c>
      <c r="BH38" s="35" t="e">
        <f>-BH$19*'операционные  расходы 1 этап'!#REF!</f>
        <v>#REF!</v>
      </c>
      <c r="BI38" s="35" t="e">
        <f>-BI$19*'операционные  расходы 1 этап'!#REF!</f>
        <v>#REF!</v>
      </c>
      <c r="BJ38" s="35" t="e">
        <f>-BJ$19*'операционные  расходы 1 этап'!#REF!</f>
        <v>#REF!</v>
      </c>
      <c r="BK38" s="35" t="e">
        <f>-BK$19*'операционные  расходы 1 этап'!#REF!</f>
        <v>#REF!</v>
      </c>
      <c r="BL38" s="35" t="e">
        <f>-BL$19*'операционные  расходы 1 этап'!#REF!</f>
        <v>#REF!</v>
      </c>
      <c r="BM38" s="35" t="e">
        <f>-BM$19*'операционные  расходы 1 этап'!#REF!</f>
        <v>#REF!</v>
      </c>
      <c r="BN38" s="35" t="e">
        <f>-BN$19*'операционные  расходы 1 этап'!#REF!</f>
        <v>#REF!</v>
      </c>
      <c r="BO38" s="35" t="e">
        <f>-BO$19*'операционные  расходы 1 этап'!#REF!</f>
        <v>#REF!</v>
      </c>
      <c r="BP38" s="35" t="e">
        <f>-BP$19*'операционные  расходы 1 этап'!#REF!</f>
        <v>#REF!</v>
      </c>
      <c r="BQ38" s="35" t="e">
        <f>-BQ$19*'операционные  расходы 1 этап'!#REF!</f>
        <v>#REF!</v>
      </c>
      <c r="BR38" s="35" t="e">
        <f>-BR$19*'операционные  расходы 1 этап'!#REF!</f>
        <v>#REF!</v>
      </c>
      <c r="BS38" s="35" t="e">
        <f>-BS$19*'операционные  расходы 1 этап'!#REF!</f>
        <v>#REF!</v>
      </c>
      <c r="BT38" s="35" t="e">
        <f>-BT$19*'операционные  расходы 1 этап'!#REF!</f>
        <v>#REF!</v>
      </c>
      <c r="BU38" s="35" t="e">
        <f>-BU$19*'операционные  расходы 1 этап'!#REF!</f>
        <v>#REF!</v>
      </c>
      <c r="BV38" s="35" t="e">
        <f>-BV$19*'операционные  расходы 1 этап'!#REF!</f>
        <v>#REF!</v>
      </c>
      <c r="BW38" s="35" t="e">
        <f>-BW$19*'операционные  расходы 1 этап'!#REF!</f>
        <v>#REF!</v>
      </c>
      <c r="BX38" s="35" t="e">
        <f>-BX$19*'операционные  расходы 1 этап'!#REF!</f>
        <v>#REF!</v>
      </c>
      <c r="BY38" s="35" t="e">
        <f>-BY$19*'операционные  расходы 1 этап'!#REF!</f>
        <v>#REF!</v>
      </c>
      <c r="BZ38" s="35" t="e">
        <f>-BZ$19*'операционные  расходы 1 этап'!#REF!</f>
        <v>#REF!</v>
      </c>
      <c r="CA38" s="35" t="e">
        <f>-CA$19*'операционные  расходы 1 этап'!#REF!</f>
        <v>#REF!</v>
      </c>
      <c r="CB38" s="35" t="e">
        <f>-CB$19*'операционные  расходы 1 этап'!#REF!</f>
        <v>#REF!</v>
      </c>
      <c r="CC38" s="35" t="e">
        <f>-CC$19*'операционные  расходы 1 этап'!#REF!</f>
        <v>#REF!</v>
      </c>
      <c r="CD38" s="35" t="e">
        <f>-CD$19*'операционные  расходы 1 этап'!#REF!</f>
        <v>#REF!</v>
      </c>
      <c r="CE38" s="35" t="e">
        <f>-CE$19*'операционные  расходы 1 этап'!#REF!</f>
        <v>#REF!</v>
      </c>
      <c r="CF38" s="35" t="e">
        <f>-CF$19*'операционные  расходы 1 этап'!#REF!</f>
        <v>#REF!</v>
      </c>
      <c r="CG38" s="35" t="e">
        <f>-CG$19*'операционные  расходы 1 этап'!#REF!</f>
        <v>#REF!</v>
      </c>
      <c r="CH38" s="35" t="e">
        <f>-CH$19*'операционные  расходы 1 этап'!#REF!</f>
        <v>#REF!</v>
      </c>
      <c r="CI38" s="35" t="e">
        <f>-CI$19*'операционные  расходы 1 этап'!#REF!</f>
        <v>#REF!</v>
      </c>
      <c r="CJ38" s="35" t="e">
        <f>-CJ$19*'операционные  расходы 1 этап'!#REF!</f>
        <v>#REF!</v>
      </c>
      <c r="CK38" s="35" t="e">
        <f>-CK$19*'операционные  расходы 1 этап'!#REF!</f>
        <v>#REF!</v>
      </c>
      <c r="CL38" s="35" t="e">
        <f>-CL$19*'операционные  расходы 1 этап'!#REF!</f>
        <v>#REF!</v>
      </c>
      <c r="CM38" s="35" t="e">
        <f>-CM$19*'операционные  расходы 1 этап'!#REF!</f>
        <v>#REF!</v>
      </c>
      <c r="CN38" s="35" t="e">
        <f>-CN$19*'операционные  расходы 1 этап'!#REF!</f>
        <v>#REF!</v>
      </c>
      <c r="CO38" s="35" t="e">
        <f>-CO$19*'операционные  расходы 1 этап'!#REF!</f>
        <v>#REF!</v>
      </c>
    </row>
    <row r="39" spans="1:93" ht="12.75" customHeight="1" outlineLevel="2">
      <c r="A39" s="35"/>
      <c r="B39" s="63" t="s">
        <v>139</v>
      </c>
      <c r="C39" s="74" t="e">
        <f t="shared" si="17"/>
        <v>#REF!</v>
      </c>
      <c r="D39" s="60"/>
      <c r="E39" s="35" t="e">
        <f>-E$19*'операционные  расходы 1 этап'!#REF!</f>
        <v>#REF!</v>
      </c>
      <c r="F39" s="35" t="e">
        <f>-F$19*'операционные  расходы 1 этап'!#REF!</f>
        <v>#REF!</v>
      </c>
      <c r="G39" s="35" t="e">
        <f>-G$19*'операционные  расходы 1 этап'!#REF!</f>
        <v>#REF!</v>
      </c>
      <c r="H39" s="35" t="e">
        <f>-H$19*'операционные  расходы 1 этап'!#REF!</f>
        <v>#REF!</v>
      </c>
      <c r="I39" s="35" t="e">
        <f>-I$19*'операционные  расходы 1 этап'!#REF!</f>
        <v>#REF!</v>
      </c>
      <c r="J39" s="35" t="e">
        <f>-J$19*'операционные  расходы 1 этап'!#REF!</f>
        <v>#REF!</v>
      </c>
      <c r="K39" s="35" t="e">
        <f>-K$19*'операционные  расходы 1 этап'!#REF!</f>
        <v>#REF!</v>
      </c>
      <c r="L39" s="35" t="e">
        <f>-L$19*'операционные  расходы 1 этап'!#REF!</f>
        <v>#REF!</v>
      </c>
      <c r="M39" s="35" t="e">
        <f>-M$19*'операционные  расходы 1 этап'!#REF!</f>
        <v>#REF!</v>
      </c>
      <c r="N39" s="35" t="e">
        <f>-N$19*'операционные  расходы 1 этап'!#REF!</f>
        <v>#REF!</v>
      </c>
      <c r="O39" s="35" t="e">
        <f>-O$19*'операционные  расходы 1 этап'!#REF!</f>
        <v>#REF!</v>
      </c>
      <c r="P39" s="35" t="e">
        <f>-P$19*'операционные  расходы 1 этап'!#REF!</f>
        <v>#REF!</v>
      </c>
      <c r="Q39" s="35" t="e">
        <f>-Q$19*'операционные  расходы 1 этап'!#REF!</f>
        <v>#REF!</v>
      </c>
      <c r="R39" s="35" t="e">
        <f>-R$19*'операционные  расходы 1 этап'!#REF!</f>
        <v>#REF!</v>
      </c>
      <c r="S39" s="35" t="e">
        <f>-S$19*'операционные  расходы 1 этап'!#REF!</f>
        <v>#REF!</v>
      </c>
      <c r="T39" s="35" t="e">
        <f>-T$19*'операционные  расходы 1 этап'!#REF!</f>
        <v>#REF!</v>
      </c>
      <c r="U39" s="35" t="e">
        <f>-U$19*'операционные  расходы 1 этап'!#REF!</f>
        <v>#REF!</v>
      </c>
      <c r="V39" s="35" t="e">
        <f>-V$19*'операционные  расходы 1 этап'!#REF!</f>
        <v>#REF!</v>
      </c>
      <c r="W39" s="35" t="e">
        <f>-W$19*'операционные  расходы 1 этап'!#REF!</f>
        <v>#REF!</v>
      </c>
      <c r="X39" s="35" t="e">
        <f>-X$19*'операционные  расходы 1 этап'!#REF!</f>
        <v>#REF!</v>
      </c>
      <c r="Y39" s="35" t="e">
        <f>-Y$19*'операционные  расходы 1 этап'!#REF!</f>
        <v>#REF!</v>
      </c>
      <c r="Z39" s="35" t="e">
        <f>-Z$19*'операционные  расходы 1 этап'!#REF!</f>
        <v>#REF!</v>
      </c>
      <c r="AA39" s="35" t="e">
        <f>-AA$19*'операционные  расходы 1 этап'!#REF!</f>
        <v>#REF!</v>
      </c>
      <c r="AB39" s="35" t="e">
        <f>-AB$19*'операционные  расходы 1 этап'!#REF!</f>
        <v>#REF!</v>
      </c>
      <c r="AC39" s="35" t="e">
        <f>-AC$19*'операционные  расходы 1 этап'!#REF!</f>
        <v>#REF!</v>
      </c>
      <c r="AD39" s="35" t="e">
        <f>-AD$19*'операционные  расходы 1 этап'!#REF!</f>
        <v>#REF!</v>
      </c>
      <c r="AE39" s="35" t="e">
        <f>-AE$19*'операционные  расходы 1 этап'!#REF!</f>
        <v>#REF!</v>
      </c>
      <c r="AF39" s="35" t="e">
        <f>-AF$19*'операционные  расходы 1 этап'!#REF!</f>
        <v>#REF!</v>
      </c>
      <c r="AG39" s="35" t="e">
        <f>-AG$19*'операционные  расходы 1 этап'!#REF!</f>
        <v>#REF!</v>
      </c>
      <c r="AH39" s="35" t="e">
        <f>-AH$19*'операционные  расходы 1 этап'!#REF!</f>
        <v>#REF!</v>
      </c>
      <c r="AI39" s="35" t="e">
        <f>-AI$19*'операционные  расходы 1 этап'!#REF!</f>
        <v>#REF!</v>
      </c>
      <c r="AJ39" s="35" t="e">
        <f>-AJ$19*'операционные  расходы 1 этап'!#REF!</f>
        <v>#REF!</v>
      </c>
      <c r="AK39" s="35" t="e">
        <f>-AK$19*'операционные  расходы 1 этап'!#REF!</f>
        <v>#REF!</v>
      </c>
      <c r="AL39" s="35" t="e">
        <f>-AL$19*'операционные  расходы 1 этап'!#REF!</f>
        <v>#REF!</v>
      </c>
      <c r="AM39" s="35" t="e">
        <f>-AM$19*'операционные  расходы 1 этап'!#REF!</f>
        <v>#REF!</v>
      </c>
      <c r="AN39" s="35" t="e">
        <f>-AN$19*'операционные  расходы 1 этап'!#REF!</f>
        <v>#REF!</v>
      </c>
      <c r="AO39" s="35" t="e">
        <f>-AO$19*'операционные  расходы 1 этап'!#REF!</f>
        <v>#REF!</v>
      </c>
      <c r="AP39" s="35" t="e">
        <f>-AP$19*'операционные  расходы 1 этап'!#REF!</f>
        <v>#REF!</v>
      </c>
      <c r="AQ39" s="35" t="e">
        <f>-AQ$19*'операционные  расходы 1 этап'!#REF!</f>
        <v>#REF!</v>
      </c>
      <c r="AR39" s="35" t="e">
        <f>-AR$19*'операционные  расходы 1 этап'!#REF!</f>
        <v>#REF!</v>
      </c>
      <c r="AS39" s="35" t="e">
        <f>-AS$19*'операционные  расходы 1 этап'!#REF!</f>
        <v>#REF!</v>
      </c>
      <c r="AT39" s="35" t="e">
        <f>-AT$19*'операционные  расходы 1 этап'!#REF!</f>
        <v>#REF!</v>
      </c>
      <c r="AU39" s="35" t="e">
        <f>-AU$19*'операционные  расходы 1 этап'!#REF!</f>
        <v>#REF!</v>
      </c>
      <c r="AV39" s="35" t="e">
        <f>-AV$19*'операционные  расходы 1 этап'!#REF!</f>
        <v>#REF!</v>
      </c>
      <c r="AW39" s="35" t="e">
        <f>-AW$19*'операционные  расходы 1 этап'!#REF!</f>
        <v>#REF!</v>
      </c>
      <c r="AX39" s="35" t="e">
        <f>-AX$19*'операционные  расходы 1 этап'!#REF!</f>
        <v>#REF!</v>
      </c>
      <c r="AY39" s="35" t="e">
        <f>-AY$19*'операционные  расходы 1 этап'!#REF!</f>
        <v>#REF!</v>
      </c>
      <c r="AZ39" s="35" t="e">
        <f>-AZ$19*'операционные  расходы 1 этап'!#REF!</f>
        <v>#REF!</v>
      </c>
      <c r="BA39" s="35" t="e">
        <f>-BA$19*'операционные  расходы 1 этап'!#REF!</f>
        <v>#REF!</v>
      </c>
      <c r="BB39" s="35" t="e">
        <f>-BB$19*'операционные  расходы 1 этап'!#REF!</f>
        <v>#REF!</v>
      </c>
      <c r="BC39" s="35" t="e">
        <f>-BC$19*'операционные  расходы 1 этап'!#REF!</f>
        <v>#REF!</v>
      </c>
      <c r="BD39" s="35" t="e">
        <f>-BD$19*'операционные  расходы 1 этап'!#REF!</f>
        <v>#REF!</v>
      </c>
      <c r="BE39" s="35" t="e">
        <f>-BE$19*'операционные  расходы 1 этап'!#REF!</f>
        <v>#REF!</v>
      </c>
      <c r="BF39" s="35" t="e">
        <f>-BF$19*'операционные  расходы 1 этап'!#REF!</f>
        <v>#REF!</v>
      </c>
      <c r="BG39" s="35" t="e">
        <f>-BG$19*'операционные  расходы 1 этап'!#REF!</f>
        <v>#REF!</v>
      </c>
      <c r="BH39" s="35" t="e">
        <f>-BH$19*'операционные  расходы 1 этап'!#REF!</f>
        <v>#REF!</v>
      </c>
      <c r="BI39" s="35" t="e">
        <f>-BI$19*'операционные  расходы 1 этап'!#REF!</f>
        <v>#REF!</v>
      </c>
      <c r="BJ39" s="35" t="e">
        <f>-BJ$19*'операционные  расходы 1 этап'!#REF!</f>
        <v>#REF!</v>
      </c>
      <c r="BK39" s="35" t="e">
        <f>-BK$19*'операционные  расходы 1 этап'!#REF!</f>
        <v>#REF!</v>
      </c>
      <c r="BL39" s="35" t="e">
        <f>-BL$19*'операционные  расходы 1 этап'!#REF!</f>
        <v>#REF!</v>
      </c>
      <c r="BM39" s="35" t="e">
        <f>-BM$19*'операционные  расходы 1 этап'!#REF!</f>
        <v>#REF!</v>
      </c>
      <c r="BN39" s="35" t="e">
        <f>-BN$19*'операционные  расходы 1 этап'!#REF!</f>
        <v>#REF!</v>
      </c>
      <c r="BO39" s="35" t="e">
        <f>-BO$19*'операционные  расходы 1 этап'!#REF!</f>
        <v>#REF!</v>
      </c>
      <c r="BP39" s="35" t="e">
        <f>-BP$19*'операционные  расходы 1 этап'!#REF!</f>
        <v>#REF!</v>
      </c>
      <c r="BQ39" s="35" t="e">
        <f>-BQ$19*'операционные  расходы 1 этап'!#REF!</f>
        <v>#REF!</v>
      </c>
      <c r="BR39" s="35" t="e">
        <f>-BR$19*'операционные  расходы 1 этап'!#REF!</f>
        <v>#REF!</v>
      </c>
      <c r="BS39" s="35" t="e">
        <f>-BS$19*'операционные  расходы 1 этап'!#REF!</f>
        <v>#REF!</v>
      </c>
      <c r="BT39" s="35" t="e">
        <f>-BT$19*'операционные  расходы 1 этап'!#REF!</f>
        <v>#REF!</v>
      </c>
      <c r="BU39" s="35" t="e">
        <f>-BU$19*'операционные  расходы 1 этап'!#REF!</f>
        <v>#REF!</v>
      </c>
      <c r="BV39" s="35" t="e">
        <f>-BV$19*'операционные  расходы 1 этап'!#REF!</f>
        <v>#REF!</v>
      </c>
      <c r="BW39" s="35" t="e">
        <f>-BW$19*'операционные  расходы 1 этап'!#REF!</f>
        <v>#REF!</v>
      </c>
      <c r="BX39" s="35" t="e">
        <f>-BX$19*'операционные  расходы 1 этап'!#REF!</f>
        <v>#REF!</v>
      </c>
      <c r="BY39" s="35" t="e">
        <f>-BY$19*'операционные  расходы 1 этап'!#REF!</f>
        <v>#REF!</v>
      </c>
      <c r="BZ39" s="35" t="e">
        <f>-BZ$19*'операционные  расходы 1 этап'!#REF!</f>
        <v>#REF!</v>
      </c>
      <c r="CA39" s="35" t="e">
        <f>-CA$19*'операционные  расходы 1 этап'!#REF!</f>
        <v>#REF!</v>
      </c>
      <c r="CB39" s="35" t="e">
        <f>-CB$19*'операционные  расходы 1 этап'!#REF!</f>
        <v>#REF!</v>
      </c>
      <c r="CC39" s="35" t="e">
        <f>-CC$19*'операционные  расходы 1 этап'!#REF!</f>
        <v>#REF!</v>
      </c>
      <c r="CD39" s="35" t="e">
        <f>-CD$19*'операционные  расходы 1 этап'!#REF!</f>
        <v>#REF!</v>
      </c>
      <c r="CE39" s="35" t="e">
        <f>-CE$19*'операционные  расходы 1 этап'!#REF!</f>
        <v>#REF!</v>
      </c>
      <c r="CF39" s="35" t="e">
        <f>-CF$19*'операционные  расходы 1 этап'!#REF!</f>
        <v>#REF!</v>
      </c>
      <c r="CG39" s="35" t="e">
        <f>-CG$19*'операционные  расходы 1 этап'!#REF!</f>
        <v>#REF!</v>
      </c>
      <c r="CH39" s="35" t="e">
        <f>-CH$19*'операционные  расходы 1 этап'!#REF!</f>
        <v>#REF!</v>
      </c>
      <c r="CI39" s="35" t="e">
        <f>-CI$19*'операционные  расходы 1 этап'!#REF!</f>
        <v>#REF!</v>
      </c>
      <c r="CJ39" s="35" t="e">
        <f>-CJ$19*'операционные  расходы 1 этап'!#REF!</f>
        <v>#REF!</v>
      </c>
      <c r="CK39" s="35" t="e">
        <f>-CK$19*'операционные  расходы 1 этап'!#REF!</f>
        <v>#REF!</v>
      </c>
      <c r="CL39" s="35" t="e">
        <f>-CL$19*'операционные  расходы 1 этап'!#REF!</f>
        <v>#REF!</v>
      </c>
      <c r="CM39" s="35" t="e">
        <f>-CM$19*'операционные  расходы 1 этап'!#REF!</f>
        <v>#REF!</v>
      </c>
      <c r="CN39" s="35" t="e">
        <f>-CN$19*'операционные  расходы 1 этап'!#REF!</f>
        <v>#REF!</v>
      </c>
      <c r="CO39" s="35" t="e">
        <f>-CO$19*'операционные  расходы 1 этап'!#REF!</f>
        <v>#REF!</v>
      </c>
    </row>
    <row r="40" spans="1:93" ht="12.75" customHeight="1" outlineLevel="2">
      <c r="A40" s="35"/>
      <c r="B40" s="63" t="s">
        <v>140</v>
      </c>
      <c r="C40" s="74" t="e">
        <f t="shared" si="17"/>
        <v>#REF!</v>
      </c>
      <c r="D40" s="60"/>
      <c r="E40" s="35" t="e">
        <f>-E$19*'операционные  расходы 1 этап'!#REF!</f>
        <v>#REF!</v>
      </c>
      <c r="F40" s="35" t="e">
        <f>-F$19*'операционные  расходы 1 этап'!#REF!</f>
        <v>#REF!</v>
      </c>
      <c r="G40" s="35" t="e">
        <f>-G$19*'операционные  расходы 1 этап'!#REF!</f>
        <v>#REF!</v>
      </c>
      <c r="H40" s="35" t="e">
        <f>-H$19*'операционные  расходы 1 этап'!#REF!</f>
        <v>#REF!</v>
      </c>
      <c r="I40" s="35" t="e">
        <f>-I$19*'операционные  расходы 1 этап'!#REF!</f>
        <v>#REF!</v>
      </c>
      <c r="J40" s="35" t="e">
        <f>-J$19*'операционные  расходы 1 этап'!#REF!</f>
        <v>#REF!</v>
      </c>
      <c r="K40" s="35" t="e">
        <f>-K$19*'операционные  расходы 1 этап'!#REF!</f>
        <v>#REF!</v>
      </c>
      <c r="L40" s="35" t="e">
        <f>-L$19*'операционные  расходы 1 этап'!#REF!</f>
        <v>#REF!</v>
      </c>
      <c r="M40" s="35" t="e">
        <f>-M$19*'операционные  расходы 1 этап'!#REF!</f>
        <v>#REF!</v>
      </c>
      <c r="N40" s="35" t="e">
        <f>-N$19*'операционные  расходы 1 этап'!#REF!</f>
        <v>#REF!</v>
      </c>
      <c r="O40" s="35" t="e">
        <f>-O$19*'операционные  расходы 1 этап'!#REF!</f>
        <v>#REF!</v>
      </c>
      <c r="P40" s="35" t="e">
        <f>-P$19*'операционные  расходы 1 этап'!#REF!</f>
        <v>#REF!</v>
      </c>
      <c r="Q40" s="35" t="e">
        <f>-Q$19*'операционные  расходы 1 этап'!#REF!</f>
        <v>#REF!</v>
      </c>
      <c r="R40" s="35" t="e">
        <f>-R$19*'операционные  расходы 1 этап'!#REF!</f>
        <v>#REF!</v>
      </c>
      <c r="S40" s="35" t="e">
        <f>-S$19*'операционные  расходы 1 этап'!#REF!</f>
        <v>#REF!</v>
      </c>
      <c r="T40" s="35" t="e">
        <f>-T$19*'операционные  расходы 1 этап'!#REF!</f>
        <v>#REF!</v>
      </c>
      <c r="U40" s="35" t="e">
        <f>-U$19*'операционные  расходы 1 этап'!#REF!</f>
        <v>#REF!</v>
      </c>
      <c r="V40" s="35" t="e">
        <f>-V$19*'операционные  расходы 1 этап'!#REF!</f>
        <v>#REF!</v>
      </c>
      <c r="W40" s="35" t="e">
        <f>-W$19*'операционные  расходы 1 этап'!#REF!</f>
        <v>#REF!</v>
      </c>
      <c r="X40" s="35" t="e">
        <f>-X$19*'операционные  расходы 1 этап'!#REF!</f>
        <v>#REF!</v>
      </c>
      <c r="Y40" s="35" t="e">
        <f>-Y$19*'операционные  расходы 1 этап'!#REF!</f>
        <v>#REF!</v>
      </c>
      <c r="Z40" s="35" t="e">
        <f>-Z$19*'операционные  расходы 1 этап'!#REF!</f>
        <v>#REF!</v>
      </c>
      <c r="AA40" s="35" t="e">
        <f>-AA$19*'операционные  расходы 1 этап'!#REF!</f>
        <v>#REF!</v>
      </c>
      <c r="AB40" s="35" t="e">
        <f>-AB$19*'операционные  расходы 1 этап'!#REF!</f>
        <v>#REF!</v>
      </c>
      <c r="AC40" s="35" t="e">
        <f>-AC$19*'операционные  расходы 1 этап'!#REF!</f>
        <v>#REF!</v>
      </c>
      <c r="AD40" s="35" t="e">
        <f>-AD$19*'операционные  расходы 1 этап'!#REF!</f>
        <v>#REF!</v>
      </c>
      <c r="AE40" s="35" t="e">
        <f>-AE$19*'операционные  расходы 1 этап'!#REF!</f>
        <v>#REF!</v>
      </c>
      <c r="AF40" s="35" t="e">
        <f>-AF$19*'операционные  расходы 1 этап'!#REF!</f>
        <v>#REF!</v>
      </c>
      <c r="AG40" s="35" t="e">
        <f>-AG$19*'операционные  расходы 1 этап'!#REF!</f>
        <v>#REF!</v>
      </c>
      <c r="AH40" s="35" t="e">
        <f>-AH$19*'операционные  расходы 1 этап'!#REF!</f>
        <v>#REF!</v>
      </c>
      <c r="AI40" s="35" t="e">
        <f>-AI$19*'операционные  расходы 1 этап'!#REF!</f>
        <v>#REF!</v>
      </c>
      <c r="AJ40" s="35" t="e">
        <f>-AJ$19*'операционные  расходы 1 этап'!#REF!</f>
        <v>#REF!</v>
      </c>
      <c r="AK40" s="35" t="e">
        <f>-AK$19*'операционные  расходы 1 этап'!#REF!</f>
        <v>#REF!</v>
      </c>
      <c r="AL40" s="35" t="e">
        <f>-AL$19*'операционные  расходы 1 этап'!#REF!</f>
        <v>#REF!</v>
      </c>
      <c r="AM40" s="35" t="e">
        <f>-AM$19*'операционные  расходы 1 этап'!#REF!</f>
        <v>#REF!</v>
      </c>
      <c r="AN40" s="35" t="e">
        <f>-AN$19*'операционные  расходы 1 этап'!#REF!</f>
        <v>#REF!</v>
      </c>
      <c r="AO40" s="35" t="e">
        <f>-AO$19*'операционные  расходы 1 этап'!#REF!</f>
        <v>#REF!</v>
      </c>
      <c r="AP40" s="35" t="e">
        <f>-AP$19*'операционные  расходы 1 этап'!#REF!</f>
        <v>#REF!</v>
      </c>
      <c r="AQ40" s="35" t="e">
        <f>-AQ$19*'операционные  расходы 1 этап'!#REF!</f>
        <v>#REF!</v>
      </c>
      <c r="AR40" s="35" t="e">
        <f>-AR$19*'операционные  расходы 1 этап'!#REF!</f>
        <v>#REF!</v>
      </c>
      <c r="AS40" s="35" t="e">
        <f>-AS$19*'операционные  расходы 1 этап'!#REF!</f>
        <v>#REF!</v>
      </c>
      <c r="AT40" s="35" t="e">
        <f>-AT$19*'операционные  расходы 1 этап'!#REF!</f>
        <v>#REF!</v>
      </c>
      <c r="AU40" s="35" t="e">
        <f>-AU$19*'операционные  расходы 1 этап'!#REF!</f>
        <v>#REF!</v>
      </c>
      <c r="AV40" s="35" t="e">
        <f>-AV$19*'операционные  расходы 1 этап'!#REF!</f>
        <v>#REF!</v>
      </c>
      <c r="AW40" s="35" t="e">
        <f>-AW$19*'операционные  расходы 1 этап'!#REF!</f>
        <v>#REF!</v>
      </c>
      <c r="AX40" s="35" t="e">
        <f>-AX$19*'операционные  расходы 1 этап'!#REF!</f>
        <v>#REF!</v>
      </c>
      <c r="AY40" s="35" t="e">
        <f>-AY$19*'операционные  расходы 1 этап'!#REF!</f>
        <v>#REF!</v>
      </c>
      <c r="AZ40" s="35" t="e">
        <f>-AZ$19*'операционные  расходы 1 этап'!#REF!</f>
        <v>#REF!</v>
      </c>
      <c r="BA40" s="35" t="e">
        <f>-BA$19*'операционные  расходы 1 этап'!#REF!</f>
        <v>#REF!</v>
      </c>
      <c r="BB40" s="35" t="e">
        <f>-BB$19*'операционные  расходы 1 этап'!#REF!</f>
        <v>#REF!</v>
      </c>
      <c r="BC40" s="35" t="e">
        <f>-BC$19*'операционные  расходы 1 этап'!#REF!</f>
        <v>#REF!</v>
      </c>
      <c r="BD40" s="35" t="e">
        <f>-BD$19*'операционные  расходы 1 этап'!#REF!</f>
        <v>#REF!</v>
      </c>
      <c r="BE40" s="35" t="e">
        <f>-BE$19*'операционные  расходы 1 этап'!#REF!</f>
        <v>#REF!</v>
      </c>
      <c r="BF40" s="35" t="e">
        <f>-BF$19*'операционные  расходы 1 этап'!#REF!</f>
        <v>#REF!</v>
      </c>
      <c r="BG40" s="35" t="e">
        <f>-BG$19*'операционные  расходы 1 этап'!#REF!</f>
        <v>#REF!</v>
      </c>
      <c r="BH40" s="35" t="e">
        <f>-BH$19*'операционные  расходы 1 этап'!#REF!</f>
        <v>#REF!</v>
      </c>
      <c r="BI40" s="35" t="e">
        <f>-BI$19*'операционные  расходы 1 этап'!#REF!</f>
        <v>#REF!</v>
      </c>
      <c r="BJ40" s="35" t="e">
        <f>-BJ$19*'операционные  расходы 1 этап'!#REF!</f>
        <v>#REF!</v>
      </c>
      <c r="BK40" s="35" t="e">
        <f>-BK$19*'операционные  расходы 1 этап'!#REF!</f>
        <v>#REF!</v>
      </c>
      <c r="BL40" s="35" t="e">
        <f>-BL$19*'операционные  расходы 1 этап'!#REF!</f>
        <v>#REF!</v>
      </c>
      <c r="BM40" s="35" t="e">
        <f>-BM$19*'операционные  расходы 1 этап'!#REF!</f>
        <v>#REF!</v>
      </c>
      <c r="BN40" s="35" t="e">
        <f>-BN$19*'операционные  расходы 1 этап'!#REF!</f>
        <v>#REF!</v>
      </c>
      <c r="BO40" s="35" t="e">
        <f>-BO$19*'операционные  расходы 1 этап'!#REF!</f>
        <v>#REF!</v>
      </c>
      <c r="BP40" s="35" t="e">
        <f>-BP$19*'операционные  расходы 1 этап'!#REF!</f>
        <v>#REF!</v>
      </c>
      <c r="BQ40" s="35" t="e">
        <f>-BQ$19*'операционные  расходы 1 этап'!#REF!</f>
        <v>#REF!</v>
      </c>
      <c r="BR40" s="35" t="e">
        <f>-BR$19*'операционные  расходы 1 этап'!#REF!</f>
        <v>#REF!</v>
      </c>
      <c r="BS40" s="35" t="e">
        <f>-BS$19*'операционные  расходы 1 этап'!#REF!</f>
        <v>#REF!</v>
      </c>
      <c r="BT40" s="35" t="e">
        <f>-BT$19*'операционные  расходы 1 этап'!#REF!</f>
        <v>#REF!</v>
      </c>
      <c r="BU40" s="35" t="e">
        <f>-BU$19*'операционные  расходы 1 этап'!#REF!</f>
        <v>#REF!</v>
      </c>
      <c r="BV40" s="35" t="e">
        <f>-BV$19*'операционные  расходы 1 этап'!#REF!</f>
        <v>#REF!</v>
      </c>
      <c r="BW40" s="35" t="e">
        <f>-BW$19*'операционные  расходы 1 этап'!#REF!</f>
        <v>#REF!</v>
      </c>
      <c r="BX40" s="35" t="e">
        <f>-BX$19*'операционные  расходы 1 этап'!#REF!</f>
        <v>#REF!</v>
      </c>
      <c r="BY40" s="35" t="e">
        <f>-BY$19*'операционные  расходы 1 этап'!#REF!</f>
        <v>#REF!</v>
      </c>
      <c r="BZ40" s="35" t="e">
        <f>-BZ$19*'операционные  расходы 1 этап'!#REF!</f>
        <v>#REF!</v>
      </c>
      <c r="CA40" s="35" t="e">
        <f>-CA$19*'операционные  расходы 1 этап'!#REF!</f>
        <v>#REF!</v>
      </c>
      <c r="CB40" s="35" t="e">
        <f>-CB$19*'операционные  расходы 1 этап'!#REF!</f>
        <v>#REF!</v>
      </c>
      <c r="CC40" s="35" t="e">
        <f>-CC$19*'операционные  расходы 1 этап'!#REF!</f>
        <v>#REF!</v>
      </c>
      <c r="CD40" s="35" t="e">
        <f>-CD$19*'операционные  расходы 1 этап'!#REF!</f>
        <v>#REF!</v>
      </c>
      <c r="CE40" s="35" t="e">
        <f>-CE$19*'операционные  расходы 1 этап'!#REF!</f>
        <v>#REF!</v>
      </c>
      <c r="CF40" s="35" t="e">
        <f>-CF$19*'операционные  расходы 1 этап'!#REF!</f>
        <v>#REF!</v>
      </c>
      <c r="CG40" s="35" t="e">
        <f>-CG$19*'операционные  расходы 1 этап'!#REF!</f>
        <v>#REF!</v>
      </c>
      <c r="CH40" s="35" t="e">
        <f>-CH$19*'операционные  расходы 1 этап'!#REF!</f>
        <v>#REF!</v>
      </c>
      <c r="CI40" s="35" t="e">
        <f>-CI$19*'операционные  расходы 1 этап'!#REF!</f>
        <v>#REF!</v>
      </c>
      <c r="CJ40" s="35" t="e">
        <f>-CJ$19*'операционные  расходы 1 этап'!#REF!</f>
        <v>#REF!</v>
      </c>
      <c r="CK40" s="35" t="e">
        <f>-CK$19*'операционные  расходы 1 этап'!#REF!</f>
        <v>#REF!</v>
      </c>
      <c r="CL40" s="35" t="e">
        <f>-CL$19*'операционные  расходы 1 этап'!#REF!</f>
        <v>#REF!</v>
      </c>
      <c r="CM40" s="35" t="e">
        <f>-CM$19*'операционные  расходы 1 этап'!#REF!</f>
        <v>#REF!</v>
      </c>
      <c r="CN40" s="35" t="e">
        <f>-CN$19*'операционные  расходы 1 этап'!#REF!</f>
        <v>#REF!</v>
      </c>
      <c r="CO40" s="35" t="e">
        <f>-CO$19*'операционные  расходы 1 этап'!#REF!</f>
        <v>#REF!</v>
      </c>
    </row>
    <row r="41" spans="1:93" ht="12.75" customHeight="1" outlineLevel="2">
      <c r="A41" s="35"/>
      <c r="B41" s="63" t="s">
        <v>141</v>
      </c>
      <c r="C41" s="74" t="e">
        <f t="shared" si="17"/>
        <v>#REF!</v>
      </c>
      <c r="D41" s="60"/>
      <c r="E41" s="35" t="e">
        <f>-E$19*'операционные  расходы 1 этап'!#REF!</f>
        <v>#REF!</v>
      </c>
      <c r="F41" s="35" t="e">
        <f>-F$19*'операционные  расходы 1 этап'!#REF!</f>
        <v>#REF!</v>
      </c>
      <c r="G41" s="35" t="e">
        <f>-G$19*'операционные  расходы 1 этап'!#REF!</f>
        <v>#REF!</v>
      </c>
      <c r="H41" s="35" t="e">
        <f>-H$19*'операционные  расходы 1 этап'!#REF!</f>
        <v>#REF!</v>
      </c>
      <c r="I41" s="35" t="e">
        <f>-I$19*'операционные  расходы 1 этап'!#REF!</f>
        <v>#REF!</v>
      </c>
      <c r="J41" s="35" t="e">
        <f>-J$19*'операционные  расходы 1 этап'!#REF!</f>
        <v>#REF!</v>
      </c>
      <c r="K41" s="35" t="e">
        <f>-K$19*'операционные  расходы 1 этап'!#REF!</f>
        <v>#REF!</v>
      </c>
      <c r="L41" s="35" t="e">
        <f>-L$19*'операционные  расходы 1 этап'!#REF!</f>
        <v>#REF!</v>
      </c>
      <c r="M41" s="35" t="e">
        <f>-M$19*'операционные  расходы 1 этап'!#REF!</f>
        <v>#REF!</v>
      </c>
      <c r="N41" s="35" t="e">
        <f>-N$19*'операционные  расходы 1 этап'!#REF!</f>
        <v>#REF!</v>
      </c>
      <c r="O41" s="35" t="e">
        <f>-O$19*'операционные  расходы 1 этап'!#REF!</f>
        <v>#REF!</v>
      </c>
      <c r="P41" s="35" t="e">
        <f>-P$19*'операционные  расходы 1 этап'!#REF!</f>
        <v>#REF!</v>
      </c>
      <c r="Q41" s="35" t="e">
        <f>-Q$19*'операционные  расходы 1 этап'!#REF!</f>
        <v>#REF!</v>
      </c>
      <c r="R41" s="35" t="e">
        <f>-R$19*'операционные  расходы 1 этап'!#REF!</f>
        <v>#REF!</v>
      </c>
      <c r="S41" s="35" t="e">
        <f>-S$19*'операционные  расходы 1 этап'!#REF!</f>
        <v>#REF!</v>
      </c>
      <c r="T41" s="35" t="e">
        <f>-T$19*'операционные  расходы 1 этап'!#REF!</f>
        <v>#REF!</v>
      </c>
      <c r="U41" s="35" t="e">
        <f>-U$19*'операционные  расходы 1 этап'!#REF!</f>
        <v>#REF!</v>
      </c>
      <c r="V41" s="35" t="e">
        <f>-V$19*'операционные  расходы 1 этап'!#REF!</f>
        <v>#REF!</v>
      </c>
      <c r="W41" s="35" t="e">
        <f>-W$19*'операционные  расходы 1 этап'!#REF!</f>
        <v>#REF!</v>
      </c>
      <c r="X41" s="35" t="e">
        <f>-X$19*'операционные  расходы 1 этап'!#REF!</f>
        <v>#REF!</v>
      </c>
      <c r="Y41" s="35" t="e">
        <f>-Y$19*'операционные  расходы 1 этап'!#REF!</f>
        <v>#REF!</v>
      </c>
      <c r="Z41" s="35" t="e">
        <f>-Z$19*'операционные  расходы 1 этап'!#REF!</f>
        <v>#REF!</v>
      </c>
      <c r="AA41" s="35" t="e">
        <f>-AA$19*'операционные  расходы 1 этап'!#REF!</f>
        <v>#REF!</v>
      </c>
      <c r="AB41" s="35" t="e">
        <f>-AB$19*'операционные  расходы 1 этап'!#REF!</f>
        <v>#REF!</v>
      </c>
      <c r="AC41" s="35" t="e">
        <f>-AC$19*'операционные  расходы 1 этап'!#REF!</f>
        <v>#REF!</v>
      </c>
      <c r="AD41" s="35" t="e">
        <f>-AD$19*'операционные  расходы 1 этап'!#REF!</f>
        <v>#REF!</v>
      </c>
      <c r="AE41" s="35" t="e">
        <f>-AE$19*'операционные  расходы 1 этап'!#REF!</f>
        <v>#REF!</v>
      </c>
      <c r="AF41" s="35" t="e">
        <f>-AF$19*'операционные  расходы 1 этап'!#REF!</f>
        <v>#REF!</v>
      </c>
      <c r="AG41" s="35" t="e">
        <f>-AG$19*'операционные  расходы 1 этап'!#REF!</f>
        <v>#REF!</v>
      </c>
      <c r="AH41" s="35" t="e">
        <f>-AH$19*'операционные  расходы 1 этап'!#REF!</f>
        <v>#REF!</v>
      </c>
      <c r="AI41" s="35" t="e">
        <f>-AI$19*'операционные  расходы 1 этап'!#REF!</f>
        <v>#REF!</v>
      </c>
      <c r="AJ41" s="35" t="e">
        <f>-AJ$19*'операционные  расходы 1 этап'!#REF!</f>
        <v>#REF!</v>
      </c>
      <c r="AK41" s="35" t="e">
        <f>-AK$19*'операционные  расходы 1 этап'!#REF!</f>
        <v>#REF!</v>
      </c>
      <c r="AL41" s="35" t="e">
        <f>-AL$19*'операционные  расходы 1 этап'!#REF!</f>
        <v>#REF!</v>
      </c>
      <c r="AM41" s="35" t="e">
        <f>-AM$19*'операционные  расходы 1 этап'!#REF!</f>
        <v>#REF!</v>
      </c>
      <c r="AN41" s="35" t="e">
        <f>-AN$19*'операционные  расходы 1 этап'!#REF!</f>
        <v>#REF!</v>
      </c>
      <c r="AO41" s="35" t="e">
        <f>-AO$19*'операционные  расходы 1 этап'!#REF!</f>
        <v>#REF!</v>
      </c>
      <c r="AP41" s="35" t="e">
        <f>-AP$19*'операционные  расходы 1 этап'!#REF!</f>
        <v>#REF!</v>
      </c>
      <c r="AQ41" s="35" t="e">
        <f>-AQ$19*'операционные  расходы 1 этап'!#REF!</f>
        <v>#REF!</v>
      </c>
      <c r="AR41" s="35" t="e">
        <f>-AR$19*'операционные  расходы 1 этап'!#REF!</f>
        <v>#REF!</v>
      </c>
      <c r="AS41" s="35" t="e">
        <f>-AS$19*'операционные  расходы 1 этап'!#REF!</f>
        <v>#REF!</v>
      </c>
      <c r="AT41" s="35" t="e">
        <f>-AT$19*'операционные  расходы 1 этап'!#REF!</f>
        <v>#REF!</v>
      </c>
      <c r="AU41" s="35" t="e">
        <f>-AU$19*'операционные  расходы 1 этап'!#REF!</f>
        <v>#REF!</v>
      </c>
      <c r="AV41" s="35" t="e">
        <f>-AV$19*'операционные  расходы 1 этап'!#REF!</f>
        <v>#REF!</v>
      </c>
      <c r="AW41" s="35" t="e">
        <f>-AW$19*'операционные  расходы 1 этап'!#REF!</f>
        <v>#REF!</v>
      </c>
      <c r="AX41" s="35" t="e">
        <f>-AX$19*'операционные  расходы 1 этап'!#REF!</f>
        <v>#REF!</v>
      </c>
      <c r="AY41" s="35" t="e">
        <f>-AY$19*'операционные  расходы 1 этап'!#REF!</f>
        <v>#REF!</v>
      </c>
      <c r="AZ41" s="35" t="e">
        <f>-AZ$19*'операционные  расходы 1 этап'!#REF!</f>
        <v>#REF!</v>
      </c>
      <c r="BA41" s="35" t="e">
        <f>-BA$19*'операционные  расходы 1 этап'!#REF!</f>
        <v>#REF!</v>
      </c>
      <c r="BB41" s="35" t="e">
        <f>-BB$19*'операционные  расходы 1 этап'!#REF!</f>
        <v>#REF!</v>
      </c>
      <c r="BC41" s="35" t="e">
        <f>-BC$19*'операционные  расходы 1 этап'!#REF!</f>
        <v>#REF!</v>
      </c>
      <c r="BD41" s="35" t="e">
        <f>-BD$19*'операционные  расходы 1 этап'!#REF!</f>
        <v>#REF!</v>
      </c>
      <c r="BE41" s="35" t="e">
        <f>-BE$19*'операционные  расходы 1 этап'!#REF!</f>
        <v>#REF!</v>
      </c>
      <c r="BF41" s="35" t="e">
        <f>-BF$19*'операционные  расходы 1 этап'!#REF!</f>
        <v>#REF!</v>
      </c>
      <c r="BG41" s="35" t="e">
        <f>-BG$19*'операционные  расходы 1 этап'!#REF!</f>
        <v>#REF!</v>
      </c>
      <c r="BH41" s="35" t="e">
        <f>-BH$19*'операционные  расходы 1 этап'!#REF!</f>
        <v>#REF!</v>
      </c>
      <c r="BI41" s="35" t="e">
        <f>-BI$19*'операционные  расходы 1 этап'!#REF!</f>
        <v>#REF!</v>
      </c>
      <c r="BJ41" s="35" t="e">
        <f>-BJ$19*'операционные  расходы 1 этап'!#REF!</f>
        <v>#REF!</v>
      </c>
      <c r="BK41" s="35" t="e">
        <f>-BK$19*'операционные  расходы 1 этап'!#REF!</f>
        <v>#REF!</v>
      </c>
      <c r="BL41" s="35" t="e">
        <f>-BL$19*'операционные  расходы 1 этап'!#REF!</f>
        <v>#REF!</v>
      </c>
      <c r="BM41" s="35" t="e">
        <f>-BM$19*'операционные  расходы 1 этап'!#REF!</f>
        <v>#REF!</v>
      </c>
      <c r="BN41" s="35" t="e">
        <f>-BN$19*'операционные  расходы 1 этап'!#REF!</f>
        <v>#REF!</v>
      </c>
      <c r="BO41" s="35" t="e">
        <f>-BO$19*'операционные  расходы 1 этап'!#REF!</f>
        <v>#REF!</v>
      </c>
      <c r="BP41" s="35" t="e">
        <f>-BP$19*'операционные  расходы 1 этап'!#REF!</f>
        <v>#REF!</v>
      </c>
      <c r="BQ41" s="35" t="e">
        <f>-BQ$19*'операционные  расходы 1 этап'!#REF!</f>
        <v>#REF!</v>
      </c>
      <c r="BR41" s="35" t="e">
        <f>-BR$19*'операционные  расходы 1 этап'!#REF!</f>
        <v>#REF!</v>
      </c>
      <c r="BS41" s="35" t="e">
        <f>-BS$19*'операционные  расходы 1 этап'!#REF!</f>
        <v>#REF!</v>
      </c>
      <c r="BT41" s="35" t="e">
        <f>-BT$19*'операционные  расходы 1 этап'!#REF!</f>
        <v>#REF!</v>
      </c>
      <c r="BU41" s="35" t="e">
        <f>-BU$19*'операционные  расходы 1 этап'!#REF!</f>
        <v>#REF!</v>
      </c>
      <c r="BV41" s="35" t="e">
        <f>-BV$19*'операционные  расходы 1 этап'!#REF!</f>
        <v>#REF!</v>
      </c>
      <c r="BW41" s="35" t="e">
        <f>-BW$19*'операционные  расходы 1 этап'!#REF!</f>
        <v>#REF!</v>
      </c>
      <c r="BX41" s="35" t="e">
        <f>-BX$19*'операционные  расходы 1 этап'!#REF!</f>
        <v>#REF!</v>
      </c>
      <c r="BY41" s="35" t="e">
        <f>-BY$19*'операционные  расходы 1 этап'!#REF!</f>
        <v>#REF!</v>
      </c>
      <c r="BZ41" s="35" t="e">
        <f>-BZ$19*'операционные  расходы 1 этап'!#REF!</f>
        <v>#REF!</v>
      </c>
      <c r="CA41" s="35" t="e">
        <f>-CA$19*'операционные  расходы 1 этап'!#REF!</f>
        <v>#REF!</v>
      </c>
      <c r="CB41" s="35" t="e">
        <f>-CB$19*'операционные  расходы 1 этап'!#REF!</f>
        <v>#REF!</v>
      </c>
      <c r="CC41" s="35" t="e">
        <f>-CC$19*'операционные  расходы 1 этап'!#REF!</f>
        <v>#REF!</v>
      </c>
      <c r="CD41" s="35" t="e">
        <f>-CD$19*'операционные  расходы 1 этап'!#REF!</f>
        <v>#REF!</v>
      </c>
      <c r="CE41" s="35" t="e">
        <f>-CE$19*'операционные  расходы 1 этап'!#REF!</f>
        <v>#REF!</v>
      </c>
      <c r="CF41" s="35" t="e">
        <f>-CF$19*'операционные  расходы 1 этап'!#REF!</f>
        <v>#REF!</v>
      </c>
      <c r="CG41" s="35" t="e">
        <f>-CG$19*'операционные  расходы 1 этап'!#REF!</f>
        <v>#REF!</v>
      </c>
      <c r="CH41" s="35" t="e">
        <f>-CH$19*'операционные  расходы 1 этап'!#REF!</f>
        <v>#REF!</v>
      </c>
      <c r="CI41" s="35" t="e">
        <f>-CI$19*'операционные  расходы 1 этап'!#REF!</f>
        <v>#REF!</v>
      </c>
      <c r="CJ41" s="35" t="e">
        <f>-CJ$19*'операционные  расходы 1 этап'!#REF!</f>
        <v>#REF!</v>
      </c>
      <c r="CK41" s="35" t="e">
        <f>-CK$19*'операционные  расходы 1 этап'!#REF!</f>
        <v>#REF!</v>
      </c>
      <c r="CL41" s="35" t="e">
        <f>-CL$19*'операционные  расходы 1 этап'!#REF!</f>
        <v>#REF!</v>
      </c>
      <c r="CM41" s="35" t="e">
        <f>-CM$19*'операционные  расходы 1 этап'!#REF!</f>
        <v>#REF!</v>
      </c>
      <c r="CN41" s="35" t="e">
        <f>-CN$19*'операционные  расходы 1 этап'!#REF!</f>
        <v>#REF!</v>
      </c>
      <c r="CO41" s="35" t="e">
        <f>-CO$19*'операционные  расходы 1 этап'!#REF!</f>
        <v>#REF!</v>
      </c>
    </row>
    <row r="42" spans="1:93" ht="12.75" customHeight="1" outlineLevel="1">
      <c r="A42" s="35"/>
      <c r="B42" s="73" t="s">
        <v>142</v>
      </c>
      <c r="C42" s="37" t="e">
        <f>SUM(C43:C59)</f>
        <v>#REF!</v>
      </c>
      <c r="D42" s="60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>
        <f>-SUM('операционные  расходы 1 этап'!B19:D19)/1000</f>
        <v>0</v>
      </c>
      <c r="Z42" s="35">
        <f>-SUM('операционные  расходы 1 этап'!E19:G19)/1000</f>
        <v>0</v>
      </c>
      <c r="AA42" s="35">
        <f>-SUM('операционные  расходы 1 этап'!H19:J19)/1000</f>
        <v>0</v>
      </c>
      <c r="AB42" s="35">
        <f>-SUM('операционные  расходы 1 этап'!K19:M19)/1000</f>
        <v>0</v>
      </c>
      <c r="AC42" s="35" t="e">
        <f>-SUM('операционные  расходы 1 этап'!#REF!)/1000</f>
        <v>#REF!</v>
      </c>
      <c r="AD42" s="35" t="e">
        <f>-SUM('операционные  расходы 1 этап'!#REF!)/1000</f>
        <v>#REF!</v>
      </c>
      <c r="AE42" s="35" t="e">
        <f>-SUM('операционные  расходы 1 этап'!#REF!)/1000</f>
        <v>#REF!</v>
      </c>
      <c r="AF42" s="35" t="e">
        <f>-SUM('операционные  расходы 1 этап'!#REF!)/1000</f>
        <v>#REF!</v>
      </c>
      <c r="AG42" s="35" t="e">
        <f>-SUM('операционные  расходы 1 этап'!#REF!)/1000</f>
        <v>#REF!</v>
      </c>
      <c r="AH42" s="35" t="e">
        <f>-SUM('операционные  расходы 1 этап'!#REF!)/1000</f>
        <v>#REF!</v>
      </c>
      <c r="AI42" s="35" t="e">
        <f>-SUM('операционные  расходы 1 этап'!#REF!)/1000</f>
        <v>#REF!</v>
      </c>
      <c r="AJ42" s="35" t="e">
        <f>-SUM('операционные  расходы 1 этап'!#REF!)/1000</f>
        <v>#REF!</v>
      </c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5"/>
    </row>
    <row r="43" spans="1:93" ht="12.75" customHeight="1" outlineLevel="2">
      <c r="A43" s="35"/>
      <c r="B43" s="63" t="s">
        <v>143</v>
      </c>
      <c r="C43" s="74" t="e">
        <f t="shared" ref="C43:C59" si="18">SUM(D43:CN43)</f>
        <v>#REF!</v>
      </c>
      <c r="D43" s="60"/>
      <c r="E43" s="35" t="e">
        <f>-E28*'операционные  расходы 1 этап'!#REF!</f>
        <v>#REF!</v>
      </c>
      <c r="F43" s="35" t="e">
        <f>-F28*'операционные  расходы 1 этап'!#REF!</f>
        <v>#REF!</v>
      </c>
      <c r="G43" s="35" t="e">
        <f>-G28*'операционные  расходы 1 этап'!#REF!</f>
        <v>#REF!</v>
      </c>
      <c r="H43" s="35" t="e">
        <f>-H28*'операционные  расходы 1 этап'!#REF!</f>
        <v>#REF!</v>
      </c>
      <c r="I43" s="35" t="e">
        <f>-I28*'операционные  расходы 1 этап'!#REF!</f>
        <v>#REF!</v>
      </c>
      <c r="J43" s="35" t="e">
        <f>-J28*'операционные  расходы 1 этап'!#REF!</f>
        <v>#REF!</v>
      </c>
      <c r="K43" s="35" t="e">
        <f>-K28*'операционные  расходы 1 этап'!#REF!</f>
        <v>#REF!</v>
      </c>
      <c r="L43" s="35" t="e">
        <f>-L28*'операционные  расходы 1 этап'!#REF!</f>
        <v>#REF!</v>
      </c>
      <c r="M43" s="35" t="e">
        <f>-M28*'операционные  расходы 1 этап'!#REF!</f>
        <v>#REF!</v>
      </c>
      <c r="N43" s="35" t="e">
        <f>-N28*'операционные  расходы 1 этап'!#REF!</f>
        <v>#REF!</v>
      </c>
      <c r="O43" s="35" t="e">
        <f>-O28*'операционные  расходы 1 этап'!#REF!</f>
        <v>#REF!</v>
      </c>
      <c r="P43" s="35" t="e">
        <f>-P28*'операционные  расходы 1 этап'!#REF!</f>
        <v>#REF!</v>
      </c>
      <c r="Q43" s="35" t="e">
        <f>-Q28*'операционные  расходы 1 этап'!#REF!</f>
        <v>#REF!</v>
      </c>
      <c r="R43" s="35" t="e">
        <f>-R28*'операционные  расходы 1 этап'!#REF!</f>
        <v>#REF!</v>
      </c>
      <c r="S43" s="35" t="e">
        <f>-S28*'операционные  расходы 1 этап'!#REF!</f>
        <v>#REF!</v>
      </c>
      <c r="T43" s="35" t="e">
        <f>-T28*'операционные  расходы 1 этап'!#REF!</f>
        <v>#REF!</v>
      </c>
      <c r="U43" s="35" t="e">
        <f>-U28*'операционные  расходы 1 этап'!#REF!</f>
        <v>#REF!</v>
      </c>
      <c r="V43" s="35" t="e">
        <f>-V28*'операционные  расходы 1 этап'!#REF!</f>
        <v>#REF!</v>
      </c>
      <c r="W43" s="35" t="e">
        <f>-W28*'операционные  расходы 1 этап'!#REF!</f>
        <v>#REF!</v>
      </c>
      <c r="X43" s="35" t="e">
        <f>-X28*'операционные  расходы 1 этап'!#REF!</f>
        <v>#REF!</v>
      </c>
      <c r="Y43" s="35" t="e">
        <f>-Y28*'операционные  расходы 1 этап'!#REF!</f>
        <v>#REF!</v>
      </c>
      <c r="Z43" s="35" t="e">
        <f>-Z28*'операционные  расходы 1 этап'!#REF!</f>
        <v>#REF!</v>
      </c>
      <c r="AA43" s="35" t="e">
        <f>-AA28*'операционные  расходы 1 этап'!#REF!</f>
        <v>#REF!</v>
      </c>
      <c r="AB43" s="35" t="e">
        <f>-AB28*'операционные  расходы 1 этап'!#REF!</f>
        <v>#REF!</v>
      </c>
      <c r="AC43" s="35" t="e">
        <f>-AC28*'операционные  расходы 1 этап'!#REF!</f>
        <v>#REF!</v>
      </c>
      <c r="AD43" s="35" t="e">
        <f>-AD28*'операционные  расходы 1 этап'!#REF!</f>
        <v>#REF!</v>
      </c>
      <c r="AE43" s="35" t="e">
        <f>-AE28*'операционные  расходы 1 этап'!#REF!</f>
        <v>#REF!</v>
      </c>
      <c r="AF43" s="35" t="e">
        <f>-AF28*'операционные  расходы 1 этап'!#REF!</f>
        <v>#REF!</v>
      </c>
      <c r="AG43" s="35" t="e">
        <f>-AG28*'операционные  расходы 1 этап'!#REF!</f>
        <v>#REF!</v>
      </c>
      <c r="AH43" s="35" t="e">
        <f>-AH28*'операционные  расходы 1 этап'!#REF!</f>
        <v>#REF!</v>
      </c>
      <c r="AI43" s="35" t="e">
        <f>-AI28*'операционные  расходы 1 этап'!#REF!</f>
        <v>#REF!</v>
      </c>
      <c r="AJ43" s="35" t="e">
        <f>-AJ28*'операционные  расходы 1 этап'!#REF!</f>
        <v>#REF!</v>
      </c>
      <c r="AK43" s="35" t="e">
        <f>-AK28*'операционные  расходы 1 этап'!#REF!</f>
        <v>#REF!</v>
      </c>
      <c r="AL43" s="35" t="e">
        <f>-AL28*'операционные  расходы 1 этап'!#REF!</f>
        <v>#REF!</v>
      </c>
      <c r="AM43" s="35" t="e">
        <f>-AM28*'операционные  расходы 1 этап'!#REF!</f>
        <v>#REF!</v>
      </c>
      <c r="AN43" s="35" t="e">
        <f>-AN28*'операционные  расходы 1 этап'!#REF!</f>
        <v>#REF!</v>
      </c>
      <c r="AO43" s="35" t="e">
        <f>-AO28*'операционные  расходы 1 этап'!#REF!</f>
        <v>#REF!</v>
      </c>
      <c r="AP43" s="35" t="e">
        <f>-AP28*'операционные  расходы 1 этап'!#REF!</f>
        <v>#REF!</v>
      </c>
      <c r="AQ43" s="35" t="e">
        <f>-AQ28*'операционные  расходы 1 этап'!#REF!</f>
        <v>#REF!</v>
      </c>
      <c r="AR43" s="35" t="e">
        <f>-AR28*'операционные  расходы 1 этап'!#REF!</f>
        <v>#REF!</v>
      </c>
      <c r="AS43" s="35" t="e">
        <f>-AS28*'операционные  расходы 1 этап'!#REF!</f>
        <v>#REF!</v>
      </c>
      <c r="AT43" s="35" t="e">
        <f>-AT28*'операционные  расходы 1 этап'!#REF!</f>
        <v>#REF!</v>
      </c>
      <c r="AU43" s="35" t="e">
        <f>-AU28*'операционные  расходы 1 этап'!#REF!</f>
        <v>#REF!</v>
      </c>
      <c r="AV43" s="35" t="e">
        <f>-AV28*'операционные  расходы 1 этап'!#REF!</f>
        <v>#REF!</v>
      </c>
      <c r="AW43" s="35" t="e">
        <f>-AW28*'операционные  расходы 1 этап'!#REF!</f>
        <v>#REF!</v>
      </c>
      <c r="AX43" s="35" t="e">
        <f>-AX28*'операционные  расходы 1 этап'!#REF!</f>
        <v>#REF!</v>
      </c>
      <c r="AY43" s="35" t="e">
        <f>-AY28*'операционные  расходы 1 этап'!#REF!</f>
        <v>#REF!</v>
      </c>
      <c r="AZ43" s="35" t="e">
        <f>-AZ28*'операционные  расходы 1 этап'!#REF!</f>
        <v>#REF!</v>
      </c>
      <c r="BA43" s="35" t="e">
        <f>-BA28*'операционные  расходы 1 этап'!#REF!</f>
        <v>#REF!</v>
      </c>
      <c r="BB43" s="35" t="e">
        <f>-BB28*'операционные  расходы 1 этап'!#REF!</f>
        <v>#REF!</v>
      </c>
      <c r="BC43" s="35" t="e">
        <f>-BC28*'операционные  расходы 1 этап'!#REF!</f>
        <v>#REF!</v>
      </c>
      <c r="BD43" s="35" t="e">
        <f>-BD28*'операционные  расходы 1 этап'!#REF!</f>
        <v>#REF!</v>
      </c>
      <c r="BE43" s="35" t="e">
        <f>-BE28*'операционные  расходы 1 этап'!#REF!</f>
        <v>#REF!</v>
      </c>
      <c r="BF43" s="35" t="e">
        <f>-BF28*'операционные  расходы 1 этап'!#REF!</f>
        <v>#REF!</v>
      </c>
      <c r="BG43" s="35" t="e">
        <f>-BG28*'операционные  расходы 1 этап'!#REF!</f>
        <v>#REF!</v>
      </c>
      <c r="BH43" s="35" t="e">
        <f>-BH28*'операционные  расходы 1 этап'!#REF!</f>
        <v>#REF!</v>
      </c>
      <c r="BI43" s="35" t="e">
        <f>-BI28*'операционные  расходы 1 этап'!#REF!</f>
        <v>#REF!</v>
      </c>
      <c r="BJ43" s="35" t="e">
        <f>-BJ28*'операционные  расходы 1 этап'!#REF!</f>
        <v>#REF!</v>
      </c>
      <c r="BK43" s="35" t="e">
        <f>-BK28*'операционные  расходы 1 этап'!#REF!</f>
        <v>#REF!</v>
      </c>
      <c r="BL43" s="35" t="e">
        <f>-BL28*'операционные  расходы 1 этап'!#REF!</f>
        <v>#REF!</v>
      </c>
      <c r="BM43" s="35" t="e">
        <f>-BM28*'операционные  расходы 1 этап'!#REF!</f>
        <v>#REF!</v>
      </c>
      <c r="BN43" s="35" t="e">
        <f>-BN28*'операционные  расходы 1 этап'!#REF!</f>
        <v>#REF!</v>
      </c>
      <c r="BO43" s="35" t="e">
        <f>-BO28*'операционные  расходы 1 этап'!#REF!</f>
        <v>#REF!</v>
      </c>
      <c r="BP43" s="35" t="e">
        <f>-BP28*'операционные  расходы 1 этап'!#REF!</f>
        <v>#REF!</v>
      </c>
      <c r="BQ43" s="35" t="e">
        <f>-BQ28*'операционные  расходы 1 этап'!#REF!</f>
        <v>#REF!</v>
      </c>
      <c r="BR43" s="35" t="e">
        <f>-BR28*'операционные  расходы 1 этап'!#REF!</f>
        <v>#REF!</v>
      </c>
      <c r="BS43" s="35" t="e">
        <f>-BS28*'операционные  расходы 1 этап'!#REF!</f>
        <v>#REF!</v>
      </c>
      <c r="BT43" s="35" t="e">
        <f>-BT28*'операционные  расходы 1 этап'!#REF!</f>
        <v>#REF!</v>
      </c>
      <c r="BU43" s="35" t="e">
        <f>-BU28*'операционные  расходы 1 этап'!#REF!</f>
        <v>#REF!</v>
      </c>
      <c r="BV43" s="35" t="e">
        <f>-BV28*'операционные  расходы 1 этап'!#REF!</f>
        <v>#REF!</v>
      </c>
      <c r="BW43" s="35" t="e">
        <f>-BW28*'операционные  расходы 1 этап'!#REF!</f>
        <v>#REF!</v>
      </c>
      <c r="BX43" s="35" t="e">
        <f>-BX28*'операционные  расходы 1 этап'!#REF!</f>
        <v>#REF!</v>
      </c>
      <c r="BY43" s="35" t="e">
        <f>-BY28*'операционные  расходы 1 этап'!#REF!</f>
        <v>#REF!</v>
      </c>
      <c r="BZ43" s="35" t="e">
        <f>-BZ28*'операционные  расходы 1 этап'!#REF!</f>
        <v>#REF!</v>
      </c>
      <c r="CA43" s="35" t="e">
        <f>-CA28*'операционные  расходы 1 этап'!#REF!</f>
        <v>#REF!</v>
      </c>
      <c r="CB43" s="35" t="e">
        <f>-CB28*'операционные  расходы 1 этап'!#REF!</f>
        <v>#REF!</v>
      </c>
      <c r="CC43" s="35" t="e">
        <f>-CC28*'операционные  расходы 1 этап'!#REF!</f>
        <v>#REF!</v>
      </c>
      <c r="CD43" s="35" t="e">
        <f>-CD28*'операционные  расходы 1 этап'!#REF!</f>
        <v>#REF!</v>
      </c>
      <c r="CE43" s="35" t="e">
        <f>-CE28*'операционные  расходы 1 этап'!#REF!</f>
        <v>#REF!</v>
      </c>
      <c r="CF43" s="35" t="e">
        <f>-CF28*'операционные  расходы 1 этап'!#REF!</f>
        <v>#REF!</v>
      </c>
      <c r="CG43" s="35" t="e">
        <f>-CG28*'операционные  расходы 1 этап'!#REF!</f>
        <v>#REF!</v>
      </c>
      <c r="CH43" s="35" t="e">
        <f>-CH28*'операционные  расходы 1 этап'!#REF!</f>
        <v>#REF!</v>
      </c>
      <c r="CI43" s="35" t="e">
        <f>-CI28*'операционные  расходы 1 этап'!#REF!</f>
        <v>#REF!</v>
      </c>
      <c r="CJ43" s="35" t="e">
        <f>-CJ28*'операционные  расходы 1 этап'!#REF!</f>
        <v>#REF!</v>
      </c>
      <c r="CK43" s="35" t="e">
        <f>-CK28*'операционные  расходы 1 этап'!#REF!</f>
        <v>#REF!</v>
      </c>
      <c r="CL43" s="35" t="e">
        <f>-CL28*'операционные  расходы 1 этап'!#REF!</f>
        <v>#REF!</v>
      </c>
      <c r="CM43" s="35" t="e">
        <f>-CM28*'операционные  расходы 1 этап'!#REF!</f>
        <v>#REF!</v>
      </c>
      <c r="CN43" s="35" t="e">
        <f>-CN28*'операционные  расходы 1 этап'!#REF!</f>
        <v>#REF!</v>
      </c>
      <c r="CO43" s="35" t="e">
        <f>-CO28*'операционные  расходы 1 этап'!#REF!</f>
        <v>#REF!</v>
      </c>
    </row>
    <row r="44" spans="1:93" ht="12.75" customHeight="1" outlineLevel="2">
      <c r="A44" s="35"/>
      <c r="B44" s="63" t="s">
        <v>144</v>
      </c>
      <c r="C44" s="74" t="e">
        <f t="shared" si="18"/>
        <v>#REF!</v>
      </c>
      <c r="D44" s="60"/>
      <c r="E44" s="35" t="e">
        <f>-E28*'операционные  расходы 1 этап'!#REF!</f>
        <v>#REF!</v>
      </c>
      <c r="F44" s="35" t="e">
        <f>-F28*'операционные  расходы 1 этап'!#REF!</f>
        <v>#REF!</v>
      </c>
      <c r="G44" s="35" t="e">
        <f>-G28*'операционные  расходы 1 этап'!#REF!</f>
        <v>#REF!</v>
      </c>
      <c r="H44" s="35" t="e">
        <f>-H28*'операционные  расходы 1 этап'!#REF!</f>
        <v>#REF!</v>
      </c>
      <c r="I44" s="35" t="e">
        <f>-I28*'операционные  расходы 1 этап'!#REF!</f>
        <v>#REF!</v>
      </c>
      <c r="J44" s="35" t="e">
        <f>-J28*'операционные  расходы 1 этап'!#REF!</f>
        <v>#REF!</v>
      </c>
      <c r="K44" s="35" t="e">
        <f>-K28*'операционные  расходы 1 этап'!#REF!</f>
        <v>#REF!</v>
      </c>
      <c r="L44" s="35" t="e">
        <f>-L28*'операционные  расходы 1 этап'!#REF!</f>
        <v>#REF!</v>
      </c>
      <c r="M44" s="35" t="e">
        <f>-M28*'операционные  расходы 1 этап'!#REF!</f>
        <v>#REF!</v>
      </c>
      <c r="N44" s="35" t="e">
        <f>-N28*'операционные  расходы 1 этап'!#REF!</f>
        <v>#REF!</v>
      </c>
      <c r="O44" s="35" t="e">
        <f>-O28*'операционные  расходы 1 этап'!#REF!</f>
        <v>#REF!</v>
      </c>
      <c r="P44" s="35" t="e">
        <f>-P28*'операционные  расходы 1 этап'!#REF!</f>
        <v>#REF!</v>
      </c>
      <c r="Q44" s="35" t="e">
        <f>-Q28*'операционные  расходы 1 этап'!#REF!</f>
        <v>#REF!</v>
      </c>
      <c r="R44" s="35" t="e">
        <f>-R28*'операционные  расходы 1 этап'!#REF!</f>
        <v>#REF!</v>
      </c>
      <c r="S44" s="35" t="e">
        <f>-S28*'операционные  расходы 1 этап'!#REF!</f>
        <v>#REF!</v>
      </c>
      <c r="T44" s="35" t="e">
        <f>-T28*'операционные  расходы 1 этап'!#REF!</f>
        <v>#REF!</v>
      </c>
      <c r="U44" s="35" t="e">
        <f>-U28*'операционные  расходы 1 этап'!#REF!</f>
        <v>#REF!</v>
      </c>
      <c r="V44" s="35" t="e">
        <f>-V28*'операционные  расходы 1 этап'!#REF!</f>
        <v>#REF!</v>
      </c>
      <c r="W44" s="35" t="e">
        <f>-W28*'операционные  расходы 1 этап'!#REF!</f>
        <v>#REF!</v>
      </c>
      <c r="X44" s="35" t="e">
        <f>-X28*'операционные  расходы 1 этап'!#REF!</f>
        <v>#REF!</v>
      </c>
      <c r="Y44" s="35" t="e">
        <f>-Y28*'операционные  расходы 1 этап'!#REF!</f>
        <v>#REF!</v>
      </c>
      <c r="Z44" s="35" t="e">
        <f>-Z28*'операционные  расходы 1 этап'!#REF!</f>
        <v>#REF!</v>
      </c>
      <c r="AA44" s="35" t="e">
        <f>-AA28*'операционные  расходы 1 этап'!#REF!</f>
        <v>#REF!</v>
      </c>
      <c r="AB44" s="35" t="e">
        <f>-AB28*'операционные  расходы 1 этап'!#REF!</f>
        <v>#REF!</v>
      </c>
      <c r="AC44" s="35" t="e">
        <f>-AC28*'операционные  расходы 1 этап'!#REF!</f>
        <v>#REF!</v>
      </c>
      <c r="AD44" s="35" t="e">
        <f>-AD28*'операционные  расходы 1 этап'!#REF!</f>
        <v>#REF!</v>
      </c>
      <c r="AE44" s="35" t="e">
        <f>-AE28*'операционные  расходы 1 этап'!#REF!</f>
        <v>#REF!</v>
      </c>
      <c r="AF44" s="35" t="e">
        <f>-AF28*'операционные  расходы 1 этап'!#REF!</f>
        <v>#REF!</v>
      </c>
      <c r="AG44" s="35" t="e">
        <f>-AG28*'операционные  расходы 1 этап'!#REF!</f>
        <v>#REF!</v>
      </c>
      <c r="AH44" s="35" t="e">
        <f>-AH28*'операционные  расходы 1 этап'!#REF!</f>
        <v>#REF!</v>
      </c>
      <c r="AI44" s="35" t="e">
        <f>-AI28*'операционные  расходы 1 этап'!#REF!</f>
        <v>#REF!</v>
      </c>
      <c r="AJ44" s="35" t="e">
        <f>-AJ28*'операционные  расходы 1 этап'!#REF!</f>
        <v>#REF!</v>
      </c>
      <c r="AK44" s="35" t="e">
        <f>-AK28*'операционные  расходы 1 этап'!#REF!</f>
        <v>#REF!</v>
      </c>
      <c r="AL44" s="35" t="e">
        <f>-AL28*'операционные  расходы 1 этап'!#REF!</f>
        <v>#REF!</v>
      </c>
      <c r="AM44" s="35" t="e">
        <f>-AM28*'операционные  расходы 1 этап'!#REF!</f>
        <v>#REF!</v>
      </c>
      <c r="AN44" s="35" t="e">
        <f>-AN28*'операционные  расходы 1 этап'!#REF!</f>
        <v>#REF!</v>
      </c>
      <c r="AO44" s="35" t="e">
        <f>-AO28*'операционные  расходы 1 этап'!#REF!</f>
        <v>#REF!</v>
      </c>
      <c r="AP44" s="35" t="e">
        <f>-AP28*'операционные  расходы 1 этап'!#REF!</f>
        <v>#REF!</v>
      </c>
      <c r="AQ44" s="35" t="e">
        <f>-AQ28*'операционные  расходы 1 этап'!#REF!</f>
        <v>#REF!</v>
      </c>
      <c r="AR44" s="35" t="e">
        <f>-AR28*'операционные  расходы 1 этап'!#REF!</f>
        <v>#REF!</v>
      </c>
      <c r="AS44" s="35" t="e">
        <f>-AS28*'операционные  расходы 1 этап'!#REF!</f>
        <v>#REF!</v>
      </c>
      <c r="AT44" s="35" t="e">
        <f>-AT28*'операционные  расходы 1 этап'!#REF!</f>
        <v>#REF!</v>
      </c>
      <c r="AU44" s="35" t="e">
        <f>-AU28*'операционные  расходы 1 этап'!#REF!</f>
        <v>#REF!</v>
      </c>
      <c r="AV44" s="35" t="e">
        <f>-AV28*'операционные  расходы 1 этап'!#REF!</f>
        <v>#REF!</v>
      </c>
      <c r="AW44" s="35" t="e">
        <f>-AW28*'операционные  расходы 1 этап'!#REF!</f>
        <v>#REF!</v>
      </c>
      <c r="AX44" s="35" t="e">
        <f>-AX28*'операционные  расходы 1 этап'!#REF!</f>
        <v>#REF!</v>
      </c>
      <c r="AY44" s="35" t="e">
        <f>-AY28*'операционные  расходы 1 этап'!#REF!</f>
        <v>#REF!</v>
      </c>
      <c r="AZ44" s="35" t="e">
        <f>-AZ28*'операционные  расходы 1 этап'!#REF!</f>
        <v>#REF!</v>
      </c>
      <c r="BA44" s="35" t="e">
        <f>-BA28*'операционные  расходы 1 этап'!#REF!</f>
        <v>#REF!</v>
      </c>
      <c r="BB44" s="35" t="e">
        <f>-BB28*'операционные  расходы 1 этап'!#REF!</f>
        <v>#REF!</v>
      </c>
      <c r="BC44" s="35" t="e">
        <f>-BC28*'операционные  расходы 1 этап'!#REF!</f>
        <v>#REF!</v>
      </c>
      <c r="BD44" s="35" t="e">
        <f>-BD28*'операционные  расходы 1 этап'!#REF!</f>
        <v>#REF!</v>
      </c>
      <c r="BE44" s="35" t="e">
        <f>-BE28*'операционные  расходы 1 этап'!#REF!</f>
        <v>#REF!</v>
      </c>
      <c r="BF44" s="35" t="e">
        <f>-BF28*'операционные  расходы 1 этап'!#REF!</f>
        <v>#REF!</v>
      </c>
      <c r="BG44" s="35" t="e">
        <f>-BG28*'операционные  расходы 1 этап'!#REF!</f>
        <v>#REF!</v>
      </c>
      <c r="BH44" s="35" t="e">
        <f>-BH28*'операционные  расходы 1 этап'!#REF!</f>
        <v>#REF!</v>
      </c>
      <c r="BI44" s="35" t="e">
        <f>-BI28*'операционные  расходы 1 этап'!#REF!</f>
        <v>#REF!</v>
      </c>
      <c r="BJ44" s="35" t="e">
        <f>-BJ28*'операционные  расходы 1 этап'!#REF!</f>
        <v>#REF!</v>
      </c>
      <c r="BK44" s="35" t="e">
        <f>-BK28*'операционные  расходы 1 этап'!#REF!</f>
        <v>#REF!</v>
      </c>
      <c r="BL44" s="35" t="e">
        <f>-BL28*'операционные  расходы 1 этап'!#REF!</f>
        <v>#REF!</v>
      </c>
      <c r="BM44" s="35" t="e">
        <f>-BM28*'операционные  расходы 1 этап'!#REF!</f>
        <v>#REF!</v>
      </c>
      <c r="BN44" s="35" t="e">
        <f>-BN28*'операционные  расходы 1 этап'!#REF!</f>
        <v>#REF!</v>
      </c>
      <c r="BO44" s="35" t="e">
        <f>-BO28*'операционные  расходы 1 этап'!#REF!</f>
        <v>#REF!</v>
      </c>
      <c r="BP44" s="35" t="e">
        <f>-BP28*'операционные  расходы 1 этап'!#REF!</f>
        <v>#REF!</v>
      </c>
      <c r="BQ44" s="35" t="e">
        <f>-BQ28*'операционные  расходы 1 этап'!#REF!</f>
        <v>#REF!</v>
      </c>
      <c r="BR44" s="35" t="e">
        <f>-BR28*'операционные  расходы 1 этап'!#REF!</f>
        <v>#REF!</v>
      </c>
      <c r="BS44" s="35" t="e">
        <f>-BS28*'операционные  расходы 1 этап'!#REF!</f>
        <v>#REF!</v>
      </c>
      <c r="BT44" s="35" t="e">
        <f>-BT28*'операционные  расходы 1 этап'!#REF!</f>
        <v>#REF!</v>
      </c>
      <c r="BU44" s="35" t="e">
        <f>-BU28*'операционные  расходы 1 этап'!#REF!</f>
        <v>#REF!</v>
      </c>
      <c r="BV44" s="35" t="e">
        <f>-BV28*'операционные  расходы 1 этап'!#REF!</f>
        <v>#REF!</v>
      </c>
      <c r="BW44" s="35" t="e">
        <f>-BW28*'операционные  расходы 1 этап'!#REF!</f>
        <v>#REF!</v>
      </c>
      <c r="BX44" s="35" t="e">
        <f>-BX28*'операционные  расходы 1 этап'!#REF!</f>
        <v>#REF!</v>
      </c>
      <c r="BY44" s="35" t="e">
        <f>-BY28*'операционные  расходы 1 этап'!#REF!</f>
        <v>#REF!</v>
      </c>
      <c r="BZ44" s="35" t="e">
        <f>-BZ28*'операционные  расходы 1 этап'!#REF!</f>
        <v>#REF!</v>
      </c>
      <c r="CA44" s="35" t="e">
        <f>-CA28*'операционные  расходы 1 этап'!#REF!</f>
        <v>#REF!</v>
      </c>
      <c r="CB44" s="35" t="e">
        <f>-CB28*'операционные  расходы 1 этап'!#REF!</f>
        <v>#REF!</v>
      </c>
      <c r="CC44" s="35" t="e">
        <f>-CC28*'операционные  расходы 1 этап'!#REF!</f>
        <v>#REF!</v>
      </c>
      <c r="CD44" s="35" t="e">
        <f>-CD28*'операционные  расходы 1 этап'!#REF!</f>
        <v>#REF!</v>
      </c>
      <c r="CE44" s="35" t="e">
        <f>-CE28*'операционные  расходы 1 этап'!#REF!</f>
        <v>#REF!</v>
      </c>
      <c r="CF44" s="35" t="e">
        <f>-CF28*'операционные  расходы 1 этап'!#REF!</f>
        <v>#REF!</v>
      </c>
      <c r="CG44" s="35" t="e">
        <f>-CG28*'операционные  расходы 1 этап'!#REF!</f>
        <v>#REF!</v>
      </c>
      <c r="CH44" s="35" t="e">
        <f>-CH28*'операционные  расходы 1 этап'!#REF!</f>
        <v>#REF!</v>
      </c>
      <c r="CI44" s="35" t="e">
        <f>-CI28*'операционные  расходы 1 этап'!#REF!</f>
        <v>#REF!</v>
      </c>
      <c r="CJ44" s="35" t="e">
        <f>-CJ28*'операционные  расходы 1 этап'!#REF!</f>
        <v>#REF!</v>
      </c>
      <c r="CK44" s="35" t="e">
        <f>-CK28*'операционные  расходы 1 этап'!#REF!</f>
        <v>#REF!</v>
      </c>
      <c r="CL44" s="35" t="e">
        <f>-CL28*'операционные  расходы 1 этап'!#REF!</f>
        <v>#REF!</v>
      </c>
      <c r="CM44" s="35" t="e">
        <f>-CM28*'операционные  расходы 1 этап'!#REF!</f>
        <v>#REF!</v>
      </c>
      <c r="CN44" s="35" t="e">
        <f>-CN28*'операционные  расходы 1 этап'!#REF!</f>
        <v>#REF!</v>
      </c>
      <c r="CO44" s="35" t="e">
        <f>-CO28*'операционные  расходы 1 этап'!#REF!</f>
        <v>#REF!</v>
      </c>
    </row>
    <row r="45" spans="1:93" ht="12.75" customHeight="1" outlineLevel="2">
      <c r="A45" s="35"/>
      <c r="B45" s="63" t="s">
        <v>145</v>
      </c>
      <c r="C45" s="74" t="e">
        <f t="shared" si="18"/>
        <v>#REF!</v>
      </c>
      <c r="D45" s="60"/>
      <c r="E45" s="35" t="e">
        <f>-E19*'операционные  расходы 1 этап'!$Q$22-'операционные  расходы 1 этап'!$R$22*Model!E22-Model!E20*'операционные  расходы 1 этап'!$S$22</f>
        <v>#REF!</v>
      </c>
      <c r="F45" s="35" t="e">
        <f>-F19*'операционные  расходы 1 этап'!$Q$22-'операционные  расходы 1 этап'!$R$22*Model!F22-Model!F20*'операционные  расходы 1 этап'!$S$22</f>
        <v>#REF!</v>
      </c>
      <c r="G45" s="35" t="e">
        <f>-G19*'операционные  расходы 1 этап'!$Q$22-'операционные  расходы 1 этап'!$R$22*Model!G22-Model!G20*'операционные  расходы 1 этап'!$S$22</f>
        <v>#REF!</v>
      </c>
      <c r="H45" s="35" t="e">
        <f>-H19*'операционные  расходы 1 этап'!$Q$22-'операционные  расходы 1 этап'!$R$22*Model!H22-Model!H20*'операционные  расходы 1 этап'!$S$22</f>
        <v>#REF!</v>
      </c>
      <c r="I45" s="35" t="e">
        <f>-I19*'операционные  расходы 1 этап'!$Q$22-'операционные  расходы 1 этап'!$R$22*Model!I22-Model!I20*'операционные  расходы 1 этап'!$S$22</f>
        <v>#REF!</v>
      </c>
      <c r="J45" s="35" t="e">
        <f>-J19*'операционные  расходы 1 этап'!$Q$22-'операционные  расходы 1 этап'!$R$22*Model!J22-Model!J20*'операционные  расходы 1 этап'!$S$22</f>
        <v>#REF!</v>
      </c>
      <c r="K45" s="35" t="e">
        <f>-K19*'операционные  расходы 1 этап'!$Q$22-'операционные  расходы 1 этап'!$R$22*Model!K22-Model!K20*'операционные  расходы 1 этап'!$S$22</f>
        <v>#REF!</v>
      </c>
      <c r="L45" s="35" t="e">
        <f>-L19*'операционные  расходы 1 этап'!$Q$22-'операционные  расходы 1 этап'!$R$22*Model!L22-Model!L20*'операционные  расходы 1 этап'!$S$22</f>
        <v>#REF!</v>
      </c>
      <c r="M45" s="35" t="e">
        <f>-M19*'операционные  расходы 1 этап'!$Q$22-'операционные  расходы 1 этап'!$R$22*Model!M22-Model!M20*'операционные  расходы 1 этап'!$S$22</f>
        <v>#REF!</v>
      </c>
      <c r="N45" s="35" t="e">
        <f>-N19*'операционные  расходы 1 этап'!$Q$22-'операционные  расходы 1 этап'!$R$22*Model!N22-Model!N20*'операционные  расходы 1 этап'!$S$22</f>
        <v>#REF!</v>
      </c>
      <c r="O45" s="35" t="e">
        <f>-O19*'операционные  расходы 1 этап'!$Q$22-'операционные  расходы 1 этап'!$R$22*Model!O22-Model!O20*'операционные  расходы 1 этап'!$S$22</f>
        <v>#REF!</v>
      </c>
      <c r="P45" s="35" t="e">
        <f>-P19*'операционные  расходы 1 этап'!$Q$22-'операционные  расходы 1 этап'!$R$22*Model!P22-Model!P20*'операционные  расходы 1 этап'!$S$22</f>
        <v>#REF!</v>
      </c>
      <c r="Q45" s="35" t="e">
        <f>-Q19*'операционные  расходы 1 этап'!$Q$22-'операционные  расходы 1 этап'!$R$22*Model!Q22-Model!Q20*'операционные  расходы 1 этап'!$S$22</f>
        <v>#REF!</v>
      </c>
      <c r="R45" s="35" t="e">
        <f>-R19*'операционные  расходы 1 этап'!$Q$22-'операционные  расходы 1 этап'!$R$22*Model!R22-Model!R20*'операционные  расходы 1 этап'!$S$22</f>
        <v>#REF!</v>
      </c>
      <c r="S45" s="35" t="e">
        <f>-S19*'операционные  расходы 1 этап'!$Q$22-'операционные  расходы 1 этап'!$R$22*Model!S22-Model!S20*'операционные  расходы 1 этап'!$S$22</f>
        <v>#REF!</v>
      </c>
      <c r="T45" s="35" t="e">
        <f>-T19*'операционные  расходы 1 этап'!$Q$22-'операционные  расходы 1 этап'!$R$22*Model!T22-Model!T20*'операционные  расходы 1 этап'!$S$22</f>
        <v>#REF!</v>
      </c>
      <c r="U45" s="35" t="e">
        <f>-U19*'операционные  расходы 1 этап'!$Q$22-'операционные  расходы 1 этап'!$R$22*Model!U22-Model!U20*'операционные  расходы 1 этап'!$S$22</f>
        <v>#REF!</v>
      </c>
      <c r="V45" s="35" t="e">
        <f>-V19*'операционные  расходы 1 этап'!$Q$22-'операционные  расходы 1 этап'!$R$22*Model!V22-Model!V20*'операционные  расходы 1 этап'!$S$22</f>
        <v>#REF!</v>
      </c>
      <c r="W45" s="35" t="e">
        <f>-W19*'операционные  расходы 1 этап'!$Q$22-'операционные  расходы 1 этап'!$R$22*Model!W22-Model!W20*'операционные  расходы 1 этап'!$S$22</f>
        <v>#REF!</v>
      </c>
      <c r="X45" s="35" t="e">
        <f>-X19*'операционные  расходы 1 этап'!$Q$22-'операционные  расходы 1 этап'!$R$22*Model!X22-Model!X20*'операционные  расходы 1 этап'!$S$22</f>
        <v>#REF!</v>
      </c>
      <c r="Y45" s="35" t="e">
        <f>-Y19*'операционные  расходы 1 этап'!$Q$22-'операционные  расходы 1 этап'!$R$22*Model!Y22-Model!Y20*'операционные  расходы 1 этап'!$S$22</f>
        <v>#REF!</v>
      </c>
      <c r="Z45" s="35" t="e">
        <f>-Z19*'операционные  расходы 1 этап'!$Q$22-'операционные  расходы 1 этап'!$R$22*Model!Z22-Model!Z20*'операционные  расходы 1 этап'!$S$22</f>
        <v>#REF!</v>
      </c>
      <c r="AA45" s="35" t="e">
        <f>-AA19*'операционные  расходы 1 этап'!$Q$22-'операционные  расходы 1 этап'!$R$22*Model!AA22-Model!AA20*'операционные  расходы 1 этап'!$S$22</f>
        <v>#REF!</v>
      </c>
      <c r="AB45" s="35" t="e">
        <f>-AB19*'операционные  расходы 1 этап'!$Q$22-'операционные  расходы 1 этап'!$R$22*Model!AB22-Model!AB20*'операционные  расходы 1 этап'!$S$22</f>
        <v>#REF!</v>
      </c>
      <c r="AC45" s="35" t="e">
        <f>-AC19*'операционные  расходы 1 этап'!$Q$22-'операционные  расходы 1 этап'!$R$22*Model!AC22-Model!AC20*'операционные  расходы 1 этап'!$S$22</f>
        <v>#REF!</v>
      </c>
      <c r="AD45" s="35" t="e">
        <f>-AD19*'операционные  расходы 1 этап'!$Q$22-'операционные  расходы 1 этап'!$R$22*Model!AD22-Model!AD20*'операционные  расходы 1 этап'!$S$22</f>
        <v>#REF!</v>
      </c>
      <c r="AE45" s="35" t="e">
        <f>-AE19*'операционные  расходы 1 этап'!$Q$22-'операционные  расходы 1 этап'!$R$22*Model!AE22-Model!AE20*'операционные  расходы 1 этап'!$S$22</f>
        <v>#REF!</v>
      </c>
      <c r="AF45" s="35" t="e">
        <f>-AF19*'операционные  расходы 1 этап'!$Q$22-'операционные  расходы 1 этап'!$R$22*Model!AF22-Model!AF20*'операционные  расходы 1 этап'!$S$22</f>
        <v>#REF!</v>
      </c>
      <c r="AG45" s="35" t="e">
        <f>-AG19*'операционные  расходы 1 этап'!$Q$22-'операционные  расходы 1 этап'!$R$22*Model!AG22-Model!AG20*'операционные  расходы 1 этап'!$S$22</f>
        <v>#REF!</v>
      </c>
      <c r="AH45" s="35" t="e">
        <f>-AH19*'операционные  расходы 1 этап'!$Q$22-'операционные  расходы 1 этап'!$R$22*Model!AH22-Model!AH20*'операционные  расходы 1 этап'!$S$22</f>
        <v>#REF!</v>
      </c>
      <c r="AI45" s="35" t="e">
        <f>-AI19*'операционные  расходы 1 этап'!$Q$22-'операционные  расходы 1 этап'!$R$22*Model!AI22-Model!AI20*'операционные  расходы 1 этап'!$S$22</f>
        <v>#REF!</v>
      </c>
      <c r="AJ45" s="35" t="e">
        <f>-AJ19*'операционные  расходы 1 этап'!$Q$22-'операционные  расходы 1 этап'!$R$22*Model!AJ22-Model!AJ20*'операционные  расходы 1 этап'!$S$22</f>
        <v>#REF!</v>
      </c>
      <c r="AK45" s="35" t="e">
        <f>-AK19*'операционные  расходы 1 этап'!$Q$22-'операционные  расходы 1 этап'!$R$22*Model!AK22-Model!AK20*'операционные  расходы 1 этап'!$S$22</f>
        <v>#REF!</v>
      </c>
      <c r="AL45" s="35" t="e">
        <f>-AL19*'операционные  расходы 1 этап'!$Q$22-'операционные  расходы 1 этап'!$R$22*Model!AL22-Model!AL20*'операционные  расходы 1 этап'!$S$22</f>
        <v>#REF!</v>
      </c>
      <c r="AM45" s="35" t="e">
        <f>-AM19*'операционные  расходы 1 этап'!$Q$22-'операционные  расходы 1 этап'!$R$22*Model!AM22-Model!AM20*'операционные  расходы 1 этап'!$S$22</f>
        <v>#REF!</v>
      </c>
      <c r="AN45" s="35" t="e">
        <f>-AN19*'операционные  расходы 1 этап'!$Q$22-'операционные  расходы 1 этап'!$R$22*Model!AN22-Model!AN20*'операционные  расходы 1 этап'!$S$22</f>
        <v>#REF!</v>
      </c>
      <c r="AO45" s="35" t="e">
        <f>-AO19*'операционные  расходы 1 этап'!$Q$22-'операционные  расходы 1 этап'!$R$22*Model!AO22-Model!AO20*'операционные  расходы 1 этап'!$S$22</f>
        <v>#REF!</v>
      </c>
      <c r="AP45" s="35" t="e">
        <f>-AP19*'операционные  расходы 1 этап'!$Q$22-'операционные  расходы 1 этап'!$R$22*Model!AP22-Model!AP20*'операционные  расходы 1 этап'!$S$22</f>
        <v>#REF!</v>
      </c>
      <c r="AQ45" s="35" t="e">
        <f>-AQ19*'операционные  расходы 1 этап'!$Q$22-'операционные  расходы 1 этап'!$R$22*Model!AQ22-Model!AQ20*'операционные  расходы 1 этап'!$S$22</f>
        <v>#REF!</v>
      </c>
      <c r="AR45" s="35" t="e">
        <f>-AR19*'операционные  расходы 1 этап'!$Q$22-'операционные  расходы 1 этап'!$R$22*Model!AR22-Model!AR20*'операционные  расходы 1 этап'!$S$22</f>
        <v>#REF!</v>
      </c>
      <c r="AS45" s="35" t="e">
        <f>-AS19*'операционные  расходы 1 этап'!$Q$22-'операционные  расходы 1 этап'!$R$22*Model!AS22-Model!AS20*'операционные  расходы 1 этап'!$S$22</f>
        <v>#REF!</v>
      </c>
      <c r="AT45" s="35" t="e">
        <f>-AT19*'операционные  расходы 1 этап'!$Q$22-'операционные  расходы 1 этап'!$R$22*Model!AT22-Model!AT20*'операционные  расходы 1 этап'!$S$22</f>
        <v>#REF!</v>
      </c>
      <c r="AU45" s="35" t="e">
        <f>-AU19*'операционные  расходы 1 этап'!$Q$22-'операционные  расходы 1 этап'!$R$22*Model!AU22-Model!AU20*'операционные  расходы 1 этап'!$S$22</f>
        <v>#REF!</v>
      </c>
      <c r="AV45" s="35" t="e">
        <f>-AV19*'операционные  расходы 1 этап'!$Q$22-'операционные  расходы 1 этап'!$R$22*Model!AV22-Model!AV20*'операционные  расходы 1 этап'!$S$22</f>
        <v>#REF!</v>
      </c>
      <c r="AW45" s="35" t="e">
        <f>-AW19*'операционные  расходы 1 этап'!$Q$22-'операционные  расходы 1 этап'!$R$22*Model!AW22-Model!AW20*'операционные  расходы 1 этап'!$S$22</f>
        <v>#REF!</v>
      </c>
      <c r="AX45" s="35" t="e">
        <f>-AX19*'операционные  расходы 1 этап'!$Q$22-'операционные  расходы 1 этап'!$R$22*Model!AX22-Model!AX20*'операционные  расходы 1 этап'!$S$22</f>
        <v>#REF!</v>
      </c>
      <c r="AY45" s="35" t="e">
        <f>-AY19*'операционные  расходы 1 этап'!$Q$22-'операционные  расходы 1 этап'!$R$22*Model!AY22-Model!AY20*'операционные  расходы 1 этап'!$S$22</f>
        <v>#REF!</v>
      </c>
      <c r="AZ45" s="35" t="e">
        <f>-AZ19*'операционные  расходы 1 этап'!$Q$22-'операционные  расходы 1 этап'!$R$22*Model!AZ22-Model!AZ20*'операционные  расходы 1 этап'!$S$22</f>
        <v>#REF!</v>
      </c>
      <c r="BA45" s="35" t="e">
        <f>-BA19*'операционные  расходы 1 этап'!$Q$22-'операционные  расходы 1 этап'!$R$22*Model!BA22-Model!BA20*'операционные  расходы 1 этап'!$S$22</f>
        <v>#REF!</v>
      </c>
      <c r="BB45" s="35" t="e">
        <f>-BB19*'операционные  расходы 1 этап'!$Q$22-'операционные  расходы 1 этап'!$R$22*Model!BB22-Model!BB20*'операционные  расходы 1 этап'!$S$22</f>
        <v>#REF!</v>
      </c>
      <c r="BC45" s="35" t="e">
        <f>-BC19*'операционные  расходы 1 этап'!$Q$22-'операционные  расходы 1 этап'!$R$22*Model!BC22-Model!BC20*'операционные  расходы 1 этап'!$S$22</f>
        <v>#REF!</v>
      </c>
      <c r="BD45" s="35" t="e">
        <f>-BD19*'операционные  расходы 1 этап'!$Q$22-'операционные  расходы 1 этап'!$R$22*Model!BD22-Model!BD20*'операционные  расходы 1 этап'!$S$22</f>
        <v>#REF!</v>
      </c>
      <c r="BE45" s="35" t="e">
        <f>-BE19*'операционные  расходы 1 этап'!$Q$22-'операционные  расходы 1 этап'!$R$22*Model!BE22-Model!BE20*'операционные  расходы 1 этап'!$S$22</f>
        <v>#REF!</v>
      </c>
      <c r="BF45" s="35" t="e">
        <f>-BF19*'операционные  расходы 1 этап'!$Q$22-'операционные  расходы 1 этап'!$R$22*Model!BF22-Model!BF20*'операционные  расходы 1 этап'!$S$22</f>
        <v>#REF!</v>
      </c>
      <c r="BG45" s="35" t="e">
        <f>-BG19*'операционные  расходы 1 этап'!$Q$22-'операционные  расходы 1 этап'!$R$22*Model!BG22-Model!BG20*'операционные  расходы 1 этап'!$S$22</f>
        <v>#REF!</v>
      </c>
      <c r="BH45" s="35" t="e">
        <f>-BH19*'операционные  расходы 1 этап'!$Q$22-'операционные  расходы 1 этап'!$R$22*Model!BH22-Model!BH20*'операционные  расходы 1 этап'!$S$22</f>
        <v>#REF!</v>
      </c>
      <c r="BI45" s="35" t="e">
        <f>-BI19*'операционные  расходы 1 этап'!$Q$22-'операционные  расходы 1 этап'!$R$22*Model!BI22-Model!BI20*'операционные  расходы 1 этап'!$S$22</f>
        <v>#REF!</v>
      </c>
      <c r="BJ45" s="35" t="e">
        <f>-BJ19*'операционные  расходы 1 этап'!$Q$22-'операционные  расходы 1 этап'!$R$22*Model!BJ22-Model!BJ20*'операционные  расходы 1 этап'!$S$22</f>
        <v>#REF!</v>
      </c>
      <c r="BK45" s="35" t="e">
        <f>-BK19*'операционные  расходы 1 этап'!$Q$22-'операционные  расходы 1 этап'!$R$22*Model!BK22-Model!BK20*'операционные  расходы 1 этап'!$S$22</f>
        <v>#REF!</v>
      </c>
      <c r="BL45" s="35" t="e">
        <f>-BL19*'операционные  расходы 1 этап'!$Q$22-'операционные  расходы 1 этап'!$R$22*Model!BL22-Model!BL20*'операционные  расходы 1 этап'!$S$22</f>
        <v>#REF!</v>
      </c>
      <c r="BM45" s="35" t="e">
        <f>-BM19*'операционные  расходы 1 этап'!$Q$22-'операционные  расходы 1 этап'!$R$22*Model!BM22-Model!BM20*'операционные  расходы 1 этап'!$S$22</f>
        <v>#REF!</v>
      </c>
      <c r="BN45" s="35" t="e">
        <f>-BN19*'операционные  расходы 1 этап'!$Q$22-'операционные  расходы 1 этап'!$R$22*Model!BN22-Model!BN20*'операционные  расходы 1 этап'!$S$22</f>
        <v>#REF!</v>
      </c>
      <c r="BO45" s="35" t="e">
        <f>-BO19*'операционные  расходы 1 этап'!$Q$22-'операционные  расходы 1 этап'!$R$22*Model!BO22-Model!BO20*'операционные  расходы 1 этап'!$S$22</f>
        <v>#REF!</v>
      </c>
      <c r="BP45" s="35" t="e">
        <f>-BP19*'операционные  расходы 1 этап'!$Q$22-'операционные  расходы 1 этап'!$R$22*Model!BP22-Model!BP20*'операционные  расходы 1 этап'!$S$22</f>
        <v>#REF!</v>
      </c>
      <c r="BQ45" s="35" t="e">
        <f>-BQ19*'операционные  расходы 1 этап'!$Q$22-'операционные  расходы 1 этап'!$R$22*Model!BQ22-Model!BQ20*'операционные  расходы 1 этап'!$S$22</f>
        <v>#REF!</v>
      </c>
      <c r="BR45" s="35" t="e">
        <f>-BR19*'операционные  расходы 1 этап'!$Q$22-'операционные  расходы 1 этап'!$R$22*Model!BR22-Model!BR20*'операционные  расходы 1 этап'!$S$22</f>
        <v>#REF!</v>
      </c>
      <c r="BS45" s="35" t="e">
        <f>-BS19*'операционные  расходы 1 этап'!$Q$22-'операционные  расходы 1 этап'!$R$22*Model!BS22-Model!BS20*'операционные  расходы 1 этап'!$S$22</f>
        <v>#REF!</v>
      </c>
      <c r="BT45" s="35" t="e">
        <f>-BT19*'операционные  расходы 1 этап'!$Q$22-'операционные  расходы 1 этап'!$R$22*Model!BT22-Model!BT20*'операционные  расходы 1 этап'!$S$22</f>
        <v>#REF!</v>
      </c>
      <c r="BU45" s="35" t="e">
        <f>-BU19*'операционные  расходы 1 этап'!$Q$22-'операционные  расходы 1 этап'!$R$22*Model!BU22-Model!BU20*'операционные  расходы 1 этап'!$S$22</f>
        <v>#REF!</v>
      </c>
      <c r="BV45" s="35" t="e">
        <f>-BV19*'операционные  расходы 1 этап'!$Q$22-'операционные  расходы 1 этап'!$R$22*Model!BV22-Model!BV20*'операционные  расходы 1 этап'!$S$22</f>
        <v>#REF!</v>
      </c>
      <c r="BW45" s="35" t="e">
        <f>-BW19*'операционные  расходы 1 этап'!$Q$22-'операционные  расходы 1 этап'!$R$22*Model!BW22-Model!BW20*'операционные  расходы 1 этап'!$S$22</f>
        <v>#REF!</v>
      </c>
      <c r="BX45" s="35" t="e">
        <f>-BX19*'операционные  расходы 1 этап'!$Q$22-'операционные  расходы 1 этап'!$R$22*Model!BX22-Model!BX20*'операционные  расходы 1 этап'!$S$22</f>
        <v>#REF!</v>
      </c>
      <c r="BY45" s="35" t="e">
        <f>-BY19*'операционные  расходы 1 этап'!$Q$22-'операционные  расходы 1 этап'!$R$22*Model!BY22-Model!BY20*'операционные  расходы 1 этап'!$S$22</f>
        <v>#REF!</v>
      </c>
      <c r="BZ45" s="35" t="e">
        <f>-BZ19*'операционные  расходы 1 этап'!$Q$22-'операционные  расходы 1 этап'!$R$22*Model!BZ22-Model!BZ20*'операционные  расходы 1 этап'!$S$22</f>
        <v>#REF!</v>
      </c>
      <c r="CA45" s="35" t="e">
        <f>-CA19*'операционные  расходы 1 этап'!$Q$22-'операционные  расходы 1 этап'!$R$22*Model!CA22-Model!CA20*'операционные  расходы 1 этап'!$S$22</f>
        <v>#REF!</v>
      </c>
      <c r="CB45" s="35" t="e">
        <f>-CB19*'операционные  расходы 1 этап'!$Q$22-'операционные  расходы 1 этап'!$R$22*Model!CB22-Model!CB20*'операционные  расходы 1 этап'!$S$22</f>
        <v>#REF!</v>
      </c>
      <c r="CC45" s="35" t="e">
        <f>-CC19*'операционные  расходы 1 этап'!$Q$22-'операционные  расходы 1 этап'!$R$22*Model!CC22-Model!CC20*'операционные  расходы 1 этап'!$S$22</f>
        <v>#REF!</v>
      </c>
      <c r="CD45" s="35" t="e">
        <f>-CD19*'операционные  расходы 1 этап'!$Q$22-'операционные  расходы 1 этап'!$R$22*Model!CD22-Model!CD20*'операционные  расходы 1 этап'!$S$22</f>
        <v>#REF!</v>
      </c>
      <c r="CE45" s="35" t="e">
        <f>-CE19*'операционные  расходы 1 этап'!$Q$22-'операционные  расходы 1 этап'!$R$22*Model!CE22-Model!CE20*'операционные  расходы 1 этап'!$S$22</f>
        <v>#REF!</v>
      </c>
      <c r="CF45" s="35" t="e">
        <f>-CF19*'операционные  расходы 1 этап'!$Q$22-'операционные  расходы 1 этап'!$R$22*Model!CF22-Model!CF20*'операционные  расходы 1 этап'!$S$22</f>
        <v>#REF!</v>
      </c>
      <c r="CG45" s="35" t="e">
        <f>-CG19*'операционные  расходы 1 этап'!$Q$22-'операционные  расходы 1 этап'!$R$22*Model!CG22-Model!CG20*'операционные  расходы 1 этап'!$S$22</f>
        <v>#REF!</v>
      </c>
      <c r="CH45" s="35" t="e">
        <f>-CH19*'операционные  расходы 1 этап'!$Q$22-'операционные  расходы 1 этап'!$R$22*Model!CH22-Model!CH20*'операционные  расходы 1 этап'!$S$22</f>
        <v>#REF!</v>
      </c>
      <c r="CI45" s="35" t="e">
        <f>-CI19*'операционные  расходы 1 этап'!$Q$22-'операционные  расходы 1 этап'!$R$22*Model!CI22-Model!CI20*'операционные  расходы 1 этап'!$S$22</f>
        <v>#REF!</v>
      </c>
      <c r="CJ45" s="35" t="e">
        <f>-CJ19*'операционные  расходы 1 этап'!$Q$22-'операционные  расходы 1 этап'!$R$22*Model!CJ22-Model!CJ20*'операционные  расходы 1 этап'!$S$22</f>
        <v>#REF!</v>
      </c>
      <c r="CK45" s="35" t="e">
        <f>-CK19*'операционные  расходы 1 этап'!$Q$22-'операционные  расходы 1 этап'!$R$22*Model!CK22-Model!CK20*'операционные  расходы 1 этап'!$S$22</f>
        <v>#REF!</v>
      </c>
      <c r="CL45" s="35" t="e">
        <f>-CL19*'операционные  расходы 1 этап'!$Q$22-'операционные  расходы 1 этап'!$R$22*Model!CL22-Model!CL20*'операционные  расходы 1 этап'!$S$22</f>
        <v>#REF!</v>
      </c>
      <c r="CM45" s="35" t="e">
        <f>-CM19*'операционные  расходы 1 этап'!$Q$22-'операционные  расходы 1 этап'!$R$22*Model!CM22-Model!CM20*'операционные  расходы 1 этап'!$S$22</f>
        <v>#REF!</v>
      </c>
      <c r="CN45" s="35" t="e">
        <f>-CN19*'операционные  расходы 1 этап'!$Q$22-'операционные  расходы 1 этап'!$R$22*Model!CN22-Model!CN20*'операционные  расходы 1 этап'!$S$22</f>
        <v>#REF!</v>
      </c>
      <c r="CO45" s="5" t="e">
        <f>-CO19*'операционные  расходы 1 этап'!$Q$22-'операционные  расходы 1 этап'!$R$22*Model!CO22-Model!CO20*'операционные  расходы 1 этап'!$S$22</f>
        <v>#REF!</v>
      </c>
    </row>
    <row r="46" spans="1:93" ht="12.75" customHeight="1" outlineLevel="2">
      <c r="A46" s="35"/>
      <c r="B46" s="63" t="s">
        <v>146</v>
      </c>
      <c r="C46" s="74" t="e">
        <f t="shared" si="18"/>
        <v>#REF!</v>
      </c>
      <c r="D46" s="60"/>
      <c r="E46" s="5" t="e">
        <f>-E26*'операционные  расходы 1 этап'!#REF!</f>
        <v>#REF!</v>
      </c>
      <c r="F46" s="5" t="e">
        <f>-F26*'операционные  расходы 1 этап'!#REF!</f>
        <v>#REF!</v>
      </c>
      <c r="G46" s="5" t="e">
        <f>-G26*'операционные  расходы 1 этап'!#REF!</f>
        <v>#REF!</v>
      </c>
      <c r="H46" s="5" t="e">
        <f>-H26*'операционные  расходы 1 этап'!#REF!</f>
        <v>#REF!</v>
      </c>
      <c r="I46" s="5" t="e">
        <f>-I26*'операционные  расходы 1 этап'!#REF!</f>
        <v>#REF!</v>
      </c>
      <c r="J46" s="5" t="e">
        <f>-J26*'операционные  расходы 1 этап'!#REF!</f>
        <v>#REF!</v>
      </c>
      <c r="K46" s="5" t="e">
        <f>-K26*'операционные  расходы 1 этап'!#REF!</f>
        <v>#REF!</v>
      </c>
      <c r="L46" s="5" t="e">
        <f>-L26*'операционные  расходы 1 этап'!#REF!</f>
        <v>#REF!</v>
      </c>
      <c r="M46" s="5" t="e">
        <f>-M26*'операционные  расходы 1 этап'!#REF!</f>
        <v>#REF!</v>
      </c>
      <c r="N46" s="5" t="e">
        <f>-N26*'операционные  расходы 1 этап'!#REF!</f>
        <v>#REF!</v>
      </c>
      <c r="O46" s="5" t="e">
        <f>-O26*'операционные  расходы 1 этап'!#REF!</f>
        <v>#REF!</v>
      </c>
      <c r="P46" s="5" t="e">
        <f>-P26*'операционные  расходы 1 этап'!#REF!</f>
        <v>#REF!</v>
      </c>
      <c r="Q46" s="5" t="e">
        <f>-Q26*'операционные  расходы 1 этап'!#REF!</f>
        <v>#REF!</v>
      </c>
      <c r="R46" s="5" t="e">
        <f>-R26*'операционные  расходы 1 этап'!#REF!</f>
        <v>#REF!</v>
      </c>
      <c r="S46" s="5" t="e">
        <f>-S26*'операционные  расходы 1 этап'!#REF!</f>
        <v>#REF!</v>
      </c>
      <c r="T46" s="5" t="e">
        <f>-T26*'операционные  расходы 1 этап'!#REF!</f>
        <v>#REF!</v>
      </c>
      <c r="U46" s="5" t="e">
        <f>-U26*'операционные  расходы 1 этап'!#REF!</f>
        <v>#REF!</v>
      </c>
      <c r="V46" s="5" t="e">
        <f>-V26*'операционные  расходы 1 этап'!#REF!</f>
        <v>#REF!</v>
      </c>
      <c r="W46" s="5" t="e">
        <f>-W26*'операционные  расходы 1 этап'!#REF!</f>
        <v>#REF!</v>
      </c>
      <c r="X46" s="5" t="e">
        <f>-X26*'операционные  расходы 1 этап'!#REF!</f>
        <v>#REF!</v>
      </c>
      <c r="Y46" s="5" t="e">
        <f>-Y26*'операционные  расходы 1 этап'!#REF!</f>
        <v>#REF!</v>
      </c>
      <c r="Z46" s="5" t="e">
        <f>-Z26*'операционные  расходы 1 этап'!#REF!</f>
        <v>#REF!</v>
      </c>
      <c r="AA46" s="5" t="e">
        <f>-AA26*'операционные  расходы 1 этап'!#REF!</f>
        <v>#REF!</v>
      </c>
      <c r="AB46" s="5" t="e">
        <f>-AB26*'операционные  расходы 1 этап'!#REF!</f>
        <v>#REF!</v>
      </c>
      <c r="AC46" s="5" t="e">
        <f>-AC26*'операционные  расходы 1 этап'!#REF!</f>
        <v>#REF!</v>
      </c>
      <c r="AD46" s="5" t="e">
        <f>-AD26*'операционные  расходы 1 этап'!#REF!</f>
        <v>#REF!</v>
      </c>
      <c r="AE46" s="5" t="e">
        <f>-AE26*'операционные  расходы 1 этап'!#REF!</f>
        <v>#REF!</v>
      </c>
      <c r="AF46" s="5" t="e">
        <f>-AF26*'операционные  расходы 1 этап'!#REF!</f>
        <v>#REF!</v>
      </c>
      <c r="AG46" s="5" t="e">
        <f>-AG26*'операционные  расходы 1 этап'!#REF!</f>
        <v>#REF!</v>
      </c>
      <c r="AH46" s="5" t="e">
        <f>-AH26*'операционные  расходы 1 этап'!#REF!</f>
        <v>#REF!</v>
      </c>
      <c r="AI46" s="5" t="e">
        <f>-AI26*'операционные  расходы 1 этап'!#REF!</f>
        <v>#REF!</v>
      </c>
      <c r="AJ46" s="5" t="e">
        <f>-AJ26*'операционные  расходы 1 этап'!#REF!</f>
        <v>#REF!</v>
      </c>
      <c r="AK46" s="5" t="e">
        <f>-AK26*'операционные  расходы 1 этап'!#REF!</f>
        <v>#REF!</v>
      </c>
      <c r="AL46" s="5" t="e">
        <f>-AL26*'операционные  расходы 1 этап'!#REF!</f>
        <v>#REF!</v>
      </c>
      <c r="AM46" s="5" t="e">
        <f>-AM26*'операционные  расходы 1 этап'!#REF!</f>
        <v>#REF!</v>
      </c>
      <c r="AN46" s="5" t="e">
        <f>-AN26*'операционные  расходы 1 этап'!#REF!</f>
        <v>#REF!</v>
      </c>
      <c r="AO46" s="5" t="e">
        <f>-AO26*'операционные  расходы 1 этап'!#REF!</f>
        <v>#REF!</v>
      </c>
      <c r="AP46" s="5" t="e">
        <f>-AP26*'операционные  расходы 1 этап'!#REF!</f>
        <v>#REF!</v>
      </c>
      <c r="AQ46" s="5" t="e">
        <f>-AQ26*'операционные  расходы 1 этап'!#REF!</f>
        <v>#REF!</v>
      </c>
      <c r="AR46" s="5" t="e">
        <f>-AR26*'операционные  расходы 1 этап'!#REF!</f>
        <v>#REF!</v>
      </c>
      <c r="AS46" s="5" t="e">
        <f>-AS26*'операционные  расходы 1 этап'!#REF!</f>
        <v>#REF!</v>
      </c>
      <c r="AT46" s="5" t="e">
        <f>-AT26*'операционные  расходы 1 этап'!#REF!</f>
        <v>#REF!</v>
      </c>
      <c r="AU46" s="5" t="e">
        <f>-AU26*'операционные  расходы 1 этап'!#REF!</f>
        <v>#REF!</v>
      </c>
      <c r="AV46" s="5" t="e">
        <f>-AV26*'операционные  расходы 1 этап'!#REF!</f>
        <v>#REF!</v>
      </c>
      <c r="AW46" s="5" t="e">
        <f>-AW26*'операционные  расходы 1 этап'!#REF!</f>
        <v>#REF!</v>
      </c>
      <c r="AX46" s="5" t="e">
        <f>-AX26*'операционные  расходы 1 этап'!#REF!</f>
        <v>#REF!</v>
      </c>
      <c r="AY46" s="5" t="e">
        <f>-AY26*'операционные  расходы 1 этап'!#REF!</f>
        <v>#REF!</v>
      </c>
      <c r="AZ46" s="5" t="e">
        <f>-AZ26*'операционные  расходы 1 этап'!#REF!</f>
        <v>#REF!</v>
      </c>
      <c r="BA46" s="5" t="e">
        <f>-BA26*'операционные  расходы 1 этап'!#REF!</f>
        <v>#REF!</v>
      </c>
      <c r="BB46" s="5" t="e">
        <f>-BB26*'операционные  расходы 1 этап'!#REF!</f>
        <v>#REF!</v>
      </c>
      <c r="BC46" s="5" t="e">
        <f>-BC26*'операционные  расходы 1 этап'!#REF!</f>
        <v>#REF!</v>
      </c>
      <c r="BD46" s="5" t="e">
        <f>-BD26*'операционные  расходы 1 этап'!#REF!</f>
        <v>#REF!</v>
      </c>
      <c r="BE46" s="5" t="e">
        <f>-BE26*'операционные  расходы 1 этап'!#REF!</f>
        <v>#REF!</v>
      </c>
      <c r="BF46" s="5" t="e">
        <f>-BF26*'операционные  расходы 1 этап'!#REF!</f>
        <v>#REF!</v>
      </c>
      <c r="BG46" s="5" t="e">
        <f>-BG26*'операционные  расходы 1 этап'!#REF!</f>
        <v>#REF!</v>
      </c>
      <c r="BH46" s="5" t="e">
        <f>-BH26*'операционные  расходы 1 этап'!#REF!</f>
        <v>#REF!</v>
      </c>
      <c r="BI46" s="5" t="e">
        <f>-BI26*'операционные  расходы 1 этап'!#REF!</f>
        <v>#REF!</v>
      </c>
      <c r="BJ46" s="5" t="e">
        <f>-BJ26*'операционные  расходы 1 этап'!#REF!</f>
        <v>#REF!</v>
      </c>
      <c r="BK46" s="5" t="e">
        <f>-BK26*'операционные  расходы 1 этап'!#REF!</f>
        <v>#REF!</v>
      </c>
      <c r="BL46" s="5" t="e">
        <f>-BL26*'операционные  расходы 1 этап'!#REF!</f>
        <v>#REF!</v>
      </c>
      <c r="BM46" s="5" t="e">
        <f>-BM26*'операционные  расходы 1 этап'!#REF!</f>
        <v>#REF!</v>
      </c>
      <c r="BN46" s="5" t="e">
        <f>-BN26*'операционные  расходы 1 этап'!#REF!</f>
        <v>#REF!</v>
      </c>
      <c r="BO46" s="5" t="e">
        <f>-BO26*'операционные  расходы 1 этап'!#REF!</f>
        <v>#REF!</v>
      </c>
      <c r="BP46" s="5" t="e">
        <f>-BP26*'операционные  расходы 1 этап'!#REF!</f>
        <v>#REF!</v>
      </c>
      <c r="BQ46" s="5" t="e">
        <f>-BQ26*'операционные  расходы 1 этап'!#REF!</f>
        <v>#REF!</v>
      </c>
      <c r="BR46" s="5" t="e">
        <f>-BR26*'операционные  расходы 1 этап'!#REF!</f>
        <v>#REF!</v>
      </c>
      <c r="BS46" s="5" t="e">
        <f>-BS26*'операционные  расходы 1 этап'!#REF!</f>
        <v>#REF!</v>
      </c>
      <c r="BT46" s="5" t="e">
        <f>-BT26*'операционные  расходы 1 этап'!#REF!</f>
        <v>#REF!</v>
      </c>
      <c r="BU46" s="5" t="e">
        <f>-BU26*'операционные  расходы 1 этап'!#REF!</f>
        <v>#REF!</v>
      </c>
      <c r="BV46" s="5" t="e">
        <f>-BV26*'операционные  расходы 1 этап'!#REF!</f>
        <v>#REF!</v>
      </c>
      <c r="BW46" s="5" t="e">
        <f>-BW26*'операционные  расходы 1 этап'!#REF!</f>
        <v>#REF!</v>
      </c>
      <c r="BX46" s="5" t="e">
        <f>-BX26*'операционные  расходы 1 этап'!#REF!</f>
        <v>#REF!</v>
      </c>
      <c r="BY46" s="5" t="e">
        <f>-BY26*'операционные  расходы 1 этап'!#REF!</f>
        <v>#REF!</v>
      </c>
      <c r="BZ46" s="5" t="e">
        <f>-BZ26*'операционные  расходы 1 этап'!#REF!</f>
        <v>#REF!</v>
      </c>
      <c r="CA46" s="5" t="e">
        <f>-CA26*'операционные  расходы 1 этап'!#REF!</f>
        <v>#REF!</v>
      </c>
      <c r="CB46" s="5" t="e">
        <f>-CB26*'операционные  расходы 1 этап'!#REF!</f>
        <v>#REF!</v>
      </c>
      <c r="CC46" s="5" t="e">
        <f>-CC26*'операционные  расходы 1 этап'!#REF!</f>
        <v>#REF!</v>
      </c>
      <c r="CD46" s="5" t="e">
        <f>-CD26*'операционные  расходы 1 этап'!#REF!</f>
        <v>#REF!</v>
      </c>
      <c r="CE46" s="5" t="e">
        <f>-CE26*'операционные  расходы 1 этап'!#REF!</f>
        <v>#REF!</v>
      </c>
      <c r="CF46" s="5" t="e">
        <f>-CF26*'операционные  расходы 1 этап'!#REF!</f>
        <v>#REF!</v>
      </c>
      <c r="CG46" s="5" t="e">
        <f>-CG26*'операционные  расходы 1 этап'!#REF!</f>
        <v>#REF!</v>
      </c>
      <c r="CH46" s="5" t="e">
        <f>-CH26*'операционные  расходы 1 этап'!#REF!</f>
        <v>#REF!</v>
      </c>
      <c r="CI46" s="5" t="e">
        <f>-CI26*'операционные  расходы 1 этап'!#REF!</f>
        <v>#REF!</v>
      </c>
      <c r="CJ46" s="5" t="e">
        <f>-CJ26*'операционные  расходы 1 этап'!#REF!</f>
        <v>#REF!</v>
      </c>
      <c r="CK46" s="5" t="e">
        <f>-CK26*'операционные  расходы 1 этап'!#REF!</f>
        <v>#REF!</v>
      </c>
      <c r="CL46" s="5" t="e">
        <f>-CL26*'операционные  расходы 1 этап'!#REF!</f>
        <v>#REF!</v>
      </c>
      <c r="CM46" s="5" t="e">
        <f>-CM26*'операционные  расходы 1 этап'!#REF!</f>
        <v>#REF!</v>
      </c>
      <c r="CN46" s="5" t="e">
        <f>-CN26*'операционные  расходы 1 этап'!#REF!</f>
        <v>#REF!</v>
      </c>
      <c r="CO46" s="5" t="e">
        <f>-CO26*'операционные  расходы 1 этап'!#REF!</f>
        <v>#REF!</v>
      </c>
    </row>
    <row r="47" spans="1:93" ht="12.75" customHeight="1" outlineLevel="2">
      <c r="A47" s="35"/>
      <c r="B47" s="63" t="s">
        <v>147</v>
      </c>
      <c r="C47" s="74" t="e">
        <f t="shared" si="18"/>
        <v>#REF!</v>
      </c>
      <c r="D47" s="60"/>
      <c r="E47" s="5" t="e">
        <f>-E25*'операционные  расходы 1 этап'!#REF!</f>
        <v>#REF!</v>
      </c>
      <c r="F47" s="5" t="e">
        <f>-F25*'операционные  расходы 1 этап'!#REF!</f>
        <v>#REF!</v>
      </c>
      <c r="G47" s="5" t="e">
        <f>-G25*'операционные  расходы 1 этап'!#REF!</f>
        <v>#REF!</v>
      </c>
      <c r="H47" s="5" t="e">
        <f>-H25*'операционные  расходы 1 этап'!#REF!</f>
        <v>#REF!</v>
      </c>
      <c r="I47" s="5" t="e">
        <f>-I25*'операционные  расходы 1 этап'!#REF!</f>
        <v>#REF!</v>
      </c>
      <c r="J47" s="5" t="e">
        <f>-J25*'операционные  расходы 1 этап'!#REF!</f>
        <v>#REF!</v>
      </c>
      <c r="K47" s="5" t="e">
        <f>-K25*'операционные  расходы 1 этап'!#REF!</f>
        <v>#REF!</v>
      </c>
      <c r="L47" s="5" t="e">
        <f>-L25*'операционные  расходы 1 этап'!#REF!</f>
        <v>#REF!</v>
      </c>
      <c r="M47" s="5" t="e">
        <f>-M25*'операционные  расходы 1 этап'!#REF!</f>
        <v>#REF!</v>
      </c>
      <c r="N47" s="5" t="e">
        <f>-N25*'операционные  расходы 1 этап'!#REF!</f>
        <v>#REF!</v>
      </c>
      <c r="O47" s="5" t="e">
        <f>-O25*'операционные  расходы 1 этап'!#REF!</f>
        <v>#REF!</v>
      </c>
      <c r="P47" s="5" t="e">
        <f>-P25*'операционные  расходы 1 этап'!#REF!</f>
        <v>#REF!</v>
      </c>
      <c r="Q47" s="5" t="e">
        <f>-Q25*'операционные  расходы 1 этап'!#REF!</f>
        <v>#REF!</v>
      </c>
      <c r="R47" s="5" t="e">
        <f>-R25*'операционные  расходы 1 этап'!#REF!</f>
        <v>#REF!</v>
      </c>
      <c r="S47" s="5" t="e">
        <f>-S25*'операционные  расходы 1 этап'!#REF!</f>
        <v>#REF!</v>
      </c>
      <c r="T47" s="5" t="e">
        <f>-T25*'операционные  расходы 1 этап'!#REF!</f>
        <v>#REF!</v>
      </c>
      <c r="U47" s="5" t="e">
        <f>-U25*'операционные  расходы 1 этап'!#REF!</f>
        <v>#REF!</v>
      </c>
      <c r="V47" s="5" t="e">
        <f>-V25*'операционные  расходы 1 этап'!#REF!</f>
        <v>#REF!</v>
      </c>
      <c r="W47" s="5" t="e">
        <f>-W25*'операционные  расходы 1 этап'!#REF!</f>
        <v>#REF!</v>
      </c>
      <c r="X47" s="5" t="e">
        <f>-X25*'операционные  расходы 1 этап'!#REF!</f>
        <v>#REF!</v>
      </c>
      <c r="Y47" s="5" t="e">
        <f>-Y25*'операционные  расходы 1 этап'!#REF!</f>
        <v>#REF!</v>
      </c>
      <c r="Z47" s="5" t="e">
        <f>-Z25*'операционные  расходы 1 этап'!#REF!</f>
        <v>#REF!</v>
      </c>
      <c r="AA47" s="5" t="e">
        <f>-AA25*'операционные  расходы 1 этап'!#REF!</f>
        <v>#REF!</v>
      </c>
      <c r="AB47" s="5" t="e">
        <f>-AB25*'операционные  расходы 1 этап'!#REF!</f>
        <v>#REF!</v>
      </c>
      <c r="AC47" s="5" t="e">
        <f>-AC25*'операционные  расходы 1 этап'!#REF!</f>
        <v>#REF!</v>
      </c>
      <c r="AD47" s="5" t="e">
        <f>-AD25*'операционные  расходы 1 этап'!#REF!</f>
        <v>#REF!</v>
      </c>
      <c r="AE47" s="5" t="e">
        <f>-AE25*'операционные  расходы 1 этап'!#REF!</f>
        <v>#REF!</v>
      </c>
      <c r="AF47" s="5" t="e">
        <f>-AF25*'операционные  расходы 1 этап'!#REF!</f>
        <v>#REF!</v>
      </c>
      <c r="AG47" s="5" t="e">
        <f>-AG25*'операционные  расходы 1 этап'!#REF!</f>
        <v>#REF!</v>
      </c>
      <c r="AH47" s="5" t="e">
        <f>-AH25*'операционные  расходы 1 этап'!#REF!</f>
        <v>#REF!</v>
      </c>
      <c r="AI47" s="5" t="e">
        <f>-AI25*'операционные  расходы 1 этап'!#REF!</f>
        <v>#REF!</v>
      </c>
      <c r="AJ47" s="5" t="e">
        <f>-AJ25*'операционные  расходы 1 этап'!#REF!</f>
        <v>#REF!</v>
      </c>
      <c r="AK47" s="5" t="e">
        <f>-AK25*'операционные  расходы 1 этап'!#REF!</f>
        <v>#REF!</v>
      </c>
      <c r="AL47" s="5" t="e">
        <f>-AL25*'операционные  расходы 1 этап'!#REF!</f>
        <v>#REF!</v>
      </c>
      <c r="AM47" s="5" t="e">
        <f>-AM25*'операционные  расходы 1 этап'!#REF!</f>
        <v>#REF!</v>
      </c>
      <c r="AN47" s="5" t="e">
        <f>-AN25*'операционные  расходы 1 этап'!#REF!</f>
        <v>#REF!</v>
      </c>
      <c r="AO47" s="5" t="e">
        <f>-AO25*'операционные  расходы 1 этап'!#REF!</f>
        <v>#REF!</v>
      </c>
      <c r="AP47" s="5" t="e">
        <f>-AP25*'операционные  расходы 1 этап'!#REF!</f>
        <v>#REF!</v>
      </c>
      <c r="AQ47" s="5" t="e">
        <f>-AQ25*'операционные  расходы 1 этап'!#REF!</f>
        <v>#REF!</v>
      </c>
      <c r="AR47" s="5" t="e">
        <f>-AR25*'операционные  расходы 1 этап'!#REF!</f>
        <v>#REF!</v>
      </c>
      <c r="AS47" s="5" t="e">
        <f>-AS25*'операционные  расходы 1 этап'!#REF!</f>
        <v>#REF!</v>
      </c>
      <c r="AT47" s="5" t="e">
        <f>-AT25*'операционные  расходы 1 этап'!#REF!</f>
        <v>#REF!</v>
      </c>
      <c r="AU47" s="5" t="e">
        <f>-AU25*'операционные  расходы 1 этап'!#REF!</f>
        <v>#REF!</v>
      </c>
      <c r="AV47" s="5" t="e">
        <f>-AV25*'операционные  расходы 1 этап'!#REF!</f>
        <v>#REF!</v>
      </c>
      <c r="AW47" s="5" t="e">
        <f>-AW25*'операционные  расходы 1 этап'!#REF!</f>
        <v>#REF!</v>
      </c>
      <c r="AX47" s="5" t="e">
        <f>-AX25*'операционные  расходы 1 этап'!#REF!</f>
        <v>#REF!</v>
      </c>
      <c r="AY47" s="5" t="e">
        <f>-AY25*'операционные  расходы 1 этап'!#REF!</f>
        <v>#REF!</v>
      </c>
      <c r="AZ47" s="5" t="e">
        <f>-AZ25*'операционные  расходы 1 этап'!#REF!</f>
        <v>#REF!</v>
      </c>
      <c r="BA47" s="5" t="e">
        <f>-BA25*'операционные  расходы 1 этап'!#REF!</f>
        <v>#REF!</v>
      </c>
      <c r="BB47" s="5" t="e">
        <f>-BB25*'операционные  расходы 1 этап'!#REF!</f>
        <v>#REF!</v>
      </c>
      <c r="BC47" s="5" t="e">
        <f>-BC25*'операционные  расходы 1 этап'!#REF!</f>
        <v>#REF!</v>
      </c>
      <c r="BD47" s="5" t="e">
        <f>-BD25*'операционные  расходы 1 этап'!#REF!</f>
        <v>#REF!</v>
      </c>
      <c r="BE47" s="5" t="e">
        <f>-BE25*'операционные  расходы 1 этап'!#REF!</f>
        <v>#REF!</v>
      </c>
      <c r="BF47" s="5" t="e">
        <f>-BF25*'операционные  расходы 1 этап'!#REF!</f>
        <v>#REF!</v>
      </c>
      <c r="BG47" s="5" t="e">
        <f>-BG25*'операционные  расходы 1 этап'!#REF!</f>
        <v>#REF!</v>
      </c>
      <c r="BH47" s="5" t="e">
        <f>-BH25*'операционные  расходы 1 этап'!#REF!</f>
        <v>#REF!</v>
      </c>
      <c r="BI47" s="5" t="e">
        <f>-BI25*'операционные  расходы 1 этап'!#REF!</f>
        <v>#REF!</v>
      </c>
      <c r="BJ47" s="5" t="e">
        <f>-BJ25*'операционные  расходы 1 этап'!#REF!</f>
        <v>#REF!</v>
      </c>
      <c r="BK47" s="5" t="e">
        <f>-BK25*'операционные  расходы 1 этап'!#REF!</f>
        <v>#REF!</v>
      </c>
      <c r="BL47" s="5" t="e">
        <f>-BL25*'операционные  расходы 1 этап'!#REF!</f>
        <v>#REF!</v>
      </c>
      <c r="BM47" s="5" t="e">
        <f>-BM25*'операционные  расходы 1 этап'!#REF!</f>
        <v>#REF!</v>
      </c>
      <c r="BN47" s="5" t="e">
        <f>-BN25*'операционные  расходы 1 этап'!#REF!</f>
        <v>#REF!</v>
      </c>
      <c r="BO47" s="5" t="e">
        <f>-BO25*'операционные  расходы 1 этап'!#REF!</f>
        <v>#REF!</v>
      </c>
      <c r="BP47" s="5" t="e">
        <f>-BP25*'операционные  расходы 1 этап'!#REF!</f>
        <v>#REF!</v>
      </c>
      <c r="BQ47" s="5" t="e">
        <f>-BQ25*'операционные  расходы 1 этап'!#REF!</f>
        <v>#REF!</v>
      </c>
      <c r="BR47" s="5" t="e">
        <f>-BR25*'операционные  расходы 1 этап'!#REF!</f>
        <v>#REF!</v>
      </c>
      <c r="BS47" s="5" t="e">
        <f>-BS25*'операционные  расходы 1 этап'!#REF!</f>
        <v>#REF!</v>
      </c>
      <c r="BT47" s="5" t="e">
        <f>-BT25*'операционные  расходы 1 этап'!#REF!</f>
        <v>#REF!</v>
      </c>
      <c r="BU47" s="5" t="e">
        <f>-BU25*'операционные  расходы 1 этап'!#REF!</f>
        <v>#REF!</v>
      </c>
      <c r="BV47" s="5" t="e">
        <f>-BV25*'операционные  расходы 1 этап'!#REF!</f>
        <v>#REF!</v>
      </c>
      <c r="BW47" s="5" t="e">
        <f>-BW25*'операционные  расходы 1 этап'!#REF!</f>
        <v>#REF!</v>
      </c>
      <c r="BX47" s="5" t="e">
        <f>-BX25*'операционные  расходы 1 этап'!#REF!</f>
        <v>#REF!</v>
      </c>
      <c r="BY47" s="5" t="e">
        <f>-BY25*'операционные  расходы 1 этап'!#REF!</f>
        <v>#REF!</v>
      </c>
      <c r="BZ47" s="5" t="e">
        <f>-BZ25*'операционные  расходы 1 этап'!#REF!</f>
        <v>#REF!</v>
      </c>
      <c r="CA47" s="5" t="e">
        <f>-CA25*'операционные  расходы 1 этап'!#REF!</f>
        <v>#REF!</v>
      </c>
      <c r="CB47" s="5" t="e">
        <f>-CB25*'операционные  расходы 1 этап'!#REF!</f>
        <v>#REF!</v>
      </c>
      <c r="CC47" s="5" t="e">
        <f>-CC25*'операционные  расходы 1 этап'!#REF!</f>
        <v>#REF!</v>
      </c>
      <c r="CD47" s="5" t="e">
        <f>-CD25*'операционные  расходы 1 этап'!#REF!</f>
        <v>#REF!</v>
      </c>
      <c r="CE47" s="5" t="e">
        <f>-CE25*'операционные  расходы 1 этап'!#REF!</f>
        <v>#REF!</v>
      </c>
      <c r="CF47" s="5" t="e">
        <f>-CF25*'операционные  расходы 1 этап'!#REF!</f>
        <v>#REF!</v>
      </c>
      <c r="CG47" s="5" t="e">
        <f>-CG25*'операционные  расходы 1 этап'!#REF!</f>
        <v>#REF!</v>
      </c>
      <c r="CH47" s="5" t="e">
        <f>-CH25*'операционные  расходы 1 этап'!#REF!</f>
        <v>#REF!</v>
      </c>
      <c r="CI47" s="5" t="e">
        <f>-CI25*'операционные  расходы 1 этап'!#REF!</f>
        <v>#REF!</v>
      </c>
      <c r="CJ47" s="5" t="e">
        <f>-CJ25*'операционные  расходы 1 этап'!#REF!</f>
        <v>#REF!</v>
      </c>
      <c r="CK47" s="5" t="e">
        <f>-CK25*'операционные  расходы 1 этап'!#REF!</f>
        <v>#REF!</v>
      </c>
      <c r="CL47" s="5" t="e">
        <f>-CL25*'операционные  расходы 1 этап'!#REF!</f>
        <v>#REF!</v>
      </c>
      <c r="CM47" s="5" t="e">
        <f>-CM25*'операционные  расходы 1 этап'!#REF!</f>
        <v>#REF!</v>
      </c>
      <c r="CN47" s="5" t="e">
        <f>-CN25*'операционные  расходы 1 этап'!#REF!</f>
        <v>#REF!</v>
      </c>
      <c r="CO47" s="5" t="e">
        <f>-CO25*'операционные  расходы 1 этап'!#REF!</f>
        <v>#REF!</v>
      </c>
    </row>
    <row r="48" spans="1:93" ht="12.75" customHeight="1" outlineLevel="2">
      <c r="A48" s="35"/>
      <c r="B48" s="63" t="s">
        <v>148</v>
      </c>
      <c r="C48" s="74" t="e">
        <f t="shared" si="18"/>
        <v>#REF!</v>
      </c>
      <c r="D48" s="60"/>
      <c r="E48" s="5" t="e">
        <f>-E25*'операционные  расходы 1 этап'!#REF!</f>
        <v>#REF!</v>
      </c>
      <c r="F48" s="5" t="e">
        <f>-F25*'операционные  расходы 1 этап'!#REF!</f>
        <v>#REF!</v>
      </c>
      <c r="G48" s="5" t="e">
        <f>-G25*'операционные  расходы 1 этап'!#REF!</f>
        <v>#REF!</v>
      </c>
      <c r="H48" s="5" t="e">
        <f>-H25*'операционные  расходы 1 этап'!#REF!</f>
        <v>#REF!</v>
      </c>
      <c r="I48" s="5" t="e">
        <f>-I25*'операционные  расходы 1 этап'!#REF!</f>
        <v>#REF!</v>
      </c>
      <c r="J48" s="5" t="e">
        <f>-J25*'операционные  расходы 1 этап'!#REF!</f>
        <v>#REF!</v>
      </c>
      <c r="K48" s="5" t="e">
        <f>-K25*'операционные  расходы 1 этап'!#REF!</f>
        <v>#REF!</v>
      </c>
      <c r="L48" s="5" t="e">
        <f>-L25*'операционные  расходы 1 этап'!#REF!</f>
        <v>#REF!</v>
      </c>
      <c r="M48" s="5" t="e">
        <f>-M25*'операционные  расходы 1 этап'!#REF!</f>
        <v>#REF!</v>
      </c>
      <c r="N48" s="5" t="e">
        <f>-N25*'операционные  расходы 1 этап'!#REF!</f>
        <v>#REF!</v>
      </c>
      <c r="O48" s="5" t="e">
        <f>-O25*'операционные  расходы 1 этап'!#REF!</f>
        <v>#REF!</v>
      </c>
      <c r="P48" s="5" t="e">
        <f>-P25*'операционные  расходы 1 этап'!#REF!</f>
        <v>#REF!</v>
      </c>
      <c r="Q48" s="5" t="e">
        <f>-Q25*'операционные  расходы 1 этап'!#REF!</f>
        <v>#REF!</v>
      </c>
      <c r="R48" s="5" t="e">
        <f>-R25*'операционные  расходы 1 этап'!#REF!</f>
        <v>#REF!</v>
      </c>
      <c r="S48" s="5" t="e">
        <f>-S25*'операционные  расходы 1 этап'!#REF!</f>
        <v>#REF!</v>
      </c>
      <c r="T48" s="5" t="e">
        <f>-T25*'операционные  расходы 1 этап'!#REF!</f>
        <v>#REF!</v>
      </c>
      <c r="U48" s="5" t="e">
        <f>-U25*'операционные  расходы 1 этап'!#REF!</f>
        <v>#REF!</v>
      </c>
      <c r="V48" s="5" t="e">
        <f>-V25*'операционные  расходы 1 этап'!#REF!</f>
        <v>#REF!</v>
      </c>
      <c r="W48" s="5" t="e">
        <f>-W25*'операционные  расходы 1 этап'!#REF!</f>
        <v>#REF!</v>
      </c>
      <c r="X48" s="5" t="e">
        <f>-X25*'операционные  расходы 1 этап'!#REF!</f>
        <v>#REF!</v>
      </c>
      <c r="Y48" s="5" t="e">
        <f>-Y25*'операционные  расходы 1 этап'!#REF!</f>
        <v>#REF!</v>
      </c>
      <c r="Z48" s="5" t="e">
        <f>-Z25*'операционные  расходы 1 этап'!#REF!</f>
        <v>#REF!</v>
      </c>
      <c r="AA48" s="5" t="e">
        <f>-AA25*'операционные  расходы 1 этап'!#REF!</f>
        <v>#REF!</v>
      </c>
      <c r="AB48" s="5" t="e">
        <f>-AB25*'операционные  расходы 1 этап'!#REF!</f>
        <v>#REF!</v>
      </c>
      <c r="AC48" s="5" t="e">
        <f>-AC25*'операционные  расходы 1 этап'!#REF!</f>
        <v>#REF!</v>
      </c>
      <c r="AD48" s="5" t="e">
        <f>-AD25*'операционные  расходы 1 этап'!#REF!</f>
        <v>#REF!</v>
      </c>
      <c r="AE48" s="5" t="e">
        <f>-AE25*'операционные  расходы 1 этап'!#REF!</f>
        <v>#REF!</v>
      </c>
      <c r="AF48" s="5" t="e">
        <f>-AF25*'операционные  расходы 1 этап'!#REF!</f>
        <v>#REF!</v>
      </c>
      <c r="AG48" s="5" t="e">
        <f>-AG25*'операционные  расходы 1 этап'!#REF!</f>
        <v>#REF!</v>
      </c>
      <c r="AH48" s="5" t="e">
        <f>-AH25*'операционные  расходы 1 этап'!#REF!</f>
        <v>#REF!</v>
      </c>
      <c r="AI48" s="5" t="e">
        <f>-AI25*'операционные  расходы 1 этап'!#REF!</f>
        <v>#REF!</v>
      </c>
      <c r="AJ48" s="5" t="e">
        <f>-AJ25*'операционные  расходы 1 этап'!#REF!</f>
        <v>#REF!</v>
      </c>
      <c r="AK48" s="5" t="e">
        <f>-AK25*'операционные  расходы 1 этап'!#REF!</f>
        <v>#REF!</v>
      </c>
      <c r="AL48" s="5" t="e">
        <f>-AL25*'операционные  расходы 1 этап'!#REF!</f>
        <v>#REF!</v>
      </c>
      <c r="AM48" s="5" t="e">
        <f>-AM25*'операционные  расходы 1 этап'!#REF!</f>
        <v>#REF!</v>
      </c>
      <c r="AN48" s="5" t="e">
        <f>-AN25*'операционные  расходы 1 этап'!#REF!</f>
        <v>#REF!</v>
      </c>
      <c r="AO48" s="5" t="e">
        <f>-AO25*'операционные  расходы 1 этап'!#REF!</f>
        <v>#REF!</v>
      </c>
      <c r="AP48" s="5" t="e">
        <f>-AP25*'операционные  расходы 1 этап'!#REF!</f>
        <v>#REF!</v>
      </c>
      <c r="AQ48" s="5" t="e">
        <f>-AQ25*'операционные  расходы 1 этап'!#REF!</f>
        <v>#REF!</v>
      </c>
      <c r="AR48" s="5" t="e">
        <f>-AR25*'операционные  расходы 1 этап'!#REF!</f>
        <v>#REF!</v>
      </c>
      <c r="AS48" s="5" t="e">
        <f>-AS25*'операционные  расходы 1 этап'!#REF!</f>
        <v>#REF!</v>
      </c>
      <c r="AT48" s="5" t="e">
        <f>-AT25*'операционные  расходы 1 этап'!#REF!</f>
        <v>#REF!</v>
      </c>
      <c r="AU48" s="5" t="e">
        <f>-AU25*'операционные  расходы 1 этап'!#REF!</f>
        <v>#REF!</v>
      </c>
      <c r="AV48" s="5" t="e">
        <f>-AV25*'операционные  расходы 1 этап'!#REF!</f>
        <v>#REF!</v>
      </c>
      <c r="AW48" s="5" t="e">
        <f>-AW25*'операционные  расходы 1 этап'!#REF!</f>
        <v>#REF!</v>
      </c>
      <c r="AX48" s="5" t="e">
        <f>-AX25*'операционные  расходы 1 этап'!#REF!</f>
        <v>#REF!</v>
      </c>
      <c r="AY48" s="5" t="e">
        <f>-AY25*'операционные  расходы 1 этап'!#REF!</f>
        <v>#REF!</v>
      </c>
      <c r="AZ48" s="5" t="e">
        <f>-AZ25*'операционные  расходы 1 этап'!#REF!</f>
        <v>#REF!</v>
      </c>
      <c r="BA48" s="5" t="e">
        <f>-BA25*'операционные  расходы 1 этап'!#REF!</f>
        <v>#REF!</v>
      </c>
      <c r="BB48" s="5" t="e">
        <f>-BB25*'операционные  расходы 1 этап'!#REF!</f>
        <v>#REF!</v>
      </c>
      <c r="BC48" s="5" t="e">
        <f>-BC25*'операционные  расходы 1 этап'!#REF!</f>
        <v>#REF!</v>
      </c>
      <c r="BD48" s="5" t="e">
        <f>-BD25*'операционные  расходы 1 этап'!#REF!</f>
        <v>#REF!</v>
      </c>
      <c r="BE48" s="5" t="e">
        <f>-BE25*'операционные  расходы 1 этап'!#REF!</f>
        <v>#REF!</v>
      </c>
      <c r="BF48" s="5" t="e">
        <f>-BF25*'операционные  расходы 1 этап'!#REF!</f>
        <v>#REF!</v>
      </c>
      <c r="BG48" s="5" t="e">
        <f>-BG25*'операционные  расходы 1 этап'!#REF!</f>
        <v>#REF!</v>
      </c>
      <c r="BH48" s="5" t="e">
        <f>-BH25*'операционные  расходы 1 этап'!#REF!</f>
        <v>#REF!</v>
      </c>
      <c r="BI48" s="5" t="e">
        <f>-BI25*'операционные  расходы 1 этап'!#REF!</f>
        <v>#REF!</v>
      </c>
      <c r="BJ48" s="5" t="e">
        <f>-BJ25*'операционные  расходы 1 этап'!#REF!</f>
        <v>#REF!</v>
      </c>
      <c r="BK48" s="5" t="e">
        <f>-BK25*'операционные  расходы 1 этап'!#REF!</f>
        <v>#REF!</v>
      </c>
      <c r="BL48" s="5" t="e">
        <f>-BL25*'операционные  расходы 1 этап'!#REF!</f>
        <v>#REF!</v>
      </c>
      <c r="BM48" s="5" t="e">
        <f>-BM25*'операционные  расходы 1 этап'!#REF!</f>
        <v>#REF!</v>
      </c>
      <c r="BN48" s="5" t="e">
        <f>-BN25*'операционные  расходы 1 этап'!#REF!</f>
        <v>#REF!</v>
      </c>
      <c r="BO48" s="5" t="e">
        <f>-BO25*'операционные  расходы 1 этап'!#REF!</f>
        <v>#REF!</v>
      </c>
      <c r="BP48" s="5" t="e">
        <f>-BP25*'операционные  расходы 1 этап'!#REF!</f>
        <v>#REF!</v>
      </c>
      <c r="BQ48" s="5" t="e">
        <f>-BQ25*'операционные  расходы 1 этап'!#REF!</f>
        <v>#REF!</v>
      </c>
      <c r="BR48" s="5" t="e">
        <f>-BR25*'операционные  расходы 1 этап'!#REF!</f>
        <v>#REF!</v>
      </c>
      <c r="BS48" s="5" t="e">
        <f>-BS25*'операционные  расходы 1 этап'!#REF!</f>
        <v>#REF!</v>
      </c>
      <c r="BT48" s="5" t="e">
        <f>-BT25*'операционные  расходы 1 этап'!#REF!</f>
        <v>#REF!</v>
      </c>
      <c r="BU48" s="5" t="e">
        <f>-BU25*'операционные  расходы 1 этап'!#REF!</f>
        <v>#REF!</v>
      </c>
      <c r="BV48" s="5" t="e">
        <f>-BV25*'операционные  расходы 1 этап'!#REF!</f>
        <v>#REF!</v>
      </c>
      <c r="BW48" s="5" t="e">
        <f>-BW25*'операционные  расходы 1 этап'!#REF!</f>
        <v>#REF!</v>
      </c>
      <c r="BX48" s="5" t="e">
        <f>-BX25*'операционные  расходы 1 этап'!#REF!</f>
        <v>#REF!</v>
      </c>
      <c r="BY48" s="5" t="e">
        <f>-BY25*'операционные  расходы 1 этап'!#REF!</f>
        <v>#REF!</v>
      </c>
      <c r="BZ48" s="5" t="e">
        <f>-BZ25*'операционные  расходы 1 этап'!#REF!</f>
        <v>#REF!</v>
      </c>
      <c r="CA48" s="5" t="e">
        <f>-CA25*'операционные  расходы 1 этап'!#REF!</f>
        <v>#REF!</v>
      </c>
      <c r="CB48" s="5" t="e">
        <f>-CB25*'операционные  расходы 1 этап'!#REF!</f>
        <v>#REF!</v>
      </c>
      <c r="CC48" s="5" t="e">
        <f>-CC25*'операционные  расходы 1 этап'!#REF!</f>
        <v>#REF!</v>
      </c>
      <c r="CD48" s="5" t="e">
        <f>-CD25*'операционные  расходы 1 этап'!#REF!</f>
        <v>#REF!</v>
      </c>
      <c r="CE48" s="5" t="e">
        <f>-CE25*'операционные  расходы 1 этап'!#REF!</f>
        <v>#REF!</v>
      </c>
      <c r="CF48" s="5" t="e">
        <f>-CF25*'операционные  расходы 1 этап'!#REF!</f>
        <v>#REF!</v>
      </c>
      <c r="CG48" s="5" t="e">
        <f>-CG25*'операционные  расходы 1 этап'!#REF!</f>
        <v>#REF!</v>
      </c>
      <c r="CH48" s="5" t="e">
        <f>-CH25*'операционные  расходы 1 этап'!#REF!</f>
        <v>#REF!</v>
      </c>
      <c r="CI48" s="5" t="e">
        <f>-CI25*'операционные  расходы 1 этап'!#REF!</f>
        <v>#REF!</v>
      </c>
      <c r="CJ48" s="5" t="e">
        <f>-CJ25*'операционные  расходы 1 этап'!#REF!</f>
        <v>#REF!</v>
      </c>
      <c r="CK48" s="5" t="e">
        <f>-CK25*'операционные  расходы 1 этап'!#REF!</f>
        <v>#REF!</v>
      </c>
      <c r="CL48" s="5" t="e">
        <f>-CL25*'операционные  расходы 1 этап'!#REF!</f>
        <v>#REF!</v>
      </c>
      <c r="CM48" s="5" t="e">
        <f>-CM25*'операционные  расходы 1 этап'!#REF!</f>
        <v>#REF!</v>
      </c>
      <c r="CN48" s="5" t="e">
        <f>-CN25*'операционные  расходы 1 этап'!#REF!</f>
        <v>#REF!</v>
      </c>
      <c r="CO48" s="5" t="e">
        <f>-CO25*'операционные  расходы 1 этап'!#REF!</f>
        <v>#REF!</v>
      </c>
    </row>
    <row r="49" spans="1:93" ht="12.75" customHeight="1" outlineLevel="2">
      <c r="A49" s="35"/>
      <c r="B49" s="63" t="s">
        <v>149</v>
      </c>
      <c r="C49" s="74" t="e">
        <f t="shared" si="18"/>
        <v>#REF!</v>
      </c>
      <c r="D49" s="60"/>
      <c r="E49" s="5" t="e">
        <f>-E25*'операционные  расходы 1 этап'!#REF!</f>
        <v>#REF!</v>
      </c>
      <c r="F49" s="5" t="e">
        <f>-F25*'операционные  расходы 1 этап'!#REF!</f>
        <v>#REF!</v>
      </c>
      <c r="G49" s="5" t="e">
        <f>-G25*'операционные  расходы 1 этап'!#REF!</f>
        <v>#REF!</v>
      </c>
      <c r="H49" s="5" t="e">
        <f>-H25*'операционные  расходы 1 этап'!#REF!</f>
        <v>#REF!</v>
      </c>
      <c r="I49" s="5" t="e">
        <f>-I25*'операционные  расходы 1 этап'!#REF!</f>
        <v>#REF!</v>
      </c>
      <c r="J49" s="5" t="e">
        <f>-J25*'операционные  расходы 1 этап'!#REF!</f>
        <v>#REF!</v>
      </c>
      <c r="K49" s="5" t="e">
        <f>-K25*'операционные  расходы 1 этап'!#REF!</f>
        <v>#REF!</v>
      </c>
      <c r="L49" s="5" t="e">
        <f>-L25*'операционные  расходы 1 этап'!#REF!</f>
        <v>#REF!</v>
      </c>
      <c r="M49" s="5" t="e">
        <f>-M25*'операционные  расходы 1 этап'!#REF!</f>
        <v>#REF!</v>
      </c>
      <c r="N49" s="5" t="e">
        <f>-N25*'операционные  расходы 1 этап'!#REF!</f>
        <v>#REF!</v>
      </c>
      <c r="O49" s="5" t="e">
        <f>-O25*'операционные  расходы 1 этап'!#REF!</f>
        <v>#REF!</v>
      </c>
      <c r="P49" s="5" t="e">
        <f>-P25*'операционные  расходы 1 этап'!#REF!</f>
        <v>#REF!</v>
      </c>
      <c r="Q49" s="5" t="e">
        <f>-Q25*'операционные  расходы 1 этап'!#REF!</f>
        <v>#REF!</v>
      </c>
      <c r="R49" s="5" t="e">
        <f>-R25*'операционные  расходы 1 этап'!#REF!</f>
        <v>#REF!</v>
      </c>
      <c r="S49" s="5" t="e">
        <f>-S25*'операционные  расходы 1 этап'!#REF!</f>
        <v>#REF!</v>
      </c>
      <c r="T49" s="5" t="e">
        <f>-T25*'операционные  расходы 1 этап'!#REF!</f>
        <v>#REF!</v>
      </c>
      <c r="U49" s="5" t="e">
        <f>-U25*'операционные  расходы 1 этап'!#REF!</f>
        <v>#REF!</v>
      </c>
      <c r="V49" s="5" t="e">
        <f>-V25*'операционные  расходы 1 этап'!#REF!</f>
        <v>#REF!</v>
      </c>
      <c r="W49" s="5" t="e">
        <f>-W25*'операционные  расходы 1 этап'!#REF!</f>
        <v>#REF!</v>
      </c>
      <c r="X49" s="5" t="e">
        <f>-X25*'операционные  расходы 1 этап'!#REF!</f>
        <v>#REF!</v>
      </c>
      <c r="Y49" s="5" t="e">
        <f>-Y25*'операционные  расходы 1 этап'!#REF!</f>
        <v>#REF!</v>
      </c>
      <c r="Z49" s="5" t="e">
        <f>-Z25*'операционные  расходы 1 этап'!#REF!</f>
        <v>#REF!</v>
      </c>
      <c r="AA49" s="5" t="e">
        <f>-AA25*'операционные  расходы 1 этап'!#REF!</f>
        <v>#REF!</v>
      </c>
      <c r="AB49" s="5" t="e">
        <f>-AB25*'операционные  расходы 1 этап'!#REF!</f>
        <v>#REF!</v>
      </c>
      <c r="AC49" s="5" t="e">
        <f>-AC25*'операционные  расходы 1 этап'!#REF!</f>
        <v>#REF!</v>
      </c>
      <c r="AD49" s="5" t="e">
        <f>-AD25*'операционные  расходы 1 этап'!#REF!</f>
        <v>#REF!</v>
      </c>
      <c r="AE49" s="5" t="e">
        <f>-AE25*'операционные  расходы 1 этап'!#REF!</f>
        <v>#REF!</v>
      </c>
      <c r="AF49" s="5" t="e">
        <f>-AF25*'операционные  расходы 1 этап'!#REF!</f>
        <v>#REF!</v>
      </c>
      <c r="AG49" s="5" t="e">
        <f>-AG25*'операционные  расходы 1 этап'!#REF!</f>
        <v>#REF!</v>
      </c>
      <c r="AH49" s="5" t="e">
        <f>-AH25*'операционные  расходы 1 этап'!#REF!</f>
        <v>#REF!</v>
      </c>
      <c r="AI49" s="5" t="e">
        <f>-AI25*'операционные  расходы 1 этап'!#REF!</f>
        <v>#REF!</v>
      </c>
      <c r="AJ49" s="5" t="e">
        <f>-AJ25*'операционные  расходы 1 этап'!#REF!</f>
        <v>#REF!</v>
      </c>
      <c r="AK49" s="5" t="e">
        <f>-AK25*'операционные  расходы 1 этап'!#REF!</f>
        <v>#REF!</v>
      </c>
      <c r="AL49" s="5" t="e">
        <f>-AL25*'операционные  расходы 1 этап'!#REF!</f>
        <v>#REF!</v>
      </c>
      <c r="AM49" s="5" t="e">
        <f>-AM25*'операционные  расходы 1 этап'!#REF!</f>
        <v>#REF!</v>
      </c>
      <c r="AN49" s="5" t="e">
        <f>-AN25*'операционные  расходы 1 этап'!#REF!</f>
        <v>#REF!</v>
      </c>
      <c r="AO49" s="5" t="e">
        <f>-AO25*'операционные  расходы 1 этап'!#REF!</f>
        <v>#REF!</v>
      </c>
      <c r="AP49" s="5" t="e">
        <f>-AP25*'операционные  расходы 1 этап'!#REF!</f>
        <v>#REF!</v>
      </c>
      <c r="AQ49" s="5" t="e">
        <f>-AQ25*'операционные  расходы 1 этап'!#REF!</f>
        <v>#REF!</v>
      </c>
      <c r="AR49" s="5" t="e">
        <f>-AR25*'операционные  расходы 1 этап'!#REF!</f>
        <v>#REF!</v>
      </c>
      <c r="AS49" s="5" t="e">
        <f>-AS25*'операционные  расходы 1 этап'!#REF!</f>
        <v>#REF!</v>
      </c>
      <c r="AT49" s="5" t="e">
        <f>-AT25*'операционные  расходы 1 этап'!#REF!</f>
        <v>#REF!</v>
      </c>
      <c r="AU49" s="5" t="e">
        <f>-AU25*'операционные  расходы 1 этап'!#REF!</f>
        <v>#REF!</v>
      </c>
      <c r="AV49" s="5" t="e">
        <f>-AV25*'операционные  расходы 1 этап'!#REF!</f>
        <v>#REF!</v>
      </c>
      <c r="AW49" s="5" t="e">
        <f>-AW25*'операционные  расходы 1 этап'!#REF!</f>
        <v>#REF!</v>
      </c>
      <c r="AX49" s="5" t="e">
        <f>-AX25*'операционные  расходы 1 этап'!#REF!</f>
        <v>#REF!</v>
      </c>
      <c r="AY49" s="5" t="e">
        <f>-AY25*'операционные  расходы 1 этап'!#REF!</f>
        <v>#REF!</v>
      </c>
      <c r="AZ49" s="5" t="e">
        <f>-AZ25*'операционные  расходы 1 этап'!#REF!</f>
        <v>#REF!</v>
      </c>
      <c r="BA49" s="5" t="e">
        <f>-BA25*'операционные  расходы 1 этап'!#REF!</f>
        <v>#REF!</v>
      </c>
      <c r="BB49" s="5" t="e">
        <f>-BB25*'операционные  расходы 1 этап'!#REF!</f>
        <v>#REF!</v>
      </c>
      <c r="BC49" s="5" t="e">
        <f>-BC25*'операционные  расходы 1 этап'!#REF!</f>
        <v>#REF!</v>
      </c>
      <c r="BD49" s="5" t="e">
        <f>-BD25*'операционные  расходы 1 этап'!#REF!</f>
        <v>#REF!</v>
      </c>
      <c r="BE49" s="5" t="e">
        <f>-BE25*'операционные  расходы 1 этап'!#REF!</f>
        <v>#REF!</v>
      </c>
      <c r="BF49" s="5" t="e">
        <f>-BF25*'операционные  расходы 1 этап'!#REF!</f>
        <v>#REF!</v>
      </c>
      <c r="BG49" s="5" t="e">
        <f>-BG25*'операционные  расходы 1 этап'!#REF!</f>
        <v>#REF!</v>
      </c>
      <c r="BH49" s="5" t="e">
        <f>-BH25*'операционные  расходы 1 этап'!#REF!</f>
        <v>#REF!</v>
      </c>
      <c r="BI49" s="5" t="e">
        <f>-BI25*'операционные  расходы 1 этап'!#REF!</f>
        <v>#REF!</v>
      </c>
      <c r="BJ49" s="5" t="e">
        <f>-BJ25*'операционные  расходы 1 этап'!#REF!</f>
        <v>#REF!</v>
      </c>
      <c r="BK49" s="5" t="e">
        <f>-BK25*'операционные  расходы 1 этап'!#REF!</f>
        <v>#REF!</v>
      </c>
      <c r="BL49" s="5" t="e">
        <f>-BL25*'операционные  расходы 1 этап'!#REF!</f>
        <v>#REF!</v>
      </c>
      <c r="BM49" s="5" t="e">
        <f>-BM25*'операционные  расходы 1 этап'!#REF!</f>
        <v>#REF!</v>
      </c>
      <c r="BN49" s="5" t="e">
        <f>-BN25*'операционные  расходы 1 этап'!#REF!</f>
        <v>#REF!</v>
      </c>
      <c r="BO49" s="5" t="e">
        <f>-BO25*'операционные  расходы 1 этап'!#REF!</f>
        <v>#REF!</v>
      </c>
      <c r="BP49" s="5" t="e">
        <f>-BP25*'операционные  расходы 1 этап'!#REF!</f>
        <v>#REF!</v>
      </c>
      <c r="BQ49" s="5" t="e">
        <f>-BQ25*'операционные  расходы 1 этап'!#REF!</f>
        <v>#REF!</v>
      </c>
      <c r="BR49" s="5" t="e">
        <f>-BR25*'операционные  расходы 1 этап'!#REF!</f>
        <v>#REF!</v>
      </c>
      <c r="BS49" s="5" t="e">
        <f>-BS25*'операционные  расходы 1 этап'!#REF!</f>
        <v>#REF!</v>
      </c>
      <c r="BT49" s="5" t="e">
        <f>-BT25*'операционные  расходы 1 этап'!#REF!</f>
        <v>#REF!</v>
      </c>
      <c r="BU49" s="5" t="e">
        <f>-BU25*'операционные  расходы 1 этап'!#REF!</f>
        <v>#REF!</v>
      </c>
      <c r="BV49" s="5" t="e">
        <f>-BV25*'операционные  расходы 1 этап'!#REF!</f>
        <v>#REF!</v>
      </c>
      <c r="BW49" s="5" t="e">
        <f>-BW25*'операционные  расходы 1 этап'!#REF!</f>
        <v>#REF!</v>
      </c>
      <c r="BX49" s="5" t="e">
        <f>-BX25*'операционные  расходы 1 этап'!#REF!</f>
        <v>#REF!</v>
      </c>
      <c r="BY49" s="5" t="e">
        <f>-BY25*'операционные  расходы 1 этап'!#REF!</f>
        <v>#REF!</v>
      </c>
      <c r="BZ49" s="5" t="e">
        <f>-BZ25*'операционные  расходы 1 этап'!#REF!</f>
        <v>#REF!</v>
      </c>
      <c r="CA49" s="5" t="e">
        <f>-CA25*'операционные  расходы 1 этап'!#REF!</f>
        <v>#REF!</v>
      </c>
      <c r="CB49" s="5" t="e">
        <f>-CB25*'операционные  расходы 1 этап'!#REF!</f>
        <v>#REF!</v>
      </c>
      <c r="CC49" s="5" t="e">
        <f>-CC25*'операционные  расходы 1 этап'!#REF!</f>
        <v>#REF!</v>
      </c>
      <c r="CD49" s="5" t="e">
        <f>-CD25*'операционные  расходы 1 этап'!#REF!</f>
        <v>#REF!</v>
      </c>
      <c r="CE49" s="5" t="e">
        <f>-CE25*'операционные  расходы 1 этап'!#REF!</f>
        <v>#REF!</v>
      </c>
      <c r="CF49" s="5" t="e">
        <f>-CF25*'операционные  расходы 1 этап'!#REF!</f>
        <v>#REF!</v>
      </c>
      <c r="CG49" s="5" t="e">
        <f>-CG25*'операционные  расходы 1 этап'!#REF!</f>
        <v>#REF!</v>
      </c>
      <c r="CH49" s="5" t="e">
        <f>-CH25*'операционные  расходы 1 этап'!#REF!</f>
        <v>#REF!</v>
      </c>
      <c r="CI49" s="5" t="e">
        <f>-CI25*'операционные  расходы 1 этап'!#REF!</f>
        <v>#REF!</v>
      </c>
      <c r="CJ49" s="5" t="e">
        <f>-CJ25*'операционные  расходы 1 этап'!#REF!</f>
        <v>#REF!</v>
      </c>
      <c r="CK49" s="5" t="e">
        <f>-CK25*'операционные  расходы 1 этап'!#REF!</f>
        <v>#REF!</v>
      </c>
      <c r="CL49" s="5" t="e">
        <f>-CL25*'операционные  расходы 1 этап'!#REF!</f>
        <v>#REF!</v>
      </c>
      <c r="CM49" s="5" t="e">
        <f>-CM25*'операционные  расходы 1 этап'!#REF!</f>
        <v>#REF!</v>
      </c>
      <c r="CN49" s="5" t="e">
        <f>-CN25*'операционные  расходы 1 этап'!#REF!</f>
        <v>#REF!</v>
      </c>
      <c r="CO49" s="5" t="e">
        <f>-CO25*'операционные  расходы 1 этап'!#REF!</f>
        <v>#REF!</v>
      </c>
    </row>
    <row r="50" spans="1:93" ht="12.75" customHeight="1" outlineLevel="2">
      <c r="A50" s="35"/>
      <c r="B50" s="63" t="s">
        <v>150</v>
      </c>
      <c r="C50" s="74" t="e">
        <f t="shared" si="18"/>
        <v>#REF!</v>
      </c>
      <c r="D50" s="60"/>
      <c r="E50" s="5" t="e">
        <f>-E$28*'операционные  расходы 1 этап'!#REF!</f>
        <v>#REF!</v>
      </c>
      <c r="F50" s="5" t="e">
        <f>-F$28*'операционные  расходы 1 этап'!#REF!</f>
        <v>#REF!</v>
      </c>
      <c r="G50" s="5" t="e">
        <f>-G$28*'операционные  расходы 1 этап'!#REF!</f>
        <v>#REF!</v>
      </c>
      <c r="H50" s="5" t="e">
        <f>-H$28*'операционные  расходы 1 этап'!#REF!</f>
        <v>#REF!</v>
      </c>
      <c r="I50" s="5" t="e">
        <f>-I$28*'операционные  расходы 1 этап'!#REF!</f>
        <v>#REF!</v>
      </c>
      <c r="J50" s="5" t="e">
        <f>-J$28*'операционные  расходы 1 этап'!#REF!</f>
        <v>#REF!</v>
      </c>
      <c r="K50" s="5" t="e">
        <f>-K$28*'операционные  расходы 1 этап'!#REF!</f>
        <v>#REF!</v>
      </c>
      <c r="L50" s="5" t="e">
        <f>-L$28*'операционные  расходы 1 этап'!#REF!</f>
        <v>#REF!</v>
      </c>
      <c r="M50" s="5" t="e">
        <f>-M$28*'операционные  расходы 1 этап'!#REF!</f>
        <v>#REF!</v>
      </c>
      <c r="N50" s="5" t="e">
        <f>-N$28*'операционные  расходы 1 этап'!#REF!</f>
        <v>#REF!</v>
      </c>
      <c r="O50" s="5" t="e">
        <f>-O$28*'операционные  расходы 1 этап'!#REF!</f>
        <v>#REF!</v>
      </c>
      <c r="P50" s="5" t="e">
        <f>-P$28*'операционные  расходы 1 этап'!#REF!</f>
        <v>#REF!</v>
      </c>
      <c r="Q50" s="5" t="e">
        <f>-Q$28*'операционные  расходы 1 этап'!#REF!</f>
        <v>#REF!</v>
      </c>
      <c r="R50" s="5" t="e">
        <f>-R$28*'операционные  расходы 1 этап'!#REF!</f>
        <v>#REF!</v>
      </c>
      <c r="S50" s="5" t="e">
        <f>-S$28*'операционные  расходы 1 этап'!#REF!</f>
        <v>#REF!</v>
      </c>
      <c r="T50" s="5" t="e">
        <f>-T$28*'операционные  расходы 1 этап'!#REF!</f>
        <v>#REF!</v>
      </c>
      <c r="U50" s="5" t="e">
        <f>-U$28*'операционные  расходы 1 этап'!#REF!</f>
        <v>#REF!</v>
      </c>
      <c r="V50" s="5" t="e">
        <f>-V$28*'операционные  расходы 1 этап'!#REF!</f>
        <v>#REF!</v>
      </c>
      <c r="W50" s="5" t="e">
        <f>-W$28*'операционные  расходы 1 этап'!#REF!</f>
        <v>#REF!</v>
      </c>
      <c r="X50" s="5" t="e">
        <f>-X$28*'операционные  расходы 1 этап'!#REF!</f>
        <v>#REF!</v>
      </c>
      <c r="Y50" s="5" t="e">
        <f>-Y$28*'операционные  расходы 1 этап'!#REF!</f>
        <v>#REF!</v>
      </c>
      <c r="Z50" s="5" t="e">
        <f>-Z$28*'операционные  расходы 1 этап'!#REF!</f>
        <v>#REF!</v>
      </c>
      <c r="AA50" s="5" t="e">
        <f>-AA$28*'операционные  расходы 1 этап'!#REF!</f>
        <v>#REF!</v>
      </c>
      <c r="AB50" s="5" t="e">
        <f>-AB$28*'операционные  расходы 1 этап'!#REF!</f>
        <v>#REF!</v>
      </c>
      <c r="AC50" s="5" t="e">
        <f>-AC$28*'операционные  расходы 1 этап'!#REF!</f>
        <v>#REF!</v>
      </c>
      <c r="AD50" s="5" t="e">
        <f>-AD$28*'операционные  расходы 1 этап'!#REF!</f>
        <v>#REF!</v>
      </c>
      <c r="AE50" s="5" t="e">
        <f>-AE$28*'операционные  расходы 1 этап'!#REF!</f>
        <v>#REF!</v>
      </c>
      <c r="AF50" s="5" t="e">
        <f>-AF$28*'операционные  расходы 1 этап'!#REF!</f>
        <v>#REF!</v>
      </c>
      <c r="AG50" s="5" t="e">
        <f>-AG$28*'операционные  расходы 1 этап'!#REF!</f>
        <v>#REF!</v>
      </c>
      <c r="AH50" s="5" t="e">
        <f>-AH$28*'операционные  расходы 1 этап'!#REF!</f>
        <v>#REF!</v>
      </c>
      <c r="AI50" s="5" t="e">
        <f>-AI$28*'операционные  расходы 1 этап'!#REF!</f>
        <v>#REF!</v>
      </c>
      <c r="AJ50" s="5" t="e">
        <f>-AJ$28*'операционные  расходы 1 этап'!#REF!</f>
        <v>#REF!</v>
      </c>
      <c r="AK50" s="5" t="e">
        <f>-AK$28*'операционные  расходы 1 этап'!#REF!</f>
        <v>#REF!</v>
      </c>
      <c r="AL50" s="5" t="e">
        <f>-AL$28*'операционные  расходы 1 этап'!#REF!</f>
        <v>#REF!</v>
      </c>
      <c r="AM50" s="5" t="e">
        <f>-AM$28*'операционные  расходы 1 этап'!#REF!</f>
        <v>#REF!</v>
      </c>
      <c r="AN50" s="5" t="e">
        <f>-AN$28*'операционные  расходы 1 этап'!#REF!</f>
        <v>#REF!</v>
      </c>
      <c r="AO50" s="5" t="e">
        <f>-AO$28*'операционные  расходы 1 этап'!#REF!</f>
        <v>#REF!</v>
      </c>
      <c r="AP50" s="5" t="e">
        <f>-AP$28*'операционные  расходы 1 этап'!#REF!</f>
        <v>#REF!</v>
      </c>
      <c r="AQ50" s="5" t="e">
        <f>-AQ$28*'операционные  расходы 1 этап'!#REF!</f>
        <v>#REF!</v>
      </c>
      <c r="AR50" s="5" t="e">
        <f>-AR$28*'операционные  расходы 1 этап'!#REF!</f>
        <v>#REF!</v>
      </c>
      <c r="AS50" s="5" t="e">
        <f>-AS$28*'операционные  расходы 1 этап'!#REF!</f>
        <v>#REF!</v>
      </c>
      <c r="AT50" s="5" t="e">
        <f>-AT$28*'операционные  расходы 1 этап'!#REF!</f>
        <v>#REF!</v>
      </c>
      <c r="AU50" s="5" t="e">
        <f>-AU$28*'операционные  расходы 1 этап'!#REF!</f>
        <v>#REF!</v>
      </c>
      <c r="AV50" s="5" t="e">
        <f>-AV$28*'операционные  расходы 1 этап'!#REF!</f>
        <v>#REF!</v>
      </c>
      <c r="AW50" s="5" t="e">
        <f>-AW$28*'операционные  расходы 1 этап'!#REF!</f>
        <v>#REF!</v>
      </c>
      <c r="AX50" s="5" t="e">
        <f>-AX$28*'операционные  расходы 1 этап'!#REF!</f>
        <v>#REF!</v>
      </c>
      <c r="AY50" s="5" t="e">
        <f>-AY$28*'операционные  расходы 1 этап'!#REF!</f>
        <v>#REF!</v>
      </c>
      <c r="AZ50" s="5" t="e">
        <f>-AZ$28*'операционные  расходы 1 этап'!#REF!</f>
        <v>#REF!</v>
      </c>
      <c r="BA50" s="5" t="e">
        <f>-BA$28*'операционные  расходы 1 этап'!#REF!</f>
        <v>#REF!</v>
      </c>
      <c r="BB50" s="5" t="e">
        <f>-BB$28*'операционные  расходы 1 этап'!#REF!</f>
        <v>#REF!</v>
      </c>
      <c r="BC50" s="5" t="e">
        <f>-BC$28*'операционные  расходы 1 этап'!#REF!</f>
        <v>#REF!</v>
      </c>
      <c r="BD50" s="5" t="e">
        <f>-BD$28*'операционные  расходы 1 этап'!#REF!</f>
        <v>#REF!</v>
      </c>
      <c r="BE50" s="5" t="e">
        <f>-BE$28*'операционные  расходы 1 этап'!#REF!</f>
        <v>#REF!</v>
      </c>
      <c r="BF50" s="5" t="e">
        <f>-BF$28*'операционные  расходы 1 этап'!#REF!</f>
        <v>#REF!</v>
      </c>
      <c r="BG50" s="5" t="e">
        <f>-BG$28*'операционные  расходы 1 этап'!#REF!</f>
        <v>#REF!</v>
      </c>
      <c r="BH50" s="5" t="e">
        <f>-BH$28*'операционные  расходы 1 этап'!#REF!</f>
        <v>#REF!</v>
      </c>
      <c r="BI50" s="5" t="e">
        <f>-BI$28*'операционные  расходы 1 этап'!#REF!</f>
        <v>#REF!</v>
      </c>
      <c r="BJ50" s="5" t="e">
        <f>-BJ$28*'операционные  расходы 1 этап'!#REF!</f>
        <v>#REF!</v>
      </c>
      <c r="BK50" s="5" t="e">
        <f>-BK$28*'операционные  расходы 1 этап'!#REF!</f>
        <v>#REF!</v>
      </c>
      <c r="BL50" s="5" t="e">
        <f>-BL$28*'операционные  расходы 1 этап'!#REF!</f>
        <v>#REF!</v>
      </c>
      <c r="BM50" s="5" t="e">
        <f>-BM$28*'операционные  расходы 1 этап'!#REF!</f>
        <v>#REF!</v>
      </c>
      <c r="BN50" s="5" t="e">
        <f>-BN$28*'операционные  расходы 1 этап'!#REF!</f>
        <v>#REF!</v>
      </c>
      <c r="BO50" s="5" t="e">
        <f>-BO$28*'операционные  расходы 1 этап'!#REF!</f>
        <v>#REF!</v>
      </c>
      <c r="BP50" s="5" t="e">
        <f>-BP$28*'операционные  расходы 1 этап'!#REF!</f>
        <v>#REF!</v>
      </c>
      <c r="BQ50" s="5" t="e">
        <f>-BQ$28*'операционные  расходы 1 этап'!#REF!</f>
        <v>#REF!</v>
      </c>
      <c r="BR50" s="5" t="e">
        <f>-BR$28*'операционные  расходы 1 этап'!#REF!</f>
        <v>#REF!</v>
      </c>
      <c r="BS50" s="5" t="e">
        <f>-BS$28*'операционные  расходы 1 этап'!#REF!</f>
        <v>#REF!</v>
      </c>
      <c r="BT50" s="5" t="e">
        <f>-BT$28*'операционные  расходы 1 этап'!#REF!</f>
        <v>#REF!</v>
      </c>
      <c r="BU50" s="5" t="e">
        <f>-BU$28*'операционные  расходы 1 этап'!#REF!</f>
        <v>#REF!</v>
      </c>
      <c r="BV50" s="5" t="e">
        <f>-BV$28*'операционные  расходы 1 этап'!#REF!</f>
        <v>#REF!</v>
      </c>
      <c r="BW50" s="5" t="e">
        <f>-BW$28*'операционные  расходы 1 этап'!#REF!</f>
        <v>#REF!</v>
      </c>
      <c r="BX50" s="5" t="e">
        <f>-BX$28*'операционные  расходы 1 этап'!#REF!</f>
        <v>#REF!</v>
      </c>
      <c r="BY50" s="5" t="e">
        <f>-BY$28*'операционные  расходы 1 этап'!#REF!</f>
        <v>#REF!</v>
      </c>
      <c r="BZ50" s="5" t="e">
        <f>-BZ$28*'операционные  расходы 1 этап'!#REF!</f>
        <v>#REF!</v>
      </c>
      <c r="CA50" s="5" t="e">
        <f>-CA$28*'операционные  расходы 1 этап'!#REF!</f>
        <v>#REF!</v>
      </c>
      <c r="CB50" s="5" t="e">
        <f>-CB$28*'операционные  расходы 1 этап'!#REF!</f>
        <v>#REF!</v>
      </c>
      <c r="CC50" s="5" t="e">
        <f>-CC$28*'операционные  расходы 1 этап'!#REF!</f>
        <v>#REF!</v>
      </c>
      <c r="CD50" s="5" t="e">
        <f>-CD$28*'операционные  расходы 1 этап'!#REF!</f>
        <v>#REF!</v>
      </c>
      <c r="CE50" s="5" t="e">
        <f>-CE$28*'операционные  расходы 1 этап'!#REF!</f>
        <v>#REF!</v>
      </c>
      <c r="CF50" s="5" t="e">
        <f>-CF$28*'операционные  расходы 1 этап'!#REF!</f>
        <v>#REF!</v>
      </c>
      <c r="CG50" s="5" t="e">
        <f>-CG$28*'операционные  расходы 1 этап'!#REF!</f>
        <v>#REF!</v>
      </c>
      <c r="CH50" s="5" t="e">
        <f>-CH$28*'операционные  расходы 1 этап'!#REF!</f>
        <v>#REF!</v>
      </c>
      <c r="CI50" s="5" t="e">
        <f>-CI$28*'операционные  расходы 1 этап'!#REF!</f>
        <v>#REF!</v>
      </c>
      <c r="CJ50" s="5" t="e">
        <f>-CJ$28*'операционные  расходы 1 этап'!#REF!</f>
        <v>#REF!</v>
      </c>
      <c r="CK50" s="5" t="e">
        <f>-CK$28*'операционные  расходы 1 этап'!#REF!</f>
        <v>#REF!</v>
      </c>
      <c r="CL50" s="5" t="e">
        <f>-CL$28*'операционные  расходы 1 этап'!#REF!</f>
        <v>#REF!</v>
      </c>
      <c r="CM50" s="5" t="e">
        <f>-CM$28*'операционные  расходы 1 этап'!#REF!</f>
        <v>#REF!</v>
      </c>
      <c r="CN50" s="5" t="e">
        <f>-CN$28*'операционные  расходы 1 этап'!#REF!</f>
        <v>#REF!</v>
      </c>
      <c r="CO50" s="5" t="e">
        <f>-CO$28*'операционные  расходы 1 этап'!#REF!</f>
        <v>#REF!</v>
      </c>
    </row>
    <row r="51" spans="1:93" ht="12.75" customHeight="1" outlineLevel="2">
      <c r="A51" s="35"/>
      <c r="B51" s="63" t="s">
        <v>151</v>
      </c>
      <c r="C51" s="74" t="e">
        <f t="shared" si="18"/>
        <v>#REF!</v>
      </c>
      <c r="D51" s="60"/>
      <c r="E51" s="5" t="e">
        <f>-E$28*'операционные  расходы 1 этап'!#REF!</f>
        <v>#REF!</v>
      </c>
      <c r="F51" s="5" t="e">
        <f>-F$28*'операционные  расходы 1 этап'!#REF!</f>
        <v>#REF!</v>
      </c>
      <c r="G51" s="5" t="e">
        <f>-G$28*'операционные  расходы 1 этап'!#REF!</f>
        <v>#REF!</v>
      </c>
      <c r="H51" s="5" t="e">
        <f>-H$28*'операционные  расходы 1 этап'!#REF!</f>
        <v>#REF!</v>
      </c>
      <c r="I51" s="5" t="e">
        <f>-I$28*'операционные  расходы 1 этап'!#REF!</f>
        <v>#REF!</v>
      </c>
      <c r="J51" s="5" t="e">
        <f>-J$28*'операционные  расходы 1 этап'!#REF!</f>
        <v>#REF!</v>
      </c>
      <c r="K51" s="5" t="e">
        <f>-K$28*'операционные  расходы 1 этап'!#REF!</f>
        <v>#REF!</v>
      </c>
      <c r="L51" s="5" t="e">
        <f>-L$28*'операционные  расходы 1 этап'!#REF!</f>
        <v>#REF!</v>
      </c>
      <c r="M51" s="5" t="e">
        <f>-M$28*'операционные  расходы 1 этап'!#REF!</f>
        <v>#REF!</v>
      </c>
      <c r="N51" s="5" t="e">
        <f>-N$28*'операционные  расходы 1 этап'!#REF!</f>
        <v>#REF!</v>
      </c>
      <c r="O51" s="5" t="e">
        <f>-O$28*'операционные  расходы 1 этап'!#REF!</f>
        <v>#REF!</v>
      </c>
      <c r="P51" s="5" t="e">
        <f>-P$28*'операционные  расходы 1 этап'!#REF!</f>
        <v>#REF!</v>
      </c>
      <c r="Q51" s="5" t="e">
        <f>-Q$28*'операционные  расходы 1 этап'!#REF!</f>
        <v>#REF!</v>
      </c>
      <c r="R51" s="5" t="e">
        <f>-R$28*'операционные  расходы 1 этап'!#REF!</f>
        <v>#REF!</v>
      </c>
      <c r="S51" s="5" t="e">
        <f>-S$28*'операционные  расходы 1 этап'!#REF!</f>
        <v>#REF!</v>
      </c>
      <c r="T51" s="5" t="e">
        <f>-T$28*'операционные  расходы 1 этап'!#REF!</f>
        <v>#REF!</v>
      </c>
      <c r="U51" s="5" t="e">
        <f>-U$28*'операционные  расходы 1 этап'!#REF!</f>
        <v>#REF!</v>
      </c>
      <c r="V51" s="5" t="e">
        <f>-V$28*'операционные  расходы 1 этап'!#REF!</f>
        <v>#REF!</v>
      </c>
      <c r="W51" s="5" t="e">
        <f>-W$28*'операционные  расходы 1 этап'!#REF!</f>
        <v>#REF!</v>
      </c>
      <c r="X51" s="5" t="e">
        <f>-X$28*'операционные  расходы 1 этап'!#REF!</f>
        <v>#REF!</v>
      </c>
      <c r="Y51" s="5" t="e">
        <f>-Y$28*'операционные  расходы 1 этап'!#REF!</f>
        <v>#REF!</v>
      </c>
      <c r="Z51" s="5" t="e">
        <f>-Z$28*'операционные  расходы 1 этап'!#REF!</f>
        <v>#REF!</v>
      </c>
      <c r="AA51" s="5" t="e">
        <f>-AA$28*'операционные  расходы 1 этап'!#REF!</f>
        <v>#REF!</v>
      </c>
      <c r="AB51" s="5" t="e">
        <f>-AB$28*'операционные  расходы 1 этап'!#REF!</f>
        <v>#REF!</v>
      </c>
      <c r="AC51" s="5" t="e">
        <f>-AC$28*'операционные  расходы 1 этап'!#REF!</f>
        <v>#REF!</v>
      </c>
      <c r="AD51" s="5" t="e">
        <f>-AD$28*'операционные  расходы 1 этап'!#REF!</f>
        <v>#REF!</v>
      </c>
      <c r="AE51" s="5" t="e">
        <f>-AE$28*'операционные  расходы 1 этап'!#REF!</f>
        <v>#REF!</v>
      </c>
      <c r="AF51" s="5" t="e">
        <f>-AF$28*'операционные  расходы 1 этап'!#REF!</f>
        <v>#REF!</v>
      </c>
      <c r="AG51" s="5" t="e">
        <f>-AG$28*'операционные  расходы 1 этап'!#REF!</f>
        <v>#REF!</v>
      </c>
      <c r="AH51" s="5" t="e">
        <f>-AH$28*'операционные  расходы 1 этап'!#REF!</f>
        <v>#REF!</v>
      </c>
      <c r="AI51" s="5" t="e">
        <f>-AI$28*'операционные  расходы 1 этап'!#REF!</f>
        <v>#REF!</v>
      </c>
      <c r="AJ51" s="5" t="e">
        <f>-AJ$28*'операционные  расходы 1 этап'!#REF!</f>
        <v>#REF!</v>
      </c>
      <c r="AK51" s="5" t="e">
        <f>-AK$28*'операционные  расходы 1 этап'!#REF!</f>
        <v>#REF!</v>
      </c>
      <c r="AL51" s="5" t="e">
        <f>-AL$28*'операционные  расходы 1 этап'!#REF!</f>
        <v>#REF!</v>
      </c>
      <c r="AM51" s="5" t="e">
        <f>-AM$28*'операционные  расходы 1 этап'!#REF!</f>
        <v>#REF!</v>
      </c>
      <c r="AN51" s="5" t="e">
        <f>-AN$28*'операционные  расходы 1 этап'!#REF!</f>
        <v>#REF!</v>
      </c>
      <c r="AO51" s="5" t="e">
        <f>-AO$28*'операционные  расходы 1 этап'!#REF!</f>
        <v>#REF!</v>
      </c>
      <c r="AP51" s="5" t="e">
        <f>-AP$28*'операционные  расходы 1 этап'!#REF!</f>
        <v>#REF!</v>
      </c>
      <c r="AQ51" s="5" t="e">
        <f>-AQ$28*'операционные  расходы 1 этап'!#REF!</f>
        <v>#REF!</v>
      </c>
      <c r="AR51" s="5" t="e">
        <f>-AR$28*'операционные  расходы 1 этап'!#REF!</f>
        <v>#REF!</v>
      </c>
      <c r="AS51" s="5" t="e">
        <f>-AS$28*'операционные  расходы 1 этап'!#REF!</f>
        <v>#REF!</v>
      </c>
      <c r="AT51" s="5" t="e">
        <f>-AT$28*'операционные  расходы 1 этап'!#REF!</f>
        <v>#REF!</v>
      </c>
      <c r="AU51" s="5" t="e">
        <f>-AU$28*'операционные  расходы 1 этап'!#REF!</f>
        <v>#REF!</v>
      </c>
      <c r="AV51" s="5" t="e">
        <f>-AV$28*'операционные  расходы 1 этап'!#REF!</f>
        <v>#REF!</v>
      </c>
      <c r="AW51" s="5" t="e">
        <f>-AW$28*'операционные  расходы 1 этап'!#REF!</f>
        <v>#REF!</v>
      </c>
      <c r="AX51" s="5" t="e">
        <f>-AX$28*'операционные  расходы 1 этап'!#REF!</f>
        <v>#REF!</v>
      </c>
      <c r="AY51" s="5" t="e">
        <f>-AY$28*'операционные  расходы 1 этап'!#REF!</f>
        <v>#REF!</v>
      </c>
      <c r="AZ51" s="5" t="e">
        <f>-AZ$28*'операционные  расходы 1 этап'!#REF!</f>
        <v>#REF!</v>
      </c>
      <c r="BA51" s="5" t="e">
        <f>-BA$28*'операционные  расходы 1 этап'!#REF!</f>
        <v>#REF!</v>
      </c>
      <c r="BB51" s="5" t="e">
        <f>-BB$28*'операционные  расходы 1 этап'!#REF!</f>
        <v>#REF!</v>
      </c>
      <c r="BC51" s="5" t="e">
        <f>-BC$28*'операционные  расходы 1 этап'!#REF!</f>
        <v>#REF!</v>
      </c>
      <c r="BD51" s="5" t="e">
        <f>-BD$28*'операционные  расходы 1 этап'!#REF!</f>
        <v>#REF!</v>
      </c>
      <c r="BE51" s="5" t="e">
        <f>-BE$28*'операционные  расходы 1 этап'!#REF!</f>
        <v>#REF!</v>
      </c>
      <c r="BF51" s="5" t="e">
        <f>-BF$28*'операционные  расходы 1 этап'!#REF!</f>
        <v>#REF!</v>
      </c>
      <c r="BG51" s="5" t="e">
        <f>-BG$28*'операционные  расходы 1 этап'!#REF!</f>
        <v>#REF!</v>
      </c>
      <c r="BH51" s="5" t="e">
        <f>-BH$28*'операционные  расходы 1 этап'!#REF!</f>
        <v>#REF!</v>
      </c>
      <c r="BI51" s="5" t="e">
        <f>-BI$28*'операционные  расходы 1 этап'!#REF!</f>
        <v>#REF!</v>
      </c>
      <c r="BJ51" s="5" t="e">
        <f>-BJ$28*'операционные  расходы 1 этап'!#REF!</f>
        <v>#REF!</v>
      </c>
      <c r="BK51" s="5" t="e">
        <f>-BK$28*'операционные  расходы 1 этап'!#REF!</f>
        <v>#REF!</v>
      </c>
      <c r="BL51" s="5" t="e">
        <f>-BL$28*'операционные  расходы 1 этап'!#REF!</f>
        <v>#REF!</v>
      </c>
      <c r="BM51" s="5" t="e">
        <f>-BM$28*'операционные  расходы 1 этап'!#REF!</f>
        <v>#REF!</v>
      </c>
      <c r="BN51" s="5" t="e">
        <f>-BN$28*'операционные  расходы 1 этап'!#REF!</f>
        <v>#REF!</v>
      </c>
      <c r="BO51" s="5" t="e">
        <f>-BO$28*'операционные  расходы 1 этап'!#REF!</f>
        <v>#REF!</v>
      </c>
      <c r="BP51" s="5" t="e">
        <f>-BP$28*'операционные  расходы 1 этап'!#REF!</f>
        <v>#REF!</v>
      </c>
      <c r="BQ51" s="5" t="e">
        <f>-BQ$28*'операционные  расходы 1 этап'!#REF!</f>
        <v>#REF!</v>
      </c>
      <c r="BR51" s="5" t="e">
        <f>-BR$28*'операционные  расходы 1 этап'!#REF!</f>
        <v>#REF!</v>
      </c>
      <c r="BS51" s="5" t="e">
        <f>-BS$28*'операционные  расходы 1 этап'!#REF!</f>
        <v>#REF!</v>
      </c>
      <c r="BT51" s="5" t="e">
        <f>-BT$28*'операционные  расходы 1 этап'!#REF!</f>
        <v>#REF!</v>
      </c>
      <c r="BU51" s="5" t="e">
        <f>-BU$28*'операционные  расходы 1 этап'!#REF!</f>
        <v>#REF!</v>
      </c>
      <c r="BV51" s="5" t="e">
        <f>-BV$28*'операционные  расходы 1 этап'!#REF!</f>
        <v>#REF!</v>
      </c>
      <c r="BW51" s="5" t="e">
        <f>-BW$28*'операционные  расходы 1 этап'!#REF!</f>
        <v>#REF!</v>
      </c>
      <c r="BX51" s="5" t="e">
        <f>-BX$28*'операционные  расходы 1 этап'!#REF!</f>
        <v>#REF!</v>
      </c>
      <c r="BY51" s="5" t="e">
        <f>-BY$28*'операционные  расходы 1 этап'!#REF!</f>
        <v>#REF!</v>
      </c>
      <c r="BZ51" s="5" t="e">
        <f>-BZ$28*'операционные  расходы 1 этап'!#REF!</f>
        <v>#REF!</v>
      </c>
      <c r="CA51" s="5" t="e">
        <f>-CA$28*'операционные  расходы 1 этап'!#REF!</f>
        <v>#REF!</v>
      </c>
      <c r="CB51" s="5" t="e">
        <f>-CB$28*'операционные  расходы 1 этап'!#REF!</f>
        <v>#REF!</v>
      </c>
      <c r="CC51" s="5" t="e">
        <f>-CC$28*'операционные  расходы 1 этап'!#REF!</f>
        <v>#REF!</v>
      </c>
      <c r="CD51" s="5" t="e">
        <f>-CD$28*'операционные  расходы 1 этап'!#REF!</f>
        <v>#REF!</v>
      </c>
      <c r="CE51" s="5" t="e">
        <f>-CE$28*'операционные  расходы 1 этап'!#REF!</f>
        <v>#REF!</v>
      </c>
      <c r="CF51" s="5" t="e">
        <f>-CF$28*'операционные  расходы 1 этап'!#REF!</f>
        <v>#REF!</v>
      </c>
      <c r="CG51" s="5" t="e">
        <f>-CG$28*'операционные  расходы 1 этап'!#REF!</f>
        <v>#REF!</v>
      </c>
      <c r="CH51" s="5" t="e">
        <f>-CH$28*'операционные  расходы 1 этап'!#REF!</f>
        <v>#REF!</v>
      </c>
      <c r="CI51" s="5" t="e">
        <f>-CI$28*'операционные  расходы 1 этап'!#REF!</f>
        <v>#REF!</v>
      </c>
      <c r="CJ51" s="5" t="e">
        <f>-CJ$28*'операционные  расходы 1 этап'!#REF!</f>
        <v>#REF!</v>
      </c>
      <c r="CK51" s="5" t="e">
        <f>-CK$28*'операционные  расходы 1 этап'!#REF!</f>
        <v>#REF!</v>
      </c>
      <c r="CL51" s="5" t="e">
        <f>-CL$28*'операционные  расходы 1 этап'!#REF!</f>
        <v>#REF!</v>
      </c>
      <c r="CM51" s="5" t="e">
        <f>-CM$28*'операционные  расходы 1 этап'!#REF!</f>
        <v>#REF!</v>
      </c>
      <c r="CN51" s="5" t="e">
        <f>-CN$28*'операционные  расходы 1 этап'!#REF!</f>
        <v>#REF!</v>
      </c>
      <c r="CO51" s="5" t="e">
        <f>-CO$28*'операционные  расходы 1 этап'!#REF!</f>
        <v>#REF!</v>
      </c>
    </row>
    <row r="52" spans="1:93" ht="12.75" customHeight="1" outlineLevel="2">
      <c r="A52" s="35"/>
      <c r="B52" s="63" t="s">
        <v>152</v>
      </c>
      <c r="C52" s="74" t="e">
        <f t="shared" si="18"/>
        <v>#REF!</v>
      </c>
      <c r="D52" s="60"/>
      <c r="E52" s="5" t="e">
        <f>-E$28*'операционные  расходы 1 этап'!#REF!</f>
        <v>#REF!</v>
      </c>
      <c r="F52" s="5" t="e">
        <f>-F$28*'операционные  расходы 1 этап'!#REF!</f>
        <v>#REF!</v>
      </c>
      <c r="G52" s="5" t="e">
        <f>-G$28*'операционные  расходы 1 этап'!#REF!</f>
        <v>#REF!</v>
      </c>
      <c r="H52" s="5" t="e">
        <f>-H$28*'операционные  расходы 1 этап'!#REF!</f>
        <v>#REF!</v>
      </c>
      <c r="I52" s="5" t="e">
        <f>-I$28*'операционные  расходы 1 этап'!#REF!</f>
        <v>#REF!</v>
      </c>
      <c r="J52" s="5" t="e">
        <f>-J$28*'операционные  расходы 1 этап'!#REF!</f>
        <v>#REF!</v>
      </c>
      <c r="K52" s="5" t="e">
        <f>-K$28*'операционные  расходы 1 этап'!#REF!</f>
        <v>#REF!</v>
      </c>
      <c r="L52" s="5" t="e">
        <f>-L$28*'операционные  расходы 1 этап'!#REF!</f>
        <v>#REF!</v>
      </c>
      <c r="M52" s="5" t="e">
        <f>-M$28*'операционные  расходы 1 этап'!#REF!</f>
        <v>#REF!</v>
      </c>
      <c r="N52" s="5" t="e">
        <f>-N$28*'операционные  расходы 1 этап'!#REF!</f>
        <v>#REF!</v>
      </c>
      <c r="O52" s="5" t="e">
        <f>-O$28*'операционные  расходы 1 этап'!#REF!</f>
        <v>#REF!</v>
      </c>
      <c r="P52" s="5" t="e">
        <f>-P$28*'операционные  расходы 1 этап'!#REF!</f>
        <v>#REF!</v>
      </c>
      <c r="Q52" s="5" t="e">
        <f>-Q$28*'операционные  расходы 1 этап'!#REF!</f>
        <v>#REF!</v>
      </c>
      <c r="R52" s="5" t="e">
        <f>-R$28*'операционные  расходы 1 этап'!#REF!</f>
        <v>#REF!</v>
      </c>
      <c r="S52" s="5" t="e">
        <f>-S$28*'операционные  расходы 1 этап'!#REF!</f>
        <v>#REF!</v>
      </c>
      <c r="T52" s="5" t="e">
        <f>-T$28*'операционные  расходы 1 этап'!#REF!</f>
        <v>#REF!</v>
      </c>
      <c r="U52" s="5" t="e">
        <f>-U$28*'операционные  расходы 1 этап'!#REF!</f>
        <v>#REF!</v>
      </c>
      <c r="V52" s="5" t="e">
        <f>-V$28*'операционные  расходы 1 этап'!#REF!</f>
        <v>#REF!</v>
      </c>
      <c r="W52" s="5" t="e">
        <f>-W$28*'операционные  расходы 1 этап'!#REF!</f>
        <v>#REF!</v>
      </c>
      <c r="X52" s="5" t="e">
        <f>-X$28*'операционные  расходы 1 этап'!#REF!</f>
        <v>#REF!</v>
      </c>
      <c r="Y52" s="5" t="e">
        <f>-Y$28*'операционные  расходы 1 этап'!#REF!</f>
        <v>#REF!</v>
      </c>
      <c r="Z52" s="5" t="e">
        <f>-Z$28*'операционные  расходы 1 этап'!#REF!</f>
        <v>#REF!</v>
      </c>
      <c r="AA52" s="5" t="e">
        <f>-AA$28*'операционные  расходы 1 этап'!#REF!</f>
        <v>#REF!</v>
      </c>
      <c r="AB52" s="5" t="e">
        <f>-AB$28*'операционные  расходы 1 этап'!#REF!</f>
        <v>#REF!</v>
      </c>
      <c r="AC52" s="5" t="e">
        <f>-AC$28*'операционные  расходы 1 этап'!#REF!</f>
        <v>#REF!</v>
      </c>
      <c r="AD52" s="5" t="e">
        <f>-AD$28*'операционные  расходы 1 этап'!#REF!</f>
        <v>#REF!</v>
      </c>
      <c r="AE52" s="5" t="e">
        <f>-AE$28*'операционные  расходы 1 этап'!#REF!</f>
        <v>#REF!</v>
      </c>
      <c r="AF52" s="5" t="e">
        <f>-AF$28*'операционные  расходы 1 этап'!#REF!</f>
        <v>#REF!</v>
      </c>
      <c r="AG52" s="5" t="e">
        <f>-AG$28*'операционные  расходы 1 этап'!#REF!</f>
        <v>#REF!</v>
      </c>
      <c r="AH52" s="5" t="e">
        <f>-AH$28*'операционные  расходы 1 этап'!#REF!</f>
        <v>#REF!</v>
      </c>
      <c r="AI52" s="5" t="e">
        <f>-AI$28*'операционные  расходы 1 этап'!#REF!</f>
        <v>#REF!</v>
      </c>
      <c r="AJ52" s="5" t="e">
        <f>-AJ$28*'операционные  расходы 1 этап'!#REF!</f>
        <v>#REF!</v>
      </c>
      <c r="AK52" s="5" t="e">
        <f>-AK$28*'операционные  расходы 1 этап'!#REF!</f>
        <v>#REF!</v>
      </c>
      <c r="AL52" s="5" t="e">
        <f>-AL$28*'операционные  расходы 1 этап'!#REF!</f>
        <v>#REF!</v>
      </c>
      <c r="AM52" s="5" t="e">
        <f>-AM$28*'операционные  расходы 1 этап'!#REF!</f>
        <v>#REF!</v>
      </c>
      <c r="AN52" s="5" t="e">
        <f>-AN$28*'операционные  расходы 1 этап'!#REF!</f>
        <v>#REF!</v>
      </c>
      <c r="AO52" s="5" t="e">
        <f>-AO$28*'операционные  расходы 1 этап'!#REF!</f>
        <v>#REF!</v>
      </c>
      <c r="AP52" s="5" t="e">
        <f>-AP$28*'операционные  расходы 1 этап'!#REF!</f>
        <v>#REF!</v>
      </c>
      <c r="AQ52" s="5" t="e">
        <f>-AQ$28*'операционные  расходы 1 этап'!#REF!</f>
        <v>#REF!</v>
      </c>
      <c r="AR52" s="5" t="e">
        <f>-AR$28*'операционные  расходы 1 этап'!#REF!</f>
        <v>#REF!</v>
      </c>
      <c r="AS52" s="5" t="e">
        <f>-AS$28*'операционные  расходы 1 этап'!#REF!</f>
        <v>#REF!</v>
      </c>
      <c r="AT52" s="5" t="e">
        <f>-AT$28*'операционные  расходы 1 этап'!#REF!</f>
        <v>#REF!</v>
      </c>
      <c r="AU52" s="5" t="e">
        <f>-AU$28*'операционные  расходы 1 этап'!#REF!</f>
        <v>#REF!</v>
      </c>
      <c r="AV52" s="5" t="e">
        <f>-AV$28*'операционные  расходы 1 этап'!#REF!</f>
        <v>#REF!</v>
      </c>
      <c r="AW52" s="5" t="e">
        <f>-AW$28*'операционные  расходы 1 этап'!#REF!</f>
        <v>#REF!</v>
      </c>
      <c r="AX52" s="5" t="e">
        <f>-AX$28*'операционные  расходы 1 этап'!#REF!</f>
        <v>#REF!</v>
      </c>
      <c r="AY52" s="5" t="e">
        <f>-AY$28*'операционные  расходы 1 этап'!#REF!</f>
        <v>#REF!</v>
      </c>
      <c r="AZ52" s="5" t="e">
        <f>-AZ$28*'операционные  расходы 1 этап'!#REF!</f>
        <v>#REF!</v>
      </c>
      <c r="BA52" s="5" t="e">
        <f>-BA$28*'операционные  расходы 1 этап'!#REF!</f>
        <v>#REF!</v>
      </c>
      <c r="BB52" s="5" t="e">
        <f>-BB$28*'операционные  расходы 1 этап'!#REF!</f>
        <v>#REF!</v>
      </c>
      <c r="BC52" s="5" t="e">
        <f>-BC$28*'операционные  расходы 1 этап'!#REF!</f>
        <v>#REF!</v>
      </c>
      <c r="BD52" s="5" t="e">
        <f>-BD$28*'операционные  расходы 1 этап'!#REF!</f>
        <v>#REF!</v>
      </c>
      <c r="BE52" s="5" t="e">
        <f>-BE$28*'операционные  расходы 1 этап'!#REF!</f>
        <v>#REF!</v>
      </c>
      <c r="BF52" s="5" t="e">
        <f>-BF$28*'операционные  расходы 1 этап'!#REF!</f>
        <v>#REF!</v>
      </c>
      <c r="BG52" s="5" t="e">
        <f>-BG$28*'операционные  расходы 1 этап'!#REF!</f>
        <v>#REF!</v>
      </c>
      <c r="BH52" s="5" t="e">
        <f>-BH$28*'операционные  расходы 1 этап'!#REF!</f>
        <v>#REF!</v>
      </c>
      <c r="BI52" s="5" t="e">
        <f>-BI$28*'операционные  расходы 1 этап'!#REF!</f>
        <v>#REF!</v>
      </c>
      <c r="BJ52" s="5" t="e">
        <f>-BJ$28*'операционные  расходы 1 этап'!#REF!</f>
        <v>#REF!</v>
      </c>
      <c r="BK52" s="5" t="e">
        <f>-BK$28*'операционные  расходы 1 этап'!#REF!</f>
        <v>#REF!</v>
      </c>
      <c r="BL52" s="5" t="e">
        <f>-BL$28*'операционные  расходы 1 этап'!#REF!</f>
        <v>#REF!</v>
      </c>
      <c r="BM52" s="5" t="e">
        <f>-BM$28*'операционные  расходы 1 этап'!#REF!</f>
        <v>#REF!</v>
      </c>
      <c r="BN52" s="5" t="e">
        <f>-BN$28*'операционные  расходы 1 этап'!#REF!</f>
        <v>#REF!</v>
      </c>
      <c r="BO52" s="5" t="e">
        <f>-BO$28*'операционные  расходы 1 этап'!#REF!</f>
        <v>#REF!</v>
      </c>
      <c r="BP52" s="5" t="e">
        <f>-BP$28*'операционные  расходы 1 этап'!#REF!</f>
        <v>#REF!</v>
      </c>
      <c r="BQ52" s="5" t="e">
        <f>-BQ$28*'операционные  расходы 1 этап'!#REF!</f>
        <v>#REF!</v>
      </c>
      <c r="BR52" s="5" t="e">
        <f>-BR$28*'операционные  расходы 1 этап'!#REF!</f>
        <v>#REF!</v>
      </c>
      <c r="BS52" s="5" t="e">
        <f>-BS$28*'операционные  расходы 1 этап'!#REF!</f>
        <v>#REF!</v>
      </c>
      <c r="BT52" s="5" t="e">
        <f>-BT$28*'операционные  расходы 1 этап'!#REF!</f>
        <v>#REF!</v>
      </c>
      <c r="BU52" s="5" t="e">
        <f>-BU$28*'операционные  расходы 1 этап'!#REF!</f>
        <v>#REF!</v>
      </c>
      <c r="BV52" s="5" t="e">
        <f>-BV$28*'операционные  расходы 1 этап'!#REF!</f>
        <v>#REF!</v>
      </c>
      <c r="BW52" s="5" t="e">
        <f>-BW$28*'операционные  расходы 1 этап'!#REF!</f>
        <v>#REF!</v>
      </c>
      <c r="BX52" s="5" t="e">
        <f>-BX$28*'операционные  расходы 1 этап'!#REF!</f>
        <v>#REF!</v>
      </c>
      <c r="BY52" s="5" t="e">
        <f>-BY$28*'операционные  расходы 1 этап'!#REF!</f>
        <v>#REF!</v>
      </c>
      <c r="BZ52" s="5" t="e">
        <f>-BZ$28*'операционные  расходы 1 этап'!#REF!</f>
        <v>#REF!</v>
      </c>
      <c r="CA52" s="5" t="e">
        <f>-CA$28*'операционные  расходы 1 этап'!#REF!</f>
        <v>#REF!</v>
      </c>
      <c r="CB52" s="5" t="e">
        <f>-CB$28*'операционные  расходы 1 этап'!#REF!</f>
        <v>#REF!</v>
      </c>
      <c r="CC52" s="5" t="e">
        <f>-CC$28*'операционные  расходы 1 этап'!#REF!</f>
        <v>#REF!</v>
      </c>
      <c r="CD52" s="5" t="e">
        <f>-CD$28*'операционные  расходы 1 этап'!#REF!</f>
        <v>#REF!</v>
      </c>
      <c r="CE52" s="5" t="e">
        <f>-CE$28*'операционные  расходы 1 этап'!#REF!</f>
        <v>#REF!</v>
      </c>
      <c r="CF52" s="5" t="e">
        <f>-CF$28*'операционные  расходы 1 этап'!#REF!</f>
        <v>#REF!</v>
      </c>
      <c r="CG52" s="5" t="e">
        <f>-CG$28*'операционные  расходы 1 этап'!#REF!</f>
        <v>#REF!</v>
      </c>
      <c r="CH52" s="5" t="e">
        <f>-CH$28*'операционные  расходы 1 этап'!#REF!</f>
        <v>#REF!</v>
      </c>
      <c r="CI52" s="5" t="e">
        <f>-CI$28*'операционные  расходы 1 этап'!#REF!</f>
        <v>#REF!</v>
      </c>
      <c r="CJ52" s="5" t="e">
        <f>-CJ$28*'операционные  расходы 1 этап'!#REF!</f>
        <v>#REF!</v>
      </c>
      <c r="CK52" s="5" t="e">
        <f>-CK$28*'операционные  расходы 1 этап'!#REF!</f>
        <v>#REF!</v>
      </c>
      <c r="CL52" s="5" t="e">
        <f>-CL$28*'операционные  расходы 1 этап'!#REF!</f>
        <v>#REF!</v>
      </c>
      <c r="CM52" s="5" t="e">
        <f>-CM$28*'операционные  расходы 1 этап'!#REF!</f>
        <v>#REF!</v>
      </c>
      <c r="CN52" s="5" t="e">
        <f>-CN$28*'операционные  расходы 1 этап'!#REF!</f>
        <v>#REF!</v>
      </c>
      <c r="CO52" s="5" t="e">
        <f>-CO$28*'операционные  расходы 1 этап'!#REF!</f>
        <v>#REF!</v>
      </c>
    </row>
    <row r="53" spans="1:93" ht="12.75" customHeight="1" outlineLevel="2">
      <c r="A53" s="35"/>
      <c r="B53" s="63" t="s">
        <v>153</v>
      </c>
      <c r="C53" s="74" t="e">
        <f t="shared" si="18"/>
        <v>#REF!</v>
      </c>
      <c r="D53" s="60"/>
      <c r="E53" s="5" t="e">
        <f>-E19*'операционные  расходы 1 этап'!$Q$29</f>
        <v>#REF!</v>
      </c>
      <c r="F53" s="5" t="e">
        <f>-F19*'операционные  расходы 1 этап'!$Q$29</f>
        <v>#REF!</v>
      </c>
      <c r="G53" s="5" t="e">
        <f>-G19*'операционные  расходы 1 этап'!$Q$29</f>
        <v>#REF!</v>
      </c>
      <c r="H53" s="5" t="e">
        <f>-H19*'операционные  расходы 1 этап'!$Q$29</f>
        <v>#REF!</v>
      </c>
      <c r="I53" s="5" t="e">
        <f>-I19*'операционные  расходы 1 этап'!$Q$29</f>
        <v>#REF!</v>
      </c>
      <c r="J53" s="5" t="e">
        <f>-J19*'операционные  расходы 1 этап'!$Q$29</f>
        <v>#REF!</v>
      </c>
      <c r="K53" s="5" t="e">
        <f>-K19*'операционные  расходы 1 этап'!$Q$29</f>
        <v>#REF!</v>
      </c>
      <c r="L53" s="5" t="e">
        <f>-L19*'операционные  расходы 1 этап'!$Q$29</f>
        <v>#REF!</v>
      </c>
      <c r="M53" s="5" t="e">
        <f>-M19*'операционные  расходы 1 этап'!$Q$29</f>
        <v>#REF!</v>
      </c>
      <c r="N53" s="5" t="e">
        <f>-N19*'операционные  расходы 1 этап'!$Q$29</f>
        <v>#REF!</v>
      </c>
      <c r="O53" s="5" t="e">
        <f>-O19*'операционные  расходы 1 этап'!$Q$29</f>
        <v>#REF!</v>
      </c>
      <c r="P53" s="5" t="e">
        <f>-P19*'операционные  расходы 1 этап'!$Q$29</f>
        <v>#REF!</v>
      </c>
      <c r="Q53" s="5" t="e">
        <f>-Q19*'операционные  расходы 1 этап'!$Q$29</f>
        <v>#REF!</v>
      </c>
      <c r="R53" s="5" t="e">
        <f>-R19*'операционные  расходы 1 этап'!$Q$29</f>
        <v>#REF!</v>
      </c>
      <c r="S53" s="5" t="e">
        <f>-S19*'операционные  расходы 1 этап'!$Q$29</f>
        <v>#REF!</v>
      </c>
      <c r="T53" s="5" t="e">
        <f>-T19*'операционные  расходы 1 этап'!$Q$29</f>
        <v>#REF!</v>
      </c>
      <c r="U53" s="5" t="e">
        <f>-U19*'операционные  расходы 1 этап'!$Q$29</f>
        <v>#REF!</v>
      </c>
      <c r="V53" s="5" t="e">
        <f>-V19*'операционные  расходы 1 этап'!$Q$29</f>
        <v>#REF!</v>
      </c>
      <c r="W53" s="5" t="e">
        <f>-W19*'операционные  расходы 1 этап'!$Q$29</f>
        <v>#REF!</v>
      </c>
      <c r="X53" s="5" t="e">
        <f>-X19*'операционные  расходы 1 этап'!$Q$29</f>
        <v>#REF!</v>
      </c>
      <c r="Y53" s="5" t="e">
        <f>-Y19*'операционные  расходы 1 этап'!$Q$29</f>
        <v>#REF!</v>
      </c>
      <c r="Z53" s="5" t="e">
        <f>-Z19*'операционные  расходы 1 этап'!$Q$29</f>
        <v>#REF!</v>
      </c>
      <c r="AA53" s="5" t="e">
        <f>-AA19*'операционные  расходы 1 этап'!$Q$29</f>
        <v>#REF!</v>
      </c>
      <c r="AB53" s="5" t="e">
        <f>-AB19*'операционные  расходы 1 этап'!$Q$29</f>
        <v>#REF!</v>
      </c>
      <c r="AC53" s="5" t="e">
        <f>-AC19*'операционные  расходы 1 этап'!$Q$29</f>
        <v>#REF!</v>
      </c>
      <c r="AD53" s="5" t="e">
        <f>-AD19*'операционные  расходы 1 этап'!$Q$29</f>
        <v>#REF!</v>
      </c>
      <c r="AE53" s="5" t="e">
        <f>-AE19*'операционные  расходы 1 этап'!$Q$29</f>
        <v>#REF!</v>
      </c>
      <c r="AF53" s="5" t="e">
        <f>-AF19*'операционные  расходы 1 этап'!$Q$29</f>
        <v>#REF!</v>
      </c>
      <c r="AG53" s="5" t="e">
        <f>-AG19*'операционные  расходы 1 этап'!$Q$29</f>
        <v>#REF!</v>
      </c>
      <c r="AH53" s="5" t="e">
        <f>-AH19*'операционные  расходы 1 этап'!$Q$29</f>
        <v>#REF!</v>
      </c>
      <c r="AI53" s="5" t="e">
        <f>-AI19*'операционные  расходы 1 этап'!$Q$29</f>
        <v>#REF!</v>
      </c>
      <c r="AJ53" s="5" t="e">
        <f>-AJ19*'операционные  расходы 1 этап'!$Q$29</f>
        <v>#REF!</v>
      </c>
      <c r="AK53" s="5" t="e">
        <f>-AK19*'операционные  расходы 1 этап'!$Q$29</f>
        <v>#REF!</v>
      </c>
      <c r="AL53" s="5" t="e">
        <f>-AL19*'операционные  расходы 1 этап'!$Q$29</f>
        <v>#REF!</v>
      </c>
      <c r="AM53" s="5" t="e">
        <f>-AM19*'операционные  расходы 1 этап'!$Q$29</f>
        <v>#REF!</v>
      </c>
      <c r="AN53" s="5" t="e">
        <f>-AN19*'операционные  расходы 1 этап'!$Q$29</f>
        <v>#REF!</v>
      </c>
      <c r="AO53" s="5" t="e">
        <f>-AO19*'операционные  расходы 1 этап'!$Q$29</f>
        <v>#REF!</v>
      </c>
      <c r="AP53" s="5" t="e">
        <f>-AP19*'операционные  расходы 1 этап'!$Q$29</f>
        <v>#REF!</v>
      </c>
      <c r="AQ53" s="5" t="e">
        <f>-AQ19*'операционные  расходы 1 этап'!$Q$29</f>
        <v>#REF!</v>
      </c>
      <c r="AR53" s="5" t="e">
        <f>-AR19*'операционные  расходы 1 этап'!$Q$29</f>
        <v>#REF!</v>
      </c>
      <c r="AS53" s="5" t="e">
        <f>-AS19*'операционные  расходы 1 этап'!$Q$29</f>
        <v>#REF!</v>
      </c>
      <c r="AT53" s="5" t="e">
        <f>-AT19*'операционные  расходы 1 этап'!$Q$29</f>
        <v>#REF!</v>
      </c>
      <c r="AU53" s="5" t="e">
        <f>-AU19*'операционные  расходы 1 этап'!$Q$29</f>
        <v>#REF!</v>
      </c>
      <c r="AV53" s="5" t="e">
        <f>-AV19*'операционные  расходы 1 этап'!$Q$29</f>
        <v>#REF!</v>
      </c>
      <c r="AW53" s="5" t="e">
        <f>-AW19*'операционные  расходы 1 этап'!$Q$29</f>
        <v>#REF!</v>
      </c>
      <c r="AX53" s="5" t="e">
        <f>-AX19*'операционные  расходы 1 этап'!$Q$29</f>
        <v>#REF!</v>
      </c>
      <c r="AY53" s="5" t="e">
        <f>-AY19*'операционные  расходы 1 этап'!$Q$29</f>
        <v>#REF!</v>
      </c>
      <c r="AZ53" s="5" t="e">
        <f>-AZ19*'операционные  расходы 1 этап'!$Q$29</f>
        <v>#REF!</v>
      </c>
      <c r="BA53" s="5" t="e">
        <f>-BA19*'операционные  расходы 1 этап'!$Q$29</f>
        <v>#REF!</v>
      </c>
      <c r="BB53" s="5" t="e">
        <f>-BB19*'операционные  расходы 1 этап'!$Q$29</f>
        <v>#REF!</v>
      </c>
      <c r="BC53" s="5" t="e">
        <f>-BC19*'операционные  расходы 1 этап'!$Q$29</f>
        <v>#REF!</v>
      </c>
      <c r="BD53" s="5" t="e">
        <f>-BD19*'операционные  расходы 1 этап'!$Q$29</f>
        <v>#REF!</v>
      </c>
      <c r="BE53" s="5" t="e">
        <f>-BE19*'операционные  расходы 1 этап'!$Q$29</f>
        <v>#REF!</v>
      </c>
      <c r="BF53" s="5" t="e">
        <f>-BF19*'операционные  расходы 1 этап'!$Q$29</f>
        <v>#REF!</v>
      </c>
      <c r="BG53" s="5" t="e">
        <f>-BG19*'операционные  расходы 1 этап'!$Q$29</f>
        <v>#REF!</v>
      </c>
      <c r="BH53" s="5" t="e">
        <f>-BH19*'операционные  расходы 1 этап'!$Q$29</f>
        <v>#REF!</v>
      </c>
      <c r="BI53" s="5" t="e">
        <f>-BI19*'операционные  расходы 1 этап'!$Q$29</f>
        <v>#REF!</v>
      </c>
      <c r="BJ53" s="5" t="e">
        <f>-BJ19*'операционные  расходы 1 этап'!$Q$29</f>
        <v>#REF!</v>
      </c>
      <c r="BK53" s="5" t="e">
        <f>-BK19*'операционные  расходы 1 этап'!$Q$29</f>
        <v>#REF!</v>
      </c>
      <c r="BL53" s="5" t="e">
        <f>-BL19*'операционные  расходы 1 этап'!$Q$29</f>
        <v>#REF!</v>
      </c>
      <c r="BM53" s="5" t="e">
        <f>-BM19*'операционные  расходы 1 этап'!$Q$29</f>
        <v>#REF!</v>
      </c>
      <c r="BN53" s="5" t="e">
        <f>-BN19*'операционные  расходы 1 этап'!$Q$29</f>
        <v>#REF!</v>
      </c>
      <c r="BO53" s="5" t="e">
        <f>-BO19*'операционные  расходы 1 этап'!$Q$29</f>
        <v>#REF!</v>
      </c>
      <c r="BP53" s="5" t="e">
        <f>-BP19*'операционные  расходы 1 этап'!$Q$29</f>
        <v>#REF!</v>
      </c>
      <c r="BQ53" s="5" t="e">
        <f>-BQ19*'операционные  расходы 1 этап'!$Q$29</f>
        <v>#REF!</v>
      </c>
      <c r="BR53" s="5" t="e">
        <f>-BR19*'операционные  расходы 1 этап'!$Q$29</f>
        <v>#REF!</v>
      </c>
      <c r="BS53" s="5" t="e">
        <f>-BS19*'операционные  расходы 1 этап'!$Q$29</f>
        <v>#REF!</v>
      </c>
      <c r="BT53" s="5" t="e">
        <f>-BT19*'операционные  расходы 1 этап'!$Q$29</f>
        <v>#REF!</v>
      </c>
      <c r="BU53" s="5" t="e">
        <f>-BU19*'операционные  расходы 1 этап'!$Q$29</f>
        <v>#REF!</v>
      </c>
      <c r="BV53" s="5" t="e">
        <f>-BV19*'операционные  расходы 1 этап'!$Q$29</f>
        <v>#REF!</v>
      </c>
      <c r="BW53" s="5" t="e">
        <f>-BW19*'операционные  расходы 1 этап'!$Q$29</f>
        <v>#REF!</v>
      </c>
      <c r="BX53" s="5" t="e">
        <f>-BX19*'операционные  расходы 1 этап'!$Q$29</f>
        <v>#REF!</v>
      </c>
      <c r="BY53" s="5" t="e">
        <f>-BY19*'операционные  расходы 1 этап'!$Q$29</f>
        <v>#REF!</v>
      </c>
      <c r="BZ53" s="5" t="e">
        <f>-BZ19*'операционные  расходы 1 этап'!$Q$29</f>
        <v>#REF!</v>
      </c>
      <c r="CA53" s="5" t="e">
        <f>-CA19*'операционные  расходы 1 этап'!$Q$29</f>
        <v>#REF!</v>
      </c>
      <c r="CB53" s="5" t="e">
        <f>-CB19*'операционные  расходы 1 этап'!$Q$29</f>
        <v>#REF!</v>
      </c>
      <c r="CC53" s="5" t="e">
        <f>-CC19*'операционные  расходы 1 этап'!$Q$29</f>
        <v>#REF!</v>
      </c>
      <c r="CD53" s="5" t="e">
        <f>-CD19*'операционные  расходы 1 этап'!$Q$29</f>
        <v>#REF!</v>
      </c>
      <c r="CE53" s="5" t="e">
        <f>-CE19*'операционные  расходы 1 этап'!$Q$29</f>
        <v>#REF!</v>
      </c>
      <c r="CF53" s="5" t="e">
        <f>-CF19*'операционные  расходы 1 этап'!$Q$29</f>
        <v>#REF!</v>
      </c>
      <c r="CG53" s="5" t="e">
        <f>-CG19*'операционные  расходы 1 этап'!$Q$29</f>
        <v>#REF!</v>
      </c>
      <c r="CH53" s="5" t="e">
        <f>-CH19*'операционные  расходы 1 этап'!$Q$29</f>
        <v>#REF!</v>
      </c>
      <c r="CI53" s="5" t="e">
        <f>-CI19*'операционные  расходы 1 этап'!$Q$29</f>
        <v>#REF!</v>
      </c>
      <c r="CJ53" s="5" t="e">
        <f>-CJ19*'операционные  расходы 1 этап'!$Q$29</f>
        <v>#REF!</v>
      </c>
      <c r="CK53" s="5" t="e">
        <f>-CK19*'операционные  расходы 1 этап'!$Q$29</f>
        <v>#REF!</v>
      </c>
      <c r="CL53" s="5" t="e">
        <f>-CL19*'операционные  расходы 1 этап'!$Q$29</f>
        <v>#REF!</v>
      </c>
      <c r="CM53" s="5" t="e">
        <f>-CM19*'операционные  расходы 1 этап'!$Q$29</f>
        <v>#REF!</v>
      </c>
      <c r="CN53" s="5" t="e">
        <f>-CN19*'операционные  расходы 1 этап'!$Q$29</f>
        <v>#REF!</v>
      </c>
      <c r="CO53" s="5" t="e">
        <f>-CO19*'операционные  расходы 1 этап'!$Q$29</f>
        <v>#REF!</v>
      </c>
    </row>
    <row r="54" spans="1:93" ht="12.75" customHeight="1" outlineLevel="2">
      <c r="A54" s="35"/>
      <c r="B54" s="63" t="s">
        <v>154</v>
      </c>
      <c r="C54" s="74" t="e">
        <f t="shared" si="18"/>
        <v>#REF!</v>
      </c>
      <c r="D54" s="60"/>
      <c r="E54" s="5" t="e">
        <f>-E$28*'операционные  расходы 1 этап'!#REF!</f>
        <v>#REF!</v>
      </c>
      <c r="F54" s="5" t="e">
        <f>-F$28*'операционные  расходы 1 этап'!#REF!</f>
        <v>#REF!</v>
      </c>
      <c r="G54" s="5" t="e">
        <f>-G$28*'операционные  расходы 1 этап'!#REF!</f>
        <v>#REF!</v>
      </c>
      <c r="H54" s="5" t="e">
        <f>-H$28*'операционные  расходы 1 этап'!#REF!</f>
        <v>#REF!</v>
      </c>
      <c r="I54" s="5" t="e">
        <f>-I$28*'операционные  расходы 1 этап'!#REF!</f>
        <v>#REF!</v>
      </c>
      <c r="J54" s="5" t="e">
        <f>-J$28*'операционные  расходы 1 этап'!#REF!</f>
        <v>#REF!</v>
      </c>
      <c r="K54" s="5" t="e">
        <f>-K$28*'операционные  расходы 1 этап'!#REF!</f>
        <v>#REF!</v>
      </c>
      <c r="L54" s="5" t="e">
        <f>-L$28*'операционные  расходы 1 этап'!#REF!</f>
        <v>#REF!</v>
      </c>
      <c r="M54" s="5" t="e">
        <f>-M$28*'операционные  расходы 1 этап'!#REF!</f>
        <v>#REF!</v>
      </c>
      <c r="N54" s="5" t="e">
        <f>-N$28*'операционные  расходы 1 этап'!#REF!</f>
        <v>#REF!</v>
      </c>
      <c r="O54" s="5" t="e">
        <f>-O$28*'операционные  расходы 1 этап'!#REF!</f>
        <v>#REF!</v>
      </c>
      <c r="P54" s="5" t="e">
        <f>-P$28*'операционные  расходы 1 этап'!#REF!</f>
        <v>#REF!</v>
      </c>
      <c r="Q54" s="5" t="e">
        <f>-Q$28*'операционные  расходы 1 этап'!#REF!</f>
        <v>#REF!</v>
      </c>
      <c r="R54" s="5" t="e">
        <f>-R$28*'операционные  расходы 1 этап'!#REF!</f>
        <v>#REF!</v>
      </c>
      <c r="S54" s="5" t="e">
        <f>-S$28*'операционные  расходы 1 этап'!#REF!</f>
        <v>#REF!</v>
      </c>
      <c r="T54" s="5" t="e">
        <f>-T$28*'операционные  расходы 1 этап'!#REF!</f>
        <v>#REF!</v>
      </c>
      <c r="U54" s="5" t="e">
        <f>-U$28*'операционные  расходы 1 этап'!#REF!</f>
        <v>#REF!</v>
      </c>
      <c r="V54" s="5" t="e">
        <f>-V$28*'операционные  расходы 1 этап'!#REF!</f>
        <v>#REF!</v>
      </c>
      <c r="W54" s="5" t="e">
        <f>-W$28*'операционные  расходы 1 этап'!#REF!</f>
        <v>#REF!</v>
      </c>
      <c r="X54" s="5" t="e">
        <f>-X$28*'операционные  расходы 1 этап'!#REF!</f>
        <v>#REF!</v>
      </c>
      <c r="Y54" s="5" t="e">
        <f>-Y$28*'операционные  расходы 1 этап'!#REF!</f>
        <v>#REF!</v>
      </c>
      <c r="Z54" s="5" t="e">
        <f>-Z$28*'операционные  расходы 1 этап'!#REF!</f>
        <v>#REF!</v>
      </c>
      <c r="AA54" s="5" t="e">
        <f>-AA$28*'операционные  расходы 1 этап'!#REF!</f>
        <v>#REF!</v>
      </c>
      <c r="AB54" s="5" t="e">
        <f>-AB$28*'операционные  расходы 1 этап'!#REF!</f>
        <v>#REF!</v>
      </c>
      <c r="AC54" s="5" t="e">
        <f>-AC$28*'операционные  расходы 1 этап'!#REF!</f>
        <v>#REF!</v>
      </c>
      <c r="AD54" s="5" t="e">
        <f>-AD$28*'операционные  расходы 1 этап'!#REF!</f>
        <v>#REF!</v>
      </c>
      <c r="AE54" s="5" t="e">
        <f>-AE$28*'операционные  расходы 1 этап'!#REF!</f>
        <v>#REF!</v>
      </c>
      <c r="AF54" s="5" t="e">
        <f>-AF$28*'операционные  расходы 1 этап'!#REF!</f>
        <v>#REF!</v>
      </c>
      <c r="AG54" s="5" t="e">
        <f>-AG$28*'операционные  расходы 1 этап'!#REF!</f>
        <v>#REF!</v>
      </c>
      <c r="AH54" s="5" t="e">
        <f>-AH$28*'операционные  расходы 1 этап'!#REF!</f>
        <v>#REF!</v>
      </c>
      <c r="AI54" s="5" t="e">
        <f>-AI$28*'операционные  расходы 1 этап'!#REF!</f>
        <v>#REF!</v>
      </c>
      <c r="AJ54" s="5" t="e">
        <f>-AJ$28*'операционные  расходы 1 этап'!#REF!</f>
        <v>#REF!</v>
      </c>
      <c r="AK54" s="5" t="e">
        <f>-AK$28*'операционные  расходы 1 этап'!#REF!</f>
        <v>#REF!</v>
      </c>
      <c r="AL54" s="5" t="e">
        <f>-AL$28*'операционные  расходы 1 этап'!#REF!</f>
        <v>#REF!</v>
      </c>
      <c r="AM54" s="5" t="e">
        <f>-AM$28*'операционные  расходы 1 этап'!#REF!</f>
        <v>#REF!</v>
      </c>
      <c r="AN54" s="5" t="e">
        <f>-AN$28*'операционные  расходы 1 этап'!#REF!</f>
        <v>#REF!</v>
      </c>
      <c r="AO54" s="5" t="e">
        <f>-AO$28*'операционные  расходы 1 этап'!#REF!</f>
        <v>#REF!</v>
      </c>
      <c r="AP54" s="5" t="e">
        <f>-AP$28*'операционные  расходы 1 этап'!#REF!</f>
        <v>#REF!</v>
      </c>
      <c r="AQ54" s="5" t="e">
        <f>-AQ$28*'операционные  расходы 1 этап'!#REF!</f>
        <v>#REF!</v>
      </c>
      <c r="AR54" s="5" t="e">
        <f>-AR$28*'операционные  расходы 1 этап'!#REF!</f>
        <v>#REF!</v>
      </c>
      <c r="AS54" s="5" t="e">
        <f>-AS$28*'операционные  расходы 1 этап'!#REF!</f>
        <v>#REF!</v>
      </c>
      <c r="AT54" s="5" t="e">
        <f>-AT$28*'операционные  расходы 1 этап'!#REF!</f>
        <v>#REF!</v>
      </c>
      <c r="AU54" s="5" t="e">
        <f>-AU$28*'операционные  расходы 1 этап'!#REF!</f>
        <v>#REF!</v>
      </c>
      <c r="AV54" s="5" t="e">
        <f>-AV$28*'операционные  расходы 1 этап'!#REF!</f>
        <v>#REF!</v>
      </c>
      <c r="AW54" s="5" t="e">
        <f>-AW$28*'операционные  расходы 1 этап'!#REF!</f>
        <v>#REF!</v>
      </c>
      <c r="AX54" s="5" t="e">
        <f>-AX$28*'операционные  расходы 1 этап'!#REF!</f>
        <v>#REF!</v>
      </c>
      <c r="AY54" s="5" t="e">
        <f>-AY$28*'операционные  расходы 1 этап'!#REF!</f>
        <v>#REF!</v>
      </c>
      <c r="AZ54" s="5" t="e">
        <f>-AZ$28*'операционные  расходы 1 этап'!#REF!</f>
        <v>#REF!</v>
      </c>
      <c r="BA54" s="5" t="e">
        <f>-BA$28*'операционные  расходы 1 этап'!#REF!</f>
        <v>#REF!</v>
      </c>
      <c r="BB54" s="5" t="e">
        <f>-BB$28*'операционные  расходы 1 этап'!#REF!</f>
        <v>#REF!</v>
      </c>
      <c r="BC54" s="5" t="e">
        <f>-BC$28*'операционные  расходы 1 этап'!#REF!</f>
        <v>#REF!</v>
      </c>
      <c r="BD54" s="5" t="e">
        <f>-BD$28*'операционные  расходы 1 этап'!#REF!</f>
        <v>#REF!</v>
      </c>
      <c r="BE54" s="5" t="e">
        <f>-BE$28*'операционные  расходы 1 этап'!#REF!</f>
        <v>#REF!</v>
      </c>
      <c r="BF54" s="5" t="e">
        <f>-BF$28*'операционные  расходы 1 этап'!#REF!</f>
        <v>#REF!</v>
      </c>
      <c r="BG54" s="5" t="e">
        <f>-BG$28*'операционные  расходы 1 этап'!#REF!</f>
        <v>#REF!</v>
      </c>
      <c r="BH54" s="5" t="e">
        <f>-BH$28*'операционные  расходы 1 этап'!#REF!</f>
        <v>#REF!</v>
      </c>
      <c r="BI54" s="5" t="e">
        <f>-BI$28*'операционные  расходы 1 этап'!#REF!</f>
        <v>#REF!</v>
      </c>
      <c r="BJ54" s="5" t="e">
        <f>-BJ$28*'операционные  расходы 1 этап'!#REF!</f>
        <v>#REF!</v>
      </c>
      <c r="BK54" s="5" t="e">
        <f>-BK$28*'операционные  расходы 1 этап'!#REF!</f>
        <v>#REF!</v>
      </c>
      <c r="BL54" s="5" t="e">
        <f>-BL$28*'операционные  расходы 1 этап'!#REF!</f>
        <v>#REF!</v>
      </c>
      <c r="BM54" s="5" t="e">
        <f>-BM$28*'операционные  расходы 1 этап'!#REF!</f>
        <v>#REF!</v>
      </c>
      <c r="BN54" s="5" t="e">
        <f>-BN$28*'операционные  расходы 1 этап'!#REF!</f>
        <v>#REF!</v>
      </c>
      <c r="BO54" s="5" t="e">
        <f>-BO$28*'операционные  расходы 1 этап'!#REF!</f>
        <v>#REF!</v>
      </c>
      <c r="BP54" s="5" t="e">
        <f>-BP$28*'операционные  расходы 1 этап'!#REF!</f>
        <v>#REF!</v>
      </c>
      <c r="BQ54" s="5" t="e">
        <f>-BQ$28*'операционные  расходы 1 этап'!#REF!</f>
        <v>#REF!</v>
      </c>
      <c r="BR54" s="5" t="e">
        <f>-BR$28*'операционные  расходы 1 этап'!#REF!</f>
        <v>#REF!</v>
      </c>
      <c r="BS54" s="5" t="e">
        <f>-BS$28*'операционные  расходы 1 этап'!#REF!</f>
        <v>#REF!</v>
      </c>
      <c r="BT54" s="5" t="e">
        <f>-BT$28*'операционные  расходы 1 этап'!#REF!</f>
        <v>#REF!</v>
      </c>
      <c r="BU54" s="5" t="e">
        <f>-BU$28*'операционные  расходы 1 этап'!#REF!</f>
        <v>#REF!</v>
      </c>
      <c r="BV54" s="5" t="e">
        <f>-BV$28*'операционные  расходы 1 этап'!#REF!</f>
        <v>#REF!</v>
      </c>
      <c r="BW54" s="5" t="e">
        <f>-BW$28*'операционные  расходы 1 этап'!#REF!</f>
        <v>#REF!</v>
      </c>
      <c r="BX54" s="5" t="e">
        <f>-BX$28*'операционные  расходы 1 этап'!#REF!</f>
        <v>#REF!</v>
      </c>
      <c r="BY54" s="5" t="e">
        <f>-BY$28*'операционные  расходы 1 этап'!#REF!</f>
        <v>#REF!</v>
      </c>
      <c r="BZ54" s="5" t="e">
        <f>-BZ$28*'операционные  расходы 1 этап'!#REF!</f>
        <v>#REF!</v>
      </c>
      <c r="CA54" s="5" t="e">
        <f>-CA$28*'операционные  расходы 1 этап'!#REF!</f>
        <v>#REF!</v>
      </c>
      <c r="CB54" s="5" t="e">
        <f>-CB$28*'операционные  расходы 1 этап'!#REF!</f>
        <v>#REF!</v>
      </c>
      <c r="CC54" s="5" t="e">
        <f>-CC$28*'операционные  расходы 1 этап'!#REF!</f>
        <v>#REF!</v>
      </c>
      <c r="CD54" s="5" t="e">
        <f>-CD$28*'операционные  расходы 1 этап'!#REF!</f>
        <v>#REF!</v>
      </c>
      <c r="CE54" s="5" t="e">
        <f>-CE$28*'операционные  расходы 1 этап'!#REF!</f>
        <v>#REF!</v>
      </c>
      <c r="CF54" s="5" t="e">
        <f>-CF$28*'операционные  расходы 1 этап'!#REF!</f>
        <v>#REF!</v>
      </c>
      <c r="CG54" s="5" t="e">
        <f>-CG$28*'операционные  расходы 1 этап'!#REF!</f>
        <v>#REF!</v>
      </c>
      <c r="CH54" s="5" t="e">
        <f>-CH$28*'операционные  расходы 1 этап'!#REF!</f>
        <v>#REF!</v>
      </c>
      <c r="CI54" s="5" t="e">
        <f>-CI$28*'операционные  расходы 1 этап'!#REF!</f>
        <v>#REF!</v>
      </c>
      <c r="CJ54" s="5" t="e">
        <f>-CJ$28*'операционные  расходы 1 этап'!#REF!</f>
        <v>#REF!</v>
      </c>
      <c r="CK54" s="5" t="e">
        <f>-CK$28*'операционные  расходы 1 этап'!#REF!</f>
        <v>#REF!</v>
      </c>
      <c r="CL54" s="5" t="e">
        <f>-CL$28*'операционные  расходы 1 этап'!#REF!</f>
        <v>#REF!</v>
      </c>
      <c r="CM54" s="5" t="e">
        <f>-CM$28*'операционные  расходы 1 этап'!#REF!</f>
        <v>#REF!</v>
      </c>
      <c r="CN54" s="5" t="e">
        <f>-CN$28*'операционные  расходы 1 этап'!#REF!</f>
        <v>#REF!</v>
      </c>
      <c r="CO54" s="5" t="e">
        <f>-CO$28*'операционные  расходы 1 этап'!#REF!</f>
        <v>#REF!</v>
      </c>
    </row>
    <row r="55" spans="1:93" ht="12.75" customHeight="1" outlineLevel="2">
      <c r="A55" s="35"/>
      <c r="B55" s="63" t="s">
        <v>155</v>
      </c>
      <c r="C55" s="74" t="e">
        <f t="shared" si="18"/>
        <v>#REF!</v>
      </c>
      <c r="D55" s="60"/>
      <c r="E55" s="5" t="e">
        <f>-E$28*'операционные  расходы 1 этап'!#REF!</f>
        <v>#REF!</v>
      </c>
      <c r="F55" s="5" t="e">
        <f>-F$28*'операционные  расходы 1 этап'!#REF!</f>
        <v>#REF!</v>
      </c>
      <c r="G55" s="5" t="e">
        <f>-G$28*'операционные  расходы 1 этап'!#REF!</f>
        <v>#REF!</v>
      </c>
      <c r="H55" s="5" t="e">
        <f>-H$28*'операционные  расходы 1 этап'!#REF!</f>
        <v>#REF!</v>
      </c>
      <c r="I55" s="5" t="e">
        <f>-I$28*'операционные  расходы 1 этап'!#REF!</f>
        <v>#REF!</v>
      </c>
      <c r="J55" s="5" t="e">
        <f>-J$28*'операционные  расходы 1 этап'!#REF!</f>
        <v>#REF!</v>
      </c>
      <c r="K55" s="5" t="e">
        <f>-K$28*'операционные  расходы 1 этап'!#REF!</f>
        <v>#REF!</v>
      </c>
      <c r="L55" s="5" t="e">
        <f>-L$28*'операционные  расходы 1 этап'!#REF!</f>
        <v>#REF!</v>
      </c>
      <c r="M55" s="5" t="e">
        <f>-M$28*'операционные  расходы 1 этап'!#REF!</f>
        <v>#REF!</v>
      </c>
      <c r="N55" s="5" t="e">
        <f>-N$28*'операционные  расходы 1 этап'!#REF!</f>
        <v>#REF!</v>
      </c>
      <c r="O55" s="5" t="e">
        <f>-O$28*'операционные  расходы 1 этап'!#REF!</f>
        <v>#REF!</v>
      </c>
      <c r="P55" s="5" t="e">
        <f>-P$28*'операционные  расходы 1 этап'!#REF!</f>
        <v>#REF!</v>
      </c>
      <c r="Q55" s="5" t="e">
        <f>-Q$28*'операционные  расходы 1 этап'!#REF!</f>
        <v>#REF!</v>
      </c>
      <c r="R55" s="5" t="e">
        <f>-R$28*'операционные  расходы 1 этап'!#REF!</f>
        <v>#REF!</v>
      </c>
      <c r="S55" s="5" t="e">
        <f>-S$28*'операционные  расходы 1 этап'!#REF!</f>
        <v>#REF!</v>
      </c>
      <c r="T55" s="5" t="e">
        <f>-T$28*'операционные  расходы 1 этап'!#REF!</f>
        <v>#REF!</v>
      </c>
      <c r="U55" s="5" t="e">
        <f>-U$28*'операционные  расходы 1 этап'!#REF!</f>
        <v>#REF!</v>
      </c>
      <c r="V55" s="5" t="e">
        <f>-V$28*'операционные  расходы 1 этап'!#REF!</f>
        <v>#REF!</v>
      </c>
      <c r="W55" s="5" t="e">
        <f>-W$28*'операционные  расходы 1 этап'!#REF!</f>
        <v>#REF!</v>
      </c>
      <c r="X55" s="5" t="e">
        <f>-X$28*'операционные  расходы 1 этап'!#REF!</f>
        <v>#REF!</v>
      </c>
      <c r="Y55" s="5" t="e">
        <f>-Y$28*'операционные  расходы 1 этап'!#REF!</f>
        <v>#REF!</v>
      </c>
      <c r="Z55" s="5" t="e">
        <f>-Z$28*'операционные  расходы 1 этап'!#REF!</f>
        <v>#REF!</v>
      </c>
      <c r="AA55" s="5" t="e">
        <f>-AA$28*'операционные  расходы 1 этап'!#REF!</f>
        <v>#REF!</v>
      </c>
      <c r="AB55" s="5" t="e">
        <f>-AB$28*'операционные  расходы 1 этап'!#REF!</f>
        <v>#REF!</v>
      </c>
      <c r="AC55" s="5" t="e">
        <f>-AC$28*'операционные  расходы 1 этап'!#REF!</f>
        <v>#REF!</v>
      </c>
      <c r="AD55" s="5" t="e">
        <f>-AD$28*'операционные  расходы 1 этап'!#REF!</f>
        <v>#REF!</v>
      </c>
      <c r="AE55" s="5" t="e">
        <f>-AE$28*'операционные  расходы 1 этап'!#REF!</f>
        <v>#REF!</v>
      </c>
      <c r="AF55" s="5" t="e">
        <f>-AF$28*'операционные  расходы 1 этап'!#REF!</f>
        <v>#REF!</v>
      </c>
      <c r="AG55" s="5" t="e">
        <f>-AG$28*'операционные  расходы 1 этап'!#REF!</f>
        <v>#REF!</v>
      </c>
      <c r="AH55" s="5" t="e">
        <f>-AH$28*'операционные  расходы 1 этап'!#REF!</f>
        <v>#REF!</v>
      </c>
      <c r="AI55" s="5" t="e">
        <f>-AI$28*'операционные  расходы 1 этап'!#REF!</f>
        <v>#REF!</v>
      </c>
      <c r="AJ55" s="5" t="e">
        <f>-AJ$28*'операционные  расходы 1 этап'!#REF!</f>
        <v>#REF!</v>
      </c>
      <c r="AK55" s="5" t="e">
        <f>-AK$28*'операционные  расходы 1 этап'!#REF!</f>
        <v>#REF!</v>
      </c>
      <c r="AL55" s="5" t="e">
        <f>-AL$28*'операционные  расходы 1 этап'!#REF!</f>
        <v>#REF!</v>
      </c>
      <c r="AM55" s="5" t="e">
        <f>-AM$28*'операционные  расходы 1 этап'!#REF!</f>
        <v>#REF!</v>
      </c>
      <c r="AN55" s="5" t="e">
        <f>-AN$28*'операционные  расходы 1 этап'!#REF!</f>
        <v>#REF!</v>
      </c>
      <c r="AO55" s="5" t="e">
        <f>-AO$28*'операционные  расходы 1 этап'!#REF!</f>
        <v>#REF!</v>
      </c>
      <c r="AP55" s="5" t="e">
        <f>-AP$28*'операционные  расходы 1 этап'!#REF!</f>
        <v>#REF!</v>
      </c>
      <c r="AQ55" s="5" t="e">
        <f>-AQ$28*'операционные  расходы 1 этап'!#REF!</f>
        <v>#REF!</v>
      </c>
      <c r="AR55" s="5" t="e">
        <f>-AR$28*'операционные  расходы 1 этап'!#REF!</f>
        <v>#REF!</v>
      </c>
      <c r="AS55" s="5" t="e">
        <f>-AS$28*'операционные  расходы 1 этап'!#REF!</f>
        <v>#REF!</v>
      </c>
      <c r="AT55" s="5" t="e">
        <f>-AT$28*'операционные  расходы 1 этап'!#REF!</f>
        <v>#REF!</v>
      </c>
      <c r="AU55" s="5" t="e">
        <f>-AU$28*'операционные  расходы 1 этап'!#REF!</f>
        <v>#REF!</v>
      </c>
      <c r="AV55" s="5" t="e">
        <f>-AV$28*'операционные  расходы 1 этап'!#REF!</f>
        <v>#REF!</v>
      </c>
      <c r="AW55" s="5" t="e">
        <f>-AW$28*'операционные  расходы 1 этап'!#REF!</f>
        <v>#REF!</v>
      </c>
      <c r="AX55" s="5" t="e">
        <f>-AX$28*'операционные  расходы 1 этап'!#REF!</f>
        <v>#REF!</v>
      </c>
      <c r="AY55" s="5" t="e">
        <f>-AY$28*'операционные  расходы 1 этап'!#REF!</f>
        <v>#REF!</v>
      </c>
      <c r="AZ55" s="5" t="e">
        <f>-AZ$28*'операционные  расходы 1 этап'!#REF!</f>
        <v>#REF!</v>
      </c>
      <c r="BA55" s="5" t="e">
        <f>-BA$28*'операционные  расходы 1 этап'!#REF!</f>
        <v>#REF!</v>
      </c>
      <c r="BB55" s="5" t="e">
        <f>-BB$28*'операционные  расходы 1 этап'!#REF!</f>
        <v>#REF!</v>
      </c>
      <c r="BC55" s="5" t="e">
        <f>-BC$28*'операционные  расходы 1 этап'!#REF!</f>
        <v>#REF!</v>
      </c>
      <c r="BD55" s="5" t="e">
        <f>-BD$28*'операционные  расходы 1 этап'!#REF!</f>
        <v>#REF!</v>
      </c>
      <c r="BE55" s="5" t="e">
        <f>-BE$28*'операционные  расходы 1 этап'!#REF!</f>
        <v>#REF!</v>
      </c>
      <c r="BF55" s="5" t="e">
        <f>-BF$28*'операционные  расходы 1 этап'!#REF!</f>
        <v>#REF!</v>
      </c>
      <c r="BG55" s="5" t="e">
        <f>-BG$28*'операционные  расходы 1 этап'!#REF!</f>
        <v>#REF!</v>
      </c>
      <c r="BH55" s="5" t="e">
        <f>-BH$28*'операционные  расходы 1 этап'!#REF!</f>
        <v>#REF!</v>
      </c>
      <c r="BI55" s="5" t="e">
        <f>-BI$28*'операционные  расходы 1 этап'!#REF!</f>
        <v>#REF!</v>
      </c>
      <c r="BJ55" s="5" t="e">
        <f>-BJ$28*'операционные  расходы 1 этап'!#REF!</f>
        <v>#REF!</v>
      </c>
      <c r="BK55" s="5" t="e">
        <f>-BK$28*'операционные  расходы 1 этап'!#REF!</f>
        <v>#REF!</v>
      </c>
      <c r="BL55" s="5" t="e">
        <f>-BL$28*'операционные  расходы 1 этап'!#REF!</f>
        <v>#REF!</v>
      </c>
      <c r="BM55" s="5" t="e">
        <f>-BM$28*'операционные  расходы 1 этап'!#REF!</f>
        <v>#REF!</v>
      </c>
      <c r="BN55" s="5" t="e">
        <f>-BN$28*'операционные  расходы 1 этап'!#REF!</f>
        <v>#REF!</v>
      </c>
      <c r="BO55" s="5" t="e">
        <f>-BO$28*'операционные  расходы 1 этап'!#REF!</f>
        <v>#REF!</v>
      </c>
      <c r="BP55" s="5" t="e">
        <f>-BP$28*'операционные  расходы 1 этап'!#REF!</f>
        <v>#REF!</v>
      </c>
      <c r="BQ55" s="5" t="e">
        <f>-BQ$28*'операционные  расходы 1 этап'!#REF!</f>
        <v>#REF!</v>
      </c>
      <c r="BR55" s="5" t="e">
        <f>-BR$28*'операционные  расходы 1 этап'!#REF!</f>
        <v>#REF!</v>
      </c>
      <c r="BS55" s="5" t="e">
        <f>-BS$28*'операционные  расходы 1 этап'!#REF!</f>
        <v>#REF!</v>
      </c>
      <c r="BT55" s="5" t="e">
        <f>-BT$28*'операционные  расходы 1 этап'!#REF!</f>
        <v>#REF!</v>
      </c>
      <c r="BU55" s="5" t="e">
        <f>-BU$28*'операционные  расходы 1 этап'!#REF!</f>
        <v>#REF!</v>
      </c>
      <c r="BV55" s="5" t="e">
        <f>-BV$28*'операционные  расходы 1 этап'!#REF!</f>
        <v>#REF!</v>
      </c>
      <c r="BW55" s="5" t="e">
        <f>-BW$28*'операционные  расходы 1 этап'!#REF!</f>
        <v>#REF!</v>
      </c>
      <c r="BX55" s="5" t="e">
        <f>-BX$28*'операционные  расходы 1 этап'!#REF!</f>
        <v>#REF!</v>
      </c>
      <c r="BY55" s="5" t="e">
        <f>-BY$28*'операционные  расходы 1 этап'!#REF!</f>
        <v>#REF!</v>
      </c>
      <c r="BZ55" s="5" t="e">
        <f>-BZ$28*'операционные  расходы 1 этап'!#REF!</f>
        <v>#REF!</v>
      </c>
      <c r="CA55" s="5" t="e">
        <f>-CA$28*'операционные  расходы 1 этап'!#REF!</f>
        <v>#REF!</v>
      </c>
      <c r="CB55" s="5" t="e">
        <f>-CB$28*'операционные  расходы 1 этап'!#REF!</f>
        <v>#REF!</v>
      </c>
      <c r="CC55" s="5" t="e">
        <f>-CC$28*'операционные  расходы 1 этап'!#REF!</f>
        <v>#REF!</v>
      </c>
      <c r="CD55" s="5" t="e">
        <f>-CD$28*'операционные  расходы 1 этап'!#REF!</f>
        <v>#REF!</v>
      </c>
      <c r="CE55" s="5" t="e">
        <f>-CE$28*'операционные  расходы 1 этап'!#REF!</f>
        <v>#REF!</v>
      </c>
      <c r="CF55" s="5" t="e">
        <f>-CF$28*'операционные  расходы 1 этап'!#REF!</f>
        <v>#REF!</v>
      </c>
      <c r="CG55" s="5" t="e">
        <f>-CG$28*'операционные  расходы 1 этап'!#REF!</f>
        <v>#REF!</v>
      </c>
      <c r="CH55" s="5" t="e">
        <f>-CH$28*'операционные  расходы 1 этап'!#REF!</f>
        <v>#REF!</v>
      </c>
      <c r="CI55" s="5" t="e">
        <f>-CI$28*'операционные  расходы 1 этап'!#REF!</f>
        <v>#REF!</v>
      </c>
      <c r="CJ55" s="5" t="e">
        <f>-CJ$28*'операционные  расходы 1 этап'!#REF!</f>
        <v>#REF!</v>
      </c>
      <c r="CK55" s="5" t="e">
        <f>-CK$28*'операционные  расходы 1 этап'!#REF!</f>
        <v>#REF!</v>
      </c>
      <c r="CL55" s="5" t="e">
        <f>-CL$28*'операционные  расходы 1 этап'!#REF!</f>
        <v>#REF!</v>
      </c>
      <c r="CM55" s="5" t="e">
        <f>-CM$28*'операционные  расходы 1 этап'!#REF!</f>
        <v>#REF!</v>
      </c>
      <c r="CN55" s="5" t="e">
        <f>-CN$28*'операционные  расходы 1 этап'!#REF!</f>
        <v>#REF!</v>
      </c>
      <c r="CO55" s="5" t="e">
        <f>-CO$28*'операционные  расходы 1 этап'!#REF!</f>
        <v>#REF!</v>
      </c>
    </row>
    <row r="56" spans="1:93" ht="12.75" customHeight="1" outlineLevel="2">
      <c r="A56" s="35"/>
      <c r="B56" s="63" t="s">
        <v>156</v>
      </c>
      <c r="C56" s="74" t="e">
        <f t="shared" si="18"/>
        <v>#REF!</v>
      </c>
      <c r="D56" s="60"/>
      <c r="E56" s="5" t="e">
        <f>IF(E9=(Assump!$D$54-1),-#REF!/1000,-E28*'операционные  расходы 1 этап'!$P$32)</f>
        <v>#REF!</v>
      </c>
      <c r="F56" s="5" t="e">
        <f>IF(F9=(Assump!$D$54-1),-#REF!/1000,-F28*'операционные  расходы 1 этап'!$P$32)</f>
        <v>#REF!</v>
      </c>
      <c r="G56" s="5" t="e">
        <f>IF(G9=(Assump!$D$54-1),-#REF!/1000,-G28*'операционные  расходы 1 этап'!$P$32)</f>
        <v>#REF!</v>
      </c>
      <c r="H56" s="5" t="e">
        <f>IF(H9=(Assump!$D$54-1),-#REF!/1000,-H28*'операционные  расходы 1 этап'!$P$32)</f>
        <v>#REF!</v>
      </c>
      <c r="I56" s="5" t="e">
        <f>IF(I9=(Assump!$D$54-1),-#REF!/1000,-I28*'операционные  расходы 1 этап'!$P$32)</f>
        <v>#REF!</v>
      </c>
      <c r="J56" s="5" t="e">
        <f>IF(J9=(Assump!$D$54-1),-#REF!/1000,-J28*'операционные  расходы 1 этап'!$P$32)</f>
        <v>#REF!</v>
      </c>
      <c r="K56" s="5" t="e">
        <f>IF(K9=(Assump!$D$54-1),-#REF!/1000,-K28*'операционные  расходы 1 этап'!$P$32)</f>
        <v>#REF!</v>
      </c>
      <c r="L56" s="5" t="e">
        <f>IF(L9=(Assump!$D$54-1),-#REF!/1000,-L28*'операционные  расходы 1 этап'!$P$32)</f>
        <v>#REF!</v>
      </c>
      <c r="M56" s="5" t="e">
        <f>IF(M9=(Assump!$D$54-1),-#REF!/1000,-M28*'операционные  расходы 1 этап'!$P$32)</f>
        <v>#REF!</v>
      </c>
      <c r="N56" s="5" t="e">
        <f>IF(N9=(Assump!$D$54-1),-#REF!/1000,-N28*'операционные  расходы 1 этап'!$P$32)</f>
        <v>#REF!</v>
      </c>
      <c r="O56" s="5" t="e">
        <f>IF(O9=(Assump!$D$54-1),-#REF!/1000,-O28*'операционные  расходы 1 этап'!$P$32)</f>
        <v>#REF!</v>
      </c>
      <c r="P56" s="5" t="e">
        <f>IF(P9=(Assump!$D$54-1),-#REF!/1000,-P28*'операционные  расходы 1 этап'!$P$32)</f>
        <v>#REF!</v>
      </c>
      <c r="Q56" s="5" t="e">
        <f>IF(Q9=(Assump!$D$54-1),-#REF!/1000,-Q28*'операционные  расходы 1 этап'!$P$32)</f>
        <v>#REF!</v>
      </c>
      <c r="R56" s="5" t="e">
        <f>IF(R9=(Assump!$D$54-1),-#REF!/1000,-R28*'операционные  расходы 1 этап'!$P$32)</f>
        <v>#REF!</v>
      </c>
      <c r="S56" s="5" t="e">
        <f>IF(S9=(Assump!$D$54-1),-#REF!/1000,-S28*'операционные  расходы 1 этап'!$P$32)</f>
        <v>#REF!</v>
      </c>
      <c r="T56" s="5" t="e">
        <f>IF(T9=(Assump!$D$54-1),-#REF!/1000,-T28*'операционные  расходы 1 этап'!$P$32)</f>
        <v>#REF!</v>
      </c>
      <c r="U56" s="5" t="e">
        <f>IF(U9=(Assump!$D$54-1),-#REF!/1000,-U28*'операционные  расходы 1 этап'!$P$32)</f>
        <v>#REF!</v>
      </c>
      <c r="V56" s="5" t="e">
        <f>IF(V9=(Assump!$D$54-1),-#REF!/1000,-V28*'операционные  расходы 1 этап'!$P$32)</f>
        <v>#REF!</v>
      </c>
      <c r="W56" s="5" t="e">
        <f>IF(W9=(Assump!$D$54-1),-#REF!/1000,-W28*'операционные  расходы 1 этап'!$P$32)</f>
        <v>#REF!</v>
      </c>
      <c r="X56" s="5" t="e">
        <f>IF(X9=(Assump!$D$54-1),-#REF!/1000,-X28*'операционные  расходы 1 этап'!$P$32)</f>
        <v>#REF!</v>
      </c>
      <c r="Y56" s="5" t="e">
        <f>IF(Y9=(Assump!$D$54-1),-#REF!/1000,-Y28*'операционные  расходы 1 этап'!$P$32)</f>
        <v>#REF!</v>
      </c>
      <c r="Z56" s="5" t="e">
        <f>IF(Z9=(Assump!$D$54-1),-#REF!/1000,-Z28*'операционные  расходы 1 этап'!$P$32)</f>
        <v>#REF!</v>
      </c>
      <c r="AA56" s="5" t="e">
        <f>IF(AA9=(Assump!$D$54-1),-#REF!/1000,-AA28*'операционные  расходы 1 этап'!$P$32)</f>
        <v>#REF!</v>
      </c>
      <c r="AB56" s="5" t="e">
        <f>IF(AB9=(Assump!$D$54-1),-#REF!/1000,-AB28*'операционные  расходы 1 этап'!$P$32)</f>
        <v>#REF!</v>
      </c>
      <c r="AC56" s="5" t="e">
        <f>IF(AC9=(Assump!$D$54-1),-#REF!/1000,-AC28*'операционные  расходы 1 этап'!$P$32)</f>
        <v>#REF!</v>
      </c>
      <c r="AD56" s="5" t="e">
        <f>IF(AD9=(Assump!$D$54-1),-#REF!/1000,-AD28*'операционные  расходы 1 этап'!$P$32)</f>
        <v>#REF!</v>
      </c>
      <c r="AE56" s="5" t="e">
        <f>IF(AE9=(Assump!$D$54-1),-#REF!/1000,-AE28*'операционные  расходы 1 этап'!$P$32)</f>
        <v>#REF!</v>
      </c>
      <c r="AF56" s="5" t="e">
        <f>IF(AF9=(Assump!$D$54-1),-#REF!/1000,-AF28*'операционные  расходы 1 этап'!$P$32)</f>
        <v>#REF!</v>
      </c>
      <c r="AG56" s="5" t="e">
        <f>IF(AG9=(Assump!$D$54-1),-#REF!/1000,-AG28*'операционные  расходы 1 этап'!$P$32)</f>
        <v>#REF!</v>
      </c>
      <c r="AH56" s="5" t="e">
        <f>IF(AH9=(Assump!$D$54-1),-#REF!/1000,-AH28*'операционные  расходы 1 этап'!$P$32)</f>
        <v>#REF!</v>
      </c>
      <c r="AI56" s="5" t="e">
        <f>IF(AI9=(Assump!$D$54-1),-#REF!/1000,-AI28*'операционные  расходы 1 этап'!$P$32)</f>
        <v>#REF!</v>
      </c>
      <c r="AJ56" s="5" t="e">
        <f>IF(AJ9=(Assump!$D$54-1),-#REF!/1000,-AJ28*'операционные  расходы 1 этап'!$P$32)</f>
        <v>#REF!</v>
      </c>
      <c r="AK56" s="5" t="e">
        <f>IF(AK9=(Assump!$D$54-1),-#REF!/1000,-AK28*'операционные  расходы 1 этап'!$P$32)</f>
        <v>#REF!</v>
      </c>
      <c r="AL56" s="5" t="e">
        <f>IF(AL9=(Assump!$D$54-1),-#REF!/1000,-AL28*'операционные  расходы 1 этап'!$P$32)</f>
        <v>#REF!</v>
      </c>
      <c r="AM56" s="5" t="e">
        <f>IF(AM9=(Assump!$D$54-1),-#REF!/1000,-AM28*'операционные  расходы 1 этап'!$P$32)</f>
        <v>#REF!</v>
      </c>
      <c r="AN56" s="5" t="e">
        <f>IF(AN9=(Assump!$D$54-1),-#REF!/1000,-AN28*'операционные  расходы 1 этап'!$P$32)</f>
        <v>#REF!</v>
      </c>
      <c r="AO56" s="5" t="e">
        <f>IF(AO9=(Assump!$D$54-1),-#REF!/1000,-AO28*'операционные  расходы 1 этап'!$P$32)</f>
        <v>#REF!</v>
      </c>
      <c r="AP56" s="5" t="e">
        <f>IF(AP9=(Assump!$D$54-1),-#REF!/1000,-AP28*'операционные  расходы 1 этап'!$P$32)</f>
        <v>#REF!</v>
      </c>
      <c r="AQ56" s="5" t="e">
        <f>IF(AQ9=(Assump!$D$54-1),-#REF!/1000,-AQ28*'операционные  расходы 1 этап'!$P$32)</f>
        <v>#REF!</v>
      </c>
      <c r="AR56" s="5" t="e">
        <f>IF(AR9=(Assump!$D$54-1),-#REF!/1000,-AR28*'операционные  расходы 1 этап'!$P$32)</f>
        <v>#REF!</v>
      </c>
      <c r="AS56" s="5" t="e">
        <f>IF(AS9=(Assump!$D$54-1),-#REF!/1000,-AS28*'операционные  расходы 1 этап'!$P$32)</f>
        <v>#REF!</v>
      </c>
      <c r="AT56" s="5" t="e">
        <f>IF(AT9=(Assump!$D$54-1),-#REF!/1000,-AT28*'операционные  расходы 1 этап'!$P$32)</f>
        <v>#REF!</v>
      </c>
      <c r="AU56" s="5" t="e">
        <f>IF(AU9=(Assump!$D$54-1),-#REF!/1000,-AU28*'операционные  расходы 1 этап'!$P$32)</f>
        <v>#REF!</v>
      </c>
      <c r="AV56" s="5" t="e">
        <f>IF(AV9=(Assump!$D$54-1),-#REF!/1000,-AV28*'операционные  расходы 1 этап'!$P$32)</f>
        <v>#REF!</v>
      </c>
      <c r="AW56" s="5" t="e">
        <f>IF(AW9=(Assump!$D$54-1),-#REF!/1000,-AW28*'операционные  расходы 1 этап'!$P$32)</f>
        <v>#REF!</v>
      </c>
      <c r="AX56" s="5" t="e">
        <f>IF(AX9=(Assump!$D$54-1),-#REF!/1000,-AX28*'операционные  расходы 1 этап'!$P$32)</f>
        <v>#REF!</v>
      </c>
      <c r="AY56" s="5" t="e">
        <f>IF(AY9=(Assump!$D$54-1),-#REF!/1000,-AY28*'операционные  расходы 1 этап'!$P$32)</f>
        <v>#REF!</v>
      </c>
      <c r="AZ56" s="5" t="e">
        <f>IF(AZ9=(Assump!$D$54-1),-#REF!/1000,-AZ28*'операционные  расходы 1 этап'!$P$32)</f>
        <v>#REF!</v>
      </c>
      <c r="BA56" s="5" t="e">
        <f>IF(BA9=(Assump!$D$54-1),-#REF!/1000,-BA28*'операционные  расходы 1 этап'!$P$32)</f>
        <v>#REF!</v>
      </c>
      <c r="BB56" s="5" t="e">
        <f>IF(BB9=(Assump!$D$54-1),-#REF!/1000,-BB28*'операционные  расходы 1 этап'!$P$32)</f>
        <v>#REF!</v>
      </c>
      <c r="BC56" s="5" t="e">
        <f>IF(BC9=(Assump!$D$54-1),-#REF!/1000,-BC28*'операционные  расходы 1 этап'!$P$32)</f>
        <v>#REF!</v>
      </c>
      <c r="BD56" s="5" t="e">
        <f>IF(BD9=(Assump!$D$54-1),-#REF!/1000,-BD28*'операционные  расходы 1 этап'!$P$32)</f>
        <v>#REF!</v>
      </c>
      <c r="BE56" s="5" t="e">
        <f>IF(BE9=(Assump!$D$54-1),-#REF!/1000,-BE28*'операционные  расходы 1 этап'!$P$32)</f>
        <v>#REF!</v>
      </c>
      <c r="BF56" s="5" t="e">
        <f>IF(BF9=(Assump!$D$54-1),-#REF!/1000,-BF28*'операционные  расходы 1 этап'!$P$32)</f>
        <v>#REF!</v>
      </c>
      <c r="BG56" s="5" t="e">
        <f>IF(BG9=(Assump!$D$54-1),-#REF!/1000,-BG28*'операционные  расходы 1 этап'!$P$32)</f>
        <v>#REF!</v>
      </c>
      <c r="BH56" s="5" t="e">
        <f>IF(BH9=(Assump!$D$54-1),-#REF!/1000,-BH28*'операционные  расходы 1 этап'!$P$32)</f>
        <v>#REF!</v>
      </c>
      <c r="BI56" s="5" t="e">
        <f>IF(BI9=(Assump!$D$54-1),-#REF!/1000,-BI28*'операционные  расходы 1 этап'!$P$32)</f>
        <v>#REF!</v>
      </c>
      <c r="BJ56" s="5" t="e">
        <f>IF(BJ9=(Assump!$D$54-1),-#REF!/1000,-BJ28*'операционные  расходы 1 этап'!$P$32)</f>
        <v>#REF!</v>
      </c>
      <c r="BK56" s="5" t="e">
        <f>IF(BK9=(Assump!$D$54-1),-#REF!/1000,-BK28*'операционные  расходы 1 этап'!$P$32)</f>
        <v>#REF!</v>
      </c>
      <c r="BL56" s="5" t="e">
        <f>IF(BL9=(Assump!$D$54-1),-#REF!/1000,-BL28*'операционные  расходы 1 этап'!$P$32)</f>
        <v>#REF!</v>
      </c>
      <c r="BM56" s="5" t="e">
        <f>IF(BM9=(Assump!$D$54-1),-#REF!/1000,-BM28*'операционные  расходы 1 этап'!$P$32)</f>
        <v>#REF!</v>
      </c>
      <c r="BN56" s="5" t="e">
        <f>IF(BN9=(Assump!$D$54-1),-#REF!/1000,-BN28*'операционные  расходы 1 этап'!$P$32)</f>
        <v>#REF!</v>
      </c>
      <c r="BO56" s="5" t="e">
        <f>IF(BO9=(Assump!$D$54-1),-#REF!/1000,-BO28*'операционные  расходы 1 этап'!$P$32)</f>
        <v>#REF!</v>
      </c>
      <c r="BP56" s="5" t="e">
        <f>IF(BP9=(Assump!$D$54-1),-#REF!/1000,-BP28*'операционные  расходы 1 этап'!$P$32)</f>
        <v>#REF!</v>
      </c>
      <c r="BQ56" s="5" t="e">
        <f>IF(BQ9=(Assump!$D$54-1),-#REF!/1000,-BQ28*'операционные  расходы 1 этап'!$P$32)</f>
        <v>#REF!</v>
      </c>
      <c r="BR56" s="5" t="e">
        <f>IF(BR9=(Assump!$D$54-1),-#REF!/1000,-BR28*'операционные  расходы 1 этап'!$P$32)</f>
        <v>#REF!</v>
      </c>
      <c r="BS56" s="5" t="e">
        <f>IF(BS9=(Assump!$D$54-1),-#REF!/1000,-BS28*'операционные  расходы 1 этап'!$P$32)</f>
        <v>#REF!</v>
      </c>
      <c r="BT56" s="5" t="e">
        <f>IF(BT9=(Assump!$D$54-1),-#REF!/1000,-BT28*'операционные  расходы 1 этап'!$P$32)</f>
        <v>#REF!</v>
      </c>
      <c r="BU56" s="5" t="e">
        <f>IF(BU9=(Assump!$D$54-1),-#REF!/1000,-BU28*'операционные  расходы 1 этап'!$P$32)</f>
        <v>#REF!</v>
      </c>
      <c r="BV56" s="5" t="e">
        <f>IF(BV9=(Assump!$D$54-1),-#REF!/1000,-BV28*'операционные  расходы 1 этап'!$P$32)</f>
        <v>#REF!</v>
      </c>
      <c r="BW56" s="5" t="e">
        <f>IF(BW9=(Assump!$D$54-1),-#REF!/1000,-BW28*'операционные  расходы 1 этап'!$P$32)</f>
        <v>#REF!</v>
      </c>
      <c r="BX56" s="5" t="e">
        <f>IF(BX9=(Assump!$D$54-1),-#REF!/1000,-BX28*'операционные  расходы 1 этап'!$P$32)</f>
        <v>#REF!</v>
      </c>
      <c r="BY56" s="5" t="e">
        <f>IF(BY9=(Assump!$D$54-1),-#REF!/1000,-BY28*'операционные  расходы 1 этап'!$P$32)</f>
        <v>#REF!</v>
      </c>
      <c r="BZ56" s="5" t="e">
        <f>IF(BZ9=(Assump!$D$54-1),-#REF!/1000,-BZ28*'операционные  расходы 1 этап'!$P$32)</f>
        <v>#REF!</v>
      </c>
      <c r="CA56" s="5" t="e">
        <f>IF(CA9=(Assump!$D$54-1),-#REF!/1000,-CA28*'операционные  расходы 1 этап'!$P$32)</f>
        <v>#REF!</v>
      </c>
      <c r="CB56" s="5" t="e">
        <f>IF(CB9=(Assump!$D$54-1),-#REF!/1000,-CB28*'операционные  расходы 1 этап'!$P$32)</f>
        <v>#REF!</v>
      </c>
      <c r="CC56" s="5" t="e">
        <f>IF(CC9=(Assump!$D$54-1),-#REF!/1000,-CC28*'операционные  расходы 1 этап'!$P$32)</f>
        <v>#REF!</v>
      </c>
      <c r="CD56" s="5" t="e">
        <f>IF(CD9=(Assump!$D$54-1),-#REF!/1000,-CD28*'операционные  расходы 1 этап'!$P$32)</f>
        <v>#REF!</v>
      </c>
      <c r="CE56" s="5" t="e">
        <f>IF(CE9=(Assump!$D$54-1),-#REF!/1000,-CE28*'операционные  расходы 1 этап'!$P$32)</f>
        <v>#REF!</v>
      </c>
      <c r="CF56" s="5" t="e">
        <f>IF(CF9=(Assump!$D$54-1),-#REF!/1000,-CF28*'операционные  расходы 1 этап'!$P$32)</f>
        <v>#REF!</v>
      </c>
      <c r="CG56" s="5" t="e">
        <f>IF(CG9=(Assump!$D$54-1),-#REF!/1000,-CG28*'операционные  расходы 1 этап'!$P$32)</f>
        <v>#REF!</v>
      </c>
      <c r="CH56" s="5" t="e">
        <f>IF(CH9=(Assump!$D$54-1),-#REF!/1000,-CH28*'операционные  расходы 1 этап'!$P$32)</f>
        <v>#REF!</v>
      </c>
      <c r="CI56" s="5" t="e">
        <f>IF(CI9=(Assump!$D$54-1),-#REF!/1000,-CI28*'операционные  расходы 1 этап'!$P$32)</f>
        <v>#REF!</v>
      </c>
      <c r="CJ56" s="5" t="e">
        <f>IF(CJ9=(Assump!$D$54-1),-#REF!/1000,-CJ28*'операционные  расходы 1 этап'!$P$32)</f>
        <v>#REF!</v>
      </c>
      <c r="CK56" s="5" t="e">
        <f>IF(CK9=(Assump!$D$54-1),-#REF!/1000,-CK28*'операционные  расходы 1 этап'!$P$32)</f>
        <v>#REF!</v>
      </c>
      <c r="CL56" s="5" t="e">
        <f>IF(CL9=(Assump!$D$54-1),-#REF!/1000,-CL28*'операционные  расходы 1 этап'!$P$32)</f>
        <v>#REF!</v>
      </c>
      <c r="CM56" s="5" t="e">
        <f>IF(CM9=(Assump!$D$54-1),-#REF!/1000,-CM28*'операционные  расходы 1 этап'!$P$32)</f>
        <v>#REF!</v>
      </c>
      <c r="CN56" s="5" t="e">
        <f>IF(CN9=(Assump!$D$54-1),-#REF!/1000,-CN28*'операционные  расходы 1 этап'!$P$32)</f>
        <v>#REF!</v>
      </c>
      <c r="CO56" s="5" t="e">
        <f>IF(CO9=(Assump!$D$54-1),-#REF!/1000,-CO28*'операционные  расходы 1 этап'!$P$32)</f>
        <v>#REF!</v>
      </c>
    </row>
    <row r="57" spans="1:93" ht="12.75" customHeight="1" outlineLevel="2">
      <c r="A57" s="35"/>
      <c r="B57" s="63" t="s">
        <v>157</v>
      </c>
      <c r="C57" s="74" t="e">
        <f t="shared" si="18"/>
        <v>#REF!</v>
      </c>
      <c r="D57" s="60"/>
      <c r="E57" s="5" t="e">
        <f>-E28*'операционные  расходы 1 этап'!#REF!</f>
        <v>#REF!</v>
      </c>
      <c r="F57" s="5" t="e">
        <f>-F28*'операционные  расходы 1 этап'!#REF!</f>
        <v>#REF!</v>
      </c>
      <c r="G57" s="5" t="e">
        <f>-G28*'операционные  расходы 1 этап'!#REF!</f>
        <v>#REF!</v>
      </c>
      <c r="H57" s="5" t="e">
        <f>-H28*'операционные  расходы 1 этап'!#REF!</f>
        <v>#REF!</v>
      </c>
      <c r="I57" s="5" t="e">
        <f>-I28*'операционные  расходы 1 этап'!#REF!</f>
        <v>#REF!</v>
      </c>
      <c r="J57" s="5" t="e">
        <f>-J28*'операционные  расходы 1 этап'!#REF!</f>
        <v>#REF!</v>
      </c>
      <c r="K57" s="5" t="e">
        <f>-K28*'операционные  расходы 1 этап'!#REF!</f>
        <v>#REF!</v>
      </c>
      <c r="L57" s="5" t="e">
        <f>-L28*'операционные  расходы 1 этап'!#REF!</f>
        <v>#REF!</v>
      </c>
      <c r="M57" s="5" t="e">
        <f>-M28*'операционные  расходы 1 этап'!#REF!</f>
        <v>#REF!</v>
      </c>
      <c r="N57" s="5" t="e">
        <f>-N28*'операционные  расходы 1 этап'!#REF!</f>
        <v>#REF!</v>
      </c>
      <c r="O57" s="5" t="e">
        <f>-O28*'операционные  расходы 1 этап'!#REF!</f>
        <v>#REF!</v>
      </c>
      <c r="P57" s="5" t="e">
        <f>-P28*'операционные  расходы 1 этап'!#REF!</f>
        <v>#REF!</v>
      </c>
      <c r="Q57" s="5" t="e">
        <f>-Q28*'операционные  расходы 1 этап'!#REF!</f>
        <v>#REF!</v>
      </c>
      <c r="R57" s="5" t="e">
        <f>-R28*'операционные  расходы 1 этап'!#REF!</f>
        <v>#REF!</v>
      </c>
      <c r="S57" s="5" t="e">
        <f>-S28*'операционные  расходы 1 этап'!#REF!</f>
        <v>#REF!</v>
      </c>
      <c r="T57" s="5" t="e">
        <f>-T28*'операционные  расходы 1 этап'!#REF!</f>
        <v>#REF!</v>
      </c>
      <c r="U57" s="5" t="e">
        <f>-U28*'операционные  расходы 1 этап'!#REF!</f>
        <v>#REF!</v>
      </c>
      <c r="V57" s="5" t="e">
        <f>-V28*'операционные  расходы 1 этап'!#REF!</f>
        <v>#REF!</v>
      </c>
      <c r="W57" s="5" t="e">
        <f>-W28*'операционные  расходы 1 этап'!#REF!</f>
        <v>#REF!</v>
      </c>
      <c r="X57" s="5" t="e">
        <f>-X28*'операционные  расходы 1 этап'!#REF!</f>
        <v>#REF!</v>
      </c>
      <c r="Y57" s="5" t="e">
        <f>-Y28*'операционные  расходы 1 этап'!#REF!</f>
        <v>#REF!</v>
      </c>
      <c r="Z57" s="5" t="e">
        <f>-Z28*'операционные  расходы 1 этап'!#REF!</f>
        <v>#REF!</v>
      </c>
      <c r="AA57" s="5" t="e">
        <f>-AA28*'операционные  расходы 1 этап'!#REF!</f>
        <v>#REF!</v>
      </c>
      <c r="AB57" s="5" t="e">
        <f>-AB28*'операционные  расходы 1 этап'!#REF!</f>
        <v>#REF!</v>
      </c>
      <c r="AC57" s="5" t="e">
        <f>-AC28*'операционные  расходы 1 этап'!#REF!</f>
        <v>#REF!</v>
      </c>
      <c r="AD57" s="5" t="e">
        <f>-AD28*'операционные  расходы 1 этап'!#REF!</f>
        <v>#REF!</v>
      </c>
      <c r="AE57" s="5" t="e">
        <f>-AE28*'операционные  расходы 1 этап'!#REF!</f>
        <v>#REF!</v>
      </c>
      <c r="AF57" s="5" t="e">
        <f>-AF28*'операционные  расходы 1 этап'!#REF!</f>
        <v>#REF!</v>
      </c>
      <c r="AG57" s="5" t="e">
        <f>-AG28*'операционные  расходы 1 этап'!#REF!</f>
        <v>#REF!</v>
      </c>
      <c r="AH57" s="5" t="e">
        <f>-AH28*'операционные  расходы 1 этап'!#REF!</f>
        <v>#REF!</v>
      </c>
      <c r="AI57" s="5" t="e">
        <f>-AI28*'операционные  расходы 1 этап'!#REF!</f>
        <v>#REF!</v>
      </c>
      <c r="AJ57" s="5" t="e">
        <f>-AJ28*'операционные  расходы 1 этап'!#REF!</f>
        <v>#REF!</v>
      </c>
      <c r="AK57" s="5" t="e">
        <f>-AK28*'операционные  расходы 1 этап'!#REF!</f>
        <v>#REF!</v>
      </c>
      <c r="AL57" s="5" t="e">
        <f>-AL28*'операционные  расходы 1 этап'!#REF!</f>
        <v>#REF!</v>
      </c>
      <c r="AM57" s="5" t="e">
        <f>-AM28*'операционные  расходы 1 этап'!#REF!</f>
        <v>#REF!</v>
      </c>
      <c r="AN57" s="5" t="e">
        <f>-AN28*'операционные  расходы 1 этап'!#REF!</f>
        <v>#REF!</v>
      </c>
      <c r="AO57" s="5" t="e">
        <f>-AO28*'операционные  расходы 1 этап'!#REF!</f>
        <v>#REF!</v>
      </c>
      <c r="AP57" s="5" t="e">
        <f>-AP28*'операционные  расходы 1 этап'!#REF!</f>
        <v>#REF!</v>
      </c>
      <c r="AQ57" s="5" t="e">
        <f>-AQ28*'операционные  расходы 1 этап'!#REF!</f>
        <v>#REF!</v>
      </c>
      <c r="AR57" s="5" t="e">
        <f>-AR28*'операционные  расходы 1 этап'!#REF!</f>
        <v>#REF!</v>
      </c>
      <c r="AS57" s="5" t="e">
        <f>-AS28*'операционные  расходы 1 этап'!#REF!</f>
        <v>#REF!</v>
      </c>
      <c r="AT57" s="5" t="e">
        <f>-AT28*'операционные  расходы 1 этап'!#REF!</f>
        <v>#REF!</v>
      </c>
      <c r="AU57" s="5" t="e">
        <f>-AU28*'операционные  расходы 1 этап'!#REF!</f>
        <v>#REF!</v>
      </c>
      <c r="AV57" s="5" t="e">
        <f>-AV28*'операционные  расходы 1 этап'!#REF!</f>
        <v>#REF!</v>
      </c>
      <c r="AW57" s="5" t="e">
        <f>-AW28*'операционные  расходы 1 этап'!#REF!</f>
        <v>#REF!</v>
      </c>
      <c r="AX57" s="5" t="e">
        <f>-AX28*'операционные  расходы 1 этап'!#REF!</f>
        <v>#REF!</v>
      </c>
      <c r="AY57" s="5" t="e">
        <f>-AY28*'операционные  расходы 1 этап'!#REF!</f>
        <v>#REF!</v>
      </c>
      <c r="AZ57" s="5" t="e">
        <f>-AZ28*'операционные  расходы 1 этап'!#REF!</f>
        <v>#REF!</v>
      </c>
      <c r="BA57" s="5" t="e">
        <f>-BA28*'операционные  расходы 1 этап'!#REF!</f>
        <v>#REF!</v>
      </c>
      <c r="BB57" s="5" t="e">
        <f>-BB28*'операционные  расходы 1 этап'!#REF!</f>
        <v>#REF!</v>
      </c>
      <c r="BC57" s="5" t="e">
        <f>-BC28*'операционные  расходы 1 этап'!#REF!</f>
        <v>#REF!</v>
      </c>
      <c r="BD57" s="5" t="e">
        <f>-BD28*'операционные  расходы 1 этап'!#REF!</f>
        <v>#REF!</v>
      </c>
      <c r="BE57" s="5" t="e">
        <f>-BE28*'операционные  расходы 1 этап'!#REF!</f>
        <v>#REF!</v>
      </c>
      <c r="BF57" s="5" t="e">
        <f>-BF28*'операционные  расходы 1 этап'!#REF!</f>
        <v>#REF!</v>
      </c>
      <c r="BG57" s="5" t="e">
        <f>-BG28*'операционные  расходы 1 этап'!#REF!</f>
        <v>#REF!</v>
      </c>
      <c r="BH57" s="5" t="e">
        <f>-BH28*'операционные  расходы 1 этап'!#REF!</f>
        <v>#REF!</v>
      </c>
      <c r="BI57" s="5" t="e">
        <f>-BI28*'операционные  расходы 1 этап'!#REF!</f>
        <v>#REF!</v>
      </c>
      <c r="BJ57" s="5" t="e">
        <f>-BJ28*'операционные  расходы 1 этап'!#REF!</f>
        <v>#REF!</v>
      </c>
      <c r="BK57" s="5" t="e">
        <f>-BK28*'операционные  расходы 1 этап'!#REF!</f>
        <v>#REF!</v>
      </c>
      <c r="BL57" s="5" t="e">
        <f>-BL28*'операционные  расходы 1 этап'!#REF!</f>
        <v>#REF!</v>
      </c>
      <c r="BM57" s="5" t="e">
        <f>-BM28*'операционные  расходы 1 этап'!#REF!</f>
        <v>#REF!</v>
      </c>
      <c r="BN57" s="5" t="e">
        <f>-BN28*'операционные  расходы 1 этап'!#REF!</f>
        <v>#REF!</v>
      </c>
      <c r="BO57" s="5" t="e">
        <f>-BO28*'операционные  расходы 1 этап'!#REF!</f>
        <v>#REF!</v>
      </c>
      <c r="BP57" s="5" t="e">
        <f>-BP28*'операционные  расходы 1 этап'!#REF!</f>
        <v>#REF!</v>
      </c>
      <c r="BQ57" s="5" t="e">
        <f>-BQ28*'операционные  расходы 1 этап'!#REF!</f>
        <v>#REF!</v>
      </c>
      <c r="BR57" s="5" t="e">
        <f>-BR28*'операционные  расходы 1 этап'!#REF!</f>
        <v>#REF!</v>
      </c>
      <c r="BS57" s="5" t="e">
        <f>-BS28*'операционные  расходы 1 этап'!#REF!</f>
        <v>#REF!</v>
      </c>
      <c r="BT57" s="5" t="e">
        <f>-BT28*'операционные  расходы 1 этап'!#REF!</f>
        <v>#REF!</v>
      </c>
      <c r="BU57" s="5" t="e">
        <f>-BU28*'операционные  расходы 1 этап'!#REF!</f>
        <v>#REF!</v>
      </c>
      <c r="BV57" s="5" t="e">
        <f>-BV28*'операционные  расходы 1 этап'!#REF!</f>
        <v>#REF!</v>
      </c>
      <c r="BW57" s="5" t="e">
        <f>-BW28*'операционные  расходы 1 этап'!#REF!</f>
        <v>#REF!</v>
      </c>
      <c r="BX57" s="5" t="e">
        <f>-BX28*'операционные  расходы 1 этап'!#REF!</f>
        <v>#REF!</v>
      </c>
      <c r="BY57" s="5" t="e">
        <f>-BY28*'операционные  расходы 1 этап'!#REF!</f>
        <v>#REF!</v>
      </c>
      <c r="BZ57" s="5" t="e">
        <f>-BZ28*'операционные  расходы 1 этап'!#REF!</f>
        <v>#REF!</v>
      </c>
      <c r="CA57" s="5" t="e">
        <f>-CA28*'операционные  расходы 1 этап'!#REF!</f>
        <v>#REF!</v>
      </c>
      <c r="CB57" s="5" t="e">
        <f>-CB28*'операционные  расходы 1 этап'!#REF!</f>
        <v>#REF!</v>
      </c>
      <c r="CC57" s="5" t="e">
        <f>-CC28*'операционные  расходы 1 этап'!#REF!</f>
        <v>#REF!</v>
      </c>
      <c r="CD57" s="5" t="e">
        <f>-CD28*'операционные  расходы 1 этап'!#REF!</f>
        <v>#REF!</v>
      </c>
      <c r="CE57" s="5" t="e">
        <f>-CE28*'операционные  расходы 1 этап'!#REF!</f>
        <v>#REF!</v>
      </c>
      <c r="CF57" s="5" t="e">
        <f>-CF28*'операционные  расходы 1 этап'!#REF!</f>
        <v>#REF!</v>
      </c>
      <c r="CG57" s="5" t="e">
        <f>-CG28*'операционные  расходы 1 этап'!#REF!</f>
        <v>#REF!</v>
      </c>
      <c r="CH57" s="5" t="e">
        <f>-CH28*'операционные  расходы 1 этап'!#REF!</f>
        <v>#REF!</v>
      </c>
      <c r="CI57" s="5" t="e">
        <f>-CI28*'операционные  расходы 1 этап'!#REF!</f>
        <v>#REF!</v>
      </c>
      <c r="CJ57" s="5" t="e">
        <f>-CJ28*'операционные  расходы 1 этап'!#REF!</f>
        <v>#REF!</v>
      </c>
      <c r="CK57" s="5" t="e">
        <f>-CK28*'операционные  расходы 1 этап'!#REF!</f>
        <v>#REF!</v>
      </c>
      <c r="CL57" s="5" t="e">
        <f>-CL28*'операционные  расходы 1 этап'!#REF!</f>
        <v>#REF!</v>
      </c>
      <c r="CM57" s="5" t="e">
        <f>-CM28*'операционные  расходы 1 этап'!#REF!</f>
        <v>#REF!</v>
      </c>
      <c r="CN57" s="5" t="e">
        <f>-CN28*'операционные  расходы 1 этап'!#REF!</f>
        <v>#REF!</v>
      </c>
      <c r="CO57" s="5" t="e">
        <f>-CO28*'операционные  расходы 1 этап'!#REF!</f>
        <v>#REF!</v>
      </c>
    </row>
    <row r="58" spans="1:93" ht="12.75" customHeight="1" outlineLevel="2">
      <c r="A58" s="35"/>
      <c r="B58" s="63" t="s">
        <v>86</v>
      </c>
      <c r="C58" s="74" t="e">
        <f t="shared" si="18"/>
        <v>#REF!</v>
      </c>
      <c r="D58" s="60"/>
      <c r="E58" s="35" t="e">
        <f>-E171-#REF!</f>
        <v>#REF!</v>
      </c>
      <c r="F58" s="35" t="e">
        <f>-F171-#REF!</f>
        <v>#REF!</v>
      </c>
      <c r="G58" s="35" t="e">
        <f>-G171-#REF!</f>
        <v>#REF!</v>
      </c>
      <c r="H58" s="35" t="e">
        <f>-H171-#REF!</f>
        <v>#REF!</v>
      </c>
      <c r="I58" s="35" t="e">
        <f>-I171-#REF!</f>
        <v>#REF!</v>
      </c>
      <c r="J58" s="35" t="e">
        <f>-J171-#REF!</f>
        <v>#REF!</v>
      </c>
      <c r="K58" s="35" t="e">
        <f>-K171-#REF!</f>
        <v>#REF!</v>
      </c>
      <c r="L58" s="35" t="e">
        <f>-L171-#REF!</f>
        <v>#REF!</v>
      </c>
      <c r="M58" s="35" t="e">
        <f>-M171-#REF!</f>
        <v>#REF!</v>
      </c>
      <c r="N58" s="35" t="e">
        <f>-N171-#REF!</f>
        <v>#REF!</v>
      </c>
      <c r="O58" s="35" t="e">
        <f>-O171-#REF!</f>
        <v>#REF!</v>
      </c>
      <c r="P58" s="35" t="e">
        <f>-P171-#REF!</f>
        <v>#REF!</v>
      </c>
      <c r="Q58" s="35" t="e">
        <f>-Q171-#REF!</f>
        <v>#REF!</v>
      </c>
      <c r="R58" s="35" t="e">
        <f>-R171-#REF!</f>
        <v>#REF!</v>
      </c>
      <c r="S58" s="35" t="e">
        <f>-S171-#REF!</f>
        <v>#REF!</v>
      </c>
      <c r="T58" s="35" t="e">
        <f>-T171-#REF!</f>
        <v>#REF!</v>
      </c>
      <c r="U58" s="35" t="e">
        <f>-U171-#REF!</f>
        <v>#REF!</v>
      </c>
      <c r="V58" s="35" t="e">
        <f>-V171-#REF!</f>
        <v>#REF!</v>
      </c>
      <c r="W58" s="35" t="e">
        <f>-W171-#REF!</f>
        <v>#REF!</v>
      </c>
      <c r="X58" s="35" t="e">
        <f>-X171-#REF!</f>
        <v>#REF!</v>
      </c>
      <c r="Y58" s="35" t="e">
        <f>-Y171-#REF!</f>
        <v>#REF!</v>
      </c>
      <c r="Z58" s="35" t="e">
        <f>-Z171-#REF!</f>
        <v>#REF!</v>
      </c>
      <c r="AA58" s="35" t="e">
        <f>-AA171-#REF!</f>
        <v>#REF!</v>
      </c>
      <c r="AB58" s="35" t="e">
        <f>-AB171-#REF!</f>
        <v>#REF!</v>
      </c>
      <c r="AC58" s="35" t="e">
        <f>-AC171-#REF!</f>
        <v>#REF!</v>
      </c>
      <c r="AD58" s="35" t="e">
        <f>-AD171-#REF!</f>
        <v>#REF!</v>
      </c>
      <c r="AE58" s="35" t="e">
        <f>-AE171-#REF!</f>
        <v>#REF!</v>
      </c>
      <c r="AF58" s="35" t="e">
        <f>-AF171-#REF!</f>
        <v>#REF!</v>
      </c>
      <c r="AG58" s="35" t="e">
        <f>-AG171-#REF!</f>
        <v>#REF!</v>
      </c>
      <c r="AH58" s="35" t="e">
        <f>-AH171-#REF!</f>
        <v>#REF!</v>
      </c>
      <c r="AI58" s="35" t="e">
        <f>-AI171-#REF!</f>
        <v>#REF!</v>
      </c>
      <c r="AJ58" s="35" t="e">
        <f>-AJ171-#REF!</f>
        <v>#REF!</v>
      </c>
      <c r="AK58" s="35" t="e">
        <f>-AK171-#REF!</f>
        <v>#REF!</v>
      </c>
      <c r="AL58" s="35" t="e">
        <f>-AL171-#REF!</f>
        <v>#REF!</v>
      </c>
      <c r="AM58" s="35" t="e">
        <f>-AM171-#REF!</f>
        <v>#REF!</v>
      </c>
      <c r="AN58" s="35" t="e">
        <f>-AN171-#REF!</f>
        <v>#REF!</v>
      </c>
      <c r="AO58" s="35" t="e">
        <f>-AO171-#REF!</f>
        <v>#REF!</v>
      </c>
      <c r="AP58" s="35" t="e">
        <f>-AP171-#REF!</f>
        <v>#REF!</v>
      </c>
      <c r="AQ58" s="35" t="e">
        <f>-AQ171-#REF!</f>
        <v>#REF!</v>
      </c>
      <c r="AR58" s="35" t="e">
        <f>-AR171-#REF!</f>
        <v>#REF!</v>
      </c>
      <c r="AS58" s="35" t="e">
        <f>-AS171-#REF!</f>
        <v>#REF!</v>
      </c>
      <c r="AT58" s="35" t="e">
        <f>-AT171-#REF!</f>
        <v>#REF!</v>
      </c>
      <c r="AU58" s="35" t="e">
        <f>-AU171-#REF!</f>
        <v>#REF!</v>
      </c>
      <c r="AV58" s="35" t="e">
        <f>-AV171-#REF!</f>
        <v>#REF!</v>
      </c>
      <c r="AW58" s="35" t="e">
        <f>-AW171-#REF!</f>
        <v>#REF!</v>
      </c>
      <c r="AX58" s="35" t="e">
        <f>-AX171-#REF!</f>
        <v>#REF!</v>
      </c>
      <c r="AY58" s="35" t="e">
        <f>-AY171-#REF!</f>
        <v>#REF!</v>
      </c>
      <c r="AZ58" s="35" t="e">
        <f>-AZ171-#REF!</f>
        <v>#REF!</v>
      </c>
      <c r="BA58" s="35" t="e">
        <f>-BA171-#REF!</f>
        <v>#REF!</v>
      </c>
      <c r="BB58" s="35" t="e">
        <f>-BB171-#REF!</f>
        <v>#REF!</v>
      </c>
      <c r="BC58" s="35" t="e">
        <f>-BC171-#REF!</f>
        <v>#REF!</v>
      </c>
      <c r="BD58" s="35" t="e">
        <f>-BD171-#REF!</f>
        <v>#REF!</v>
      </c>
      <c r="BE58" s="35" t="e">
        <f>-BE171-#REF!</f>
        <v>#REF!</v>
      </c>
      <c r="BF58" s="35" t="e">
        <f>-BF171-#REF!</f>
        <v>#REF!</v>
      </c>
      <c r="BG58" s="35" t="e">
        <f>-BG171-#REF!</f>
        <v>#REF!</v>
      </c>
      <c r="BH58" s="35" t="e">
        <f>-BH171-#REF!</f>
        <v>#REF!</v>
      </c>
      <c r="BI58" s="35" t="e">
        <f>-BI171-#REF!</f>
        <v>#REF!</v>
      </c>
      <c r="BJ58" s="35" t="e">
        <f>-BJ171-#REF!</f>
        <v>#REF!</v>
      </c>
      <c r="BK58" s="35" t="e">
        <f>-BK171-#REF!</f>
        <v>#REF!</v>
      </c>
      <c r="BL58" s="35" t="e">
        <f>-BL171-#REF!</f>
        <v>#REF!</v>
      </c>
      <c r="BM58" s="35" t="e">
        <f>-BM171-#REF!</f>
        <v>#REF!</v>
      </c>
      <c r="BN58" s="35" t="e">
        <f>-BN171-#REF!</f>
        <v>#REF!</v>
      </c>
      <c r="BO58" s="35" t="e">
        <f>-BO171-#REF!</f>
        <v>#REF!</v>
      </c>
      <c r="BP58" s="35" t="e">
        <f>-BP171-#REF!</f>
        <v>#REF!</v>
      </c>
      <c r="BQ58" s="35" t="e">
        <f>-BQ171-#REF!</f>
        <v>#REF!</v>
      </c>
      <c r="BR58" s="35" t="e">
        <f>-BR171-#REF!</f>
        <v>#REF!</v>
      </c>
      <c r="BS58" s="35" t="e">
        <f>-BS171-#REF!</f>
        <v>#REF!</v>
      </c>
      <c r="BT58" s="35" t="e">
        <f>-BT171-#REF!</f>
        <v>#REF!</v>
      </c>
      <c r="BU58" s="35" t="e">
        <f>-BU171-#REF!</f>
        <v>#REF!</v>
      </c>
      <c r="BV58" s="35" t="e">
        <f>-BV171-#REF!</f>
        <v>#REF!</v>
      </c>
      <c r="BW58" s="35" t="e">
        <f>-BW171-#REF!</f>
        <v>#REF!</v>
      </c>
      <c r="BX58" s="35" t="e">
        <f>-BX171-#REF!</f>
        <v>#REF!</v>
      </c>
      <c r="BY58" s="35" t="e">
        <f>-BY171-#REF!</f>
        <v>#REF!</v>
      </c>
      <c r="BZ58" s="35" t="e">
        <f>-BZ171-#REF!</f>
        <v>#REF!</v>
      </c>
      <c r="CA58" s="35" t="e">
        <f>-CA171-#REF!</f>
        <v>#REF!</v>
      </c>
      <c r="CB58" s="35" t="e">
        <f>-CB171-#REF!</f>
        <v>#REF!</v>
      </c>
      <c r="CC58" s="35" t="e">
        <f>-CC171-#REF!</f>
        <v>#REF!</v>
      </c>
      <c r="CD58" s="35" t="e">
        <f>-CD171-#REF!</f>
        <v>#REF!</v>
      </c>
      <c r="CE58" s="35" t="e">
        <f>-CE171-#REF!</f>
        <v>#REF!</v>
      </c>
      <c r="CF58" s="35" t="e">
        <f>-CF171-#REF!</f>
        <v>#REF!</v>
      </c>
      <c r="CG58" s="35" t="e">
        <f>-CG171-#REF!</f>
        <v>#REF!</v>
      </c>
      <c r="CH58" s="35" t="e">
        <f>-CH171-#REF!</f>
        <v>#REF!</v>
      </c>
      <c r="CI58" s="35" t="e">
        <f>-CI171-#REF!</f>
        <v>#REF!</v>
      </c>
      <c r="CJ58" s="35" t="e">
        <f>-CJ171-#REF!</f>
        <v>#REF!</v>
      </c>
      <c r="CK58" s="35" t="e">
        <f>-CK171-#REF!</f>
        <v>#REF!</v>
      </c>
      <c r="CL58" s="35" t="e">
        <f>-CL171-#REF!</f>
        <v>#REF!</v>
      </c>
      <c r="CM58" s="35" t="e">
        <f>-CM171-#REF!</f>
        <v>#REF!</v>
      </c>
      <c r="CN58" s="35" t="e">
        <f>-CN171-#REF!</f>
        <v>#REF!</v>
      </c>
      <c r="CO58" s="35" t="e">
        <f>-CO171-#REF!</f>
        <v>#REF!</v>
      </c>
    </row>
    <row r="59" spans="1:93" ht="12.75" customHeight="1" outlineLevel="2">
      <c r="A59" s="35"/>
      <c r="B59" s="63" t="s">
        <v>158</v>
      </c>
      <c r="C59" s="74" t="e">
        <f t="shared" si="18"/>
        <v>#REF!</v>
      </c>
      <c r="D59" s="60"/>
      <c r="E59" s="35" t="e">
        <f>-'операционные  расходы 1 этап'!#REF!/1000</f>
        <v>#REF!</v>
      </c>
      <c r="F59" s="35" t="e">
        <f>-'операционные  расходы 1 этап'!#REF!/1000</f>
        <v>#REF!</v>
      </c>
      <c r="G59" s="35" t="e">
        <f>-'операционные  расходы 1 этап'!#REF!/1000</f>
        <v>#REF!</v>
      </c>
      <c r="H59" s="35" t="e">
        <f>-'операционные  расходы 1 этап'!#REF!/1000</f>
        <v>#REF!</v>
      </c>
      <c r="I59" s="35" t="e">
        <f>-'операционные  расходы 1 этап'!#REF!/1000</f>
        <v>#REF!</v>
      </c>
      <c r="J59" s="35" t="e">
        <f>-'операционные  расходы 1 этап'!#REF!/1000</f>
        <v>#REF!</v>
      </c>
      <c r="K59" s="35" t="e">
        <f>-'операционные  расходы 1 этап'!#REF!/1000</f>
        <v>#REF!</v>
      </c>
      <c r="L59" s="35" t="e">
        <f>-'операционные  расходы 1 этап'!#REF!/1000</f>
        <v>#REF!</v>
      </c>
      <c r="M59" s="35" t="e">
        <f>-'операционные  расходы 1 этап'!#REF!/1000</f>
        <v>#REF!</v>
      </c>
      <c r="N59" s="35" t="e">
        <f>-'операционные  расходы 1 этап'!#REF!/1000</f>
        <v>#REF!</v>
      </c>
      <c r="O59" s="35" t="e">
        <f>-'операционные  расходы 1 этап'!#REF!/1000</f>
        <v>#REF!</v>
      </c>
      <c r="P59" s="35" t="e">
        <f>-'операционные  расходы 1 этап'!#REF!/1000</f>
        <v>#REF!</v>
      </c>
      <c r="Q59" s="35" t="e">
        <f>-'операционные  расходы 1 этап'!#REF!/1000</f>
        <v>#REF!</v>
      </c>
      <c r="R59" s="35" t="e">
        <f>-'операционные  расходы 1 этап'!#REF!/1000</f>
        <v>#REF!</v>
      </c>
      <c r="S59" s="35" t="e">
        <f>-'операционные  расходы 1 этап'!#REF!/1000</f>
        <v>#REF!</v>
      </c>
      <c r="T59" s="35" t="e">
        <f>-'операционные  расходы 1 этап'!#REF!/1000</f>
        <v>#REF!</v>
      </c>
      <c r="U59" s="35" t="e">
        <f>-'операционные  расходы 1 этап'!#REF!/1000</f>
        <v>#REF!</v>
      </c>
      <c r="V59" s="35" t="e">
        <f>-'операционные  расходы 1 этап'!#REF!/1000</f>
        <v>#REF!</v>
      </c>
      <c r="W59" s="35" t="e">
        <f>-'операционные  расходы 1 этап'!#REF!/1000</f>
        <v>#REF!</v>
      </c>
      <c r="X59" s="35" t="e">
        <f>-'операционные  расходы 1 этап'!#REF!/1000</f>
        <v>#REF!</v>
      </c>
      <c r="Y59" s="35" t="e">
        <f>-'операционные  расходы 1 этап'!#REF!/1000</f>
        <v>#REF!</v>
      </c>
      <c r="Z59" s="35" t="e">
        <f>-'операционные  расходы 1 этап'!#REF!/1000</f>
        <v>#REF!</v>
      </c>
      <c r="AA59" s="35" t="e">
        <f>-'операционные  расходы 1 этап'!#REF!/1000</f>
        <v>#REF!</v>
      </c>
      <c r="AB59" s="35" t="e">
        <f>-'операционные  расходы 1 этап'!#REF!/1000</f>
        <v>#REF!</v>
      </c>
      <c r="AC59" s="35" t="e">
        <f>-'операционные  расходы 1 этап'!#REF!/1000</f>
        <v>#REF!</v>
      </c>
      <c r="AD59" s="35" t="e">
        <f>-'операционные  расходы 1 этап'!#REF!/1000</f>
        <v>#REF!</v>
      </c>
      <c r="AE59" s="35" t="e">
        <f>-'операционные  расходы 1 этап'!#REF!/1000</f>
        <v>#REF!</v>
      </c>
      <c r="AF59" s="35" t="e">
        <f>-'операционные  расходы 1 этап'!#REF!/1000</f>
        <v>#REF!</v>
      </c>
      <c r="AG59" s="35" t="e">
        <f>-'операционные  расходы 1 этап'!#REF!/1000</f>
        <v>#REF!</v>
      </c>
      <c r="AH59" s="35" t="e">
        <f>-'операционные  расходы 1 этап'!#REF!/1000</f>
        <v>#REF!</v>
      </c>
      <c r="AI59" s="35" t="e">
        <f>-'операционные  расходы 1 этап'!#REF!/1000</f>
        <v>#REF!</v>
      </c>
      <c r="AJ59" s="35" t="e">
        <f>-'операционные  расходы 1 этап'!#REF!/1000</f>
        <v>#REF!</v>
      </c>
      <c r="AK59" s="35" t="e">
        <f>-'операционные  расходы 1 этап'!#REF!/1000</f>
        <v>#REF!</v>
      </c>
      <c r="AL59" s="35" t="e">
        <f>-'операционные  расходы 1 этап'!#REF!/1000</f>
        <v>#REF!</v>
      </c>
      <c r="AM59" s="35" t="e">
        <f>-'операционные  расходы 1 этап'!#REF!/1000</f>
        <v>#REF!</v>
      </c>
      <c r="AN59" s="35" t="e">
        <f>-'операционные  расходы 1 этап'!#REF!/1000</f>
        <v>#REF!</v>
      </c>
      <c r="AO59" s="35" t="e">
        <f>-'операционные  расходы 1 этап'!#REF!/1000</f>
        <v>#REF!</v>
      </c>
      <c r="AP59" s="35" t="e">
        <f>-'операционные  расходы 1 этап'!#REF!/1000</f>
        <v>#REF!</v>
      </c>
      <c r="AQ59" s="35" t="e">
        <f>-'операционные  расходы 1 этап'!#REF!/1000</f>
        <v>#REF!</v>
      </c>
      <c r="AR59" s="35" t="e">
        <f>-'операционные  расходы 1 этап'!#REF!/1000</f>
        <v>#REF!</v>
      </c>
      <c r="AS59" s="35" t="e">
        <f>-'операционные  расходы 1 этап'!#REF!/1000</f>
        <v>#REF!</v>
      </c>
      <c r="AT59" s="35" t="e">
        <f>-'операционные  расходы 1 этап'!#REF!/1000</f>
        <v>#REF!</v>
      </c>
      <c r="AU59" s="35" t="e">
        <f>-'операционные  расходы 1 этап'!#REF!/1000</f>
        <v>#REF!</v>
      </c>
      <c r="AV59" s="35" t="e">
        <f>-'операционные  расходы 1 этап'!#REF!/1000</f>
        <v>#REF!</v>
      </c>
      <c r="AW59" s="35" t="e">
        <f>-'операционные  расходы 1 этап'!#REF!/1000</f>
        <v>#REF!</v>
      </c>
      <c r="AX59" s="35" t="e">
        <f>-'операционные  расходы 1 этап'!#REF!/1000</f>
        <v>#REF!</v>
      </c>
      <c r="AY59" s="35" t="e">
        <f>-'операционные  расходы 1 этап'!#REF!/1000</f>
        <v>#REF!</v>
      </c>
      <c r="AZ59" s="35" t="e">
        <f>-'операционные  расходы 1 этап'!#REF!/1000</f>
        <v>#REF!</v>
      </c>
      <c r="BA59" s="35" t="e">
        <f>-'операционные  расходы 1 этап'!#REF!/1000</f>
        <v>#REF!</v>
      </c>
      <c r="BB59" s="35" t="e">
        <f>-'операционные  расходы 1 этап'!#REF!/1000</f>
        <v>#REF!</v>
      </c>
      <c r="BC59" s="35" t="e">
        <f>-'операционные  расходы 1 этап'!#REF!/1000</f>
        <v>#REF!</v>
      </c>
      <c r="BD59" s="35" t="e">
        <f>-'операционные  расходы 1 этап'!#REF!/1000</f>
        <v>#REF!</v>
      </c>
      <c r="BE59" s="35" t="e">
        <f>-'операционные  расходы 1 этап'!#REF!/1000</f>
        <v>#REF!</v>
      </c>
      <c r="BF59" s="35" t="e">
        <f>-'операционные  расходы 1 этап'!#REF!/1000</f>
        <v>#REF!</v>
      </c>
      <c r="BG59" s="35" t="e">
        <f>-'операционные  расходы 1 этап'!#REF!/1000</f>
        <v>#REF!</v>
      </c>
      <c r="BH59" s="35" t="e">
        <f>-'операционные  расходы 1 этап'!#REF!/1000</f>
        <v>#REF!</v>
      </c>
      <c r="BI59" s="35" t="e">
        <f>-'операционные  расходы 1 этап'!#REF!/1000</f>
        <v>#REF!</v>
      </c>
      <c r="BJ59" s="35" t="e">
        <f>-'операционные  расходы 1 этап'!#REF!/1000</f>
        <v>#REF!</v>
      </c>
      <c r="BK59" s="35" t="e">
        <f>-'операционные  расходы 1 этап'!#REF!/1000</f>
        <v>#REF!</v>
      </c>
      <c r="BL59" s="35" t="e">
        <f>-'операционные  расходы 1 этап'!#REF!/1000</f>
        <v>#REF!</v>
      </c>
      <c r="BM59" s="35" t="e">
        <f>-'операционные  расходы 1 этап'!#REF!/1000</f>
        <v>#REF!</v>
      </c>
      <c r="BN59" s="35" t="e">
        <f>-'операционные  расходы 1 этап'!#REF!/1000</f>
        <v>#REF!</v>
      </c>
      <c r="BO59" s="35" t="e">
        <f>-'операционные  расходы 1 этап'!#REF!/1000</f>
        <v>#REF!</v>
      </c>
      <c r="BP59" s="35" t="e">
        <f>-'операционные  расходы 1 этап'!#REF!/1000</f>
        <v>#REF!</v>
      </c>
      <c r="BQ59" s="35" t="e">
        <f>-'операционные  расходы 1 этап'!#REF!/1000</f>
        <v>#REF!</v>
      </c>
      <c r="BR59" s="35" t="e">
        <f>-'операционные  расходы 1 этап'!#REF!/1000</f>
        <v>#REF!</v>
      </c>
      <c r="BS59" s="35" t="e">
        <f>-'операционные  расходы 1 этап'!#REF!/1000</f>
        <v>#REF!</v>
      </c>
      <c r="BT59" s="35" t="e">
        <f>-'операционные  расходы 1 этап'!#REF!/1000</f>
        <v>#REF!</v>
      </c>
      <c r="BU59" s="35" t="e">
        <f>-'операционные  расходы 1 этап'!#REF!/1000</f>
        <v>#REF!</v>
      </c>
      <c r="BV59" s="35" t="e">
        <f>-'операционные  расходы 1 этап'!#REF!/1000</f>
        <v>#REF!</v>
      </c>
      <c r="BW59" s="35" t="e">
        <f>-'операционные  расходы 1 этап'!#REF!/1000</f>
        <v>#REF!</v>
      </c>
      <c r="BX59" s="35" t="e">
        <f>-'операционные  расходы 1 этап'!#REF!/1000</f>
        <v>#REF!</v>
      </c>
      <c r="BY59" s="35" t="e">
        <f>-'операционные  расходы 1 этап'!#REF!/1000</f>
        <v>#REF!</v>
      </c>
      <c r="BZ59" s="35" t="e">
        <f>-'операционные  расходы 1 этап'!#REF!/1000</f>
        <v>#REF!</v>
      </c>
      <c r="CA59" s="35" t="e">
        <f>-'операционные  расходы 1 этап'!#REF!/1000</f>
        <v>#REF!</v>
      </c>
      <c r="CB59" s="35" t="e">
        <f>-'операционные  расходы 1 этап'!#REF!/1000</f>
        <v>#REF!</v>
      </c>
      <c r="CC59" s="35" t="e">
        <f>-'операционные  расходы 1 этап'!#REF!/1000</f>
        <v>#REF!</v>
      </c>
      <c r="CD59" s="35" t="e">
        <f>-'операционные  расходы 1 этап'!#REF!/1000</f>
        <v>#REF!</v>
      </c>
      <c r="CE59" s="35" t="e">
        <f>-'операционные  расходы 1 этап'!#REF!/1000</f>
        <v>#REF!</v>
      </c>
      <c r="CF59" s="35" t="e">
        <f>-'операционные  расходы 1 этап'!#REF!/1000</f>
        <v>#REF!</v>
      </c>
      <c r="CG59" s="35" t="e">
        <f>-'операционные  расходы 1 этап'!#REF!/1000</f>
        <v>#REF!</v>
      </c>
      <c r="CH59" s="35" t="e">
        <f>-'операционные  расходы 1 этап'!#REF!/1000</f>
        <v>#REF!</v>
      </c>
      <c r="CI59" s="35" t="e">
        <f>-'операционные  расходы 1 этап'!#REF!/1000</f>
        <v>#REF!</v>
      </c>
      <c r="CJ59" s="35" t="e">
        <f>-'операционные  расходы 1 этап'!#REF!/1000</f>
        <v>#REF!</v>
      </c>
      <c r="CK59" s="35" t="e">
        <f>-'операционные  расходы 1 этап'!#REF!/1000</f>
        <v>#REF!</v>
      </c>
      <c r="CL59" s="35" t="e">
        <f>-'операционные  расходы 1 этап'!#REF!/1000</f>
        <v>#REF!</v>
      </c>
      <c r="CM59" s="35" t="e">
        <f>-'операционные  расходы 1 этап'!#REF!/1000</f>
        <v>#REF!</v>
      </c>
      <c r="CN59" s="35" t="e">
        <f>-'операционные  расходы 1 этап'!#REF!/1000</f>
        <v>#REF!</v>
      </c>
      <c r="CO59" s="35" t="e">
        <f>-'операционные  расходы 1 этап'!#REF!/1000</f>
        <v>#REF!</v>
      </c>
    </row>
    <row r="60" spans="1:93" ht="12.75" customHeight="1" outlineLevel="1">
      <c r="A60" s="37"/>
      <c r="B60" s="70" t="s">
        <v>159</v>
      </c>
      <c r="C60" s="70" t="e">
        <f t="shared" ref="C60:C61" si="19">SUM(D60:CN60)</f>
        <v>#REF!</v>
      </c>
      <c r="D60" s="71">
        <f t="shared" ref="D60:CO60" si="20">SUM(D30:D59)</f>
        <v>0</v>
      </c>
      <c r="E60" s="70" t="e">
        <f t="shared" si="20"/>
        <v>#REF!</v>
      </c>
      <c r="F60" s="70" t="e">
        <f t="shared" si="20"/>
        <v>#REF!</v>
      </c>
      <c r="G60" s="70" t="e">
        <f t="shared" si="20"/>
        <v>#REF!</v>
      </c>
      <c r="H60" s="70" t="e">
        <f t="shared" si="20"/>
        <v>#REF!</v>
      </c>
      <c r="I60" s="70" t="e">
        <f t="shared" si="20"/>
        <v>#REF!</v>
      </c>
      <c r="J60" s="70" t="e">
        <f t="shared" si="20"/>
        <v>#REF!</v>
      </c>
      <c r="K60" s="70" t="e">
        <f t="shared" si="20"/>
        <v>#REF!</v>
      </c>
      <c r="L60" s="70" t="e">
        <f t="shared" si="20"/>
        <v>#REF!</v>
      </c>
      <c r="M60" s="70" t="e">
        <f t="shared" si="20"/>
        <v>#REF!</v>
      </c>
      <c r="N60" s="70" t="e">
        <f t="shared" si="20"/>
        <v>#REF!</v>
      </c>
      <c r="O60" s="70" t="e">
        <f t="shared" si="20"/>
        <v>#REF!</v>
      </c>
      <c r="P60" s="70" t="e">
        <f t="shared" si="20"/>
        <v>#REF!</v>
      </c>
      <c r="Q60" s="70" t="e">
        <f t="shared" si="20"/>
        <v>#REF!</v>
      </c>
      <c r="R60" s="70" t="e">
        <f t="shared" si="20"/>
        <v>#REF!</v>
      </c>
      <c r="S60" s="70" t="e">
        <f t="shared" si="20"/>
        <v>#REF!</v>
      </c>
      <c r="T60" s="70" t="e">
        <f t="shared" si="20"/>
        <v>#REF!</v>
      </c>
      <c r="U60" s="70" t="e">
        <f t="shared" si="20"/>
        <v>#REF!</v>
      </c>
      <c r="V60" s="70" t="e">
        <f t="shared" si="20"/>
        <v>#REF!</v>
      </c>
      <c r="W60" s="70" t="e">
        <f t="shared" si="20"/>
        <v>#REF!</v>
      </c>
      <c r="X60" s="70" t="e">
        <f t="shared" si="20"/>
        <v>#REF!</v>
      </c>
      <c r="Y60" s="70" t="e">
        <f t="shared" si="20"/>
        <v>#REF!</v>
      </c>
      <c r="Z60" s="70" t="e">
        <f t="shared" si="20"/>
        <v>#REF!</v>
      </c>
      <c r="AA60" s="70" t="e">
        <f t="shared" si="20"/>
        <v>#REF!</v>
      </c>
      <c r="AB60" s="70" t="e">
        <f t="shared" si="20"/>
        <v>#REF!</v>
      </c>
      <c r="AC60" s="70" t="e">
        <f t="shared" si="20"/>
        <v>#REF!</v>
      </c>
      <c r="AD60" s="70" t="e">
        <f t="shared" si="20"/>
        <v>#REF!</v>
      </c>
      <c r="AE60" s="70" t="e">
        <f t="shared" si="20"/>
        <v>#REF!</v>
      </c>
      <c r="AF60" s="70" t="e">
        <f t="shared" si="20"/>
        <v>#REF!</v>
      </c>
      <c r="AG60" s="70" t="e">
        <f t="shared" si="20"/>
        <v>#REF!</v>
      </c>
      <c r="AH60" s="70" t="e">
        <f t="shared" si="20"/>
        <v>#REF!</v>
      </c>
      <c r="AI60" s="70" t="e">
        <f t="shared" si="20"/>
        <v>#REF!</v>
      </c>
      <c r="AJ60" s="70" t="e">
        <f t="shared" si="20"/>
        <v>#REF!</v>
      </c>
      <c r="AK60" s="70" t="e">
        <f t="shared" si="20"/>
        <v>#REF!</v>
      </c>
      <c r="AL60" s="70" t="e">
        <f t="shared" si="20"/>
        <v>#REF!</v>
      </c>
      <c r="AM60" s="70" t="e">
        <f t="shared" si="20"/>
        <v>#REF!</v>
      </c>
      <c r="AN60" s="70" t="e">
        <f t="shared" si="20"/>
        <v>#REF!</v>
      </c>
      <c r="AO60" s="70" t="e">
        <f t="shared" si="20"/>
        <v>#REF!</v>
      </c>
      <c r="AP60" s="70" t="e">
        <f t="shared" si="20"/>
        <v>#REF!</v>
      </c>
      <c r="AQ60" s="70" t="e">
        <f t="shared" si="20"/>
        <v>#REF!</v>
      </c>
      <c r="AR60" s="70" t="e">
        <f t="shared" si="20"/>
        <v>#REF!</v>
      </c>
      <c r="AS60" s="70" t="e">
        <f t="shared" si="20"/>
        <v>#REF!</v>
      </c>
      <c r="AT60" s="70" t="e">
        <f t="shared" si="20"/>
        <v>#REF!</v>
      </c>
      <c r="AU60" s="70" t="e">
        <f t="shared" si="20"/>
        <v>#REF!</v>
      </c>
      <c r="AV60" s="70" t="e">
        <f t="shared" si="20"/>
        <v>#REF!</v>
      </c>
      <c r="AW60" s="70" t="e">
        <f t="shared" si="20"/>
        <v>#REF!</v>
      </c>
      <c r="AX60" s="70" t="e">
        <f t="shared" si="20"/>
        <v>#REF!</v>
      </c>
      <c r="AY60" s="70" t="e">
        <f t="shared" si="20"/>
        <v>#REF!</v>
      </c>
      <c r="AZ60" s="70" t="e">
        <f t="shared" si="20"/>
        <v>#REF!</v>
      </c>
      <c r="BA60" s="70" t="e">
        <f t="shared" si="20"/>
        <v>#REF!</v>
      </c>
      <c r="BB60" s="70" t="e">
        <f t="shared" si="20"/>
        <v>#REF!</v>
      </c>
      <c r="BC60" s="70" t="e">
        <f t="shared" si="20"/>
        <v>#REF!</v>
      </c>
      <c r="BD60" s="70" t="e">
        <f t="shared" si="20"/>
        <v>#REF!</v>
      </c>
      <c r="BE60" s="70" t="e">
        <f t="shared" si="20"/>
        <v>#REF!</v>
      </c>
      <c r="BF60" s="70" t="e">
        <f t="shared" si="20"/>
        <v>#REF!</v>
      </c>
      <c r="BG60" s="70" t="e">
        <f t="shared" si="20"/>
        <v>#REF!</v>
      </c>
      <c r="BH60" s="70" t="e">
        <f t="shared" si="20"/>
        <v>#REF!</v>
      </c>
      <c r="BI60" s="70" t="e">
        <f t="shared" si="20"/>
        <v>#REF!</v>
      </c>
      <c r="BJ60" s="70" t="e">
        <f t="shared" si="20"/>
        <v>#REF!</v>
      </c>
      <c r="BK60" s="70" t="e">
        <f t="shared" si="20"/>
        <v>#REF!</v>
      </c>
      <c r="BL60" s="70" t="e">
        <f t="shared" si="20"/>
        <v>#REF!</v>
      </c>
      <c r="BM60" s="70" t="e">
        <f t="shared" si="20"/>
        <v>#REF!</v>
      </c>
      <c r="BN60" s="70" t="e">
        <f t="shared" si="20"/>
        <v>#REF!</v>
      </c>
      <c r="BO60" s="70" t="e">
        <f t="shared" si="20"/>
        <v>#REF!</v>
      </c>
      <c r="BP60" s="70" t="e">
        <f t="shared" si="20"/>
        <v>#REF!</v>
      </c>
      <c r="BQ60" s="70" t="e">
        <f t="shared" si="20"/>
        <v>#REF!</v>
      </c>
      <c r="BR60" s="70" t="e">
        <f t="shared" si="20"/>
        <v>#REF!</v>
      </c>
      <c r="BS60" s="70" t="e">
        <f t="shared" si="20"/>
        <v>#REF!</v>
      </c>
      <c r="BT60" s="70" t="e">
        <f t="shared" si="20"/>
        <v>#REF!</v>
      </c>
      <c r="BU60" s="70" t="e">
        <f t="shared" si="20"/>
        <v>#REF!</v>
      </c>
      <c r="BV60" s="70" t="e">
        <f t="shared" si="20"/>
        <v>#REF!</v>
      </c>
      <c r="BW60" s="70" t="e">
        <f t="shared" si="20"/>
        <v>#REF!</v>
      </c>
      <c r="BX60" s="70" t="e">
        <f t="shared" si="20"/>
        <v>#REF!</v>
      </c>
      <c r="BY60" s="70" t="e">
        <f t="shared" si="20"/>
        <v>#REF!</v>
      </c>
      <c r="BZ60" s="70" t="e">
        <f t="shared" si="20"/>
        <v>#REF!</v>
      </c>
      <c r="CA60" s="70" t="e">
        <f t="shared" si="20"/>
        <v>#REF!</v>
      </c>
      <c r="CB60" s="70" t="e">
        <f t="shared" si="20"/>
        <v>#REF!</v>
      </c>
      <c r="CC60" s="70" t="e">
        <f t="shared" si="20"/>
        <v>#REF!</v>
      </c>
      <c r="CD60" s="70" t="e">
        <f t="shared" si="20"/>
        <v>#REF!</v>
      </c>
      <c r="CE60" s="70" t="e">
        <f t="shared" si="20"/>
        <v>#REF!</v>
      </c>
      <c r="CF60" s="70" t="e">
        <f t="shared" si="20"/>
        <v>#REF!</v>
      </c>
      <c r="CG60" s="70" t="e">
        <f t="shared" si="20"/>
        <v>#REF!</v>
      </c>
      <c r="CH60" s="70" t="e">
        <f t="shared" si="20"/>
        <v>#REF!</v>
      </c>
      <c r="CI60" s="70" t="e">
        <f t="shared" si="20"/>
        <v>#REF!</v>
      </c>
      <c r="CJ60" s="70" t="e">
        <f t="shared" si="20"/>
        <v>#REF!</v>
      </c>
      <c r="CK60" s="70" t="e">
        <f t="shared" si="20"/>
        <v>#REF!</v>
      </c>
      <c r="CL60" s="70" t="e">
        <f t="shared" si="20"/>
        <v>#REF!</v>
      </c>
      <c r="CM60" s="70" t="e">
        <f t="shared" si="20"/>
        <v>#REF!</v>
      </c>
      <c r="CN60" s="70" t="e">
        <f t="shared" si="20"/>
        <v>#REF!</v>
      </c>
      <c r="CO60" s="72" t="e">
        <f t="shared" si="20"/>
        <v>#REF!</v>
      </c>
    </row>
    <row r="61" spans="1:93" ht="12.75" customHeight="1">
      <c r="A61" s="37"/>
      <c r="B61" s="75" t="s">
        <v>160</v>
      </c>
      <c r="C61" s="70" t="e">
        <f t="shared" si="19"/>
        <v>#REF!</v>
      </c>
      <c r="D61" s="76">
        <f t="shared" ref="D61:CO61" si="21">SUM(D28,D60)</f>
        <v>0</v>
      </c>
      <c r="E61" s="75" t="e">
        <f t="shared" si="21"/>
        <v>#REF!</v>
      </c>
      <c r="F61" s="75" t="e">
        <f t="shared" si="21"/>
        <v>#REF!</v>
      </c>
      <c r="G61" s="75" t="e">
        <f t="shared" si="21"/>
        <v>#REF!</v>
      </c>
      <c r="H61" s="75" t="e">
        <f t="shared" si="21"/>
        <v>#REF!</v>
      </c>
      <c r="I61" s="75" t="e">
        <f t="shared" si="21"/>
        <v>#REF!</v>
      </c>
      <c r="J61" s="75" t="e">
        <f t="shared" si="21"/>
        <v>#REF!</v>
      </c>
      <c r="K61" s="75" t="e">
        <f t="shared" si="21"/>
        <v>#REF!</v>
      </c>
      <c r="L61" s="75" t="e">
        <f t="shared" si="21"/>
        <v>#REF!</v>
      </c>
      <c r="M61" s="75" t="e">
        <f t="shared" si="21"/>
        <v>#REF!</v>
      </c>
      <c r="N61" s="75" t="e">
        <f t="shared" si="21"/>
        <v>#REF!</v>
      </c>
      <c r="O61" s="75" t="e">
        <f t="shared" si="21"/>
        <v>#REF!</v>
      </c>
      <c r="P61" s="75" t="e">
        <f t="shared" si="21"/>
        <v>#REF!</v>
      </c>
      <c r="Q61" s="75" t="e">
        <f t="shared" si="21"/>
        <v>#REF!</v>
      </c>
      <c r="R61" s="75" t="e">
        <f t="shared" si="21"/>
        <v>#REF!</v>
      </c>
      <c r="S61" s="75" t="e">
        <f t="shared" si="21"/>
        <v>#REF!</v>
      </c>
      <c r="T61" s="75" t="e">
        <f t="shared" si="21"/>
        <v>#REF!</v>
      </c>
      <c r="U61" s="75" t="e">
        <f t="shared" si="21"/>
        <v>#REF!</v>
      </c>
      <c r="V61" s="75" t="e">
        <f t="shared" si="21"/>
        <v>#REF!</v>
      </c>
      <c r="W61" s="75" t="e">
        <f t="shared" si="21"/>
        <v>#REF!</v>
      </c>
      <c r="X61" s="75" t="e">
        <f t="shared" si="21"/>
        <v>#REF!</v>
      </c>
      <c r="Y61" s="75" t="e">
        <f t="shared" si="21"/>
        <v>#REF!</v>
      </c>
      <c r="Z61" s="75" t="e">
        <f t="shared" si="21"/>
        <v>#REF!</v>
      </c>
      <c r="AA61" s="75" t="e">
        <f t="shared" si="21"/>
        <v>#REF!</v>
      </c>
      <c r="AB61" s="75" t="e">
        <f t="shared" si="21"/>
        <v>#REF!</v>
      </c>
      <c r="AC61" s="75" t="e">
        <f t="shared" si="21"/>
        <v>#REF!</v>
      </c>
      <c r="AD61" s="75" t="e">
        <f t="shared" si="21"/>
        <v>#REF!</v>
      </c>
      <c r="AE61" s="75" t="e">
        <f t="shared" si="21"/>
        <v>#REF!</v>
      </c>
      <c r="AF61" s="75" t="e">
        <f t="shared" si="21"/>
        <v>#REF!</v>
      </c>
      <c r="AG61" s="75" t="e">
        <f t="shared" si="21"/>
        <v>#REF!</v>
      </c>
      <c r="AH61" s="75" t="e">
        <f t="shared" si="21"/>
        <v>#REF!</v>
      </c>
      <c r="AI61" s="75" t="e">
        <f t="shared" si="21"/>
        <v>#REF!</v>
      </c>
      <c r="AJ61" s="75" t="e">
        <f t="shared" si="21"/>
        <v>#REF!</v>
      </c>
      <c r="AK61" s="75" t="e">
        <f t="shared" si="21"/>
        <v>#REF!</v>
      </c>
      <c r="AL61" s="75" t="e">
        <f t="shared" si="21"/>
        <v>#REF!</v>
      </c>
      <c r="AM61" s="75" t="e">
        <f t="shared" si="21"/>
        <v>#REF!</v>
      </c>
      <c r="AN61" s="75" t="e">
        <f t="shared" si="21"/>
        <v>#REF!</v>
      </c>
      <c r="AO61" s="75" t="e">
        <f t="shared" si="21"/>
        <v>#REF!</v>
      </c>
      <c r="AP61" s="75" t="e">
        <f t="shared" si="21"/>
        <v>#REF!</v>
      </c>
      <c r="AQ61" s="75" t="e">
        <f t="shared" si="21"/>
        <v>#REF!</v>
      </c>
      <c r="AR61" s="75" t="e">
        <f t="shared" si="21"/>
        <v>#REF!</v>
      </c>
      <c r="AS61" s="75" t="e">
        <f t="shared" si="21"/>
        <v>#REF!</v>
      </c>
      <c r="AT61" s="75" t="e">
        <f t="shared" si="21"/>
        <v>#REF!</v>
      </c>
      <c r="AU61" s="75" t="e">
        <f t="shared" si="21"/>
        <v>#REF!</v>
      </c>
      <c r="AV61" s="75" t="e">
        <f t="shared" si="21"/>
        <v>#REF!</v>
      </c>
      <c r="AW61" s="75" t="e">
        <f t="shared" si="21"/>
        <v>#REF!</v>
      </c>
      <c r="AX61" s="75" t="e">
        <f t="shared" si="21"/>
        <v>#REF!</v>
      </c>
      <c r="AY61" s="75" t="e">
        <f t="shared" si="21"/>
        <v>#REF!</v>
      </c>
      <c r="AZ61" s="75" t="e">
        <f t="shared" si="21"/>
        <v>#REF!</v>
      </c>
      <c r="BA61" s="75" t="e">
        <f t="shared" si="21"/>
        <v>#REF!</v>
      </c>
      <c r="BB61" s="75" t="e">
        <f t="shared" si="21"/>
        <v>#REF!</v>
      </c>
      <c r="BC61" s="75" t="e">
        <f t="shared" si="21"/>
        <v>#REF!</v>
      </c>
      <c r="BD61" s="75" t="e">
        <f t="shared" si="21"/>
        <v>#REF!</v>
      </c>
      <c r="BE61" s="75" t="e">
        <f t="shared" si="21"/>
        <v>#REF!</v>
      </c>
      <c r="BF61" s="75" t="e">
        <f t="shared" si="21"/>
        <v>#REF!</v>
      </c>
      <c r="BG61" s="75" t="e">
        <f t="shared" si="21"/>
        <v>#REF!</v>
      </c>
      <c r="BH61" s="75" t="e">
        <f t="shared" si="21"/>
        <v>#REF!</v>
      </c>
      <c r="BI61" s="75" t="e">
        <f t="shared" si="21"/>
        <v>#REF!</v>
      </c>
      <c r="BJ61" s="75" t="e">
        <f t="shared" si="21"/>
        <v>#REF!</v>
      </c>
      <c r="BK61" s="75" t="e">
        <f t="shared" si="21"/>
        <v>#REF!</v>
      </c>
      <c r="BL61" s="75" t="e">
        <f t="shared" si="21"/>
        <v>#REF!</v>
      </c>
      <c r="BM61" s="75" t="e">
        <f t="shared" si="21"/>
        <v>#REF!</v>
      </c>
      <c r="BN61" s="75" t="e">
        <f t="shared" si="21"/>
        <v>#REF!</v>
      </c>
      <c r="BO61" s="75" t="e">
        <f t="shared" si="21"/>
        <v>#REF!</v>
      </c>
      <c r="BP61" s="75" t="e">
        <f t="shared" si="21"/>
        <v>#REF!</v>
      </c>
      <c r="BQ61" s="75" t="e">
        <f t="shared" si="21"/>
        <v>#REF!</v>
      </c>
      <c r="BR61" s="75" t="e">
        <f t="shared" si="21"/>
        <v>#REF!</v>
      </c>
      <c r="BS61" s="75" t="e">
        <f t="shared" si="21"/>
        <v>#REF!</v>
      </c>
      <c r="BT61" s="75" t="e">
        <f t="shared" si="21"/>
        <v>#REF!</v>
      </c>
      <c r="BU61" s="75" t="e">
        <f t="shared" si="21"/>
        <v>#REF!</v>
      </c>
      <c r="BV61" s="75" t="e">
        <f t="shared" si="21"/>
        <v>#REF!</v>
      </c>
      <c r="BW61" s="75" t="e">
        <f t="shared" si="21"/>
        <v>#REF!</v>
      </c>
      <c r="BX61" s="75" t="e">
        <f t="shared" si="21"/>
        <v>#REF!</v>
      </c>
      <c r="BY61" s="75" t="e">
        <f t="shared" si="21"/>
        <v>#REF!</v>
      </c>
      <c r="BZ61" s="75" t="e">
        <f t="shared" si="21"/>
        <v>#REF!</v>
      </c>
      <c r="CA61" s="75" t="e">
        <f t="shared" si="21"/>
        <v>#REF!</v>
      </c>
      <c r="CB61" s="75" t="e">
        <f t="shared" si="21"/>
        <v>#REF!</v>
      </c>
      <c r="CC61" s="75" t="e">
        <f t="shared" si="21"/>
        <v>#REF!</v>
      </c>
      <c r="CD61" s="75" t="e">
        <f t="shared" si="21"/>
        <v>#REF!</v>
      </c>
      <c r="CE61" s="75" t="e">
        <f t="shared" si="21"/>
        <v>#REF!</v>
      </c>
      <c r="CF61" s="75" t="e">
        <f t="shared" si="21"/>
        <v>#REF!</v>
      </c>
      <c r="CG61" s="75" t="e">
        <f t="shared" si="21"/>
        <v>#REF!</v>
      </c>
      <c r="CH61" s="75" t="e">
        <f t="shared" si="21"/>
        <v>#REF!</v>
      </c>
      <c r="CI61" s="75" t="e">
        <f t="shared" si="21"/>
        <v>#REF!</v>
      </c>
      <c r="CJ61" s="75" t="e">
        <f t="shared" si="21"/>
        <v>#REF!</v>
      </c>
      <c r="CK61" s="75" t="e">
        <f t="shared" si="21"/>
        <v>#REF!</v>
      </c>
      <c r="CL61" s="75" t="e">
        <f t="shared" si="21"/>
        <v>#REF!</v>
      </c>
      <c r="CM61" s="75" t="e">
        <f t="shared" si="21"/>
        <v>#REF!</v>
      </c>
      <c r="CN61" s="75" t="e">
        <f t="shared" si="21"/>
        <v>#REF!</v>
      </c>
      <c r="CO61" s="77" t="e">
        <f t="shared" si="21"/>
        <v>#REF!</v>
      </c>
    </row>
    <row r="62" spans="1:93" ht="12.75" customHeight="1">
      <c r="A62" s="35"/>
      <c r="B62" s="78" t="s">
        <v>161</v>
      </c>
      <c r="C62" s="78"/>
      <c r="D62" s="79">
        <f t="shared" ref="D62:CO62" si="22">IF(ISERROR(D61/D28),0,D61/D28)</f>
        <v>0</v>
      </c>
      <c r="E62" s="80">
        <f t="shared" si="22"/>
        <v>0</v>
      </c>
      <c r="F62" s="80">
        <f t="shared" si="22"/>
        <v>0</v>
      </c>
      <c r="G62" s="80">
        <f t="shared" si="22"/>
        <v>0</v>
      </c>
      <c r="H62" s="80">
        <f t="shared" si="22"/>
        <v>0</v>
      </c>
      <c r="I62" s="80">
        <f t="shared" si="22"/>
        <v>0</v>
      </c>
      <c r="J62" s="80">
        <f t="shared" si="22"/>
        <v>0</v>
      </c>
      <c r="K62" s="80">
        <f t="shared" si="22"/>
        <v>0</v>
      </c>
      <c r="L62" s="80">
        <f t="shared" si="22"/>
        <v>0</v>
      </c>
      <c r="M62" s="80">
        <f t="shared" si="22"/>
        <v>0</v>
      </c>
      <c r="N62" s="80">
        <f t="shared" si="22"/>
        <v>0</v>
      </c>
      <c r="O62" s="80">
        <f t="shared" si="22"/>
        <v>0</v>
      </c>
      <c r="P62" s="80">
        <f t="shared" si="22"/>
        <v>0</v>
      </c>
      <c r="Q62" s="80">
        <f t="shared" si="22"/>
        <v>0</v>
      </c>
      <c r="R62" s="80">
        <f t="shared" si="22"/>
        <v>0</v>
      </c>
      <c r="S62" s="80">
        <f t="shared" si="22"/>
        <v>0</v>
      </c>
      <c r="T62" s="80">
        <f t="shared" si="22"/>
        <v>0</v>
      </c>
      <c r="U62" s="80">
        <f t="shared" si="22"/>
        <v>0</v>
      </c>
      <c r="V62" s="80">
        <f t="shared" si="22"/>
        <v>0</v>
      </c>
      <c r="W62" s="80">
        <f t="shared" si="22"/>
        <v>0</v>
      </c>
      <c r="X62" s="80">
        <f t="shared" si="22"/>
        <v>0</v>
      </c>
      <c r="Y62" s="80">
        <f t="shared" si="22"/>
        <v>0</v>
      </c>
      <c r="Z62" s="80">
        <f t="shared" si="22"/>
        <v>0</v>
      </c>
      <c r="AA62" s="80">
        <f t="shared" si="22"/>
        <v>0</v>
      </c>
      <c r="AB62" s="80">
        <f t="shared" si="22"/>
        <v>0</v>
      </c>
      <c r="AC62" s="80">
        <f t="shared" si="22"/>
        <v>0</v>
      </c>
      <c r="AD62" s="80">
        <f t="shared" si="22"/>
        <v>0</v>
      </c>
      <c r="AE62" s="80">
        <f t="shared" si="22"/>
        <v>0</v>
      </c>
      <c r="AF62" s="80">
        <f t="shared" si="22"/>
        <v>0</v>
      </c>
      <c r="AG62" s="80">
        <f t="shared" si="22"/>
        <v>0</v>
      </c>
      <c r="AH62" s="80">
        <f t="shared" si="22"/>
        <v>0</v>
      </c>
      <c r="AI62" s="80">
        <f t="shared" si="22"/>
        <v>0</v>
      </c>
      <c r="AJ62" s="80">
        <f t="shared" si="22"/>
        <v>0</v>
      </c>
      <c r="AK62" s="80">
        <f t="shared" si="22"/>
        <v>0</v>
      </c>
      <c r="AL62" s="80">
        <f t="shared" si="22"/>
        <v>0</v>
      </c>
      <c r="AM62" s="80">
        <f t="shared" si="22"/>
        <v>0</v>
      </c>
      <c r="AN62" s="80">
        <f t="shared" si="22"/>
        <v>0</v>
      </c>
      <c r="AO62" s="80">
        <f t="shared" si="22"/>
        <v>0</v>
      </c>
      <c r="AP62" s="80">
        <f t="shared" si="22"/>
        <v>0</v>
      </c>
      <c r="AQ62" s="80">
        <f t="shared" si="22"/>
        <v>0</v>
      </c>
      <c r="AR62" s="80">
        <f t="shared" si="22"/>
        <v>0</v>
      </c>
      <c r="AS62" s="80">
        <f t="shared" si="22"/>
        <v>0</v>
      </c>
      <c r="AT62" s="80">
        <f t="shared" si="22"/>
        <v>0</v>
      </c>
      <c r="AU62" s="80">
        <f t="shared" si="22"/>
        <v>0</v>
      </c>
      <c r="AV62" s="80">
        <f t="shared" si="22"/>
        <v>0</v>
      </c>
      <c r="AW62" s="80">
        <f t="shared" si="22"/>
        <v>0</v>
      </c>
      <c r="AX62" s="80">
        <f t="shared" si="22"/>
        <v>0</v>
      </c>
      <c r="AY62" s="80">
        <f t="shared" si="22"/>
        <v>0</v>
      </c>
      <c r="AZ62" s="80">
        <f t="shared" si="22"/>
        <v>0</v>
      </c>
      <c r="BA62" s="80">
        <f t="shared" si="22"/>
        <v>0</v>
      </c>
      <c r="BB62" s="80">
        <f t="shared" si="22"/>
        <v>0</v>
      </c>
      <c r="BC62" s="80">
        <f t="shared" si="22"/>
        <v>0</v>
      </c>
      <c r="BD62" s="80">
        <f t="shared" si="22"/>
        <v>0</v>
      </c>
      <c r="BE62" s="80">
        <f t="shared" si="22"/>
        <v>0</v>
      </c>
      <c r="BF62" s="80">
        <f t="shared" si="22"/>
        <v>0</v>
      </c>
      <c r="BG62" s="80">
        <f t="shared" si="22"/>
        <v>0</v>
      </c>
      <c r="BH62" s="80">
        <f t="shared" si="22"/>
        <v>0</v>
      </c>
      <c r="BI62" s="80">
        <f t="shared" si="22"/>
        <v>0</v>
      </c>
      <c r="BJ62" s="80">
        <f t="shared" si="22"/>
        <v>0</v>
      </c>
      <c r="BK62" s="80">
        <f t="shared" si="22"/>
        <v>0</v>
      </c>
      <c r="BL62" s="80">
        <f t="shared" si="22"/>
        <v>0</v>
      </c>
      <c r="BM62" s="80">
        <f t="shared" si="22"/>
        <v>0</v>
      </c>
      <c r="BN62" s="80">
        <f t="shared" si="22"/>
        <v>0</v>
      </c>
      <c r="BO62" s="80">
        <f t="shared" si="22"/>
        <v>0</v>
      </c>
      <c r="BP62" s="80">
        <f t="shared" si="22"/>
        <v>0</v>
      </c>
      <c r="BQ62" s="80">
        <f t="shared" si="22"/>
        <v>0</v>
      </c>
      <c r="BR62" s="80">
        <f t="shared" si="22"/>
        <v>0</v>
      </c>
      <c r="BS62" s="80">
        <f t="shared" si="22"/>
        <v>0</v>
      </c>
      <c r="BT62" s="80">
        <f t="shared" si="22"/>
        <v>0</v>
      </c>
      <c r="BU62" s="80">
        <f t="shared" si="22"/>
        <v>0</v>
      </c>
      <c r="BV62" s="80">
        <f t="shared" si="22"/>
        <v>0</v>
      </c>
      <c r="BW62" s="80">
        <f t="shared" si="22"/>
        <v>0</v>
      </c>
      <c r="BX62" s="80">
        <f t="shared" si="22"/>
        <v>0</v>
      </c>
      <c r="BY62" s="80">
        <f t="shared" si="22"/>
        <v>0</v>
      </c>
      <c r="BZ62" s="80">
        <f t="shared" si="22"/>
        <v>0</v>
      </c>
      <c r="CA62" s="80">
        <f t="shared" si="22"/>
        <v>0</v>
      </c>
      <c r="CB62" s="80">
        <f t="shared" si="22"/>
        <v>0</v>
      </c>
      <c r="CC62" s="80">
        <f t="shared" si="22"/>
        <v>0</v>
      </c>
      <c r="CD62" s="80">
        <f t="shared" si="22"/>
        <v>0</v>
      </c>
      <c r="CE62" s="80">
        <f t="shared" si="22"/>
        <v>0</v>
      </c>
      <c r="CF62" s="80">
        <f t="shared" si="22"/>
        <v>0</v>
      </c>
      <c r="CG62" s="80">
        <f t="shared" si="22"/>
        <v>0</v>
      </c>
      <c r="CH62" s="80">
        <f t="shared" si="22"/>
        <v>0</v>
      </c>
      <c r="CI62" s="80">
        <f t="shared" si="22"/>
        <v>0</v>
      </c>
      <c r="CJ62" s="80">
        <f t="shared" si="22"/>
        <v>0</v>
      </c>
      <c r="CK62" s="80">
        <f t="shared" si="22"/>
        <v>0</v>
      </c>
      <c r="CL62" s="80">
        <f t="shared" si="22"/>
        <v>0</v>
      </c>
      <c r="CM62" s="80">
        <f t="shared" si="22"/>
        <v>0</v>
      </c>
      <c r="CN62" s="80">
        <f t="shared" si="22"/>
        <v>0</v>
      </c>
      <c r="CO62" s="81">
        <f t="shared" si="22"/>
        <v>0</v>
      </c>
    </row>
    <row r="63" spans="1:93" ht="12" customHeight="1" outlineLevel="2">
      <c r="A63" s="35"/>
      <c r="B63" s="63" t="s">
        <v>55</v>
      </c>
      <c r="C63" s="35" t="e">
        <f t="shared" ref="C63" si="23">SUM(D63:CN63)</f>
        <v>#REF!</v>
      </c>
      <c r="D63" s="82"/>
      <c r="E63" s="83" t="e">
        <f>-(#REF!+#REF!+E170)</f>
        <v>#REF!</v>
      </c>
      <c r="F63" s="83" t="e">
        <f>-(#REF!+#REF!+F170)</f>
        <v>#REF!</v>
      </c>
      <c r="G63" s="83" t="e">
        <f>-(#REF!+#REF!+G170)</f>
        <v>#REF!</v>
      </c>
      <c r="H63" s="83" t="e">
        <f>-(#REF!+#REF!+H170)</f>
        <v>#REF!</v>
      </c>
      <c r="I63" s="83" t="e">
        <f>-(#REF!+#REF!+I170)</f>
        <v>#REF!</v>
      </c>
      <c r="J63" s="83" t="e">
        <f>-(#REF!+#REF!+J170)</f>
        <v>#REF!</v>
      </c>
      <c r="K63" s="83" t="e">
        <f>-(#REF!+#REF!+K170)</f>
        <v>#REF!</v>
      </c>
      <c r="L63" s="83" t="e">
        <f>-(#REF!+#REF!+L170)</f>
        <v>#REF!</v>
      </c>
      <c r="M63" s="83" t="e">
        <f>-(#REF!+#REF!+M170)</f>
        <v>#REF!</v>
      </c>
      <c r="N63" s="83" t="e">
        <f>-(#REF!+#REF!+N170)</f>
        <v>#REF!</v>
      </c>
      <c r="O63" s="83" t="e">
        <f>-(#REF!+#REF!+O170)</f>
        <v>#REF!</v>
      </c>
      <c r="P63" s="83" t="e">
        <f>-(#REF!+#REF!+P170)</f>
        <v>#REF!</v>
      </c>
      <c r="Q63" s="83" t="e">
        <f>-(#REF!+#REF!+Q170)</f>
        <v>#REF!</v>
      </c>
      <c r="R63" s="83" t="e">
        <f>-(#REF!+#REF!+R170)</f>
        <v>#REF!</v>
      </c>
      <c r="S63" s="83" t="e">
        <f>-(#REF!+#REF!+S170)</f>
        <v>#REF!</v>
      </c>
      <c r="T63" s="83" t="e">
        <f>-(#REF!+#REF!+T170)</f>
        <v>#REF!</v>
      </c>
      <c r="U63" s="83" t="e">
        <f>-(#REF!+#REF!+U170)</f>
        <v>#REF!</v>
      </c>
      <c r="V63" s="83" t="e">
        <f>-(#REF!+#REF!+V170)</f>
        <v>#REF!</v>
      </c>
      <c r="W63" s="83" t="e">
        <f>-(#REF!+#REF!+W170)</f>
        <v>#REF!</v>
      </c>
      <c r="X63" s="83" t="e">
        <f>-(#REF!+#REF!+X170)</f>
        <v>#REF!</v>
      </c>
      <c r="Y63" s="83" t="e">
        <f>-(#REF!+#REF!+Y170)</f>
        <v>#REF!</v>
      </c>
      <c r="Z63" s="83" t="e">
        <f>-(#REF!+#REF!+Z170)</f>
        <v>#REF!</v>
      </c>
      <c r="AA63" s="83" t="e">
        <f>-(#REF!+#REF!+AA170)</f>
        <v>#REF!</v>
      </c>
      <c r="AB63" s="83" t="e">
        <f>-(#REF!+#REF!+AB170)</f>
        <v>#REF!</v>
      </c>
      <c r="AC63" s="83" t="e">
        <f>-(#REF!+#REF!+AC170)</f>
        <v>#REF!</v>
      </c>
      <c r="AD63" s="83" t="e">
        <f>-(#REF!+#REF!+AD170)</f>
        <v>#REF!</v>
      </c>
      <c r="AE63" s="83" t="e">
        <f>-(#REF!+#REF!+AE170)</f>
        <v>#REF!</v>
      </c>
      <c r="AF63" s="83" t="e">
        <f>-(#REF!+#REF!+AF170)</f>
        <v>#REF!</v>
      </c>
      <c r="AG63" s="83" t="e">
        <f>-(#REF!+#REF!+AG170)</f>
        <v>#REF!</v>
      </c>
      <c r="AH63" s="83" t="e">
        <f>-(#REF!+#REF!+AH170)</f>
        <v>#REF!</v>
      </c>
      <c r="AI63" s="83" t="e">
        <f>-(#REF!+#REF!+AI170)</f>
        <v>#REF!</v>
      </c>
      <c r="AJ63" s="83" t="e">
        <f>-(#REF!+#REF!+AJ170)</f>
        <v>#REF!</v>
      </c>
      <c r="AK63" s="83" t="e">
        <f>-(#REF!+#REF!+AK170)</f>
        <v>#REF!</v>
      </c>
      <c r="AL63" s="83" t="e">
        <f>-(#REF!+#REF!+AL170)</f>
        <v>#REF!</v>
      </c>
      <c r="AM63" s="83" t="e">
        <f>-(#REF!+#REF!+AM170)</f>
        <v>#REF!</v>
      </c>
      <c r="AN63" s="83" t="e">
        <f>-(#REF!+#REF!+AN170)</f>
        <v>#REF!</v>
      </c>
      <c r="AO63" s="83" t="e">
        <f>-(#REF!+#REF!+AO170)</f>
        <v>#REF!</v>
      </c>
      <c r="AP63" s="83" t="e">
        <f>-(#REF!+#REF!+AP170)</f>
        <v>#REF!</v>
      </c>
      <c r="AQ63" s="83" t="e">
        <f>-(#REF!+#REF!+AQ170)</f>
        <v>#REF!</v>
      </c>
      <c r="AR63" s="83" t="e">
        <f>-(#REF!+#REF!+AR170)</f>
        <v>#REF!</v>
      </c>
      <c r="AS63" s="83" t="e">
        <f>-(#REF!+#REF!+AS170)</f>
        <v>#REF!</v>
      </c>
      <c r="AT63" s="83" t="e">
        <f>-(#REF!+#REF!+AT170)</f>
        <v>#REF!</v>
      </c>
      <c r="AU63" s="83" t="e">
        <f>-(#REF!+#REF!+AU170)</f>
        <v>#REF!</v>
      </c>
      <c r="AV63" s="83" t="e">
        <f>-(#REF!+#REF!+AV170)</f>
        <v>#REF!</v>
      </c>
      <c r="AW63" s="83" t="e">
        <f>-(#REF!+#REF!+AW170)</f>
        <v>#REF!</v>
      </c>
      <c r="AX63" s="83" t="e">
        <f>-(#REF!+#REF!+AX170)</f>
        <v>#REF!</v>
      </c>
      <c r="AY63" s="83" t="e">
        <f>-(#REF!+#REF!+AY170)</f>
        <v>#REF!</v>
      </c>
      <c r="AZ63" s="83" t="e">
        <f>-(#REF!+#REF!+AZ170)</f>
        <v>#REF!</v>
      </c>
      <c r="BA63" s="83" t="e">
        <f>-(#REF!+#REF!+BA170)</f>
        <v>#REF!</v>
      </c>
      <c r="BB63" s="83" t="e">
        <f>-(#REF!+#REF!+BB170)</f>
        <v>#REF!</v>
      </c>
      <c r="BC63" s="83" t="e">
        <f>-(#REF!+#REF!+BC170)</f>
        <v>#REF!</v>
      </c>
      <c r="BD63" s="83" t="e">
        <f>-(#REF!+#REF!+BD170)</f>
        <v>#REF!</v>
      </c>
      <c r="BE63" s="83" t="e">
        <f>-(#REF!+#REF!+BE170)</f>
        <v>#REF!</v>
      </c>
      <c r="BF63" s="83" t="e">
        <f>-(#REF!+#REF!+BF170)</f>
        <v>#REF!</v>
      </c>
      <c r="BG63" s="83" t="e">
        <f>-(#REF!+#REF!+BG170)</f>
        <v>#REF!</v>
      </c>
      <c r="BH63" s="83" t="e">
        <f>-(#REF!+#REF!+BH170)</f>
        <v>#REF!</v>
      </c>
      <c r="BI63" s="83" t="e">
        <f>-(#REF!+#REF!+BI170)</f>
        <v>#REF!</v>
      </c>
      <c r="BJ63" s="83" t="e">
        <f>-(#REF!+#REF!+BJ170)</f>
        <v>#REF!</v>
      </c>
      <c r="BK63" s="83" t="e">
        <f>-(#REF!+#REF!+BK170)</f>
        <v>#REF!</v>
      </c>
      <c r="BL63" s="83" t="e">
        <f>-(#REF!+#REF!+BL170)</f>
        <v>#REF!</v>
      </c>
      <c r="BM63" s="83" t="e">
        <f>-(#REF!+#REF!+BM170)</f>
        <v>#REF!</v>
      </c>
      <c r="BN63" s="83" t="e">
        <f>-(#REF!+#REF!+BN170)</f>
        <v>#REF!</v>
      </c>
      <c r="BO63" s="83" t="e">
        <f>-(#REF!+#REF!+BO170)</f>
        <v>#REF!</v>
      </c>
      <c r="BP63" s="83" t="e">
        <f>-(#REF!+#REF!+BP170)</f>
        <v>#REF!</v>
      </c>
      <c r="BQ63" s="83" t="e">
        <f>-(#REF!+#REF!+BQ170)</f>
        <v>#REF!</v>
      </c>
      <c r="BR63" s="83" t="e">
        <f>-(#REF!+#REF!+BR170)</f>
        <v>#REF!</v>
      </c>
      <c r="BS63" s="83" t="e">
        <f>-(#REF!+#REF!+BS170)</f>
        <v>#REF!</v>
      </c>
      <c r="BT63" s="83" t="e">
        <f>-(#REF!+#REF!+BT170)</f>
        <v>#REF!</v>
      </c>
      <c r="BU63" s="83" t="e">
        <f>-(#REF!+#REF!+BU170)</f>
        <v>#REF!</v>
      </c>
      <c r="BV63" s="83" t="e">
        <f>-(#REF!+#REF!+BV170)</f>
        <v>#REF!</v>
      </c>
      <c r="BW63" s="83" t="e">
        <f>-(#REF!+#REF!+BW170)</f>
        <v>#REF!</v>
      </c>
      <c r="BX63" s="83" t="e">
        <f>-(#REF!+#REF!+BX170)</f>
        <v>#REF!</v>
      </c>
      <c r="BY63" s="83" t="e">
        <f>-(#REF!+#REF!+BY170)</f>
        <v>#REF!</v>
      </c>
      <c r="BZ63" s="83" t="e">
        <f>-(#REF!+#REF!+BZ170)</f>
        <v>#REF!</v>
      </c>
      <c r="CA63" s="83" t="e">
        <f>-(#REF!+#REF!+CA170)</f>
        <v>#REF!</v>
      </c>
      <c r="CB63" s="83" t="e">
        <f>-(#REF!+#REF!+CB170)</f>
        <v>#REF!</v>
      </c>
      <c r="CC63" s="83" t="e">
        <f>-(#REF!+#REF!+CC170)</f>
        <v>#REF!</v>
      </c>
      <c r="CD63" s="83" t="e">
        <f>-(#REF!+#REF!+CD170)</f>
        <v>#REF!</v>
      </c>
      <c r="CE63" s="83" t="e">
        <f>-(#REF!+#REF!+CE170)</f>
        <v>#REF!</v>
      </c>
      <c r="CF63" s="83" t="e">
        <f>-(#REF!+#REF!+CF170)</f>
        <v>#REF!</v>
      </c>
      <c r="CG63" s="83" t="e">
        <f>-(#REF!+#REF!+CG170)</f>
        <v>#REF!</v>
      </c>
      <c r="CH63" s="83" t="e">
        <f>-(#REF!+#REF!+CH170)</f>
        <v>#REF!</v>
      </c>
      <c r="CI63" s="83" t="e">
        <f>-(#REF!+#REF!+CI170)</f>
        <v>#REF!</v>
      </c>
      <c r="CJ63" s="83" t="e">
        <f>-(#REF!+#REF!+CJ170)</f>
        <v>#REF!</v>
      </c>
      <c r="CK63" s="83" t="e">
        <f>-(#REF!+#REF!+CK170)</f>
        <v>#REF!</v>
      </c>
      <c r="CL63" s="83" t="e">
        <f>-(#REF!+#REF!+CL170)</f>
        <v>#REF!</v>
      </c>
      <c r="CM63" s="83" t="e">
        <f>-(#REF!+#REF!+CM170)</f>
        <v>#REF!</v>
      </c>
      <c r="CN63" s="83" t="e">
        <f>-(#REF!+#REF!+CN170)</f>
        <v>#REF!</v>
      </c>
      <c r="CO63" s="83" t="e">
        <f>-(#REF!+#REF!+CO170)</f>
        <v>#REF!</v>
      </c>
    </row>
    <row r="64" spans="1:93" ht="12" customHeight="1" outlineLevel="2">
      <c r="A64" s="35"/>
      <c r="B64" s="63" t="s">
        <v>162</v>
      </c>
      <c r="C64" s="35" t="e">
        <f t="shared" ref="C64:C65" si="24">SUM(D64:CN64)</f>
        <v>#REF!</v>
      </c>
      <c r="D64" s="82"/>
      <c r="E64" s="83" t="e">
        <f t="shared" ref="E64:CO64" si="25">E167</f>
        <v>#REF!</v>
      </c>
      <c r="F64" s="83" t="e">
        <f t="shared" si="25"/>
        <v>#REF!</v>
      </c>
      <c r="G64" s="83" t="e">
        <f t="shared" si="25"/>
        <v>#REF!</v>
      </c>
      <c r="H64" s="83" t="e">
        <f t="shared" si="25"/>
        <v>#REF!</v>
      </c>
      <c r="I64" s="83" t="e">
        <f t="shared" si="25"/>
        <v>#REF!</v>
      </c>
      <c r="J64" s="83" t="e">
        <f t="shared" si="25"/>
        <v>#REF!</v>
      </c>
      <c r="K64" s="83" t="e">
        <f t="shared" si="25"/>
        <v>#REF!</v>
      </c>
      <c r="L64" s="83" t="e">
        <f t="shared" si="25"/>
        <v>#REF!</v>
      </c>
      <c r="M64" s="83" t="e">
        <f t="shared" si="25"/>
        <v>#REF!</v>
      </c>
      <c r="N64" s="83" t="e">
        <f t="shared" si="25"/>
        <v>#REF!</v>
      </c>
      <c r="O64" s="83" t="e">
        <f t="shared" si="25"/>
        <v>#REF!</v>
      </c>
      <c r="P64" s="83" t="e">
        <f t="shared" si="25"/>
        <v>#REF!</v>
      </c>
      <c r="Q64" s="83" t="e">
        <f t="shared" si="25"/>
        <v>#REF!</v>
      </c>
      <c r="R64" s="83" t="e">
        <f t="shared" si="25"/>
        <v>#REF!</v>
      </c>
      <c r="S64" s="83" t="e">
        <f t="shared" si="25"/>
        <v>#REF!</v>
      </c>
      <c r="T64" s="83" t="e">
        <f t="shared" si="25"/>
        <v>#REF!</v>
      </c>
      <c r="U64" s="83" t="e">
        <f t="shared" si="25"/>
        <v>#REF!</v>
      </c>
      <c r="V64" s="83" t="e">
        <f t="shared" si="25"/>
        <v>#REF!</v>
      </c>
      <c r="W64" s="83" t="e">
        <f t="shared" si="25"/>
        <v>#REF!</v>
      </c>
      <c r="X64" s="83" t="e">
        <f t="shared" si="25"/>
        <v>#REF!</v>
      </c>
      <c r="Y64" s="83" t="e">
        <f t="shared" si="25"/>
        <v>#REF!</v>
      </c>
      <c r="Z64" s="83" t="e">
        <f t="shared" si="25"/>
        <v>#REF!</v>
      </c>
      <c r="AA64" s="83" t="e">
        <f t="shared" si="25"/>
        <v>#REF!</v>
      </c>
      <c r="AB64" s="83" t="e">
        <f t="shared" si="25"/>
        <v>#REF!</v>
      </c>
      <c r="AC64" s="83" t="e">
        <f t="shared" si="25"/>
        <v>#REF!</v>
      </c>
      <c r="AD64" s="83" t="e">
        <f t="shared" si="25"/>
        <v>#REF!</v>
      </c>
      <c r="AE64" s="83" t="e">
        <f t="shared" si="25"/>
        <v>#REF!</v>
      </c>
      <c r="AF64" s="83" t="e">
        <f t="shared" si="25"/>
        <v>#REF!</v>
      </c>
      <c r="AG64" s="83" t="e">
        <f t="shared" si="25"/>
        <v>#REF!</v>
      </c>
      <c r="AH64" s="83" t="e">
        <f t="shared" si="25"/>
        <v>#REF!</v>
      </c>
      <c r="AI64" s="83" t="e">
        <f t="shared" si="25"/>
        <v>#REF!</v>
      </c>
      <c r="AJ64" s="83" t="e">
        <f t="shared" si="25"/>
        <v>#REF!</v>
      </c>
      <c r="AK64" s="83" t="e">
        <f t="shared" si="25"/>
        <v>#REF!</v>
      </c>
      <c r="AL64" s="83" t="e">
        <f t="shared" si="25"/>
        <v>#REF!</v>
      </c>
      <c r="AM64" s="83" t="e">
        <f t="shared" si="25"/>
        <v>#REF!</v>
      </c>
      <c r="AN64" s="83" t="e">
        <f t="shared" si="25"/>
        <v>#REF!</v>
      </c>
      <c r="AO64" s="83" t="e">
        <f t="shared" si="25"/>
        <v>#REF!</v>
      </c>
      <c r="AP64" s="83" t="e">
        <f t="shared" si="25"/>
        <v>#REF!</v>
      </c>
      <c r="AQ64" s="83" t="e">
        <f t="shared" si="25"/>
        <v>#REF!</v>
      </c>
      <c r="AR64" s="83" t="e">
        <f t="shared" si="25"/>
        <v>#REF!</v>
      </c>
      <c r="AS64" s="83" t="e">
        <f t="shared" si="25"/>
        <v>#REF!</v>
      </c>
      <c r="AT64" s="83" t="e">
        <f t="shared" si="25"/>
        <v>#REF!</v>
      </c>
      <c r="AU64" s="83" t="e">
        <f t="shared" si="25"/>
        <v>#REF!</v>
      </c>
      <c r="AV64" s="83" t="e">
        <f t="shared" si="25"/>
        <v>#REF!</v>
      </c>
      <c r="AW64" s="83" t="e">
        <f t="shared" si="25"/>
        <v>#REF!</v>
      </c>
      <c r="AX64" s="83" t="e">
        <f t="shared" si="25"/>
        <v>#REF!</v>
      </c>
      <c r="AY64" s="83" t="e">
        <f t="shared" si="25"/>
        <v>#REF!</v>
      </c>
      <c r="AZ64" s="83" t="e">
        <f t="shared" si="25"/>
        <v>#REF!</v>
      </c>
      <c r="BA64" s="83" t="e">
        <f t="shared" si="25"/>
        <v>#REF!</v>
      </c>
      <c r="BB64" s="83" t="e">
        <f t="shared" si="25"/>
        <v>#REF!</v>
      </c>
      <c r="BC64" s="83" t="e">
        <f t="shared" si="25"/>
        <v>#REF!</v>
      </c>
      <c r="BD64" s="83" t="e">
        <f t="shared" si="25"/>
        <v>#REF!</v>
      </c>
      <c r="BE64" s="83" t="e">
        <f t="shared" si="25"/>
        <v>#REF!</v>
      </c>
      <c r="BF64" s="83" t="e">
        <f t="shared" si="25"/>
        <v>#REF!</v>
      </c>
      <c r="BG64" s="83" t="e">
        <f t="shared" si="25"/>
        <v>#REF!</v>
      </c>
      <c r="BH64" s="83" t="e">
        <f t="shared" si="25"/>
        <v>#REF!</v>
      </c>
      <c r="BI64" s="83" t="e">
        <f t="shared" si="25"/>
        <v>#REF!</v>
      </c>
      <c r="BJ64" s="83" t="e">
        <f t="shared" si="25"/>
        <v>#REF!</v>
      </c>
      <c r="BK64" s="83" t="e">
        <f t="shared" si="25"/>
        <v>#REF!</v>
      </c>
      <c r="BL64" s="83" t="e">
        <f t="shared" si="25"/>
        <v>#REF!</v>
      </c>
      <c r="BM64" s="83" t="e">
        <f t="shared" si="25"/>
        <v>#REF!</v>
      </c>
      <c r="BN64" s="83" t="e">
        <f t="shared" si="25"/>
        <v>#REF!</v>
      </c>
      <c r="BO64" s="83" t="e">
        <f t="shared" si="25"/>
        <v>#REF!</v>
      </c>
      <c r="BP64" s="83" t="e">
        <f t="shared" si="25"/>
        <v>#REF!</v>
      </c>
      <c r="BQ64" s="83" t="e">
        <f t="shared" si="25"/>
        <v>#REF!</v>
      </c>
      <c r="BR64" s="83" t="e">
        <f t="shared" si="25"/>
        <v>#REF!</v>
      </c>
      <c r="BS64" s="83" t="e">
        <f t="shared" si="25"/>
        <v>#REF!</v>
      </c>
      <c r="BT64" s="83" t="e">
        <f t="shared" si="25"/>
        <v>#REF!</v>
      </c>
      <c r="BU64" s="83" t="e">
        <f t="shared" si="25"/>
        <v>#REF!</v>
      </c>
      <c r="BV64" s="83" t="e">
        <f t="shared" si="25"/>
        <v>#REF!</v>
      </c>
      <c r="BW64" s="83" t="e">
        <f t="shared" si="25"/>
        <v>#REF!</v>
      </c>
      <c r="BX64" s="83" t="e">
        <f t="shared" si="25"/>
        <v>#REF!</v>
      </c>
      <c r="BY64" s="83" t="e">
        <f t="shared" si="25"/>
        <v>#REF!</v>
      </c>
      <c r="BZ64" s="83" t="e">
        <f t="shared" si="25"/>
        <v>#REF!</v>
      </c>
      <c r="CA64" s="83" t="e">
        <f t="shared" si="25"/>
        <v>#REF!</v>
      </c>
      <c r="CB64" s="83" t="e">
        <f t="shared" si="25"/>
        <v>#REF!</v>
      </c>
      <c r="CC64" s="83" t="e">
        <f t="shared" si="25"/>
        <v>#REF!</v>
      </c>
      <c r="CD64" s="83" t="e">
        <f t="shared" si="25"/>
        <v>#REF!</v>
      </c>
      <c r="CE64" s="83" t="e">
        <f t="shared" si="25"/>
        <v>#REF!</v>
      </c>
      <c r="CF64" s="83" t="e">
        <f t="shared" si="25"/>
        <v>#REF!</v>
      </c>
      <c r="CG64" s="83" t="e">
        <f t="shared" si="25"/>
        <v>#REF!</v>
      </c>
      <c r="CH64" s="83" t="e">
        <f t="shared" si="25"/>
        <v>#REF!</v>
      </c>
      <c r="CI64" s="83" t="e">
        <f t="shared" si="25"/>
        <v>#REF!</v>
      </c>
      <c r="CJ64" s="83" t="e">
        <f t="shared" si="25"/>
        <v>#REF!</v>
      </c>
      <c r="CK64" s="83" t="e">
        <f t="shared" si="25"/>
        <v>#REF!</v>
      </c>
      <c r="CL64" s="83" t="e">
        <f t="shared" si="25"/>
        <v>#REF!</v>
      </c>
      <c r="CM64" s="83" t="e">
        <f t="shared" si="25"/>
        <v>#REF!</v>
      </c>
      <c r="CN64" s="83" t="e">
        <f t="shared" si="25"/>
        <v>#REF!</v>
      </c>
      <c r="CO64" s="84">
        <f t="shared" si="25"/>
        <v>0</v>
      </c>
    </row>
    <row r="65" spans="1:93" ht="12.75" customHeight="1">
      <c r="A65" s="37"/>
      <c r="B65" s="70" t="s">
        <v>163</v>
      </c>
      <c r="C65" s="70" t="e">
        <f t="shared" si="24"/>
        <v>#REF!</v>
      </c>
      <c r="D65" s="71">
        <f t="shared" ref="D65:CO65" si="26">SUM(D61,D63:D64)</f>
        <v>0</v>
      </c>
      <c r="E65" s="70" t="e">
        <f t="shared" si="26"/>
        <v>#REF!</v>
      </c>
      <c r="F65" s="70" t="e">
        <f t="shared" si="26"/>
        <v>#REF!</v>
      </c>
      <c r="G65" s="70" t="e">
        <f t="shared" si="26"/>
        <v>#REF!</v>
      </c>
      <c r="H65" s="70" t="e">
        <f t="shared" si="26"/>
        <v>#REF!</v>
      </c>
      <c r="I65" s="70" t="e">
        <f t="shared" si="26"/>
        <v>#REF!</v>
      </c>
      <c r="J65" s="70" t="e">
        <f t="shared" si="26"/>
        <v>#REF!</v>
      </c>
      <c r="K65" s="70" t="e">
        <f t="shared" si="26"/>
        <v>#REF!</v>
      </c>
      <c r="L65" s="70" t="e">
        <f t="shared" si="26"/>
        <v>#REF!</v>
      </c>
      <c r="M65" s="70" t="e">
        <f t="shared" si="26"/>
        <v>#REF!</v>
      </c>
      <c r="N65" s="70" t="e">
        <f t="shared" si="26"/>
        <v>#REF!</v>
      </c>
      <c r="O65" s="70" t="e">
        <f t="shared" si="26"/>
        <v>#REF!</v>
      </c>
      <c r="P65" s="70" t="e">
        <f t="shared" si="26"/>
        <v>#REF!</v>
      </c>
      <c r="Q65" s="70" t="e">
        <f t="shared" si="26"/>
        <v>#REF!</v>
      </c>
      <c r="R65" s="70" t="e">
        <f t="shared" si="26"/>
        <v>#REF!</v>
      </c>
      <c r="S65" s="70" t="e">
        <f t="shared" si="26"/>
        <v>#REF!</v>
      </c>
      <c r="T65" s="70" t="e">
        <f t="shared" si="26"/>
        <v>#REF!</v>
      </c>
      <c r="U65" s="70" t="e">
        <f t="shared" si="26"/>
        <v>#REF!</v>
      </c>
      <c r="V65" s="70" t="e">
        <f t="shared" si="26"/>
        <v>#REF!</v>
      </c>
      <c r="W65" s="70" t="e">
        <f t="shared" si="26"/>
        <v>#REF!</v>
      </c>
      <c r="X65" s="70" t="e">
        <f t="shared" si="26"/>
        <v>#REF!</v>
      </c>
      <c r="Y65" s="70" t="e">
        <f t="shared" si="26"/>
        <v>#REF!</v>
      </c>
      <c r="Z65" s="70" t="e">
        <f t="shared" si="26"/>
        <v>#REF!</v>
      </c>
      <c r="AA65" s="70" t="e">
        <f t="shared" si="26"/>
        <v>#REF!</v>
      </c>
      <c r="AB65" s="70" t="e">
        <f t="shared" si="26"/>
        <v>#REF!</v>
      </c>
      <c r="AC65" s="70" t="e">
        <f t="shared" si="26"/>
        <v>#REF!</v>
      </c>
      <c r="AD65" s="70" t="e">
        <f t="shared" si="26"/>
        <v>#REF!</v>
      </c>
      <c r="AE65" s="70" t="e">
        <f t="shared" si="26"/>
        <v>#REF!</v>
      </c>
      <c r="AF65" s="70" t="e">
        <f t="shared" si="26"/>
        <v>#REF!</v>
      </c>
      <c r="AG65" s="70" t="e">
        <f t="shared" si="26"/>
        <v>#REF!</v>
      </c>
      <c r="AH65" s="70" t="e">
        <f t="shared" si="26"/>
        <v>#REF!</v>
      </c>
      <c r="AI65" s="70" t="e">
        <f t="shared" si="26"/>
        <v>#REF!</v>
      </c>
      <c r="AJ65" s="70" t="e">
        <f t="shared" si="26"/>
        <v>#REF!</v>
      </c>
      <c r="AK65" s="70" t="e">
        <f t="shared" si="26"/>
        <v>#REF!</v>
      </c>
      <c r="AL65" s="70" t="e">
        <f t="shared" si="26"/>
        <v>#REF!</v>
      </c>
      <c r="AM65" s="70" t="e">
        <f t="shared" si="26"/>
        <v>#REF!</v>
      </c>
      <c r="AN65" s="70" t="e">
        <f t="shared" si="26"/>
        <v>#REF!</v>
      </c>
      <c r="AO65" s="70" t="e">
        <f t="shared" si="26"/>
        <v>#REF!</v>
      </c>
      <c r="AP65" s="70" t="e">
        <f t="shared" si="26"/>
        <v>#REF!</v>
      </c>
      <c r="AQ65" s="70" t="e">
        <f t="shared" si="26"/>
        <v>#REF!</v>
      </c>
      <c r="AR65" s="70" t="e">
        <f t="shared" si="26"/>
        <v>#REF!</v>
      </c>
      <c r="AS65" s="70" t="e">
        <f t="shared" si="26"/>
        <v>#REF!</v>
      </c>
      <c r="AT65" s="70" t="e">
        <f t="shared" si="26"/>
        <v>#REF!</v>
      </c>
      <c r="AU65" s="70" t="e">
        <f t="shared" si="26"/>
        <v>#REF!</v>
      </c>
      <c r="AV65" s="70" t="e">
        <f t="shared" si="26"/>
        <v>#REF!</v>
      </c>
      <c r="AW65" s="70" t="e">
        <f t="shared" si="26"/>
        <v>#REF!</v>
      </c>
      <c r="AX65" s="70" t="e">
        <f t="shared" si="26"/>
        <v>#REF!</v>
      </c>
      <c r="AY65" s="70" t="e">
        <f t="shared" si="26"/>
        <v>#REF!</v>
      </c>
      <c r="AZ65" s="70" t="e">
        <f t="shared" si="26"/>
        <v>#REF!</v>
      </c>
      <c r="BA65" s="70" t="e">
        <f t="shared" si="26"/>
        <v>#REF!</v>
      </c>
      <c r="BB65" s="70" t="e">
        <f t="shared" si="26"/>
        <v>#REF!</v>
      </c>
      <c r="BC65" s="70" t="e">
        <f t="shared" si="26"/>
        <v>#REF!</v>
      </c>
      <c r="BD65" s="70" t="e">
        <f t="shared" si="26"/>
        <v>#REF!</v>
      </c>
      <c r="BE65" s="70" t="e">
        <f t="shared" si="26"/>
        <v>#REF!</v>
      </c>
      <c r="BF65" s="70" t="e">
        <f t="shared" si="26"/>
        <v>#REF!</v>
      </c>
      <c r="BG65" s="70" t="e">
        <f t="shared" si="26"/>
        <v>#REF!</v>
      </c>
      <c r="BH65" s="70" t="e">
        <f t="shared" si="26"/>
        <v>#REF!</v>
      </c>
      <c r="BI65" s="70" t="e">
        <f t="shared" si="26"/>
        <v>#REF!</v>
      </c>
      <c r="BJ65" s="70" t="e">
        <f t="shared" si="26"/>
        <v>#REF!</v>
      </c>
      <c r="BK65" s="70" t="e">
        <f t="shared" si="26"/>
        <v>#REF!</v>
      </c>
      <c r="BL65" s="70" t="e">
        <f t="shared" si="26"/>
        <v>#REF!</v>
      </c>
      <c r="BM65" s="70" t="e">
        <f t="shared" si="26"/>
        <v>#REF!</v>
      </c>
      <c r="BN65" s="70" t="e">
        <f t="shared" si="26"/>
        <v>#REF!</v>
      </c>
      <c r="BO65" s="70" t="e">
        <f t="shared" si="26"/>
        <v>#REF!</v>
      </c>
      <c r="BP65" s="70" t="e">
        <f t="shared" si="26"/>
        <v>#REF!</v>
      </c>
      <c r="BQ65" s="70" t="e">
        <f t="shared" si="26"/>
        <v>#REF!</v>
      </c>
      <c r="BR65" s="70" t="e">
        <f t="shared" si="26"/>
        <v>#REF!</v>
      </c>
      <c r="BS65" s="70" t="e">
        <f t="shared" si="26"/>
        <v>#REF!</v>
      </c>
      <c r="BT65" s="70" t="e">
        <f t="shared" si="26"/>
        <v>#REF!</v>
      </c>
      <c r="BU65" s="70" t="e">
        <f t="shared" si="26"/>
        <v>#REF!</v>
      </c>
      <c r="BV65" s="70" t="e">
        <f t="shared" si="26"/>
        <v>#REF!</v>
      </c>
      <c r="BW65" s="70" t="e">
        <f t="shared" si="26"/>
        <v>#REF!</v>
      </c>
      <c r="BX65" s="70" t="e">
        <f t="shared" si="26"/>
        <v>#REF!</v>
      </c>
      <c r="BY65" s="70" t="e">
        <f t="shared" si="26"/>
        <v>#REF!</v>
      </c>
      <c r="BZ65" s="70" t="e">
        <f t="shared" si="26"/>
        <v>#REF!</v>
      </c>
      <c r="CA65" s="70" t="e">
        <f t="shared" si="26"/>
        <v>#REF!</v>
      </c>
      <c r="CB65" s="70" t="e">
        <f t="shared" si="26"/>
        <v>#REF!</v>
      </c>
      <c r="CC65" s="70" t="e">
        <f t="shared" si="26"/>
        <v>#REF!</v>
      </c>
      <c r="CD65" s="70" t="e">
        <f t="shared" si="26"/>
        <v>#REF!</v>
      </c>
      <c r="CE65" s="70" t="e">
        <f t="shared" si="26"/>
        <v>#REF!</v>
      </c>
      <c r="CF65" s="70" t="e">
        <f t="shared" si="26"/>
        <v>#REF!</v>
      </c>
      <c r="CG65" s="70" t="e">
        <f t="shared" si="26"/>
        <v>#REF!</v>
      </c>
      <c r="CH65" s="70" t="e">
        <f t="shared" si="26"/>
        <v>#REF!</v>
      </c>
      <c r="CI65" s="70" t="e">
        <f t="shared" si="26"/>
        <v>#REF!</v>
      </c>
      <c r="CJ65" s="70" t="e">
        <f t="shared" si="26"/>
        <v>#REF!</v>
      </c>
      <c r="CK65" s="70" t="e">
        <f t="shared" si="26"/>
        <v>#REF!</v>
      </c>
      <c r="CL65" s="70" t="e">
        <f t="shared" si="26"/>
        <v>#REF!</v>
      </c>
      <c r="CM65" s="70" t="e">
        <f t="shared" si="26"/>
        <v>#REF!</v>
      </c>
      <c r="CN65" s="70" t="e">
        <f t="shared" si="26"/>
        <v>#REF!</v>
      </c>
      <c r="CO65" s="72" t="e">
        <f t="shared" si="26"/>
        <v>#REF!</v>
      </c>
    </row>
    <row r="66" spans="1:93" ht="12.75" customHeight="1">
      <c r="A66" s="35"/>
      <c r="B66" s="63" t="s">
        <v>164</v>
      </c>
      <c r="C66" s="74" t="e">
        <f>SUM(X66:CN66)</f>
        <v>#REF!</v>
      </c>
      <c r="D66" s="60">
        <f t="shared" ref="D66:CO66" si="27">D141</f>
        <v>0</v>
      </c>
      <c r="E66" s="35" t="e">
        <f t="shared" si="27"/>
        <v>#REF!</v>
      </c>
      <c r="F66" s="35" t="e">
        <f t="shared" si="27"/>
        <v>#REF!</v>
      </c>
      <c r="G66" s="35" t="e">
        <f t="shared" si="27"/>
        <v>#REF!</v>
      </c>
      <c r="H66" s="35" t="e">
        <f t="shared" si="27"/>
        <v>#REF!</v>
      </c>
      <c r="I66" s="35" t="e">
        <f t="shared" si="27"/>
        <v>#REF!</v>
      </c>
      <c r="J66" s="35" t="e">
        <f t="shared" si="27"/>
        <v>#REF!</v>
      </c>
      <c r="K66" s="35" t="e">
        <f t="shared" si="27"/>
        <v>#REF!</v>
      </c>
      <c r="L66" s="35" t="e">
        <f t="shared" si="27"/>
        <v>#REF!</v>
      </c>
      <c r="M66" s="35" t="e">
        <f t="shared" si="27"/>
        <v>#REF!</v>
      </c>
      <c r="N66" s="35" t="e">
        <f t="shared" si="27"/>
        <v>#REF!</v>
      </c>
      <c r="O66" s="35" t="e">
        <f t="shared" si="27"/>
        <v>#REF!</v>
      </c>
      <c r="P66" s="35" t="e">
        <f t="shared" si="27"/>
        <v>#REF!</v>
      </c>
      <c r="Q66" s="35" t="e">
        <f t="shared" si="27"/>
        <v>#REF!</v>
      </c>
      <c r="R66" s="35" t="e">
        <f t="shared" si="27"/>
        <v>#REF!</v>
      </c>
      <c r="S66" s="35" t="e">
        <f t="shared" si="27"/>
        <v>#REF!</v>
      </c>
      <c r="T66" s="35" t="e">
        <f t="shared" si="27"/>
        <v>#REF!</v>
      </c>
      <c r="U66" s="35" t="e">
        <f t="shared" si="27"/>
        <v>#REF!</v>
      </c>
      <c r="V66" s="35" t="e">
        <f t="shared" si="27"/>
        <v>#REF!</v>
      </c>
      <c r="W66" s="35" t="e">
        <f t="shared" si="27"/>
        <v>#REF!</v>
      </c>
      <c r="X66" s="35" t="e">
        <f t="shared" si="27"/>
        <v>#REF!</v>
      </c>
      <c r="Y66" s="35" t="e">
        <f t="shared" si="27"/>
        <v>#REF!</v>
      </c>
      <c r="Z66" s="35" t="e">
        <f t="shared" si="27"/>
        <v>#REF!</v>
      </c>
      <c r="AA66" s="35" t="e">
        <f t="shared" si="27"/>
        <v>#REF!</v>
      </c>
      <c r="AB66" s="35" t="e">
        <f t="shared" si="27"/>
        <v>#REF!</v>
      </c>
      <c r="AC66" s="35" t="e">
        <f t="shared" si="27"/>
        <v>#REF!</v>
      </c>
      <c r="AD66" s="35" t="e">
        <f t="shared" si="27"/>
        <v>#REF!</v>
      </c>
      <c r="AE66" s="35" t="e">
        <f t="shared" si="27"/>
        <v>#REF!</v>
      </c>
      <c r="AF66" s="35" t="e">
        <f t="shared" si="27"/>
        <v>#REF!</v>
      </c>
      <c r="AG66" s="35" t="e">
        <f t="shared" si="27"/>
        <v>#REF!</v>
      </c>
      <c r="AH66" s="35" t="e">
        <f t="shared" si="27"/>
        <v>#REF!</v>
      </c>
      <c r="AI66" s="35" t="e">
        <f t="shared" si="27"/>
        <v>#REF!</v>
      </c>
      <c r="AJ66" s="35" t="e">
        <f t="shared" si="27"/>
        <v>#REF!</v>
      </c>
      <c r="AK66" s="35" t="e">
        <f t="shared" si="27"/>
        <v>#REF!</v>
      </c>
      <c r="AL66" s="35" t="e">
        <f t="shared" si="27"/>
        <v>#REF!</v>
      </c>
      <c r="AM66" s="35" t="e">
        <f t="shared" si="27"/>
        <v>#REF!</v>
      </c>
      <c r="AN66" s="35" t="e">
        <f t="shared" si="27"/>
        <v>#REF!</v>
      </c>
      <c r="AO66" s="35" t="e">
        <f t="shared" si="27"/>
        <v>#REF!</v>
      </c>
      <c r="AP66" s="35" t="e">
        <f t="shared" si="27"/>
        <v>#REF!</v>
      </c>
      <c r="AQ66" s="35" t="e">
        <f t="shared" si="27"/>
        <v>#REF!</v>
      </c>
      <c r="AR66" s="35" t="e">
        <f t="shared" si="27"/>
        <v>#REF!</v>
      </c>
      <c r="AS66" s="35" t="e">
        <f t="shared" si="27"/>
        <v>#REF!</v>
      </c>
      <c r="AT66" s="35" t="e">
        <f t="shared" si="27"/>
        <v>#REF!</v>
      </c>
      <c r="AU66" s="35" t="e">
        <f t="shared" si="27"/>
        <v>#REF!</v>
      </c>
      <c r="AV66" s="35" t="e">
        <f t="shared" si="27"/>
        <v>#REF!</v>
      </c>
      <c r="AW66" s="35" t="e">
        <f t="shared" si="27"/>
        <v>#REF!</v>
      </c>
      <c r="AX66" s="35" t="e">
        <f t="shared" si="27"/>
        <v>#REF!</v>
      </c>
      <c r="AY66" s="35" t="e">
        <f t="shared" si="27"/>
        <v>#REF!</v>
      </c>
      <c r="AZ66" s="35" t="e">
        <f t="shared" si="27"/>
        <v>#REF!</v>
      </c>
      <c r="BA66" s="35" t="e">
        <f t="shared" si="27"/>
        <v>#REF!</v>
      </c>
      <c r="BB66" s="35" t="e">
        <f t="shared" si="27"/>
        <v>#REF!</v>
      </c>
      <c r="BC66" s="35" t="e">
        <f t="shared" si="27"/>
        <v>#REF!</v>
      </c>
      <c r="BD66" s="35" t="e">
        <f t="shared" si="27"/>
        <v>#REF!</v>
      </c>
      <c r="BE66" s="35" t="e">
        <f t="shared" si="27"/>
        <v>#REF!</v>
      </c>
      <c r="BF66" s="35" t="e">
        <f t="shared" si="27"/>
        <v>#REF!</v>
      </c>
      <c r="BG66" s="35" t="e">
        <f t="shared" si="27"/>
        <v>#REF!</v>
      </c>
      <c r="BH66" s="35" t="e">
        <f t="shared" si="27"/>
        <v>#REF!</v>
      </c>
      <c r="BI66" s="35" t="e">
        <f t="shared" si="27"/>
        <v>#REF!</v>
      </c>
      <c r="BJ66" s="35" t="e">
        <f t="shared" si="27"/>
        <v>#REF!</v>
      </c>
      <c r="BK66" s="35" t="e">
        <f t="shared" si="27"/>
        <v>#REF!</v>
      </c>
      <c r="BL66" s="35" t="e">
        <f t="shared" si="27"/>
        <v>#REF!</v>
      </c>
      <c r="BM66" s="35" t="e">
        <f t="shared" si="27"/>
        <v>#REF!</v>
      </c>
      <c r="BN66" s="35" t="e">
        <f t="shared" si="27"/>
        <v>#REF!</v>
      </c>
      <c r="BO66" s="35" t="e">
        <f t="shared" si="27"/>
        <v>#REF!</v>
      </c>
      <c r="BP66" s="35" t="e">
        <f t="shared" si="27"/>
        <v>#REF!</v>
      </c>
      <c r="BQ66" s="35" t="e">
        <f t="shared" si="27"/>
        <v>#REF!</v>
      </c>
      <c r="BR66" s="35" t="e">
        <f t="shared" si="27"/>
        <v>#REF!</v>
      </c>
      <c r="BS66" s="35" t="e">
        <f t="shared" si="27"/>
        <v>#REF!</v>
      </c>
      <c r="BT66" s="35" t="e">
        <f t="shared" si="27"/>
        <v>#REF!</v>
      </c>
      <c r="BU66" s="35" t="e">
        <f t="shared" si="27"/>
        <v>#REF!</v>
      </c>
      <c r="BV66" s="35" t="e">
        <f t="shared" si="27"/>
        <v>#REF!</v>
      </c>
      <c r="BW66" s="35" t="e">
        <f t="shared" si="27"/>
        <v>#REF!</v>
      </c>
      <c r="BX66" s="35" t="e">
        <f t="shared" si="27"/>
        <v>#REF!</v>
      </c>
      <c r="BY66" s="35" t="e">
        <f t="shared" si="27"/>
        <v>#REF!</v>
      </c>
      <c r="BZ66" s="35" t="e">
        <f t="shared" si="27"/>
        <v>#REF!</v>
      </c>
      <c r="CA66" s="35" t="e">
        <f t="shared" si="27"/>
        <v>#REF!</v>
      </c>
      <c r="CB66" s="35" t="e">
        <f t="shared" si="27"/>
        <v>#REF!</v>
      </c>
      <c r="CC66" s="35" t="e">
        <f t="shared" si="27"/>
        <v>#REF!</v>
      </c>
      <c r="CD66" s="35" t="e">
        <f t="shared" si="27"/>
        <v>#REF!</v>
      </c>
      <c r="CE66" s="35" t="e">
        <f t="shared" si="27"/>
        <v>#REF!</v>
      </c>
      <c r="CF66" s="35" t="e">
        <f t="shared" si="27"/>
        <v>#REF!</v>
      </c>
      <c r="CG66" s="35" t="e">
        <f t="shared" si="27"/>
        <v>#REF!</v>
      </c>
      <c r="CH66" s="35" t="e">
        <f t="shared" si="27"/>
        <v>#REF!</v>
      </c>
      <c r="CI66" s="35" t="e">
        <f t="shared" si="27"/>
        <v>#REF!</v>
      </c>
      <c r="CJ66" s="35" t="e">
        <f t="shared" si="27"/>
        <v>#REF!</v>
      </c>
      <c r="CK66" s="35" t="e">
        <f t="shared" si="27"/>
        <v>#REF!</v>
      </c>
      <c r="CL66" s="35" t="e">
        <f t="shared" si="27"/>
        <v>#REF!</v>
      </c>
      <c r="CM66" s="35" t="e">
        <f t="shared" si="27"/>
        <v>#REF!</v>
      </c>
      <c r="CN66" s="35" t="e">
        <f t="shared" si="27"/>
        <v>#REF!</v>
      </c>
      <c r="CO66" s="5">
        <f t="shared" si="27"/>
        <v>0</v>
      </c>
    </row>
    <row r="67" spans="1:93" ht="12.75" customHeight="1">
      <c r="A67" s="37"/>
      <c r="B67" s="70" t="s">
        <v>165</v>
      </c>
      <c r="C67" s="70" t="e">
        <f>SUM(D67:CN67)</f>
        <v>#REF!</v>
      </c>
      <c r="D67" s="71">
        <f t="shared" ref="D67:CO67" si="28">SUM(D65:D66)</f>
        <v>0</v>
      </c>
      <c r="E67" s="70" t="e">
        <f t="shared" si="28"/>
        <v>#REF!</v>
      </c>
      <c r="F67" s="70" t="e">
        <f t="shared" si="28"/>
        <v>#REF!</v>
      </c>
      <c r="G67" s="70" t="e">
        <f t="shared" si="28"/>
        <v>#REF!</v>
      </c>
      <c r="H67" s="70" t="e">
        <f t="shared" si="28"/>
        <v>#REF!</v>
      </c>
      <c r="I67" s="70" t="e">
        <f t="shared" si="28"/>
        <v>#REF!</v>
      </c>
      <c r="J67" s="70" t="e">
        <f t="shared" si="28"/>
        <v>#REF!</v>
      </c>
      <c r="K67" s="70" t="e">
        <f t="shared" si="28"/>
        <v>#REF!</v>
      </c>
      <c r="L67" s="70" t="e">
        <f t="shared" si="28"/>
        <v>#REF!</v>
      </c>
      <c r="M67" s="70" t="e">
        <f t="shared" si="28"/>
        <v>#REF!</v>
      </c>
      <c r="N67" s="70" t="e">
        <f t="shared" si="28"/>
        <v>#REF!</v>
      </c>
      <c r="O67" s="70" t="e">
        <f t="shared" si="28"/>
        <v>#REF!</v>
      </c>
      <c r="P67" s="70" t="e">
        <f t="shared" si="28"/>
        <v>#REF!</v>
      </c>
      <c r="Q67" s="70" t="e">
        <f t="shared" si="28"/>
        <v>#REF!</v>
      </c>
      <c r="R67" s="70" t="e">
        <f t="shared" si="28"/>
        <v>#REF!</v>
      </c>
      <c r="S67" s="70" t="e">
        <f t="shared" si="28"/>
        <v>#REF!</v>
      </c>
      <c r="T67" s="70" t="e">
        <f t="shared" si="28"/>
        <v>#REF!</v>
      </c>
      <c r="U67" s="70" t="e">
        <f t="shared" si="28"/>
        <v>#REF!</v>
      </c>
      <c r="V67" s="70" t="e">
        <f t="shared" si="28"/>
        <v>#REF!</v>
      </c>
      <c r="W67" s="70" t="e">
        <f t="shared" si="28"/>
        <v>#REF!</v>
      </c>
      <c r="X67" s="70" t="e">
        <f t="shared" si="28"/>
        <v>#REF!</v>
      </c>
      <c r="Y67" s="70" t="e">
        <f t="shared" si="28"/>
        <v>#REF!</v>
      </c>
      <c r="Z67" s="70" t="e">
        <f t="shared" si="28"/>
        <v>#REF!</v>
      </c>
      <c r="AA67" s="70" t="e">
        <f t="shared" si="28"/>
        <v>#REF!</v>
      </c>
      <c r="AB67" s="70" t="e">
        <f t="shared" si="28"/>
        <v>#REF!</v>
      </c>
      <c r="AC67" s="70" t="e">
        <f t="shared" si="28"/>
        <v>#REF!</v>
      </c>
      <c r="AD67" s="70" t="e">
        <f t="shared" si="28"/>
        <v>#REF!</v>
      </c>
      <c r="AE67" s="70" t="e">
        <f t="shared" si="28"/>
        <v>#REF!</v>
      </c>
      <c r="AF67" s="70" t="e">
        <f t="shared" si="28"/>
        <v>#REF!</v>
      </c>
      <c r="AG67" s="70" t="e">
        <f t="shared" si="28"/>
        <v>#REF!</v>
      </c>
      <c r="AH67" s="70" t="e">
        <f t="shared" si="28"/>
        <v>#REF!</v>
      </c>
      <c r="AI67" s="70" t="e">
        <f t="shared" si="28"/>
        <v>#REF!</v>
      </c>
      <c r="AJ67" s="70" t="e">
        <f t="shared" si="28"/>
        <v>#REF!</v>
      </c>
      <c r="AK67" s="70" t="e">
        <f t="shared" si="28"/>
        <v>#REF!</v>
      </c>
      <c r="AL67" s="70" t="e">
        <f t="shared" si="28"/>
        <v>#REF!</v>
      </c>
      <c r="AM67" s="70" t="e">
        <f t="shared" si="28"/>
        <v>#REF!</v>
      </c>
      <c r="AN67" s="70" t="e">
        <f t="shared" si="28"/>
        <v>#REF!</v>
      </c>
      <c r="AO67" s="70" t="e">
        <f t="shared" si="28"/>
        <v>#REF!</v>
      </c>
      <c r="AP67" s="70" t="e">
        <f t="shared" si="28"/>
        <v>#REF!</v>
      </c>
      <c r="AQ67" s="70" t="e">
        <f t="shared" si="28"/>
        <v>#REF!</v>
      </c>
      <c r="AR67" s="70" t="e">
        <f t="shared" si="28"/>
        <v>#REF!</v>
      </c>
      <c r="AS67" s="70" t="e">
        <f t="shared" si="28"/>
        <v>#REF!</v>
      </c>
      <c r="AT67" s="70" t="e">
        <f t="shared" si="28"/>
        <v>#REF!</v>
      </c>
      <c r="AU67" s="70" t="e">
        <f t="shared" si="28"/>
        <v>#REF!</v>
      </c>
      <c r="AV67" s="70" t="e">
        <f t="shared" si="28"/>
        <v>#REF!</v>
      </c>
      <c r="AW67" s="70" t="e">
        <f t="shared" si="28"/>
        <v>#REF!</v>
      </c>
      <c r="AX67" s="70" t="e">
        <f t="shared" si="28"/>
        <v>#REF!</v>
      </c>
      <c r="AY67" s="70" t="e">
        <f t="shared" si="28"/>
        <v>#REF!</v>
      </c>
      <c r="AZ67" s="70" t="e">
        <f t="shared" si="28"/>
        <v>#REF!</v>
      </c>
      <c r="BA67" s="70" t="e">
        <f t="shared" si="28"/>
        <v>#REF!</v>
      </c>
      <c r="BB67" s="70" t="e">
        <f t="shared" si="28"/>
        <v>#REF!</v>
      </c>
      <c r="BC67" s="70" t="e">
        <f t="shared" si="28"/>
        <v>#REF!</v>
      </c>
      <c r="BD67" s="70" t="e">
        <f t="shared" si="28"/>
        <v>#REF!</v>
      </c>
      <c r="BE67" s="70" t="e">
        <f t="shared" si="28"/>
        <v>#REF!</v>
      </c>
      <c r="BF67" s="70" t="e">
        <f t="shared" si="28"/>
        <v>#REF!</v>
      </c>
      <c r="BG67" s="70" t="e">
        <f t="shared" si="28"/>
        <v>#REF!</v>
      </c>
      <c r="BH67" s="70" t="e">
        <f t="shared" si="28"/>
        <v>#REF!</v>
      </c>
      <c r="BI67" s="70" t="e">
        <f t="shared" si="28"/>
        <v>#REF!</v>
      </c>
      <c r="BJ67" s="70" t="e">
        <f t="shared" si="28"/>
        <v>#REF!</v>
      </c>
      <c r="BK67" s="70" t="e">
        <f t="shared" si="28"/>
        <v>#REF!</v>
      </c>
      <c r="BL67" s="70" t="e">
        <f t="shared" si="28"/>
        <v>#REF!</v>
      </c>
      <c r="BM67" s="70" t="e">
        <f t="shared" si="28"/>
        <v>#REF!</v>
      </c>
      <c r="BN67" s="70" t="e">
        <f t="shared" si="28"/>
        <v>#REF!</v>
      </c>
      <c r="BO67" s="70" t="e">
        <f t="shared" si="28"/>
        <v>#REF!</v>
      </c>
      <c r="BP67" s="70" t="e">
        <f t="shared" si="28"/>
        <v>#REF!</v>
      </c>
      <c r="BQ67" s="70" t="e">
        <f t="shared" si="28"/>
        <v>#REF!</v>
      </c>
      <c r="BR67" s="70" t="e">
        <f t="shared" si="28"/>
        <v>#REF!</v>
      </c>
      <c r="BS67" s="70" t="e">
        <f t="shared" si="28"/>
        <v>#REF!</v>
      </c>
      <c r="BT67" s="70" t="e">
        <f t="shared" si="28"/>
        <v>#REF!</v>
      </c>
      <c r="BU67" s="70" t="e">
        <f t="shared" si="28"/>
        <v>#REF!</v>
      </c>
      <c r="BV67" s="70" t="e">
        <f t="shared" si="28"/>
        <v>#REF!</v>
      </c>
      <c r="BW67" s="70" t="e">
        <f t="shared" si="28"/>
        <v>#REF!</v>
      </c>
      <c r="BX67" s="70" t="e">
        <f t="shared" si="28"/>
        <v>#REF!</v>
      </c>
      <c r="BY67" s="70" t="e">
        <f t="shared" si="28"/>
        <v>#REF!</v>
      </c>
      <c r="BZ67" s="70" t="e">
        <f t="shared" si="28"/>
        <v>#REF!</v>
      </c>
      <c r="CA67" s="70" t="e">
        <f t="shared" si="28"/>
        <v>#REF!</v>
      </c>
      <c r="CB67" s="70" t="e">
        <f t="shared" si="28"/>
        <v>#REF!</v>
      </c>
      <c r="CC67" s="70" t="e">
        <f t="shared" si="28"/>
        <v>#REF!</v>
      </c>
      <c r="CD67" s="70" t="e">
        <f t="shared" si="28"/>
        <v>#REF!</v>
      </c>
      <c r="CE67" s="70" t="e">
        <f t="shared" si="28"/>
        <v>#REF!</v>
      </c>
      <c r="CF67" s="70" t="e">
        <f t="shared" si="28"/>
        <v>#REF!</v>
      </c>
      <c r="CG67" s="70" t="e">
        <f t="shared" si="28"/>
        <v>#REF!</v>
      </c>
      <c r="CH67" s="70" t="e">
        <f t="shared" si="28"/>
        <v>#REF!</v>
      </c>
      <c r="CI67" s="70" t="e">
        <f t="shared" si="28"/>
        <v>#REF!</v>
      </c>
      <c r="CJ67" s="70" t="e">
        <f t="shared" si="28"/>
        <v>#REF!</v>
      </c>
      <c r="CK67" s="70" t="e">
        <f t="shared" si="28"/>
        <v>#REF!</v>
      </c>
      <c r="CL67" s="70" t="e">
        <f t="shared" si="28"/>
        <v>#REF!</v>
      </c>
      <c r="CM67" s="70" t="e">
        <f t="shared" si="28"/>
        <v>#REF!</v>
      </c>
      <c r="CN67" s="70" t="e">
        <f t="shared" si="28"/>
        <v>#REF!</v>
      </c>
      <c r="CO67" s="72" t="e">
        <f t="shared" si="28"/>
        <v>#REF!</v>
      </c>
    </row>
    <row r="68" spans="1:93" ht="12.75" customHeight="1">
      <c r="A68" s="35"/>
      <c r="B68" s="35"/>
      <c r="C68" s="35"/>
      <c r="D68" s="60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</row>
    <row r="69" spans="1:93" ht="12.75" customHeight="1">
      <c r="A69" s="35"/>
      <c r="B69" s="35"/>
      <c r="C69" s="35"/>
      <c r="D69" s="60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</row>
    <row r="70" spans="1:93" ht="12.75" customHeight="1">
      <c r="A70" s="35"/>
      <c r="B70" s="67" t="s">
        <v>166</v>
      </c>
      <c r="C70" s="68"/>
      <c r="D70" s="44" t="str">
        <f t="shared" ref="D70:E70" si="29">D6</f>
        <v>0 период</v>
      </c>
      <c r="E70" s="45">
        <f t="shared" si="29"/>
        <v>44562</v>
      </c>
      <c r="F70" s="45">
        <f>EOMONTH(E70,2)+1</f>
        <v>44652</v>
      </c>
      <c r="G70" s="45">
        <f t="shared" ref="G70:BR70" si="30">EOMONTH(F70,2)+1</f>
        <v>44743</v>
      </c>
      <c r="H70" s="45">
        <f t="shared" si="30"/>
        <v>44835</v>
      </c>
      <c r="I70" s="45">
        <f t="shared" si="30"/>
        <v>44927</v>
      </c>
      <c r="J70" s="45">
        <f t="shared" si="30"/>
        <v>45017</v>
      </c>
      <c r="K70" s="45">
        <f t="shared" si="30"/>
        <v>45108</v>
      </c>
      <c r="L70" s="45">
        <f t="shared" si="30"/>
        <v>45200</v>
      </c>
      <c r="M70" s="45">
        <f t="shared" si="30"/>
        <v>45292</v>
      </c>
      <c r="N70" s="45">
        <f t="shared" si="30"/>
        <v>45383</v>
      </c>
      <c r="O70" s="45">
        <f t="shared" si="30"/>
        <v>45474</v>
      </c>
      <c r="P70" s="45">
        <f t="shared" si="30"/>
        <v>45566</v>
      </c>
      <c r="Q70" s="45">
        <f t="shared" si="30"/>
        <v>45658</v>
      </c>
      <c r="R70" s="45">
        <f t="shared" si="30"/>
        <v>45748</v>
      </c>
      <c r="S70" s="45">
        <f t="shared" si="30"/>
        <v>45839</v>
      </c>
      <c r="T70" s="45">
        <f t="shared" si="30"/>
        <v>45931</v>
      </c>
      <c r="U70" s="45">
        <f t="shared" si="30"/>
        <v>46023</v>
      </c>
      <c r="V70" s="45">
        <f t="shared" si="30"/>
        <v>46113</v>
      </c>
      <c r="W70" s="45">
        <f t="shared" si="30"/>
        <v>46204</v>
      </c>
      <c r="X70" s="45">
        <f t="shared" si="30"/>
        <v>46296</v>
      </c>
      <c r="Y70" s="45">
        <f t="shared" si="30"/>
        <v>46388</v>
      </c>
      <c r="Z70" s="45">
        <f t="shared" si="30"/>
        <v>46478</v>
      </c>
      <c r="AA70" s="45">
        <f t="shared" si="30"/>
        <v>46569</v>
      </c>
      <c r="AB70" s="45">
        <f t="shared" si="30"/>
        <v>46661</v>
      </c>
      <c r="AC70" s="45">
        <f t="shared" si="30"/>
        <v>46753</v>
      </c>
      <c r="AD70" s="45">
        <f t="shared" si="30"/>
        <v>46844</v>
      </c>
      <c r="AE70" s="45">
        <f t="shared" si="30"/>
        <v>46935</v>
      </c>
      <c r="AF70" s="45">
        <f t="shared" si="30"/>
        <v>47027</v>
      </c>
      <c r="AG70" s="45">
        <f t="shared" si="30"/>
        <v>47119</v>
      </c>
      <c r="AH70" s="45">
        <f t="shared" si="30"/>
        <v>47209</v>
      </c>
      <c r="AI70" s="45">
        <f t="shared" si="30"/>
        <v>47300</v>
      </c>
      <c r="AJ70" s="45">
        <f t="shared" si="30"/>
        <v>47392</v>
      </c>
      <c r="AK70" s="45">
        <f t="shared" si="30"/>
        <v>47484</v>
      </c>
      <c r="AL70" s="45">
        <f t="shared" si="30"/>
        <v>47574</v>
      </c>
      <c r="AM70" s="45">
        <f t="shared" si="30"/>
        <v>47665</v>
      </c>
      <c r="AN70" s="45">
        <f t="shared" si="30"/>
        <v>47757</v>
      </c>
      <c r="AO70" s="45">
        <f t="shared" si="30"/>
        <v>47849</v>
      </c>
      <c r="AP70" s="45">
        <f t="shared" si="30"/>
        <v>47939</v>
      </c>
      <c r="AQ70" s="45">
        <f t="shared" si="30"/>
        <v>48030</v>
      </c>
      <c r="AR70" s="45">
        <f t="shared" si="30"/>
        <v>48122</v>
      </c>
      <c r="AS70" s="45">
        <f t="shared" si="30"/>
        <v>48214</v>
      </c>
      <c r="AT70" s="45">
        <f t="shared" si="30"/>
        <v>48305</v>
      </c>
      <c r="AU70" s="45">
        <f t="shared" si="30"/>
        <v>48396</v>
      </c>
      <c r="AV70" s="45">
        <f t="shared" si="30"/>
        <v>48488</v>
      </c>
      <c r="AW70" s="45">
        <f t="shared" si="30"/>
        <v>48580</v>
      </c>
      <c r="AX70" s="45">
        <f t="shared" si="30"/>
        <v>48670</v>
      </c>
      <c r="AY70" s="45">
        <f t="shared" si="30"/>
        <v>48761</v>
      </c>
      <c r="AZ70" s="45">
        <f t="shared" si="30"/>
        <v>48853</v>
      </c>
      <c r="BA70" s="45">
        <f t="shared" si="30"/>
        <v>48945</v>
      </c>
      <c r="BB70" s="45">
        <f t="shared" si="30"/>
        <v>49035</v>
      </c>
      <c r="BC70" s="45">
        <f t="shared" si="30"/>
        <v>49126</v>
      </c>
      <c r="BD70" s="45">
        <f t="shared" si="30"/>
        <v>49218</v>
      </c>
      <c r="BE70" s="45">
        <f t="shared" si="30"/>
        <v>49310</v>
      </c>
      <c r="BF70" s="45">
        <f t="shared" si="30"/>
        <v>49400</v>
      </c>
      <c r="BG70" s="45">
        <f t="shared" si="30"/>
        <v>49491</v>
      </c>
      <c r="BH70" s="45">
        <f t="shared" si="30"/>
        <v>49583</v>
      </c>
      <c r="BI70" s="45">
        <f t="shared" si="30"/>
        <v>49675</v>
      </c>
      <c r="BJ70" s="45">
        <f t="shared" si="30"/>
        <v>49766</v>
      </c>
      <c r="BK70" s="45">
        <f t="shared" si="30"/>
        <v>49857</v>
      </c>
      <c r="BL70" s="45">
        <f t="shared" si="30"/>
        <v>49949</v>
      </c>
      <c r="BM70" s="45">
        <f t="shared" si="30"/>
        <v>50041</v>
      </c>
      <c r="BN70" s="45">
        <f t="shared" si="30"/>
        <v>50131</v>
      </c>
      <c r="BO70" s="45">
        <f t="shared" si="30"/>
        <v>50222</v>
      </c>
      <c r="BP70" s="45">
        <f t="shared" si="30"/>
        <v>50314</v>
      </c>
      <c r="BQ70" s="45">
        <f t="shared" si="30"/>
        <v>50406</v>
      </c>
      <c r="BR70" s="45">
        <f t="shared" si="30"/>
        <v>50496</v>
      </c>
      <c r="BS70" s="45">
        <f t="shared" ref="BS70:CN70" si="31">EOMONTH(BR70,2)+1</f>
        <v>50587</v>
      </c>
      <c r="BT70" s="45">
        <f t="shared" si="31"/>
        <v>50679</v>
      </c>
      <c r="BU70" s="45">
        <f t="shared" si="31"/>
        <v>50771</v>
      </c>
      <c r="BV70" s="45">
        <f t="shared" si="31"/>
        <v>50861</v>
      </c>
      <c r="BW70" s="45">
        <f t="shared" si="31"/>
        <v>50952</v>
      </c>
      <c r="BX70" s="45">
        <f t="shared" si="31"/>
        <v>51044</v>
      </c>
      <c r="BY70" s="45">
        <f t="shared" si="31"/>
        <v>51136</v>
      </c>
      <c r="BZ70" s="45">
        <f t="shared" si="31"/>
        <v>51227</v>
      </c>
      <c r="CA70" s="45">
        <f t="shared" si="31"/>
        <v>51318</v>
      </c>
      <c r="CB70" s="45">
        <f t="shared" si="31"/>
        <v>51410</v>
      </c>
      <c r="CC70" s="45">
        <f t="shared" si="31"/>
        <v>51502</v>
      </c>
      <c r="CD70" s="45">
        <f t="shared" si="31"/>
        <v>51592</v>
      </c>
      <c r="CE70" s="45">
        <f t="shared" si="31"/>
        <v>51683</v>
      </c>
      <c r="CF70" s="45">
        <f t="shared" si="31"/>
        <v>51775</v>
      </c>
      <c r="CG70" s="45">
        <f t="shared" si="31"/>
        <v>51867</v>
      </c>
      <c r="CH70" s="45">
        <f t="shared" si="31"/>
        <v>51957</v>
      </c>
      <c r="CI70" s="45">
        <f t="shared" si="31"/>
        <v>52048</v>
      </c>
      <c r="CJ70" s="45">
        <f t="shared" si="31"/>
        <v>52140</v>
      </c>
      <c r="CK70" s="45">
        <f t="shared" si="31"/>
        <v>52232</v>
      </c>
      <c r="CL70" s="45">
        <f t="shared" si="31"/>
        <v>52322</v>
      </c>
      <c r="CM70" s="45">
        <f t="shared" si="31"/>
        <v>52413</v>
      </c>
      <c r="CN70" s="45">
        <f t="shared" si="31"/>
        <v>52505</v>
      </c>
      <c r="CO70" s="35"/>
    </row>
    <row r="71" spans="1:93" ht="12.75" customHeight="1">
      <c r="A71" s="35"/>
      <c r="B71" s="37" t="s">
        <v>167</v>
      </c>
      <c r="C71" s="35"/>
      <c r="D71" s="85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  <c r="BA71" s="86"/>
      <c r="BB71" s="86"/>
      <c r="BC71" s="86"/>
      <c r="BD71" s="86"/>
      <c r="BE71" s="86"/>
      <c r="BF71" s="86"/>
      <c r="BG71" s="86"/>
      <c r="BH71" s="86"/>
      <c r="BI71" s="86"/>
      <c r="BJ71" s="86"/>
      <c r="BK71" s="86"/>
      <c r="BL71" s="86"/>
      <c r="BM71" s="86"/>
      <c r="BN71" s="86"/>
      <c r="BO71" s="86"/>
      <c r="BP71" s="86"/>
      <c r="BQ71" s="86"/>
      <c r="BR71" s="86"/>
      <c r="BS71" s="86"/>
      <c r="BT71" s="86"/>
      <c r="BU71" s="86"/>
      <c r="BV71" s="86"/>
      <c r="BW71" s="86"/>
      <c r="BX71" s="86"/>
      <c r="BY71" s="86"/>
      <c r="BZ71" s="86"/>
      <c r="CA71" s="86"/>
      <c r="CB71" s="86"/>
      <c r="CC71" s="86"/>
      <c r="CD71" s="86"/>
      <c r="CE71" s="86"/>
      <c r="CF71" s="86"/>
      <c r="CG71" s="86"/>
      <c r="CH71" s="86"/>
      <c r="CI71" s="86"/>
      <c r="CJ71" s="86"/>
      <c r="CK71" s="86"/>
      <c r="CL71" s="86"/>
      <c r="CM71" s="86"/>
      <c r="CN71" s="86"/>
      <c r="CO71" s="35"/>
    </row>
    <row r="72" spans="1:93" ht="12.75" customHeight="1">
      <c r="A72" s="35"/>
      <c r="B72" s="63" t="s">
        <v>160</v>
      </c>
      <c r="C72" s="35" t="e">
        <f t="shared" ref="C72:C83" si="32">SUM(D72:CN72)</f>
        <v>#REF!</v>
      </c>
      <c r="D72" s="60">
        <f t="shared" ref="D72:CN72" si="33">D61</f>
        <v>0</v>
      </c>
      <c r="E72" s="35" t="e">
        <f t="shared" si="33"/>
        <v>#REF!</v>
      </c>
      <c r="F72" s="35" t="e">
        <f t="shared" si="33"/>
        <v>#REF!</v>
      </c>
      <c r="G72" s="35" t="e">
        <f t="shared" si="33"/>
        <v>#REF!</v>
      </c>
      <c r="H72" s="35" t="e">
        <f t="shared" si="33"/>
        <v>#REF!</v>
      </c>
      <c r="I72" s="35" t="e">
        <f t="shared" si="33"/>
        <v>#REF!</v>
      </c>
      <c r="J72" s="35" t="e">
        <f t="shared" si="33"/>
        <v>#REF!</v>
      </c>
      <c r="K72" s="35" t="e">
        <f t="shared" si="33"/>
        <v>#REF!</v>
      </c>
      <c r="L72" s="35" t="e">
        <f t="shared" si="33"/>
        <v>#REF!</v>
      </c>
      <c r="M72" s="35" t="e">
        <f t="shared" si="33"/>
        <v>#REF!</v>
      </c>
      <c r="N72" s="35" t="e">
        <f t="shared" si="33"/>
        <v>#REF!</v>
      </c>
      <c r="O72" s="35" t="e">
        <f t="shared" si="33"/>
        <v>#REF!</v>
      </c>
      <c r="P72" s="35" t="e">
        <f t="shared" si="33"/>
        <v>#REF!</v>
      </c>
      <c r="Q72" s="35" t="e">
        <f t="shared" si="33"/>
        <v>#REF!</v>
      </c>
      <c r="R72" s="35" t="e">
        <f t="shared" si="33"/>
        <v>#REF!</v>
      </c>
      <c r="S72" s="35" t="e">
        <f t="shared" si="33"/>
        <v>#REF!</v>
      </c>
      <c r="T72" s="35" t="e">
        <f t="shared" si="33"/>
        <v>#REF!</v>
      </c>
      <c r="U72" s="35" t="e">
        <f t="shared" si="33"/>
        <v>#REF!</v>
      </c>
      <c r="V72" s="35" t="e">
        <f t="shared" si="33"/>
        <v>#REF!</v>
      </c>
      <c r="W72" s="35" t="e">
        <f t="shared" si="33"/>
        <v>#REF!</v>
      </c>
      <c r="X72" s="35" t="e">
        <f t="shared" si="33"/>
        <v>#REF!</v>
      </c>
      <c r="Y72" s="35" t="e">
        <f t="shared" si="33"/>
        <v>#REF!</v>
      </c>
      <c r="Z72" s="35" t="e">
        <f t="shared" si="33"/>
        <v>#REF!</v>
      </c>
      <c r="AA72" s="35" t="e">
        <f t="shared" si="33"/>
        <v>#REF!</v>
      </c>
      <c r="AB72" s="35" t="e">
        <f t="shared" si="33"/>
        <v>#REF!</v>
      </c>
      <c r="AC72" s="35" t="e">
        <f t="shared" si="33"/>
        <v>#REF!</v>
      </c>
      <c r="AD72" s="35" t="e">
        <f t="shared" si="33"/>
        <v>#REF!</v>
      </c>
      <c r="AE72" s="35" t="e">
        <f t="shared" si="33"/>
        <v>#REF!</v>
      </c>
      <c r="AF72" s="35" t="e">
        <f t="shared" si="33"/>
        <v>#REF!</v>
      </c>
      <c r="AG72" s="35" t="e">
        <f t="shared" si="33"/>
        <v>#REF!</v>
      </c>
      <c r="AH72" s="35" t="e">
        <f t="shared" si="33"/>
        <v>#REF!</v>
      </c>
      <c r="AI72" s="35" t="e">
        <f t="shared" si="33"/>
        <v>#REF!</v>
      </c>
      <c r="AJ72" s="35" t="e">
        <f t="shared" si="33"/>
        <v>#REF!</v>
      </c>
      <c r="AK72" s="35" t="e">
        <f t="shared" si="33"/>
        <v>#REF!</v>
      </c>
      <c r="AL72" s="35" t="e">
        <f t="shared" si="33"/>
        <v>#REF!</v>
      </c>
      <c r="AM72" s="35" t="e">
        <f t="shared" si="33"/>
        <v>#REF!</v>
      </c>
      <c r="AN72" s="35" t="e">
        <f t="shared" si="33"/>
        <v>#REF!</v>
      </c>
      <c r="AO72" s="35" t="e">
        <f t="shared" si="33"/>
        <v>#REF!</v>
      </c>
      <c r="AP72" s="35" t="e">
        <f t="shared" si="33"/>
        <v>#REF!</v>
      </c>
      <c r="AQ72" s="35" t="e">
        <f t="shared" si="33"/>
        <v>#REF!</v>
      </c>
      <c r="AR72" s="35" t="e">
        <f t="shared" si="33"/>
        <v>#REF!</v>
      </c>
      <c r="AS72" s="35" t="e">
        <f t="shared" si="33"/>
        <v>#REF!</v>
      </c>
      <c r="AT72" s="35" t="e">
        <f t="shared" si="33"/>
        <v>#REF!</v>
      </c>
      <c r="AU72" s="35" t="e">
        <f t="shared" si="33"/>
        <v>#REF!</v>
      </c>
      <c r="AV72" s="35" t="e">
        <f t="shared" si="33"/>
        <v>#REF!</v>
      </c>
      <c r="AW72" s="35" t="e">
        <f t="shared" si="33"/>
        <v>#REF!</v>
      </c>
      <c r="AX72" s="35" t="e">
        <f t="shared" si="33"/>
        <v>#REF!</v>
      </c>
      <c r="AY72" s="35" t="e">
        <f t="shared" si="33"/>
        <v>#REF!</v>
      </c>
      <c r="AZ72" s="35" t="e">
        <f t="shared" si="33"/>
        <v>#REF!</v>
      </c>
      <c r="BA72" s="35" t="e">
        <f t="shared" si="33"/>
        <v>#REF!</v>
      </c>
      <c r="BB72" s="35" t="e">
        <f t="shared" si="33"/>
        <v>#REF!</v>
      </c>
      <c r="BC72" s="35" t="e">
        <f t="shared" si="33"/>
        <v>#REF!</v>
      </c>
      <c r="BD72" s="35" t="e">
        <f t="shared" si="33"/>
        <v>#REF!</v>
      </c>
      <c r="BE72" s="35" t="e">
        <f t="shared" si="33"/>
        <v>#REF!</v>
      </c>
      <c r="BF72" s="35" t="e">
        <f t="shared" si="33"/>
        <v>#REF!</v>
      </c>
      <c r="BG72" s="35" t="e">
        <f t="shared" si="33"/>
        <v>#REF!</v>
      </c>
      <c r="BH72" s="35" t="e">
        <f t="shared" si="33"/>
        <v>#REF!</v>
      </c>
      <c r="BI72" s="35" t="e">
        <f t="shared" si="33"/>
        <v>#REF!</v>
      </c>
      <c r="BJ72" s="35" t="e">
        <f t="shared" si="33"/>
        <v>#REF!</v>
      </c>
      <c r="BK72" s="35" t="e">
        <f t="shared" si="33"/>
        <v>#REF!</v>
      </c>
      <c r="BL72" s="35" t="e">
        <f t="shared" si="33"/>
        <v>#REF!</v>
      </c>
      <c r="BM72" s="35" t="e">
        <f t="shared" si="33"/>
        <v>#REF!</v>
      </c>
      <c r="BN72" s="35" t="e">
        <f t="shared" si="33"/>
        <v>#REF!</v>
      </c>
      <c r="BO72" s="35" t="e">
        <f t="shared" si="33"/>
        <v>#REF!</v>
      </c>
      <c r="BP72" s="35" t="e">
        <f t="shared" si="33"/>
        <v>#REF!</v>
      </c>
      <c r="BQ72" s="35" t="e">
        <f t="shared" si="33"/>
        <v>#REF!</v>
      </c>
      <c r="BR72" s="35" t="e">
        <f t="shared" si="33"/>
        <v>#REF!</v>
      </c>
      <c r="BS72" s="35" t="e">
        <f t="shared" si="33"/>
        <v>#REF!</v>
      </c>
      <c r="BT72" s="35" t="e">
        <f t="shared" si="33"/>
        <v>#REF!</v>
      </c>
      <c r="BU72" s="35" t="e">
        <f t="shared" si="33"/>
        <v>#REF!</v>
      </c>
      <c r="BV72" s="35" t="e">
        <f t="shared" si="33"/>
        <v>#REF!</v>
      </c>
      <c r="BW72" s="35" t="e">
        <f t="shared" si="33"/>
        <v>#REF!</v>
      </c>
      <c r="BX72" s="35" t="e">
        <f t="shared" si="33"/>
        <v>#REF!</v>
      </c>
      <c r="BY72" s="35" t="e">
        <f t="shared" si="33"/>
        <v>#REF!</v>
      </c>
      <c r="BZ72" s="35" t="e">
        <f t="shared" si="33"/>
        <v>#REF!</v>
      </c>
      <c r="CA72" s="35" t="e">
        <f t="shared" si="33"/>
        <v>#REF!</v>
      </c>
      <c r="CB72" s="35" t="e">
        <f t="shared" si="33"/>
        <v>#REF!</v>
      </c>
      <c r="CC72" s="35" t="e">
        <f t="shared" si="33"/>
        <v>#REF!</v>
      </c>
      <c r="CD72" s="35" t="e">
        <f t="shared" si="33"/>
        <v>#REF!</v>
      </c>
      <c r="CE72" s="35" t="e">
        <f t="shared" si="33"/>
        <v>#REF!</v>
      </c>
      <c r="CF72" s="35" t="e">
        <f t="shared" si="33"/>
        <v>#REF!</v>
      </c>
      <c r="CG72" s="35" t="e">
        <f t="shared" si="33"/>
        <v>#REF!</v>
      </c>
      <c r="CH72" s="35" t="e">
        <f t="shared" si="33"/>
        <v>#REF!</v>
      </c>
      <c r="CI72" s="35" t="e">
        <f t="shared" si="33"/>
        <v>#REF!</v>
      </c>
      <c r="CJ72" s="35" t="e">
        <f t="shared" si="33"/>
        <v>#REF!</v>
      </c>
      <c r="CK72" s="35" t="e">
        <f t="shared" si="33"/>
        <v>#REF!</v>
      </c>
      <c r="CL72" s="35" t="e">
        <f t="shared" si="33"/>
        <v>#REF!</v>
      </c>
      <c r="CM72" s="35" t="e">
        <f t="shared" si="33"/>
        <v>#REF!</v>
      </c>
      <c r="CN72" s="35" t="e">
        <f t="shared" si="33"/>
        <v>#REF!</v>
      </c>
      <c r="CO72" s="35"/>
    </row>
    <row r="73" spans="1:93" ht="12.75" customHeight="1">
      <c r="A73" s="35"/>
      <c r="B73" s="87" t="s">
        <v>168</v>
      </c>
      <c r="C73" s="35" t="e">
        <f t="shared" si="32"/>
        <v>#REF!</v>
      </c>
      <c r="D73" s="60"/>
      <c r="E73" s="35" t="e">
        <f>(SUM(F33:F36,F38:F41,F44:F56)/F13*Assump!$E$57*Assump!$D$57-SUM(E33:E36,E38:E41,E44:E56)/E13*Assump!$E$57*Assump!$D$57)*(1+Assump!$D$25)</f>
        <v>#REF!</v>
      </c>
      <c r="F73" s="35" t="e">
        <f>(SUM(G33:G36,G38:G41,G44:G56)/G13*Assump!$E$57*Assump!$D$57-SUM(F33:F36,F38:F41,F44:F56)/F13*Assump!$E$57*Assump!$D$57)*(1+Assump!$D$25)</f>
        <v>#REF!</v>
      </c>
      <c r="G73" s="35" t="e">
        <f>(SUM(H33:H36,H38:H41,H44:H56)/H13*Assump!$E$57*Assump!$D$57-SUM(G33:G36,G38:G41,G44:G56)/G13*Assump!$E$57*Assump!$D$57)*(1+Assump!$D$25)</f>
        <v>#REF!</v>
      </c>
      <c r="H73" s="35" t="e">
        <f>(SUM(I33:I36,I38:I41,I44:I56)/I13*Assump!$E$57*Assump!$D$57-SUM(H33:H36,H38:H41,H44:H56)/H13*Assump!$E$57*Assump!$D$57)*(1+Assump!$D$25)</f>
        <v>#REF!</v>
      </c>
      <c r="I73" s="35" t="e">
        <f>(SUM(J33:J36,J38:J41,J44:J56)/J13*Assump!$E$57*Assump!$D$57-SUM(I33:I36,I38:I41,I44:I56)/I13*Assump!$E$57*Assump!$D$57)*(1+Assump!$D$25)</f>
        <v>#REF!</v>
      </c>
      <c r="J73" s="35" t="e">
        <f>(SUM(K33:K36,K38:K41,K44:K56)/K13*Assump!$E$57*Assump!$D$57-SUM(J33:J36,J38:J41,J44:J56)/J13*Assump!$E$57*Assump!$D$57)*(1+Assump!$D$25)</f>
        <v>#REF!</v>
      </c>
      <c r="K73" s="35" t="e">
        <f>(SUM(L33:L36,L38:L41,L44:L56)/L13*Assump!$E$57*Assump!$D$57-SUM(K33:K36,K38:K41,K44:K56)/K13*Assump!$E$57*Assump!$D$57)*(1+Assump!$D$25)</f>
        <v>#REF!</v>
      </c>
      <c r="L73" s="35" t="e">
        <f>(SUM(M33:M36,M38:M41,M44:M56)/M13*Assump!$E$57*Assump!$D$57-SUM(L33:L36,L38:L41,L44:L56)/L13*Assump!$E$57*Assump!$D$57)*(1+Assump!$D$25)</f>
        <v>#REF!</v>
      </c>
      <c r="M73" s="35" t="e">
        <f>(SUM(N33:N36,N38:N41,N44:N56)/N13*Assump!$E$57*Assump!$D$57-SUM(M33:M36,M38:M41,M44:M56)/M13*Assump!$E$57*Assump!$D$57)*(1+Assump!$D$25)</f>
        <v>#REF!</v>
      </c>
      <c r="N73" s="35" t="e">
        <f>(SUM(O33:O36,O38:O41,O44:O56)/O13*Assump!$E$57*Assump!$D$57-SUM(N33:N36,N38:N41,N44:N56)/N13*Assump!$E$57*Assump!$D$57)*(1+Assump!$D$25)</f>
        <v>#REF!</v>
      </c>
      <c r="O73" s="35" t="e">
        <f>(SUM(P33:P36,P38:P41,P44:P56)/P13*Assump!$E$57*Assump!$D$57-SUM(O33:O36,O38:O41,O44:O56)/O13*Assump!$E$57*Assump!$D$57)*(1+Assump!$D$25)</f>
        <v>#REF!</v>
      </c>
      <c r="P73" s="35" t="e">
        <f>(SUM(Q33:Q36,Q38:Q41,Q44:Q56)/Q13*Assump!$E$57*Assump!$D$57-SUM(P33:P36,P38:P41,P44:P56)/P13*Assump!$E$57*Assump!$D$57)*(1+Assump!$D$25)</f>
        <v>#REF!</v>
      </c>
      <c r="Q73" s="35" t="e">
        <f>(SUM(R33:R36,R38:R41,R44:R56)/R13*Assump!$E$57*Assump!$D$57-SUM(Q33:Q36,Q38:Q41,Q44:Q56)/Q13*Assump!$E$57*Assump!$D$57)*(1+Assump!$D$25)</f>
        <v>#REF!</v>
      </c>
      <c r="R73" s="35" t="e">
        <f>(SUM(S33:S36,S38:S41,S44:S56)/S13*Assump!$E$57*Assump!$D$57-SUM(R33:R36,R38:R41,R44:R56)/R13*Assump!$E$57*Assump!$D$57)*(1+Assump!$D$25)</f>
        <v>#REF!</v>
      </c>
      <c r="S73" s="35" t="e">
        <f>(SUM(T33:T36,T38:T41,T44:T56)/T13*Assump!$E$57*Assump!$D$57-SUM(S33:S36,S38:S41,S44:S56)/S13*Assump!$E$57*Assump!$D$57)*(1+Assump!$D$25)</f>
        <v>#REF!</v>
      </c>
      <c r="T73" s="35" t="e">
        <f>(SUM(U33:U36,U38:U41,U44:U56)/U13*Assump!$E$57*Assump!$D$57-SUM(T33:T36,T38:T41,T44:T56)/T13*Assump!$E$57*Assump!$D$57)*(1+Assump!$D$25)</f>
        <v>#REF!</v>
      </c>
      <c r="U73" s="35" t="e">
        <f>(SUM(V33:V36,V38:V41,V44:V56)/V13*Assump!$E$57*Assump!$D$57-SUM(U33:U36,U38:U41,U44:U56)/U13*Assump!$E$57*Assump!$D$57)*(1+Assump!$D$25)</f>
        <v>#REF!</v>
      </c>
      <c r="V73" s="35" t="e">
        <f>(SUM(W33:W36,W38:W41,W44:W56)/W13*Assump!$E$57*Assump!$D$57-SUM(V33:V36,V38:V41,V44:V56)/V13*Assump!$E$57*Assump!$D$57)*(1+Assump!$D$25)</f>
        <v>#REF!</v>
      </c>
      <c r="W73" s="35" t="e">
        <f>(SUM(X33:X36,X38:X41,X44:X56)/X13*Assump!$E$57*Assump!$D$57-SUM(W33:W36,W38:W41,W44:W56)/W13*Assump!$E$57*Assump!$D$57)*(1+Assump!$D$25)</f>
        <v>#REF!</v>
      </c>
      <c r="X73" s="35" t="e">
        <f>(SUM(Y33:Y36,Y38:Y41,Y44:Y56)/Y13*Assump!$E$57*Assump!$D$57-SUM(X33:X36,X38:X41,X44:X56)/X13*Assump!$E$57*Assump!$D$57)*(1+Assump!$D$25)</f>
        <v>#REF!</v>
      </c>
      <c r="Y73" s="35" t="e">
        <f>(SUM(Z33:Z36,Z38:Z41,Z44:Z56)/Z13*Assump!$E$57*Assump!$D$57-SUM(Y33:Y36,Y38:Y41,Y44:Y56)/Y13*Assump!$E$57*Assump!$D$57)*(1+Assump!$D$25)</f>
        <v>#REF!</v>
      </c>
      <c r="Z73" s="35" t="e">
        <f>(SUM(AA33:AA36,AA38:AA41,AA44:AA56)/AA13*Assump!$E$57*Assump!$D$57-SUM(Z33:Z36,Z38:Z41,Z44:Z56)/Z13*Assump!$E$57*Assump!$D$57)*(1+Assump!$D$25)</f>
        <v>#REF!</v>
      </c>
      <c r="AA73" s="35" t="e">
        <f>(SUM(AB33:AB36,AB38:AB41,AB44:AB56)/AB13*Assump!$E$57*Assump!$D$57-SUM(AA33:AA36,AA38:AA41,AA44:AA56)/AA13*Assump!$E$57*Assump!$D$57)*(1+Assump!$D$25)</f>
        <v>#REF!</v>
      </c>
      <c r="AB73" s="35" t="e">
        <f>(SUM(AC33:AC36,AC38:AC41,AC44:AC56)/AC13*Assump!$E$57*Assump!$D$57-SUM(AB33:AB36,AB38:AB41,AB44:AB56)/AB13*Assump!$E$57*Assump!$D$57)*(1+Assump!$D$25)</f>
        <v>#REF!</v>
      </c>
      <c r="AC73" s="35" t="e">
        <f>(SUM(AD33:AD36,AD38:AD41,AD44:AD56)/AD13*Assump!$E$57*Assump!$D$57-SUM(AC33:AC36,AC38:AC41,AC44:AC56)/AC13*Assump!$E$57*Assump!$D$57)*(1+Assump!$D$25)</f>
        <v>#REF!</v>
      </c>
      <c r="AD73" s="35" t="e">
        <f>(SUM(AE33:AE36,AE38:AE41,AE44:AE56)/AE13*Assump!$E$57*Assump!$D$57-SUM(AD33:AD36,AD38:AD41,AD44:AD56)/AD13*Assump!$E$57*Assump!$D$57)*(1+Assump!$D$25)</f>
        <v>#REF!</v>
      </c>
      <c r="AE73" s="35" t="e">
        <f>(SUM(AF33:AF36,AF38:AF41,AF44:AF56)/AF13*Assump!$E$57*Assump!$D$57-SUM(AE33:AE36,AE38:AE41,AE44:AE56)/AE13*Assump!$E$57*Assump!$D$57)*(1+Assump!$D$25)</f>
        <v>#REF!</v>
      </c>
      <c r="AF73" s="35" t="e">
        <f>(SUM(AG33:AG36,AG38:AG41,AG44:AG56)/AG13*Assump!$E$57*Assump!$D$57-SUM(AF33:AF36,AF38:AF41,AF44:AF56)/AF13*Assump!$E$57*Assump!$D$57)*(1+Assump!$D$25)</f>
        <v>#REF!</v>
      </c>
      <c r="AG73" s="35" t="e">
        <f>(SUM(AH33:AH36,AH38:AH41,AH44:AH56)/AH13*Assump!$E$57*Assump!$D$57-SUM(AG33:AG36,AG38:AG41,AG44:AG56)/AG13*Assump!$E$57*Assump!$D$57)*(1+Assump!$D$25)</f>
        <v>#REF!</v>
      </c>
      <c r="AH73" s="35" t="e">
        <f>(SUM(AI33:AI36,AI38:AI41,AI44:AI56)/AI13*Assump!$E$57*Assump!$D$57-SUM(AH33:AH36,AH38:AH41,AH44:AH56)/AH13*Assump!$E$57*Assump!$D$57)*(1+Assump!$D$25)</f>
        <v>#REF!</v>
      </c>
      <c r="AI73" s="35" t="e">
        <f>(SUM(AJ33:AJ36,AJ38:AJ41,AJ44:AJ56)/AJ13*Assump!$E$57*Assump!$D$57-SUM(AI33:AI36,AI38:AI41,AI44:AI56)/AI13*Assump!$E$57*Assump!$D$57)*(1+Assump!$D$25)</f>
        <v>#REF!</v>
      </c>
      <c r="AJ73" s="35" t="e">
        <f>(SUM(AK33:AK36,AK38:AK41,AK44:AK56)/AK13*Assump!$E$57*Assump!$D$57-SUM(AJ33:AJ36,AJ38:AJ41,AJ44:AJ56)/AJ13*Assump!$E$57*Assump!$D$57)*(1+Assump!$D$25)</f>
        <v>#REF!</v>
      </c>
      <c r="AK73" s="35" t="e">
        <f>(SUM(AL33:AL36,AL38:AL41,AL44:AL56)/AL13*Assump!$E$57*Assump!$D$57-SUM(AK33:AK36,AK38:AK41,AK44:AK56)/AK13*Assump!$E$57*Assump!$D$57)*(1+Assump!$D$25)</f>
        <v>#REF!</v>
      </c>
      <c r="AL73" s="35" t="e">
        <f>(SUM(AM33:AM36,AM38:AM41,AM44:AM56)/AM13*Assump!$E$57*Assump!$D$57-SUM(AL33:AL36,AL38:AL41,AL44:AL56)/AL13*Assump!$E$57*Assump!$D$57)*(1+Assump!$D$25)</f>
        <v>#REF!</v>
      </c>
      <c r="AM73" s="35" t="e">
        <f>(SUM(AN33:AN36,AN38:AN41,AN44:AN56)/AN13*Assump!$E$57*Assump!$D$57-SUM(AM33:AM36,AM38:AM41,AM44:AM56)/AM13*Assump!$E$57*Assump!$D$57)*(1+Assump!$D$25)</f>
        <v>#REF!</v>
      </c>
      <c r="AN73" s="35" t="e">
        <f>(SUM(AO33:AO36,AO38:AO41,AO44:AO56)/AO13*Assump!$E$57*Assump!$D$57-SUM(AN33:AN36,AN38:AN41,AN44:AN56)/AN13*Assump!$E$57*Assump!$D$57)*(1+Assump!$D$25)</f>
        <v>#REF!</v>
      </c>
      <c r="AO73" s="35" t="e">
        <f>(SUM(AP33:AP36,AP38:AP41,AP44:AP56)/AP13*Assump!$E$57*Assump!$D$57-SUM(AO33:AO36,AO38:AO41,AO44:AO56)/AO13*Assump!$E$57*Assump!$D$57)*(1+Assump!$D$25)</f>
        <v>#REF!</v>
      </c>
      <c r="AP73" s="35" t="e">
        <f>(SUM(AQ33:AQ36,AQ38:AQ41,AQ44:AQ56)/AQ13*Assump!$E$57*Assump!$D$57-SUM(AP33:AP36,AP38:AP41,AP44:AP56)/AP13*Assump!$E$57*Assump!$D$57)*(1+Assump!$D$25)</f>
        <v>#REF!</v>
      </c>
      <c r="AQ73" s="35" t="e">
        <f>(SUM(AR33:AR36,AR38:AR41,AR44:AR56)/AR13*Assump!$E$57*Assump!$D$57-SUM(AQ33:AQ36,AQ38:AQ41,AQ44:AQ56)/AQ13*Assump!$E$57*Assump!$D$57)*(1+Assump!$D$25)</f>
        <v>#REF!</v>
      </c>
      <c r="AR73" s="35" t="e">
        <f>(SUM(AS33:AS36,AS38:AS41,AS44:AS56)/AS13*Assump!$E$57*Assump!$D$57-SUM(AR33:AR36,AR38:AR41,AR44:AR56)/AR13*Assump!$E$57*Assump!$D$57)*(1+Assump!$D$25)</f>
        <v>#REF!</v>
      </c>
      <c r="AS73" s="35" t="e">
        <f>(SUM(AT33:AT36,AT38:AT41,AT44:AT56)/AT13*Assump!$E$57*Assump!$D$57-SUM(AS33:AS36,AS38:AS41,AS44:AS56)/AS13*Assump!$E$57*Assump!$D$57)*(1+Assump!$D$25)</f>
        <v>#REF!</v>
      </c>
      <c r="AT73" s="35" t="e">
        <f>(SUM(AU33:AU36,AU38:AU41,AU44:AU56)/AU13*Assump!$E$57*Assump!$D$57-SUM(AT33:AT36,AT38:AT41,AT44:AT56)/AT13*Assump!$E$57*Assump!$D$57)*(1+Assump!$D$25)</f>
        <v>#REF!</v>
      </c>
      <c r="AU73" s="35" t="e">
        <f>(SUM(AV33:AV36,AV38:AV41,AV44:AV56)/AV13*Assump!$E$57*Assump!$D$57-SUM(AU33:AU36,AU38:AU41,AU44:AU56)/AU13*Assump!$E$57*Assump!$D$57)*(1+Assump!$D$25)</f>
        <v>#REF!</v>
      </c>
      <c r="AV73" s="35" t="e">
        <f>(SUM(AW33:AW36,AW38:AW41,AW44:AW56)/AW13*Assump!$E$57*Assump!$D$57-SUM(AV33:AV36,AV38:AV41,AV44:AV56)/AV13*Assump!$E$57*Assump!$D$57)*(1+Assump!$D$25)</f>
        <v>#REF!</v>
      </c>
      <c r="AW73" s="35" t="e">
        <f>(SUM(AX33:AX36,AX38:AX41,AX44:AX56)/AX13*Assump!$E$57*Assump!$D$57-SUM(AW33:AW36,AW38:AW41,AW44:AW56)/AW13*Assump!$E$57*Assump!$D$57)*(1+Assump!$D$25)</f>
        <v>#REF!</v>
      </c>
      <c r="AX73" s="35" t="e">
        <f>(SUM(AY33:AY36,AY38:AY41,AY44:AY56)/AY13*Assump!$E$57*Assump!$D$57-SUM(AX33:AX36,AX38:AX41,AX44:AX56)/AX13*Assump!$E$57*Assump!$D$57)*(1+Assump!$D$25)</f>
        <v>#REF!</v>
      </c>
      <c r="AY73" s="35" t="e">
        <f>(SUM(AZ33:AZ36,AZ38:AZ41,AZ44:AZ56)/AZ13*Assump!$E$57*Assump!$D$57-SUM(AY33:AY36,AY38:AY41,AY44:AY56)/AY13*Assump!$E$57*Assump!$D$57)*(1+Assump!$D$25)</f>
        <v>#REF!</v>
      </c>
      <c r="AZ73" s="35" t="e">
        <f>(SUM(BA33:BA36,BA38:BA41,BA44:BA56)/BA13*Assump!$E$57*Assump!$D$57-SUM(AZ33:AZ36,AZ38:AZ41,AZ44:AZ56)/AZ13*Assump!$E$57*Assump!$D$57)*(1+Assump!$D$25)</f>
        <v>#REF!</v>
      </c>
      <c r="BA73" s="35" t="e">
        <f>(SUM(BB33:BB36,BB38:BB41,BB44:BB56)/BB13*Assump!$E$57*Assump!$D$57-SUM(BA33:BA36,BA38:BA41,BA44:BA56)/BA13*Assump!$E$57*Assump!$D$57)*(1+Assump!$D$25)</f>
        <v>#REF!</v>
      </c>
      <c r="BB73" s="35" t="e">
        <f>(SUM(BC33:BC36,BC38:BC41,BC44:BC56)/BC13*Assump!$E$57*Assump!$D$57-SUM(BB33:BB36,BB38:BB41,BB44:BB56)/BB13*Assump!$E$57*Assump!$D$57)*(1+Assump!$D$25)</f>
        <v>#REF!</v>
      </c>
      <c r="BC73" s="35" t="e">
        <f>(SUM(BD33:BD36,BD38:BD41,BD44:BD56)/BD13*Assump!$E$57*Assump!$D$57-SUM(BC33:BC36,BC38:BC41,BC44:BC56)/BC13*Assump!$E$57*Assump!$D$57)*(1+Assump!$D$25)</f>
        <v>#REF!</v>
      </c>
      <c r="BD73" s="35" t="e">
        <f>(SUM(BE33:BE36,BE38:BE41,BE44:BE56)/BE13*Assump!$E$57*Assump!$D$57-SUM(BD33:BD36,BD38:BD41,BD44:BD56)/BD13*Assump!$E$57*Assump!$D$57)*(1+Assump!$D$25)</f>
        <v>#REF!</v>
      </c>
      <c r="BE73" s="35" t="e">
        <f>(SUM(BF33:BF36,BF38:BF41,BF44:BF56)/BF13*Assump!$E$57*Assump!$D$57-SUM(BE33:BE36,BE38:BE41,BE44:BE56)/BE13*Assump!$E$57*Assump!$D$57)*(1+Assump!$D$25)</f>
        <v>#REF!</v>
      </c>
      <c r="BF73" s="35" t="e">
        <f>(SUM(BG33:BG36,BG38:BG41,BG44:BG56)/BG13*Assump!$E$57*Assump!$D$57-SUM(BF33:BF36,BF38:BF41,BF44:BF56)/BF13*Assump!$E$57*Assump!$D$57)*(1+Assump!$D$25)</f>
        <v>#REF!</v>
      </c>
      <c r="BG73" s="35" t="e">
        <f>(SUM(BH33:BH36,BH38:BH41,BH44:BH56)/BH13*Assump!$E$57*Assump!$D$57-SUM(BG33:BG36,BG38:BG41,BG44:BG56)/BG13*Assump!$E$57*Assump!$D$57)*(1+Assump!$D$25)</f>
        <v>#REF!</v>
      </c>
      <c r="BH73" s="35" t="e">
        <f>(SUM(BI33:BI36,BI38:BI41,BI44:BI56)/BI13*Assump!$E$57*Assump!$D$57-SUM(BH33:BH36,BH38:BH41,BH44:BH56)/BH13*Assump!$E$57*Assump!$D$57)*(1+Assump!$D$25)</f>
        <v>#REF!</v>
      </c>
      <c r="BI73" s="35" t="e">
        <f>(SUM(BJ33:BJ36,BJ38:BJ41,BJ44:BJ56)/BJ13*Assump!$E$57*Assump!$D$57-SUM(BI33:BI36,BI38:BI41,BI44:BI56)/BI13*Assump!$E$57*Assump!$D$57)*(1+Assump!$D$25)</f>
        <v>#REF!</v>
      </c>
      <c r="BJ73" s="35" t="e">
        <f>(SUM(BK33:BK36,BK38:BK41,BK44:BK56)/BK13*Assump!$E$57*Assump!$D$57-SUM(BJ33:BJ36,BJ38:BJ41,BJ44:BJ56)/BJ13*Assump!$E$57*Assump!$D$57)*(1+Assump!$D$25)</f>
        <v>#REF!</v>
      </c>
      <c r="BK73" s="35" t="e">
        <f>(SUM(BL33:BL36,BL38:BL41,BL44:BL56)/BL13*Assump!$E$57*Assump!$D$57-SUM(BK33:BK36,BK38:BK41,BK44:BK56)/BK13*Assump!$E$57*Assump!$D$57)*(1+Assump!$D$25)</f>
        <v>#REF!</v>
      </c>
      <c r="BL73" s="35" t="e">
        <f>(SUM(BM33:BM36,BM38:BM41,BM44:BM56)/BM13*Assump!$E$57*Assump!$D$57-SUM(BL33:BL36,BL38:BL41,BL44:BL56)/BL13*Assump!$E$57*Assump!$D$57)*(1+Assump!$D$25)</f>
        <v>#REF!</v>
      </c>
      <c r="BM73" s="35" t="e">
        <f>(SUM(BN33:BN36,BN38:BN41,BN44:BN56)/BN13*Assump!$E$57*Assump!$D$57-SUM(BM33:BM36,BM38:BM41,BM44:BM56)/BM13*Assump!$E$57*Assump!$D$57)*(1+Assump!$D$25)</f>
        <v>#REF!</v>
      </c>
      <c r="BN73" s="35" t="e">
        <f>(SUM(BO33:BO36,BO38:BO41,BO44:BO56)/BO13*Assump!$E$57*Assump!$D$57-SUM(BN33:BN36,BN38:BN41,BN44:BN56)/BN13*Assump!$E$57*Assump!$D$57)*(1+Assump!$D$25)</f>
        <v>#REF!</v>
      </c>
      <c r="BO73" s="35" t="e">
        <f>(SUM(BP33:BP36,BP38:BP41,BP44:BP56)/BP13*Assump!$E$57*Assump!$D$57-SUM(BO33:BO36,BO38:BO41,BO44:BO56)/BO13*Assump!$E$57*Assump!$D$57)*(1+Assump!$D$25)</f>
        <v>#REF!</v>
      </c>
      <c r="BP73" s="35" t="e">
        <f>(SUM(BQ33:BQ36,BQ38:BQ41,BQ44:BQ56)/BQ13*Assump!$E$57*Assump!$D$57-SUM(BP33:BP36,BP38:BP41,BP44:BP56)/BP13*Assump!$E$57*Assump!$D$57)*(1+Assump!$D$25)</f>
        <v>#REF!</v>
      </c>
      <c r="BQ73" s="35" t="e">
        <f>(SUM(BR33:BR36,BR38:BR41,BR44:BR56)/BR13*Assump!$E$57*Assump!$D$57-SUM(BQ33:BQ36,BQ38:BQ41,BQ44:BQ56)/BQ13*Assump!$E$57*Assump!$D$57)*(1+Assump!$D$25)</f>
        <v>#REF!</v>
      </c>
      <c r="BR73" s="35" t="e">
        <f>(SUM(BS33:BS36,BS38:BS41,BS44:BS56)/BS13*Assump!$E$57*Assump!$D$57-SUM(BR33:BR36,BR38:BR41,BR44:BR56)/BR13*Assump!$E$57*Assump!$D$57)*(1+Assump!$D$25)</f>
        <v>#REF!</v>
      </c>
      <c r="BS73" s="35" t="e">
        <f>(SUM(BT33:BT36,BT38:BT41,BT44:BT56)/BT13*Assump!$E$57*Assump!$D$57-SUM(BS33:BS36,BS38:BS41,BS44:BS56)/BS13*Assump!$E$57*Assump!$D$57)*(1+Assump!$D$25)</f>
        <v>#REF!</v>
      </c>
      <c r="BT73" s="35" t="e">
        <f>(SUM(BU33:BU36,BU38:BU41,BU44:BU56)/BU13*Assump!$E$57*Assump!$D$57-SUM(BT33:BT36,BT38:BT41,BT44:BT56)/BT13*Assump!$E$57*Assump!$D$57)*(1+Assump!$D$25)</f>
        <v>#REF!</v>
      </c>
      <c r="BU73" s="35" t="e">
        <f>(SUM(BV33:BV36,BV38:BV41,BV44:BV56)/BV13*Assump!$E$57*Assump!$D$57-SUM(BU33:BU36,BU38:BU41,BU44:BU56)/BU13*Assump!$E$57*Assump!$D$57)*(1+Assump!$D$25)</f>
        <v>#REF!</v>
      </c>
      <c r="BV73" s="35" t="e">
        <f>(SUM(BW33:BW36,BW38:BW41,BW44:BW56)/BW13*Assump!$E$57*Assump!$D$57-SUM(BV33:BV36,BV38:BV41,BV44:BV56)/BV13*Assump!$E$57*Assump!$D$57)*(1+Assump!$D$25)</f>
        <v>#REF!</v>
      </c>
      <c r="BW73" s="35" t="e">
        <f>(SUM(BX33:BX36,BX38:BX41,BX44:BX56)/BX13*Assump!$E$57*Assump!$D$57-SUM(BW33:BW36,BW38:BW41,BW44:BW56)/BW13*Assump!$E$57*Assump!$D$57)*(1+Assump!$D$25)</f>
        <v>#REF!</v>
      </c>
      <c r="BX73" s="35" t="e">
        <f>(SUM(BY33:BY36,BY38:BY41,BY44:BY56)/BY13*Assump!$E$57*Assump!$D$57-SUM(BX33:BX36,BX38:BX41,BX44:BX56)/BX13*Assump!$E$57*Assump!$D$57)*(1+Assump!$D$25)</f>
        <v>#REF!</v>
      </c>
      <c r="BY73" s="35" t="e">
        <f>(SUM(BZ33:BZ36,BZ38:BZ41,BZ44:BZ56)/BZ13*Assump!$E$57*Assump!$D$57-SUM(BY33:BY36,BY38:BY41,BY44:BY56)/BY13*Assump!$E$57*Assump!$D$57)*(1+Assump!$D$25)</f>
        <v>#REF!</v>
      </c>
      <c r="BZ73" s="35" t="e">
        <f>(SUM(CA33:CA36,CA38:CA41,CA44:CA56)/CA13*Assump!$E$57*Assump!$D$57-SUM(BZ33:BZ36,BZ38:BZ41,BZ44:BZ56)/BZ13*Assump!$E$57*Assump!$D$57)*(1+Assump!$D$25)</f>
        <v>#REF!</v>
      </c>
      <c r="CA73" s="35" t="e">
        <f>(SUM(CB33:CB36,CB38:CB41,CB44:CB56)/CB13*Assump!$E$57*Assump!$D$57-SUM(CA33:CA36,CA38:CA41,CA44:CA56)/CA13*Assump!$E$57*Assump!$D$57)*(1+Assump!$D$25)</f>
        <v>#REF!</v>
      </c>
      <c r="CB73" s="35" t="e">
        <f>(SUM(CC33:CC36,CC38:CC41,CC44:CC56)/CC13*Assump!$E$57*Assump!$D$57-SUM(CB33:CB36,CB38:CB41,CB44:CB56)/CB13*Assump!$E$57*Assump!$D$57)*(1+Assump!$D$25)</f>
        <v>#REF!</v>
      </c>
      <c r="CC73" s="35" t="e">
        <f>(SUM(CD33:CD36,CD38:CD41,CD44:CD56)/CD13*Assump!$E$57*Assump!$D$57-SUM(CC33:CC36,CC38:CC41,CC44:CC56)/CC13*Assump!$E$57*Assump!$D$57)*(1+Assump!$D$25)</f>
        <v>#REF!</v>
      </c>
      <c r="CD73" s="35" t="e">
        <f>(SUM(CE33:CE36,CE38:CE41,CE44:CE56)/CE13*Assump!$E$57*Assump!$D$57-SUM(CD33:CD36,CD38:CD41,CD44:CD56)/CD13*Assump!$E$57*Assump!$D$57)*(1+Assump!$D$25)</f>
        <v>#REF!</v>
      </c>
      <c r="CE73" s="35" t="e">
        <f>(SUM(CF33:CF36,CF38:CF41,CF44:CF56)/CF13*Assump!$E$57*Assump!$D$57-SUM(CE33:CE36,CE38:CE41,CE44:CE56)/CE13*Assump!$E$57*Assump!$D$57)*(1+Assump!$D$25)</f>
        <v>#REF!</v>
      </c>
      <c r="CF73" s="35" t="e">
        <f>(SUM(CG33:CG36,CG38:CG41,CG44:CG56)/CG13*Assump!$E$57*Assump!$D$57-SUM(CF33:CF36,CF38:CF41,CF44:CF56)/CF13*Assump!$E$57*Assump!$D$57)*(1+Assump!$D$25)</f>
        <v>#REF!</v>
      </c>
      <c r="CG73" s="35" t="e">
        <f>(SUM(CH33:CH36,CH38:CH41,CH44:CH56)/CH13*Assump!$E$57*Assump!$D$57-SUM(CG33:CG36,CG38:CG41,CG44:CG56)/CG13*Assump!$E$57*Assump!$D$57)*(1+Assump!$D$25)</f>
        <v>#REF!</v>
      </c>
      <c r="CH73" s="35" t="e">
        <f>(SUM(CI33:CI36,CI38:CI41,CI44:CI56)/CI13*Assump!$E$57*Assump!$D$57-SUM(CH33:CH36,CH38:CH41,CH44:CH56)/CH13*Assump!$E$57*Assump!$D$57)*(1+Assump!$D$25)</f>
        <v>#REF!</v>
      </c>
      <c r="CI73" s="35" t="e">
        <f>(SUM(CJ33:CJ36,CJ38:CJ41,CJ44:CJ56)/CJ13*Assump!$E$57*Assump!$D$57-SUM(CI33:CI36,CI38:CI41,CI44:CI56)/CI13*Assump!$E$57*Assump!$D$57)*(1+Assump!$D$25)</f>
        <v>#REF!</v>
      </c>
      <c r="CJ73" s="35" t="e">
        <f>(SUM(CK33:CK36,CK38:CK41,CK44:CK56)/CK13*Assump!$E$57*Assump!$D$57-SUM(CJ33:CJ36,CJ38:CJ41,CJ44:CJ56)/CJ13*Assump!$E$57*Assump!$D$57)*(1+Assump!$D$25)</f>
        <v>#REF!</v>
      </c>
      <c r="CK73" s="35" t="e">
        <f>(SUM(CL33:CL36,CL38:CL41,CL44:CL56)/CL13*Assump!$E$57*Assump!$D$57-SUM(CK33:CK36,CK38:CK41,CK44:CK56)/CK13*Assump!$E$57*Assump!$D$57)*(1+Assump!$D$25)</f>
        <v>#REF!</v>
      </c>
      <c r="CL73" s="35" t="e">
        <f>(SUM(CM33:CM36,CM38:CM41,CM44:CM56)/CM13*Assump!$E$57*Assump!$D$57-SUM(CL33:CL36,CL38:CL41,CL44:CL56)/CL13*Assump!$E$57*Assump!$D$57)*(1+Assump!$D$25)</f>
        <v>#REF!</v>
      </c>
      <c r="CM73" s="35" t="e">
        <f>(SUM(CN33:CN36,CN38:CN41,CN44:CN56)/CN13*Assump!$E$57*Assump!$D$57-SUM(CM33:CM36,CM38:CM41,CM44:CM56)/CM13*Assump!$E$57*Assump!$D$57)*(1+Assump!$D$25)</f>
        <v>#REF!</v>
      </c>
      <c r="CN73" s="35" t="e">
        <f>(SUM(CO33:CO36,CO38:CO41,CO44:CO56)/CO13*Assump!$E$57*Assump!$D$57-SUM(CN33:CN36,CN38:CN41,CN44:CN56)/CN13*Assump!$E$57*Assump!$D$57)*(1+Assump!$D$25)</f>
        <v>#REF!</v>
      </c>
      <c r="CO73" s="35"/>
    </row>
    <row r="74" spans="1:93" ht="12.75" customHeight="1">
      <c r="A74" s="35"/>
      <c r="B74" s="87" t="s">
        <v>169</v>
      </c>
      <c r="C74" s="35" t="e">
        <f t="shared" si="32"/>
        <v>#REF!</v>
      </c>
      <c r="D74" s="60"/>
      <c r="E74" s="35" t="e">
        <f>(F$28/F$13*Assump!$D$59*Assump!$E$59-E$28/E$13*Assump!$D$59*Assump!$E$59)*(1+Assump!$D$25)</f>
        <v>#REF!</v>
      </c>
      <c r="F74" s="35" t="e">
        <f>(G$28/G$13*Assump!$D$59*Assump!$E$59-F$28/F$13*Assump!$D$59*Assump!$E$59)*(1+Assump!$D$25)</f>
        <v>#REF!</v>
      </c>
      <c r="G74" s="35" t="e">
        <f>(H$28/H$13*Assump!$D$59*Assump!$E$59-G$28/G$13*Assump!$D$59*Assump!$E$59)*(1+Assump!$D$25)</f>
        <v>#REF!</v>
      </c>
      <c r="H74" s="35" t="e">
        <f>(I$28/I$13*Assump!$D$59*Assump!$E$59-H$28/H$13*Assump!$D$59*Assump!$E$59)*(1+Assump!$D$25)</f>
        <v>#REF!</v>
      </c>
      <c r="I74" s="35" t="e">
        <f>(J$28/J$13*Assump!$D$59*Assump!$E$59-I$28/I$13*Assump!$D$59*Assump!$E$59)*(1+Assump!$D$25)</f>
        <v>#REF!</v>
      </c>
      <c r="J74" s="35" t="e">
        <f>(K$28/K$13*Assump!$D$59*Assump!$E$59-J$28/J$13*Assump!$D$59*Assump!$E$59)*(1+Assump!$D$25)</f>
        <v>#REF!</v>
      </c>
      <c r="K74" s="35" t="e">
        <f>(L$28/L$13*Assump!$D$59*Assump!$E$59-K$28/K$13*Assump!$D$59*Assump!$E$59)*(1+Assump!$D$25)</f>
        <v>#REF!</v>
      </c>
      <c r="L74" s="35" t="e">
        <f>(M$28/M$13*Assump!$D$59*Assump!$E$59-L$28/L$13*Assump!$D$59*Assump!$E$59)*(1+Assump!$D$25)</f>
        <v>#REF!</v>
      </c>
      <c r="M74" s="35" t="e">
        <f>(N$28/N$13*Assump!$D$59*Assump!$E$59-M$28/M$13*Assump!$D$59*Assump!$E$59)*(1+Assump!$D$25)</f>
        <v>#REF!</v>
      </c>
      <c r="N74" s="35" t="e">
        <f>(O$28/O$13*Assump!$D$59*Assump!$E$59-N$28/N$13*Assump!$D$59*Assump!$E$59)*(1+Assump!$D$25)</f>
        <v>#REF!</v>
      </c>
      <c r="O74" s="35" t="e">
        <f>(P$28/P$13*Assump!$D$59*Assump!$E$59-O$28/O$13*Assump!$D$59*Assump!$E$59)*(1+Assump!$D$25)</f>
        <v>#REF!</v>
      </c>
      <c r="P74" s="35" t="e">
        <f>(Q$28/Q$13*Assump!$D$59*Assump!$E$59-P$28/P$13*Assump!$D$59*Assump!$E$59)*(1+Assump!$D$25)</f>
        <v>#REF!</v>
      </c>
      <c r="Q74" s="35" t="e">
        <f>(R$28/R$13*Assump!$D$59*Assump!$E$59-Q$28/Q$13*Assump!$D$59*Assump!$E$59)*(1+Assump!$D$25)</f>
        <v>#REF!</v>
      </c>
      <c r="R74" s="35" t="e">
        <f>(S$28/S$13*Assump!$D$59*Assump!$E$59-R$28/R$13*Assump!$D$59*Assump!$E$59)*(1+Assump!$D$25)</f>
        <v>#REF!</v>
      </c>
      <c r="S74" s="35" t="e">
        <f>(T$28/T$13*Assump!$D$59*Assump!$E$59-S$28/S$13*Assump!$D$59*Assump!$E$59)*(1+Assump!$D$25)</f>
        <v>#REF!</v>
      </c>
      <c r="T74" s="35" t="e">
        <f>(U$28/U$13*Assump!$D$59*Assump!$E$59-T$28/T$13*Assump!$D$59*Assump!$E$59)*(1+Assump!$D$25)</f>
        <v>#REF!</v>
      </c>
      <c r="U74" s="35" t="e">
        <f>(V$28/V$13*Assump!$D$59*Assump!$E$59-U$28/U$13*Assump!$D$59*Assump!$E$59)*(1+Assump!$D$25)</f>
        <v>#REF!</v>
      </c>
      <c r="V74" s="35" t="e">
        <f>(W$28/W$13*Assump!$D$59*Assump!$E$59-V$28/V$13*Assump!$D$59*Assump!$E$59)*(1+Assump!$D$25)</f>
        <v>#REF!</v>
      </c>
      <c r="W74" s="35" t="e">
        <f>(X$28/X$13*Assump!$D$59*Assump!$E$59-W$28/W$13*Assump!$D$59*Assump!$E$59)*(1+Assump!$D$25)</f>
        <v>#REF!</v>
      </c>
      <c r="X74" s="35" t="e">
        <f>(Y$28/Y$13*Assump!$D$59*Assump!$E$59-X$28/X$13*Assump!$D$59*Assump!$E$59)*(1+Assump!$D$25)</f>
        <v>#REF!</v>
      </c>
      <c r="Y74" s="35" t="e">
        <f>(Z$28/Z$13*Assump!$D$59*Assump!$E$59-Y$28/Y$13*Assump!$D$59*Assump!$E$59)*(1+Assump!$D$25)</f>
        <v>#REF!</v>
      </c>
      <c r="Z74" s="35" t="e">
        <f>(AA$28/AA$13*Assump!$D$59*Assump!$E$59-Z$28/Z$13*Assump!$D$59*Assump!$E$59)*(1+Assump!$D$25)</f>
        <v>#REF!</v>
      </c>
      <c r="AA74" s="35" t="e">
        <f>(AB$28/AB$13*Assump!$D$59*Assump!$E$59-AA$28/AA$13*Assump!$D$59*Assump!$E$59)*(1+Assump!$D$25)</f>
        <v>#REF!</v>
      </c>
      <c r="AB74" s="35" t="e">
        <f>(AC$28/AC$13*Assump!$D$59*Assump!$E$59-AB$28/AB$13*Assump!$D$59*Assump!$E$59)*(1+Assump!$D$25)</f>
        <v>#REF!</v>
      </c>
      <c r="AC74" s="35" t="e">
        <f>(AD$28/AD$13*Assump!$D$59*Assump!$E$59-AC$28/AC$13*Assump!$D$59*Assump!$E$59)*(1+Assump!$D$25)</f>
        <v>#REF!</v>
      </c>
      <c r="AD74" s="35" t="e">
        <f>(AE$28/AE$13*Assump!$D$59*Assump!$E$59-AD$28/AD$13*Assump!$D$59*Assump!$E$59)*(1+Assump!$D$25)</f>
        <v>#REF!</v>
      </c>
      <c r="AE74" s="35" t="e">
        <f>(AF$28/AF$13*Assump!$D$59*Assump!$E$59-AE$28/AE$13*Assump!$D$59*Assump!$E$59)*(1+Assump!$D$25)</f>
        <v>#REF!</v>
      </c>
      <c r="AF74" s="35" t="e">
        <f>(AG$28/AG$13*Assump!$D$59*Assump!$E$59-AF$28/AF$13*Assump!$D$59*Assump!$E$59)*(1+Assump!$D$25)</f>
        <v>#REF!</v>
      </c>
      <c r="AG74" s="35" t="e">
        <f>(AH$28/AH$13*Assump!$D$59*Assump!$E$59-AG$28/AG$13*Assump!$D$59*Assump!$E$59)*(1+Assump!$D$25)</f>
        <v>#REF!</v>
      </c>
      <c r="AH74" s="35" t="e">
        <f>(AI$28/AI$13*Assump!$D$59*Assump!$E$59-AH$28/AH$13*Assump!$D$59*Assump!$E$59)*(1+Assump!$D$25)</f>
        <v>#REF!</v>
      </c>
      <c r="AI74" s="35" t="e">
        <f>(AJ$28/AJ$13*Assump!$D$59*Assump!$E$59-AI$28/AI$13*Assump!$D$59*Assump!$E$59)*(1+Assump!$D$25)</f>
        <v>#REF!</v>
      </c>
      <c r="AJ74" s="35" t="e">
        <f>(AK$28/AK$13*Assump!$D$59*Assump!$E$59-AJ$28/AJ$13*Assump!$D$59*Assump!$E$59)*(1+Assump!$D$25)</f>
        <v>#REF!</v>
      </c>
      <c r="AK74" s="35" t="e">
        <f>(AL$28/AL$13*Assump!$D$59*Assump!$E$59-AK$28/AK$13*Assump!$D$59*Assump!$E$59)*(1+Assump!$D$25)</f>
        <v>#REF!</v>
      </c>
      <c r="AL74" s="35" t="e">
        <f>(AM$28/AM$13*Assump!$D$59*Assump!$E$59-AL$28/AL$13*Assump!$D$59*Assump!$E$59)*(1+Assump!$D$25)</f>
        <v>#REF!</v>
      </c>
      <c r="AM74" s="35" t="e">
        <f>(AN$28/AN$13*Assump!$D$59*Assump!$E$59-AM$28/AM$13*Assump!$D$59*Assump!$E$59)*(1+Assump!$D$25)</f>
        <v>#REF!</v>
      </c>
      <c r="AN74" s="35" t="e">
        <f>(AO$28/AO$13*Assump!$D$59*Assump!$E$59-AN$28/AN$13*Assump!$D$59*Assump!$E$59)*(1+Assump!$D$25)</f>
        <v>#REF!</v>
      </c>
      <c r="AO74" s="35" t="e">
        <f>(AP$28/AP$13*Assump!$D$59*Assump!$E$59-AO$28/AO$13*Assump!$D$59*Assump!$E$59)*(1+Assump!$D$25)</f>
        <v>#REF!</v>
      </c>
      <c r="AP74" s="35" t="e">
        <f>(AQ$28/AQ$13*Assump!$D$59*Assump!$E$59-AP$28/AP$13*Assump!$D$59*Assump!$E$59)*(1+Assump!$D$25)</f>
        <v>#REF!</v>
      </c>
      <c r="AQ74" s="35" t="e">
        <f>(AR$28/AR$13*Assump!$D$59*Assump!$E$59-AQ$28/AQ$13*Assump!$D$59*Assump!$E$59)*(1+Assump!$D$25)</f>
        <v>#REF!</v>
      </c>
      <c r="AR74" s="35" t="e">
        <f>(AS$28/AS$13*Assump!$D$59*Assump!$E$59-AR$28/AR$13*Assump!$D$59*Assump!$E$59)*(1+Assump!$D$25)</f>
        <v>#REF!</v>
      </c>
      <c r="AS74" s="35" t="e">
        <f>(AT$28/AT$13*Assump!$D$59*Assump!$E$59-AS$28/AS$13*Assump!$D$59*Assump!$E$59)*(1+Assump!$D$25)</f>
        <v>#REF!</v>
      </c>
      <c r="AT74" s="35" t="e">
        <f>(AU$28/AU$13*Assump!$D$59*Assump!$E$59-AT$28/AT$13*Assump!$D$59*Assump!$E$59)*(1+Assump!$D$25)</f>
        <v>#REF!</v>
      </c>
      <c r="AU74" s="35" t="e">
        <f>(AV$28/AV$13*Assump!$D$59*Assump!$E$59-AU$28/AU$13*Assump!$D$59*Assump!$E$59)*(1+Assump!$D$25)</f>
        <v>#REF!</v>
      </c>
      <c r="AV74" s="35" t="e">
        <f>(AW$28/AW$13*Assump!$D$59*Assump!$E$59-AV$28/AV$13*Assump!$D$59*Assump!$E$59)*(1+Assump!$D$25)</f>
        <v>#REF!</v>
      </c>
      <c r="AW74" s="35" t="e">
        <f>(AX$28/AX$13*Assump!$D$59*Assump!$E$59-AW$28/AW$13*Assump!$D$59*Assump!$E$59)*(1+Assump!$D$25)</f>
        <v>#REF!</v>
      </c>
      <c r="AX74" s="35" t="e">
        <f>(AY$28/AY$13*Assump!$D$59*Assump!$E$59-AX$28/AX$13*Assump!$D$59*Assump!$E$59)*(1+Assump!$D$25)</f>
        <v>#REF!</v>
      </c>
      <c r="AY74" s="35" t="e">
        <f>(AZ$28/AZ$13*Assump!$D$59*Assump!$E$59-AY$28/AY$13*Assump!$D$59*Assump!$E$59)*(1+Assump!$D$25)</f>
        <v>#REF!</v>
      </c>
      <c r="AZ74" s="35" t="e">
        <f>(BA$28/BA$13*Assump!$D$59*Assump!$E$59-AZ$28/AZ$13*Assump!$D$59*Assump!$E$59)*(1+Assump!$D$25)</f>
        <v>#REF!</v>
      </c>
      <c r="BA74" s="35" t="e">
        <f>(BB$28/BB$13*Assump!$D$59*Assump!$E$59-BA$28/BA$13*Assump!$D$59*Assump!$E$59)*(1+Assump!$D$25)</f>
        <v>#REF!</v>
      </c>
      <c r="BB74" s="35" t="e">
        <f>(BC$28/BC$13*Assump!$D$59*Assump!$E$59-BB$28/BB$13*Assump!$D$59*Assump!$E$59)*(1+Assump!$D$25)</f>
        <v>#REF!</v>
      </c>
      <c r="BC74" s="35" t="e">
        <f>(BD$28/BD$13*Assump!$D$59*Assump!$E$59-BC$28/BC$13*Assump!$D$59*Assump!$E$59)*(1+Assump!$D$25)</f>
        <v>#REF!</v>
      </c>
      <c r="BD74" s="35" t="e">
        <f>(BE$28/BE$13*Assump!$D$59*Assump!$E$59-BD$28/BD$13*Assump!$D$59*Assump!$E$59)*(1+Assump!$D$25)</f>
        <v>#REF!</v>
      </c>
      <c r="BE74" s="35" t="e">
        <f>(BF$28/BF$13*Assump!$D$59*Assump!$E$59-BE$28/BE$13*Assump!$D$59*Assump!$E$59)*(1+Assump!$D$25)</f>
        <v>#REF!</v>
      </c>
      <c r="BF74" s="35" t="e">
        <f>(BG$28/BG$13*Assump!$D$59*Assump!$E$59-BF$28/BF$13*Assump!$D$59*Assump!$E$59)*(1+Assump!$D$25)</f>
        <v>#REF!</v>
      </c>
      <c r="BG74" s="35" t="e">
        <f>(BH$28/BH$13*Assump!$D$59*Assump!$E$59-BG$28/BG$13*Assump!$D$59*Assump!$E$59)*(1+Assump!$D$25)</f>
        <v>#REF!</v>
      </c>
      <c r="BH74" s="35" t="e">
        <f>(BI$28/BI$13*Assump!$D$59*Assump!$E$59-BH$28/BH$13*Assump!$D$59*Assump!$E$59)*(1+Assump!$D$25)</f>
        <v>#REF!</v>
      </c>
      <c r="BI74" s="35" t="e">
        <f>(BJ$28/BJ$13*Assump!$D$59*Assump!$E$59-BI$28/BI$13*Assump!$D$59*Assump!$E$59)*(1+Assump!$D$25)</f>
        <v>#REF!</v>
      </c>
      <c r="BJ74" s="35" t="e">
        <f>(BK$28/BK$13*Assump!$D$59*Assump!$E$59-BJ$28/BJ$13*Assump!$D$59*Assump!$E$59)*(1+Assump!$D$25)</f>
        <v>#REF!</v>
      </c>
      <c r="BK74" s="35" t="e">
        <f>(BL$28/BL$13*Assump!$D$59*Assump!$E$59-BK$28/BK$13*Assump!$D$59*Assump!$E$59)*(1+Assump!$D$25)</f>
        <v>#REF!</v>
      </c>
      <c r="BL74" s="35" t="e">
        <f>(BM$28/BM$13*Assump!$D$59*Assump!$E$59-BL$28/BL$13*Assump!$D$59*Assump!$E$59)*(1+Assump!$D$25)</f>
        <v>#REF!</v>
      </c>
      <c r="BM74" s="35" t="e">
        <f>(BN$28/BN$13*Assump!$D$59*Assump!$E$59-BM$28/BM$13*Assump!$D$59*Assump!$E$59)*(1+Assump!$D$25)</f>
        <v>#REF!</v>
      </c>
      <c r="BN74" s="35" t="e">
        <f>(BO$28/BO$13*Assump!$D$59*Assump!$E$59-BN$28/BN$13*Assump!$D$59*Assump!$E$59)*(1+Assump!$D$25)</f>
        <v>#REF!</v>
      </c>
      <c r="BO74" s="35" t="e">
        <f>(BP$28/BP$13*Assump!$D$59*Assump!$E$59-BO$28/BO$13*Assump!$D$59*Assump!$E$59)*(1+Assump!$D$25)</f>
        <v>#REF!</v>
      </c>
      <c r="BP74" s="35" t="e">
        <f>(BQ$28/BQ$13*Assump!$D$59*Assump!$E$59-BP$28/BP$13*Assump!$D$59*Assump!$E$59)*(1+Assump!$D$25)</f>
        <v>#REF!</v>
      </c>
      <c r="BQ74" s="35" t="e">
        <f>(BR$28/BR$13*Assump!$D$59*Assump!$E$59-BQ$28/BQ$13*Assump!$D$59*Assump!$E$59)*(1+Assump!$D$25)</f>
        <v>#REF!</v>
      </c>
      <c r="BR74" s="35" t="e">
        <f>(BS$28/BS$13*Assump!$D$59*Assump!$E$59-BR$28/BR$13*Assump!$D$59*Assump!$E$59)*(1+Assump!$D$25)</f>
        <v>#REF!</v>
      </c>
      <c r="BS74" s="35" t="e">
        <f>(BT$28/BT$13*Assump!$D$59*Assump!$E$59-BS$28/BS$13*Assump!$D$59*Assump!$E$59)*(1+Assump!$D$25)</f>
        <v>#REF!</v>
      </c>
      <c r="BT74" s="35" t="e">
        <f>(BU$28/BU$13*Assump!$D$59*Assump!$E$59-BT$28/BT$13*Assump!$D$59*Assump!$E$59)*(1+Assump!$D$25)</f>
        <v>#REF!</v>
      </c>
      <c r="BU74" s="35" t="e">
        <f>(BV$28/BV$13*Assump!$D$59*Assump!$E$59-BU$28/BU$13*Assump!$D$59*Assump!$E$59)*(1+Assump!$D$25)</f>
        <v>#REF!</v>
      </c>
      <c r="BV74" s="35" t="e">
        <f>(BW$28/BW$13*Assump!$D$59*Assump!$E$59-BV$28/BV$13*Assump!$D$59*Assump!$E$59)*(1+Assump!$D$25)</f>
        <v>#REF!</v>
      </c>
      <c r="BW74" s="35" t="e">
        <f>(BX$28/BX$13*Assump!$D$59*Assump!$E$59-BW$28/BW$13*Assump!$D$59*Assump!$E$59)*(1+Assump!$D$25)</f>
        <v>#REF!</v>
      </c>
      <c r="BX74" s="35" t="e">
        <f>(BY$28/BY$13*Assump!$D$59*Assump!$E$59-BX$28/BX$13*Assump!$D$59*Assump!$E$59)*(1+Assump!$D$25)</f>
        <v>#REF!</v>
      </c>
      <c r="BY74" s="35" t="e">
        <f>(BZ$28/BZ$13*Assump!$D$59*Assump!$E$59-BY$28/BY$13*Assump!$D$59*Assump!$E$59)*(1+Assump!$D$25)</f>
        <v>#REF!</v>
      </c>
      <c r="BZ74" s="35" t="e">
        <f>(CA$28/CA$13*Assump!$D$59*Assump!$E$59-BZ$28/BZ$13*Assump!$D$59*Assump!$E$59)*(1+Assump!$D$25)</f>
        <v>#REF!</v>
      </c>
      <c r="CA74" s="35" t="e">
        <f>(CB$28/CB$13*Assump!$D$59*Assump!$E$59-CA$28/CA$13*Assump!$D$59*Assump!$E$59)*(1+Assump!$D$25)</f>
        <v>#REF!</v>
      </c>
      <c r="CB74" s="35" t="e">
        <f>(CC$28/CC$13*Assump!$D$59*Assump!$E$59-CB$28/CB$13*Assump!$D$59*Assump!$E$59)*(1+Assump!$D$25)</f>
        <v>#REF!</v>
      </c>
      <c r="CC74" s="35" t="e">
        <f>(CD$28/CD$13*Assump!$D$59*Assump!$E$59-CC$28/CC$13*Assump!$D$59*Assump!$E$59)*(1+Assump!$D$25)</f>
        <v>#REF!</v>
      </c>
      <c r="CD74" s="35" t="e">
        <f>(CE$28/CE$13*Assump!$D$59*Assump!$E$59-CD$28/CD$13*Assump!$D$59*Assump!$E$59)*(1+Assump!$D$25)</f>
        <v>#REF!</v>
      </c>
      <c r="CE74" s="35" t="e">
        <f>(CF$28/CF$13*Assump!$D$59*Assump!$E$59-CE$28/CE$13*Assump!$D$59*Assump!$E$59)*(1+Assump!$D$25)</f>
        <v>#REF!</v>
      </c>
      <c r="CF74" s="35" t="e">
        <f>(CG$28/CG$13*Assump!$D$59*Assump!$E$59-CF$28/CF$13*Assump!$D$59*Assump!$E$59)*(1+Assump!$D$25)</f>
        <v>#REF!</v>
      </c>
      <c r="CG74" s="35" t="e">
        <f>(CH$28/CH$13*Assump!$D$59*Assump!$E$59-CG$28/CG$13*Assump!$D$59*Assump!$E$59)*(1+Assump!$D$25)</f>
        <v>#REF!</v>
      </c>
      <c r="CH74" s="35" t="e">
        <f>(CI$28/CI$13*Assump!$D$59*Assump!$E$59-CH$28/CH$13*Assump!$D$59*Assump!$E$59)*(1+Assump!$D$25)</f>
        <v>#REF!</v>
      </c>
      <c r="CI74" s="35" t="e">
        <f>(CJ$28/CJ$13*Assump!$D$59*Assump!$E$59-CI$28/CI$13*Assump!$D$59*Assump!$E$59)*(1+Assump!$D$25)</f>
        <v>#REF!</v>
      </c>
      <c r="CJ74" s="35" t="e">
        <f>(CK$28/CK$13*Assump!$D$59*Assump!$E$59-CJ$28/CJ$13*Assump!$D$59*Assump!$E$59)*(1+Assump!$D$25)</f>
        <v>#REF!</v>
      </c>
      <c r="CK74" s="35" t="e">
        <f>(CL$28/CL$13*Assump!$D$59*Assump!$E$59-CK$28/CK$13*Assump!$D$59*Assump!$E$59)*(1+Assump!$D$25)</f>
        <v>#REF!</v>
      </c>
      <c r="CL74" s="35" t="e">
        <f>(CM$28/CM$13*Assump!$D$59*Assump!$E$59-CL$28/CL$13*Assump!$D$59*Assump!$E$59)*(1+Assump!$D$25)</f>
        <v>#REF!</v>
      </c>
      <c r="CM74" s="35" t="e">
        <f>(CN$28/CN$13*Assump!$D$59*Assump!$E$59-CM$28/CM$13*Assump!$D$59*Assump!$E$59)*(1+Assump!$D$25)</f>
        <v>#REF!</v>
      </c>
      <c r="CN74" s="35" t="e">
        <f>(CO$28/CO$13*Assump!$D$59*Assump!$E$59-CN$28/CN$13*Assump!$D$59*Assump!$E$59)*(1+Assump!$D$25)</f>
        <v>#REF!</v>
      </c>
      <c r="CO74" s="35"/>
    </row>
    <row r="75" spans="1:93" ht="12.75" customHeight="1">
      <c r="A75" s="35"/>
      <c r="B75" s="87" t="s">
        <v>170</v>
      </c>
      <c r="C75" s="35" t="e">
        <f t="shared" si="32"/>
        <v>#REF!</v>
      </c>
      <c r="D75" s="60"/>
      <c r="E75" s="35">
        <f>IF(D13=0,0,(D$28/D$13*Assump!$D$60*Assump!$E$60+D$28/D$13*Assump!$D$61*Assump!$E$61-(E$28/E$13*Assump!$D$60*Assump!$E$60+E$28/E$13*Assump!$D$61*Assump!$E$61))*(1+Assump!$D$25))</f>
        <v>0</v>
      </c>
      <c r="F75" s="35" t="e">
        <f>IF(E13=0,0,(E$28/E$13*Assump!$D$60*Assump!$E$60+E$28/E$13*Assump!$D$61*Assump!$E$61-(F$28/F$13*Assump!$D$60*Assump!$E$60+F$28/F$13*Assump!$D$61*Assump!$E$61))*(1+Assump!$D$25))</f>
        <v>#REF!</v>
      </c>
      <c r="G75" s="35" t="e">
        <f>IF(F13=0,0,(F$28/F$13*Assump!$D$60*Assump!$E$60+F$28/F$13*Assump!$D$61*Assump!$E$61-(G$28/G$13*Assump!$D$60*Assump!$E$60+G$28/G$13*Assump!$D$61*Assump!$E$61))*(1+Assump!$D$25))</f>
        <v>#REF!</v>
      </c>
      <c r="H75" s="35" t="e">
        <f>IF(G13=0,0,(G$28/G$13*Assump!$D$60*Assump!$E$60+G$28/G$13*Assump!$D$61*Assump!$E$61-(H$28/H$13*Assump!$D$60*Assump!$E$60+H$28/H$13*Assump!$D$61*Assump!$E$61))*(1+Assump!$D$25))</f>
        <v>#REF!</v>
      </c>
      <c r="I75" s="35" t="e">
        <f>IF(H13=0,0,(H$28/H$13*Assump!$D$60*Assump!$E$60+H$28/H$13*Assump!$D$61*Assump!$E$61-(I$28/I$13*Assump!$D$60*Assump!$E$60+I$28/I$13*Assump!$D$61*Assump!$E$61))*(1+Assump!$D$25))</f>
        <v>#REF!</v>
      </c>
      <c r="J75" s="35" t="e">
        <f>IF(I13=0,0,(I$28/I$13*Assump!$D$60*Assump!$E$60+I$28/I$13*Assump!$D$61*Assump!$E$61-(J$28/J$13*Assump!$D$60*Assump!$E$60+J$28/J$13*Assump!$D$61*Assump!$E$61))*(1+Assump!$D$25))</f>
        <v>#REF!</v>
      </c>
      <c r="K75" s="35" t="e">
        <f>IF(J13=0,0,(J$28/J$13*Assump!$D$60*Assump!$E$60+J$28/J$13*Assump!$D$61*Assump!$E$61-(K$28/K$13*Assump!$D$60*Assump!$E$60+K$28/K$13*Assump!$D$61*Assump!$E$61))*(1+Assump!$D$25))</f>
        <v>#REF!</v>
      </c>
      <c r="L75" s="35" t="e">
        <f>IF(K13=0,0,(K$28/K$13*Assump!$D$60*Assump!$E$60+K$28/K$13*Assump!$D$61*Assump!$E$61-(L$28/L$13*Assump!$D$60*Assump!$E$60+L$28/L$13*Assump!$D$61*Assump!$E$61))*(1+Assump!$D$25))</f>
        <v>#REF!</v>
      </c>
      <c r="M75" s="35" t="e">
        <f>IF(L13=0,0,(L$28/L$13*Assump!$D$60*Assump!$E$60+L$28/L$13*Assump!$D$61*Assump!$E$61-(M$28/M$13*Assump!$D$60*Assump!$E$60+M$28/M$13*Assump!$D$61*Assump!$E$61))*(1+Assump!$D$25))</f>
        <v>#REF!</v>
      </c>
      <c r="N75" s="35" t="e">
        <f>IF(M13=0,0,(M$28/M$13*Assump!$D$60*Assump!$E$60+M$28/M$13*Assump!$D$61*Assump!$E$61-(N$28/N$13*Assump!$D$60*Assump!$E$60+N$28/N$13*Assump!$D$61*Assump!$E$61))*(1+Assump!$D$25))</f>
        <v>#REF!</v>
      </c>
      <c r="O75" s="35" t="e">
        <f>IF(N13=0,0,(N$28/N$13*Assump!$D$60*Assump!$E$60+N$28/N$13*Assump!$D$61*Assump!$E$61-(O$28/O$13*Assump!$D$60*Assump!$E$60+O$28/O$13*Assump!$D$61*Assump!$E$61))*(1+Assump!$D$25))</f>
        <v>#REF!</v>
      </c>
      <c r="P75" s="35" t="e">
        <f>IF(O13=0,0,(O$28/O$13*Assump!$D$60*Assump!$E$60+O$28/O$13*Assump!$D$61*Assump!$E$61-(P$28/P$13*Assump!$D$60*Assump!$E$60+P$28/P$13*Assump!$D$61*Assump!$E$61))*(1+Assump!$D$25))</f>
        <v>#REF!</v>
      </c>
      <c r="Q75" s="35" t="e">
        <f>IF(P13=0,0,(P$28/P$13*Assump!$D$60*Assump!$E$60+P$28/P$13*Assump!$D$61*Assump!$E$61-(Q$28/Q$13*Assump!$D$60*Assump!$E$60+Q$28/Q$13*Assump!$D$61*Assump!$E$61))*(1+Assump!$D$25))</f>
        <v>#REF!</v>
      </c>
      <c r="R75" s="35" t="e">
        <f>IF(Q13=0,0,(Q$28/Q$13*Assump!$D$60*Assump!$E$60+Q$28/Q$13*Assump!$D$61*Assump!$E$61-(R$28/R$13*Assump!$D$60*Assump!$E$60+R$28/R$13*Assump!$D$61*Assump!$E$61))*(1+Assump!$D$25))</f>
        <v>#REF!</v>
      </c>
      <c r="S75" s="35" t="e">
        <f>IF(R13=0,0,(R$28/R$13*Assump!$D$60*Assump!$E$60+R$28/R$13*Assump!$D$61*Assump!$E$61-(S$28/S$13*Assump!$D$60*Assump!$E$60+S$28/S$13*Assump!$D$61*Assump!$E$61))*(1+Assump!$D$25))</f>
        <v>#REF!</v>
      </c>
      <c r="T75" s="35" t="e">
        <f>IF(S13=0,0,(S$28/S$13*Assump!$D$60*Assump!$E$60+S$28/S$13*Assump!$D$61*Assump!$E$61-(T$28/T$13*Assump!$D$60*Assump!$E$60+T$28/T$13*Assump!$D$61*Assump!$E$61))*(1+Assump!$D$25))</f>
        <v>#REF!</v>
      </c>
      <c r="U75" s="35" t="e">
        <f>IF(T13=0,0,(T$28/T$13*Assump!$D$60*Assump!$E$60+T$28/T$13*Assump!$D$61*Assump!$E$61-(U$28/U$13*Assump!$D$60*Assump!$E$60+U$28/U$13*Assump!$D$61*Assump!$E$61))*(1+Assump!$D$25))</f>
        <v>#REF!</v>
      </c>
      <c r="V75" s="35" t="e">
        <f>IF(U13=0,0,(U$28/U$13*Assump!$D$60*Assump!$E$60+U$28/U$13*Assump!$D$61*Assump!$E$61-(V$28/V$13*Assump!$D$60*Assump!$E$60+V$28/V$13*Assump!$D$61*Assump!$E$61))*(1+Assump!$D$25))</f>
        <v>#REF!</v>
      </c>
      <c r="W75" s="35" t="e">
        <f>IF(V13=0,0,(V$28/V$13*Assump!$D$60*Assump!$E$60+V$28/V$13*Assump!$D$61*Assump!$E$61-(W$28/W$13*Assump!$D$60*Assump!$E$60+W$28/W$13*Assump!$D$61*Assump!$E$61))*(1+Assump!$D$25))</f>
        <v>#REF!</v>
      </c>
      <c r="X75" s="35" t="e">
        <f>IF(W13=0,0,(W$28/W$13*Assump!$D$60*Assump!$E$60+W$28/W$13*Assump!$D$61*Assump!$E$61-(X$28/X$13*Assump!$D$60*Assump!$E$60+X$28/X$13*Assump!$D$61*Assump!$E$61))*(1+Assump!$D$25))</f>
        <v>#REF!</v>
      </c>
      <c r="Y75" s="35" t="e">
        <f>IF(X13=0,0,(X$28/X$13*Assump!$D$60*Assump!$E$60+X$28/X$13*Assump!$D$61*Assump!$E$61-(Y$28/Y$13*Assump!$D$60*Assump!$E$60+Y$28/Y$13*Assump!$D$61*Assump!$E$61))*(1+Assump!$D$25))</f>
        <v>#REF!</v>
      </c>
      <c r="Z75" s="35" t="e">
        <f>IF(Y13=0,0,(Y$28/Y$13*Assump!$D$60*Assump!$E$60+Y$28/Y$13*Assump!$D$61*Assump!$E$61-(Z$28/Z$13*Assump!$D$60*Assump!$E$60+Z$28/Z$13*Assump!$D$61*Assump!$E$61))*(1+Assump!$D$25))</f>
        <v>#REF!</v>
      </c>
      <c r="AA75" s="35" t="e">
        <f>IF(Z13=0,0,(Z$28/Z$13*Assump!$D$60*Assump!$E$60+Z$28/Z$13*Assump!$D$61*Assump!$E$61-(AA$28/AA$13*Assump!$D$60*Assump!$E$60+AA$28/AA$13*Assump!$D$61*Assump!$E$61))*(1+Assump!$D$25))</f>
        <v>#REF!</v>
      </c>
      <c r="AB75" s="35" t="e">
        <f>IF(AA13=0,0,(AA$28/AA$13*Assump!$D$60*Assump!$E$60+AA$28/AA$13*Assump!$D$61*Assump!$E$61-(AB$28/AB$13*Assump!$D$60*Assump!$E$60+AB$28/AB$13*Assump!$D$61*Assump!$E$61))*(1+Assump!$D$25))</f>
        <v>#REF!</v>
      </c>
      <c r="AC75" s="35" t="e">
        <f>IF(AB13=0,0,(AB$28/AB$13*Assump!$D$60*Assump!$E$60+AB$28/AB$13*Assump!$D$61*Assump!$E$61-(AC$28/AC$13*Assump!$D$60*Assump!$E$60+AC$28/AC$13*Assump!$D$61*Assump!$E$61))*(1+Assump!$D$25))</f>
        <v>#REF!</v>
      </c>
      <c r="AD75" s="35" t="e">
        <f>IF(AC13=0,0,(AC$28/AC$13*Assump!$D$60*Assump!$E$60+AC$28/AC$13*Assump!$D$61*Assump!$E$61-(AD$28/AD$13*Assump!$D$60*Assump!$E$60+AD$28/AD$13*Assump!$D$61*Assump!$E$61))*(1+Assump!$D$25))</f>
        <v>#REF!</v>
      </c>
      <c r="AE75" s="35" t="e">
        <f>IF(AD13=0,0,(AD$28/AD$13*Assump!$D$60*Assump!$E$60+AD$28/AD$13*Assump!$D$61*Assump!$E$61-(AE$28/AE$13*Assump!$D$60*Assump!$E$60+AE$28/AE$13*Assump!$D$61*Assump!$E$61))*(1+Assump!$D$25))</f>
        <v>#REF!</v>
      </c>
      <c r="AF75" s="35" t="e">
        <f>IF(AE13=0,0,(AE$28/AE$13*Assump!$D$60*Assump!$E$60+AE$28/AE$13*Assump!$D$61*Assump!$E$61-(AF$28/AF$13*Assump!$D$60*Assump!$E$60+AF$28/AF$13*Assump!$D$61*Assump!$E$61))*(1+Assump!$D$25))</f>
        <v>#REF!</v>
      </c>
      <c r="AG75" s="35" t="e">
        <f>IF(AF13=0,0,(AF$28/AF$13*Assump!$D$60*Assump!$E$60+AF$28/AF$13*Assump!$D$61*Assump!$E$61-(AG$28/AG$13*Assump!$D$60*Assump!$E$60+AG$28/AG$13*Assump!$D$61*Assump!$E$61))*(1+Assump!$D$25))</f>
        <v>#REF!</v>
      </c>
      <c r="AH75" s="35" t="e">
        <f>IF(AG13=0,0,(AG$28/AG$13*Assump!$D$60*Assump!$E$60+AG$28/AG$13*Assump!$D$61*Assump!$E$61-(AH$28/AH$13*Assump!$D$60*Assump!$E$60+AH$28/AH$13*Assump!$D$61*Assump!$E$61))*(1+Assump!$D$25))</f>
        <v>#REF!</v>
      </c>
      <c r="AI75" s="35" t="e">
        <f>IF(AH13=0,0,(AH$28/AH$13*Assump!$D$60*Assump!$E$60+AH$28/AH$13*Assump!$D$61*Assump!$E$61-(AI$28/AI$13*Assump!$D$60*Assump!$E$60+AI$28/AI$13*Assump!$D$61*Assump!$E$61))*(1+Assump!$D$25))</f>
        <v>#REF!</v>
      </c>
      <c r="AJ75" s="35" t="e">
        <f>IF(AI13=0,0,(AI$28/AI$13*Assump!$D$60*Assump!$E$60+AI$28/AI$13*Assump!$D$61*Assump!$E$61-(AJ$28/AJ$13*Assump!$D$60*Assump!$E$60+AJ$28/AJ$13*Assump!$D$61*Assump!$E$61))*(1+Assump!$D$25))</f>
        <v>#REF!</v>
      </c>
      <c r="AK75" s="35" t="e">
        <f>IF(AJ13=0,0,(AJ$28/AJ$13*Assump!$D$60*Assump!$E$60+AJ$28/AJ$13*Assump!$D$61*Assump!$E$61-(AK$28/AK$13*Assump!$D$60*Assump!$E$60+AK$28/AK$13*Assump!$D$61*Assump!$E$61))*(1+Assump!$D$25))</f>
        <v>#REF!</v>
      </c>
      <c r="AL75" s="35" t="e">
        <f>IF(AK13=0,0,(AK$28/AK$13*Assump!$D$60*Assump!$E$60+AK$28/AK$13*Assump!$D$61*Assump!$E$61-(AL$28/AL$13*Assump!$D$60*Assump!$E$60+AL$28/AL$13*Assump!$D$61*Assump!$E$61))*(1+Assump!$D$25))</f>
        <v>#REF!</v>
      </c>
      <c r="AM75" s="35" t="e">
        <f>IF(AL13=0,0,(AL$28/AL$13*Assump!$D$60*Assump!$E$60+AL$28/AL$13*Assump!$D$61*Assump!$E$61-(AM$28/AM$13*Assump!$D$60*Assump!$E$60+AM$28/AM$13*Assump!$D$61*Assump!$E$61))*(1+Assump!$D$25))</f>
        <v>#REF!</v>
      </c>
      <c r="AN75" s="35" t="e">
        <f>IF(AM13=0,0,(AM$28/AM$13*Assump!$D$60*Assump!$E$60+AM$28/AM$13*Assump!$D$61*Assump!$E$61-(AN$28/AN$13*Assump!$D$60*Assump!$E$60+AN$28/AN$13*Assump!$D$61*Assump!$E$61))*(1+Assump!$D$25))</f>
        <v>#REF!</v>
      </c>
      <c r="AO75" s="35" t="e">
        <f>IF(AN13=0,0,(AN$28/AN$13*Assump!$D$60*Assump!$E$60+AN$28/AN$13*Assump!$D$61*Assump!$E$61-(AO$28/AO$13*Assump!$D$60*Assump!$E$60+AO$28/AO$13*Assump!$D$61*Assump!$E$61))*(1+Assump!$D$25))</f>
        <v>#REF!</v>
      </c>
      <c r="AP75" s="35" t="e">
        <f>IF(AO13=0,0,(AO$28/AO$13*Assump!$D$60*Assump!$E$60+AO$28/AO$13*Assump!$D$61*Assump!$E$61-(AP$28/AP$13*Assump!$D$60*Assump!$E$60+AP$28/AP$13*Assump!$D$61*Assump!$E$61))*(1+Assump!$D$25))</f>
        <v>#REF!</v>
      </c>
      <c r="AQ75" s="35" t="e">
        <f>IF(AP13=0,0,(AP$28/AP$13*Assump!$D$60*Assump!$E$60+AP$28/AP$13*Assump!$D$61*Assump!$E$61-(AQ$28/AQ$13*Assump!$D$60*Assump!$E$60+AQ$28/AQ$13*Assump!$D$61*Assump!$E$61))*(1+Assump!$D$25))</f>
        <v>#REF!</v>
      </c>
      <c r="AR75" s="35" t="e">
        <f>IF(AQ13=0,0,(AQ$28/AQ$13*Assump!$D$60*Assump!$E$60+AQ$28/AQ$13*Assump!$D$61*Assump!$E$61-(AR$28/AR$13*Assump!$D$60*Assump!$E$60+AR$28/AR$13*Assump!$D$61*Assump!$E$61))*(1+Assump!$D$25))</f>
        <v>#REF!</v>
      </c>
      <c r="AS75" s="35" t="e">
        <f>IF(AR13=0,0,(AR$28/AR$13*Assump!$D$60*Assump!$E$60+AR$28/AR$13*Assump!$D$61*Assump!$E$61-(AS$28/AS$13*Assump!$D$60*Assump!$E$60+AS$28/AS$13*Assump!$D$61*Assump!$E$61))*(1+Assump!$D$25))</f>
        <v>#REF!</v>
      </c>
      <c r="AT75" s="35" t="e">
        <f>IF(AS13=0,0,(AS$28/AS$13*Assump!$D$60*Assump!$E$60+AS$28/AS$13*Assump!$D$61*Assump!$E$61-(AT$28/AT$13*Assump!$D$60*Assump!$E$60+AT$28/AT$13*Assump!$D$61*Assump!$E$61))*(1+Assump!$D$25))</f>
        <v>#REF!</v>
      </c>
      <c r="AU75" s="35" t="e">
        <f>IF(AT13=0,0,(AT$28/AT$13*Assump!$D$60*Assump!$E$60+AT$28/AT$13*Assump!$D$61*Assump!$E$61-(AU$28/AU$13*Assump!$D$60*Assump!$E$60+AU$28/AU$13*Assump!$D$61*Assump!$E$61))*(1+Assump!$D$25))</f>
        <v>#REF!</v>
      </c>
      <c r="AV75" s="35" t="e">
        <f>IF(AU13=0,0,(AU$28/AU$13*Assump!$D$60*Assump!$E$60+AU$28/AU$13*Assump!$D$61*Assump!$E$61-(AV$28/AV$13*Assump!$D$60*Assump!$E$60+AV$28/AV$13*Assump!$D$61*Assump!$E$61))*(1+Assump!$D$25))</f>
        <v>#REF!</v>
      </c>
      <c r="AW75" s="35" t="e">
        <f>IF(AV13=0,0,(AV$28/AV$13*Assump!$D$60*Assump!$E$60+AV$28/AV$13*Assump!$D$61*Assump!$E$61-(AW$28/AW$13*Assump!$D$60*Assump!$E$60+AW$28/AW$13*Assump!$D$61*Assump!$E$61))*(1+Assump!$D$25))</f>
        <v>#REF!</v>
      </c>
      <c r="AX75" s="35" t="e">
        <f>IF(AW13=0,0,(AW$28/AW$13*Assump!$D$60*Assump!$E$60+AW$28/AW$13*Assump!$D$61*Assump!$E$61-(AX$28/AX$13*Assump!$D$60*Assump!$E$60+AX$28/AX$13*Assump!$D$61*Assump!$E$61))*(1+Assump!$D$25))</f>
        <v>#REF!</v>
      </c>
      <c r="AY75" s="35" t="e">
        <f>IF(AX13=0,0,(AX$28/AX$13*Assump!$D$60*Assump!$E$60+AX$28/AX$13*Assump!$D$61*Assump!$E$61-(AY$28/AY$13*Assump!$D$60*Assump!$E$60+AY$28/AY$13*Assump!$D$61*Assump!$E$61))*(1+Assump!$D$25))</f>
        <v>#REF!</v>
      </c>
      <c r="AZ75" s="35" t="e">
        <f>IF(AY13=0,0,(AY$28/AY$13*Assump!$D$60*Assump!$E$60+AY$28/AY$13*Assump!$D$61*Assump!$E$61-(AZ$28/AZ$13*Assump!$D$60*Assump!$E$60+AZ$28/AZ$13*Assump!$D$61*Assump!$E$61))*(1+Assump!$D$25))</f>
        <v>#REF!</v>
      </c>
      <c r="BA75" s="35" t="e">
        <f>IF(AZ13=0,0,(AZ$28/AZ$13*Assump!$D$60*Assump!$E$60+AZ$28/AZ$13*Assump!$D$61*Assump!$E$61-(BA$28/BA$13*Assump!$D$60*Assump!$E$60+BA$28/BA$13*Assump!$D$61*Assump!$E$61))*(1+Assump!$D$25))</f>
        <v>#REF!</v>
      </c>
      <c r="BB75" s="35" t="e">
        <f>IF(BA13=0,0,(BA$28/BA$13*Assump!$D$60*Assump!$E$60+BA$28/BA$13*Assump!$D$61*Assump!$E$61-(BB$28/BB$13*Assump!$D$60*Assump!$E$60+BB$28/BB$13*Assump!$D$61*Assump!$E$61))*(1+Assump!$D$25))</f>
        <v>#REF!</v>
      </c>
      <c r="BC75" s="35" t="e">
        <f>IF(BB13=0,0,(BB$28/BB$13*Assump!$D$60*Assump!$E$60+BB$28/BB$13*Assump!$D$61*Assump!$E$61-(BC$28/BC$13*Assump!$D$60*Assump!$E$60+BC$28/BC$13*Assump!$D$61*Assump!$E$61))*(1+Assump!$D$25))</f>
        <v>#REF!</v>
      </c>
      <c r="BD75" s="35" t="e">
        <f>IF(BC13=0,0,(BC$28/BC$13*Assump!$D$60*Assump!$E$60+BC$28/BC$13*Assump!$D$61*Assump!$E$61-(BD$28/BD$13*Assump!$D$60*Assump!$E$60+BD$28/BD$13*Assump!$D$61*Assump!$E$61))*(1+Assump!$D$25))</f>
        <v>#REF!</v>
      </c>
      <c r="BE75" s="35" t="e">
        <f>IF(BD13=0,0,(BD$28/BD$13*Assump!$D$60*Assump!$E$60+BD$28/BD$13*Assump!$D$61*Assump!$E$61-(BE$28/BE$13*Assump!$D$60*Assump!$E$60+BE$28/BE$13*Assump!$D$61*Assump!$E$61))*(1+Assump!$D$25))</f>
        <v>#REF!</v>
      </c>
      <c r="BF75" s="35" t="e">
        <f>IF(BE13=0,0,(BE$28/BE$13*Assump!$D$60*Assump!$E$60+BE$28/BE$13*Assump!$D$61*Assump!$E$61-(BF$28/BF$13*Assump!$D$60*Assump!$E$60+BF$28/BF$13*Assump!$D$61*Assump!$E$61))*(1+Assump!$D$25))</f>
        <v>#REF!</v>
      </c>
      <c r="BG75" s="35" t="e">
        <f>IF(BF13=0,0,(BF$28/BF$13*Assump!$D$60*Assump!$E$60+BF$28/BF$13*Assump!$D$61*Assump!$E$61-(BG$28/BG$13*Assump!$D$60*Assump!$E$60+BG$28/BG$13*Assump!$D$61*Assump!$E$61))*(1+Assump!$D$25))</f>
        <v>#REF!</v>
      </c>
      <c r="BH75" s="35" t="e">
        <f>IF(BG13=0,0,(BG$28/BG$13*Assump!$D$60*Assump!$E$60+BG$28/BG$13*Assump!$D$61*Assump!$E$61-(BH$28/BH$13*Assump!$D$60*Assump!$E$60+BH$28/BH$13*Assump!$D$61*Assump!$E$61))*(1+Assump!$D$25))</f>
        <v>#REF!</v>
      </c>
      <c r="BI75" s="35" t="e">
        <f>IF(BH13=0,0,(BH$28/BH$13*Assump!$D$60*Assump!$E$60+BH$28/BH$13*Assump!$D$61*Assump!$E$61-(BI$28/BI$13*Assump!$D$60*Assump!$E$60+BI$28/BI$13*Assump!$D$61*Assump!$E$61))*(1+Assump!$D$25))</f>
        <v>#REF!</v>
      </c>
      <c r="BJ75" s="35" t="e">
        <f>IF(BI13=0,0,(BI$28/BI$13*Assump!$D$60*Assump!$E$60+BI$28/BI$13*Assump!$D$61*Assump!$E$61-(BJ$28/BJ$13*Assump!$D$60*Assump!$E$60+BJ$28/BJ$13*Assump!$D$61*Assump!$E$61))*(1+Assump!$D$25))</f>
        <v>#REF!</v>
      </c>
      <c r="BK75" s="35" t="e">
        <f>IF(BJ13=0,0,(BJ$28/BJ$13*Assump!$D$60*Assump!$E$60+BJ$28/BJ$13*Assump!$D$61*Assump!$E$61-(BK$28/BK$13*Assump!$D$60*Assump!$E$60+BK$28/BK$13*Assump!$D$61*Assump!$E$61))*(1+Assump!$D$25))</f>
        <v>#REF!</v>
      </c>
      <c r="BL75" s="35" t="e">
        <f>IF(BK13=0,0,(BK$28/BK$13*Assump!$D$60*Assump!$E$60+BK$28/BK$13*Assump!$D$61*Assump!$E$61-(BL$28/BL$13*Assump!$D$60*Assump!$E$60+BL$28/BL$13*Assump!$D$61*Assump!$E$61))*(1+Assump!$D$25))</f>
        <v>#REF!</v>
      </c>
      <c r="BM75" s="35" t="e">
        <f>IF(BL13=0,0,(BL$28/BL$13*Assump!$D$60*Assump!$E$60+BL$28/BL$13*Assump!$D$61*Assump!$E$61-(BM$28/BM$13*Assump!$D$60*Assump!$E$60+BM$28/BM$13*Assump!$D$61*Assump!$E$61))*(1+Assump!$D$25))</f>
        <v>#REF!</v>
      </c>
      <c r="BN75" s="35" t="e">
        <f>IF(BM13=0,0,(BM$28/BM$13*Assump!$D$60*Assump!$E$60+BM$28/BM$13*Assump!$D$61*Assump!$E$61-(BN$28/BN$13*Assump!$D$60*Assump!$E$60+BN$28/BN$13*Assump!$D$61*Assump!$E$61))*(1+Assump!$D$25))</f>
        <v>#REF!</v>
      </c>
      <c r="BO75" s="35" t="e">
        <f>IF(BN13=0,0,(BN$28/BN$13*Assump!$D$60*Assump!$E$60+BN$28/BN$13*Assump!$D$61*Assump!$E$61-(BO$28/BO$13*Assump!$D$60*Assump!$E$60+BO$28/BO$13*Assump!$D$61*Assump!$E$61))*(1+Assump!$D$25))</f>
        <v>#REF!</v>
      </c>
      <c r="BP75" s="35" t="e">
        <f>IF(BO13=0,0,(BO$28/BO$13*Assump!$D$60*Assump!$E$60+BO$28/BO$13*Assump!$D$61*Assump!$E$61-(BP$28/BP$13*Assump!$D$60*Assump!$E$60+BP$28/BP$13*Assump!$D$61*Assump!$E$61))*(1+Assump!$D$25))</f>
        <v>#REF!</v>
      </c>
      <c r="BQ75" s="35" t="e">
        <f>IF(BP13=0,0,(BP$28/BP$13*Assump!$D$60*Assump!$E$60+BP$28/BP$13*Assump!$D$61*Assump!$E$61-(BQ$28/BQ$13*Assump!$D$60*Assump!$E$60+BQ$28/BQ$13*Assump!$D$61*Assump!$E$61))*(1+Assump!$D$25))</f>
        <v>#REF!</v>
      </c>
      <c r="BR75" s="35" t="e">
        <f>IF(BQ13=0,0,(BQ$28/BQ$13*Assump!$D$60*Assump!$E$60+BQ$28/BQ$13*Assump!$D$61*Assump!$E$61-(BR$28/BR$13*Assump!$D$60*Assump!$E$60+BR$28/BR$13*Assump!$D$61*Assump!$E$61))*(1+Assump!$D$25))</f>
        <v>#REF!</v>
      </c>
      <c r="BS75" s="35" t="e">
        <f>IF(BR13=0,0,(BR$28/BR$13*Assump!$D$60*Assump!$E$60+BR$28/BR$13*Assump!$D$61*Assump!$E$61-(BS$28/BS$13*Assump!$D$60*Assump!$E$60+BS$28/BS$13*Assump!$D$61*Assump!$E$61))*(1+Assump!$D$25))</f>
        <v>#REF!</v>
      </c>
      <c r="BT75" s="35" t="e">
        <f>IF(BS13=0,0,(BS$28/BS$13*Assump!$D$60*Assump!$E$60+BS$28/BS$13*Assump!$D$61*Assump!$E$61-(BT$28/BT$13*Assump!$D$60*Assump!$E$60+BT$28/BT$13*Assump!$D$61*Assump!$E$61))*(1+Assump!$D$25))</f>
        <v>#REF!</v>
      </c>
      <c r="BU75" s="35" t="e">
        <f>IF(BT13=0,0,(BT$28/BT$13*Assump!$D$60*Assump!$E$60+BT$28/BT$13*Assump!$D$61*Assump!$E$61-(BU$28/BU$13*Assump!$D$60*Assump!$E$60+BU$28/BU$13*Assump!$D$61*Assump!$E$61))*(1+Assump!$D$25))</f>
        <v>#REF!</v>
      </c>
      <c r="BV75" s="35" t="e">
        <f>IF(BU13=0,0,(BU$28/BU$13*Assump!$D$60*Assump!$E$60+BU$28/BU$13*Assump!$D$61*Assump!$E$61-(BV$28/BV$13*Assump!$D$60*Assump!$E$60+BV$28/BV$13*Assump!$D$61*Assump!$E$61))*(1+Assump!$D$25))</f>
        <v>#REF!</v>
      </c>
      <c r="BW75" s="35" t="e">
        <f>IF(BV13=0,0,(BV$28/BV$13*Assump!$D$60*Assump!$E$60+BV$28/BV$13*Assump!$D$61*Assump!$E$61-(BW$28/BW$13*Assump!$D$60*Assump!$E$60+BW$28/BW$13*Assump!$D$61*Assump!$E$61))*(1+Assump!$D$25))</f>
        <v>#REF!</v>
      </c>
      <c r="BX75" s="35" t="e">
        <f>IF(BW13=0,0,(BW$28/BW$13*Assump!$D$60*Assump!$E$60+BW$28/BW$13*Assump!$D$61*Assump!$E$61-(BX$28/BX$13*Assump!$D$60*Assump!$E$60+BX$28/BX$13*Assump!$D$61*Assump!$E$61))*(1+Assump!$D$25))</f>
        <v>#REF!</v>
      </c>
      <c r="BY75" s="35" t="e">
        <f>IF(BX13=0,0,(BX$28/BX$13*Assump!$D$60*Assump!$E$60+BX$28/BX$13*Assump!$D$61*Assump!$E$61-(BY$28/BY$13*Assump!$D$60*Assump!$E$60+BY$28/BY$13*Assump!$D$61*Assump!$E$61))*(1+Assump!$D$25))</f>
        <v>#REF!</v>
      </c>
      <c r="BZ75" s="35" t="e">
        <f>IF(BY13=0,0,(BY$28/BY$13*Assump!$D$60*Assump!$E$60+BY$28/BY$13*Assump!$D$61*Assump!$E$61-(BZ$28/BZ$13*Assump!$D$60*Assump!$E$60+BZ$28/BZ$13*Assump!$D$61*Assump!$E$61))*(1+Assump!$D$25))</f>
        <v>#REF!</v>
      </c>
      <c r="CA75" s="35" t="e">
        <f>IF(BZ13=0,0,(BZ$28/BZ$13*Assump!$D$60*Assump!$E$60+BZ$28/BZ$13*Assump!$D$61*Assump!$E$61-(CA$28/CA$13*Assump!$D$60*Assump!$E$60+CA$28/CA$13*Assump!$D$61*Assump!$E$61))*(1+Assump!$D$25))</f>
        <v>#REF!</v>
      </c>
      <c r="CB75" s="35" t="e">
        <f>IF(CA13=0,0,(CA$28/CA$13*Assump!$D$60*Assump!$E$60+CA$28/CA$13*Assump!$D$61*Assump!$E$61-(CB$28/CB$13*Assump!$D$60*Assump!$E$60+CB$28/CB$13*Assump!$D$61*Assump!$E$61))*(1+Assump!$D$25))</f>
        <v>#REF!</v>
      </c>
      <c r="CC75" s="35" t="e">
        <f>IF(CB13=0,0,(CB$28/CB$13*Assump!$D$60*Assump!$E$60+CB$28/CB$13*Assump!$D$61*Assump!$E$61-(CC$28/CC$13*Assump!$D$60*Assump!$E$60+CC$28/CC$13*Assump!$D$61*Assump!$E$61))*(1+Assump!$D$25))</f>
        <v>#REF!</v>
      </c>
      <c r="CD75" s="35" t="e">
        <f>IF(CC13=0,0,(CC$28/CC$13*Assump!$D$60*Assump!$E$60+CC$28/CC$13*Assump!$D$61*Assump!$E$61-(CD$28/CD$13*Assump!$D$60*Assump!$E$60+CD$28/CD$13*Assump!$D$61*Assump!$E$61))*(1+Assump!$D$25))</f>
        <v>#REF!</v>
      </c>
      <c r="CE75" s="35" t="e">
        <f>IF(CD13=0,0,(CD$28/CD$13*Assump!$D$60*Assump!$E$60+CD$28/CD$13*Assump!$D$61*Assump!$E$61-(CE$28/CE$13*Assump!$D$60*Assump!$E$60+CE$28/CE$13*Assump!$D$61*Assump!$E$61))*(1+Assump!$D$25))</f>
        <v>#REF!</v>
      </c>
      <c r="CF75" s="35" t="e">
        <f>IF(CE13=0,0,(CE$28/CE$13*Assump!$D$60*Assump!$E$60+CE$28/CE$13*Assump!$D$61*Assump!$E$61-(CF$28/CF$13*Assump!$D$60*Assump!$E$60+CF$28/CF$13*Assump!$D$61*Assump!$E$61))*(1+Assump!$D$25))</f>
        <v>#REF!</v>
      </c>
      <c r="CG75" s="35" t="e">
        <f>IF(CF13=0,0,(CF$28/CF$13*Assump!$D$60*Assump!$E$60+CF$28/CF$13*Assump!$D$61*Assump!$E$61-(CG$28/CG$13*Assump!$D$60*Assump!$E$60+CG$28/CG$13*Assump!$D$61*Assump!$E$61))*(1+Assump!$D$25))</f>
        <v>#REF!</v>
      </c>
      <c r="CH75" s="35" t="e">
        <f>IF(CG13=0,0,(CG$28/CG$13*Assump!$D$60*Assump!$E$60+CG$28/CG$13*Assump!$D$61*Assump!$E$61-(CH$28/CH$13*Assump!$D$60*Assump!$E$60+CH$28/CH$13*Assump!$D$61*Assump!$E$61))*(1+Assump!$D$25))</f>
        <v>#REF!</v>
      </c>
      <c r="CI75" s="35" t="e">
        <f>IF(CH13=0,0,(CH$28/CH$13*Assump!$D$60*Assump!$E$60+CH$28/CH$13*Assump!$D$61*Assump!$E$61-(CI$28/CI$13*Assump!$D$60*Assump!$E$60+CI$28/CI$13*Assump!$D$61*Assump!$E$61))*(1+Assump!$D$25))</f>
        <v>#REF!</v>
      </c>
      <c r="CJ75" s="35" t="e">
        <f>IF(CI13=0,0,(CI$28/CI$13*Assump!$D$60*Assump!$E$60+CI$28/CI$13*Assump!$D$61*Assump!$E$61-(CJ$28/CJ$13*Assump!$D$60*Assump!$E$60+CJ$28/CJ$13*Assump!$D$61*Assump!$E$61))*(1+Assump!$D$25))</f>
        <v>#REF!</v>
      </c>
      <c r="CK75" s="35" t="e">
        <f>IF(CJ13=0,0,(CJ$28/CJ$13*Assump!$D$60*Assump!$E$60+CJ$28/CJ$13*Assump!$D$61*Assump!$E$61-(CK$28/CK$13*Assump!$D$60*Assump!$E$60+CK$28/CK$13*Assump!$D$61*Assump!$E$61))*(1+Assump!$D$25))</f>
        <v>#REF!</v>
      </c>
      <c r="CL75" s="35" t="e">
        <f>IF(CK13=0,0,(CK$28/CK$13*Assump!$D$60*Assump!$E$60+CK$28/CK$13*Assump!$D$61*Assump!$E$61-(CL$28/CL$13*Assump!$D$60*Assump!$E$60+CL$28/CL$13*Assump!$D$61*Assump!$E$61))*(1+Assump!$D$25))</f>
        <v>#REF!</v>
      </c>
      <c r="CM75" s="35" t="e">
        <f>IF(CL13=0,0,(CL$28/CL$13*Assump!$D$60*Assump!$E$60+CL$28/CL$13*Assump!$D$61*Assump!$E$61-(CM$28/CM$13*Assump!$D$60*Assump!$E$60+CM$28/CM$13*Assump!$D$61*Assump!$E$61))*(1+Assump!$D$25))</f>
        <v>#REF!</v>
      </c>
      <c r="CN75" s="35" t="e">
        <f>IF(CM13=0,0,(CM$28/CM$13*Assump!$D$60*Assump!$E$60+CM$28/CM$13*Assump!$D$61*Assump!$E$61-(CN$28/CN$13*Assump!$D$60*Assump!$E$60+CN$28/CN$13*Assump!$D$61*Assump!$E$61))*(1+Assump!$D$25))</f>
        <v>#REF!</v>
      </c>
      <c r="CO75" s="35"/>
    </row>
    <row r="76" spans="1:93" ht="12.75" customHeight="1">
      <c r="A76" s="35"/>
      <c r="B76" s="87" t="s">
        <v>171</v>
      </c>
      <c r="C76" s="35" t="e">
        <f t="shared" si="32"/>
        <v>#REF!</v>
      </c>
      <c r="D76" s="60"/>
      <c r="E76" s="35" t="e">
        <f>((F33+F34+F35+F36+F39+F40+F41)*Assump!$D$62-(E33+E34+E35+E36+E39+E40+E41)*Assump!$D$62)</f>
        <v>#REF!</v>
      </c>
      <c r="F76" s="35" t="e">
        <f>((G33+G34+G35+G36+G39+G40+G41)*Assump!$D$62-(F33+F34+F35+F36+F39+F40+F41)*Assump!$D$62)</f>
        <v>#REF!</v>
      </c>
      <c r="G76" s="35" t="e">
        <f>((H33+H34+H35+H36+H39+H40+H41)*Assump!$D$62-(G33+G34+G35+G36+G39+G40+G41)*Assump!$D$62)</f>
        <v>#REF!</v>
      </c>
      <c r="H76" s="35" t="e">
        <f>((I33+I34+I35+I36+I39+I40+I41)*Assump!$D$62-(H33+H34+H35+H36+H39+H40+H41)*Assump!$D$62)</f>
        <v>#REF!</v>
      </c>
      <c r="I76" s="35" t="e">
        <f>((J33+J34+J35+J36+J39+J40+J41)*Assump!$D$62-(I33+I34+I35+I36+I39+I40+I41)*Assump!$D$62)</f>
        <v>#REF!</v>
      </c>
      <c r="J76" s="35" t="e">
        <f>((K33+K34+K35+K36+K39+K40+K41)*Assump!$D$62-(J33+J34+J35+J36+J39+J40+J41)*Assump!$D$62)</f>
        <v>#REF!</v>
      </c>
      <c r="K76" s="35" t="e">
        <f>((L33+L34+L35+L36+L39+L40+L41)*Assump!$D$62-(K33+K34+K35+K36+K39+K40+K41)*Assump!$D$62)</f>
        <v>#REF!</v>
      </c>
      <c r="L76" s="35" t="e">
        <f>((M33+M34+M35+M36+M39+M40+M41)*Assump!$D$62-(L33+L34+L35+L36+L39+L40+L41)*Assump!$D$62)</f>
        <v>#REF!</v>
      </c>
      <c r="M76" s="35" t="e">
        <f>((N33+N34+N35+N36+N39+N40+N41)*Assump!$D$62-(M33+M34+M35+M36+M39+M40+M41)*Assump!$D$62)</f>
        <v>#REF!</v>
      </c>
      <c r="N76" s="35" t="e">
        <f>((O33+O34+O35+O36+O39+O40+O41)*Assump!$D$62-(N33+N34+N35+N36+N39+N40+N41)*Assump!$D$62)</f>
        <v>#REF!</v>
      </c>
      <c r="O76" s="35" t="e">
        <f>((P33+P34+P35+P36+P39+P40+P41)*Assump!$D$62-(O33+O34+O35+O36+O39+O40+O41)*Assump!$D$62)</f>
        <v>#REF!</v>
      </c>
      <c r="P76" s="35" t="e">
        <f>((Q33+Q34+Q35+Q36+Q39+Q40+Q41)*Assump!$D$62-(P33+P34+P35+P36+P39+P40+P41)*Assump!$D$62)</f>
        <v>#REF!</v>
      </c>
      <c r="Q76" s="35" t="e">
        <f>((R33+R34+R35+R36+R39+R40+R41)*Assump!$D$62-(Q33+Q34+Q35+Q36+Q39+Q40+Q41)*Assump!$D$62)</f>
        <v>#REF!</v>
      </c>
      <c r="R76" s="35" t="e">
        <f>((S33+S34+S35+S36+S39+S40+S41)*Assump!$D$62-(R33+R34+R35+R36+R39+R40+R41)*Assump!$D$62)</f>
        <v>#REF!</v>
      </c>
      <c r="S76" s="35" t="e">
        <f>((T33+T34+T35+T36+T39+T40+T41)*Assump!$D$62-(S33+S34+S35+S36+S39+S40+S41)*Assump!$D$62)</f>
        <v>#REF!</v>
      </c>
      <c r="T76" s="35" t="e">
        <f>((U33+U34+U35+U36+U39+U40+U41)*Assump!$D$62-(T33+T34+T35+T36+T39+T40+T41)*Assump!$D$62)</f>
        <v>#REF!</v>
      </c>
      <c r="U76" s="35" t="e">
        <f>((V33+V34+V35+V36+V39+V40+V41)*Assump!$D$62-(U33+U34+U35+U36+U39+U40+U41)*Assump!$D$62)</f>
        <v>#REF!</v>
      </c>
      <c r="V76" s="35" t="e">
        <f>((W33+W34+W35+W36+W39+W40+W41)*Assump!$D$62-(V33+V34+V35+V36+V39+V40+V41)*Assump!$D$62)</f>
        <v>#REF!</v>
      </c>
      <c r="W76" s="35" t="e">
        <f>((X33+X34+X35+X36+X39+X40+X41)*Assump!$D$62-(W33+W34+W35+W36+W39+W40+W41)*Assump!$D$62)</f>
        <v>#REF!</v>
      </c>
      <c r="X76" s="35" t="e">
        <f>((Y33+Y34+Y35+Y36+Y39+Y40+Y41)*Assump!$D$62-(X33+X34+X35+X36+X39+X40+X41)*Assump!$D$62)</f>
        <v>#REF!</v>
      </c>
      <c r="Y76" s="35" t="e">
        <f>((Z33+Z34+Z35+Z36+Z39+Z40+Z41)*Assump!$D$62-(Y33+Y34+Y35+Y36+Y39+Y40+Y41)*Assump!$D$62)</f>
        <v>#REF!</v>
      </c>
      <c r="Z76" s="35" t="e">
        <f>((AA33+AA34+AA35+AA36+AA39+AA40+AA41)*Assump!$D$62-(Z33+Z34+Z35+Z36+Z39+Z40+Z41)*Assump!$D$62)</f>
        <v>#REF!</v>
      </c>
      <c r="AA76" s="35" t="e">
        <f>((AB33+AB34+AB35+AB36+AB39+AB40+AB41)*Assump!$D$62-(AA33+AA34+AA35+AA36+AA39+AA40+AA41)*Assump!$D$62)</f>
        <v>#REF!</v>
      </c>
      <c r="AB76" s="35" t="e">
        <f>((AC33+AC34+AC35+AC36+AC39+AC40+AC41)*Assump!$D$62-(AB33+AB34+AB35+AB36+AB39+AB40+AB41)*Assump!$D$62)</f>
        <v>#REF!</v>
      </c>
      <c r="AC76" s="35" t="e">
        <f>((AD33+AD34+AD35+AD36+AD39+AD40+AD41)*Assump!$D$62-(AC33+AC34+AC35+AC36+AC39+AC40+AC41)*Assump!$D$62)</f>
        <v>#REF!</v>
      </c>
      <c r="AD76" s="35" t="e">
        <f>((AE33+AE34+AE35+AE36+AE39+AE40+AE41)*Assump!$D$62-(AD33+AD34+AD35+AD36+AD39+AD40+AD41)*Assump!$D$62)</f>
        <v>#REF!</v>
      </c>
      <c r="AE76" s="35" t="e">
        <f>((AF33+AF34+AF35+AF36+AF39+AF40+AF41)*Assump!$D$62-(AE33+AE34+AE35+AE36+AE39+AE40+AE41)*Assump!$D$62)</f>
        <v>#REF!</v>
      </c>
      <c r="AF76" s="35" t="e">
        <f>((AG33+AG34+AG35+AG36+AG39+AG40+AG41)*Assump!$D$62-(AF33+AF34+AF35+AF36+AF39+AF40+AF41)*Assump!$D$62)</f>
        <v>#REF!</v>
      </c>
      <c r="AG76" s="35" t="e">
        <f>((AH33+AH34+AH35+AH36+AH39+AH40+AH41)*Assump!$D$62-(AG33+AG34+AG35+AG36+AG39+AG40+AG41)*Assump!$D$62)</f>
        <v>#REF!</v>
      </c>
      <c r="AH76" s="35" t="e">
        <f>((AI33+AI34+AI35+AI36+AI39+AI40+AI41)*Assump!$D$62-(AH33+AH34+AH35+AH36+AH39+AH40+AH41)*Assump!$D$62)</f>
        <v>#REF!</v>
      </c>
      <c r="AI76" s="35" t="e">
        <f>((AJ33+AJ34+AJ35+AJ36+AJ39+AJ40+AJ41)*Assump!$D$62-(AI33+AI34+AI35+AI36+AI39+AI40+AI41)*Assump!$D$62)</f>
        <v>#REF!</v>
      </c>
      <c r="AJ76" s="35" t="e">
        <f>((AK33+AK34+AK35+AK36+AK39+AK40+AK41)*Assump!$D$62-(AJ33+AJ34+AJ35+AJ36+AJ39+AJ40+AJ41)*Assump!$D$62)</f>
        <v>#REF!</v>
      </c>
      <c r="AK76" s="35" t="e">
        <f>((AL33+AL34+AL35+AL36+AL39+AL40+AL41)*Assump!$D$62-(AK33+AK34+AK35+AK36+AK39+AK40+AK41)*Assump!$D$62)</f>
        <v>#REF!</v>
      </c>
      <c r="AL76" s="35" t="e">
        <f>((AM33+AM34+AM35+AM36+AM39+AM40+AM41)*Assump!$D$62-(AL33+AL34+AL35+AL36+AL39+AL40+AL41)*Assump!$D$62)</f>
        <v>#REF!</v>
      </c>
      <c r="AM76" s="35" t="e">
        <f>((AN33+AN34+AN35+AN36+AN39+AN40+AN41)*Assump!$D$62-(AM33+AM34+AM35+AM36+AM39+AM40+AM41)*Assump!$D$62)</f>
        <v>#REF!</v>
      </c>
      <c r="AN76" s="35" t="e">
        <f>((AO33+AO34+AO35+AO36+AO39+AO40+AO41)*Assump!$D$62-(AN33+AN34+AN35+AN36+AN39+AN40+AN41)*Assump!$D$62)</f>
        <v>#REF!</v>
      </c>
      <c r="AO76" s="35" t="e">
        <f>((AP33+AP34+AP35+AP36+AP39+AP40+AP41)*Assump!$D$62-(AO33+AO34+AO35+AO36+AO39+AO40+AO41)*Assump!$D$62)</f>
        <v>#REF!</v>
      </c>
      <c r="AP76" s="35" t="e">
        <f>((AQ33+AQ34+AQ35+AQ36+AQ39+AQ40+AQ41)*Assump!$D$62-(AP33+AP34+AP35+AP36+AP39+AP40+AP41)*Assump!$D$62)</f>
        <v>#REF!</v>
      </c>
      <c r="AQ76" s="35" t="e">
        <f>((AR33+AR34+AR35+AR36+AR39+AR40+AR41)*Assump!$D$62-(AQ33+AQ34+AQ35+AQ36+AQ39+AQ40+AQ41)*Assump!$D$62)</f>
        <v>#REF!</v>
      </c>
      <c r="AR76" s="35" t="e">
        <f>((AS33+AS34+AS35+AS36+AS39+AS40+AS41)*Assump!$D$62-(AR33+AR34+AR35+AR36+AR39+AR40+AR41)*Assump!$D$62)</f>
        <v>#REF!</v>
      </c>
      <c r="AS76" s="35" t="e">
        <f>((AT33+AT34+AT35+AT36+AT39+AT40+AT41)*Assump!$D$62-(AS33+AS34+AS35+AS36+AS39+AS40+AS41)*Assump!$D$62)</f>
        <v>#REF!</v>
      </c>
      <c r="AT76" s="35" t="e">
        <f>((AU33+AU34+AU35+AU36+AU39+AU40+AU41)*Assump!$D$62-(AT33+AT34+AT35+AT36+AT39+AT40+AT41)*Assump!$D$62)</f>
        <v>#REF!</v>
      </c>
      <c r="AU76" s="35" t="e">
        <f>((AV33+AV34+AV35+AV36+AV39+AV40+AV41)*Assump!$D$62-(AU33+AU34+AU35+AU36+AU39+AU40+AU41)*Assump!$D$62)</f>
        <v>#REF!</v>
      </c>
      <c r="AV76" s="35" t="e">
        <f>((AW33+AW34+AW35+AW36+AW39+AW40+AW41)*Assump!$D$62-(AV33+AV34+AV35+AV36+AV39+AV40+AV41)*Assump!$D$62)</f>
        <v>#REF!</v>
      </c>
      <c r="AW76" s="35" t="e">
        <f>((AX33+AX34+AX35+AX36+AX39+AX40+AX41)*Assump!$D$62-(AW33+AW34+AW35+AW36+AW39+AW40+AW41)*Assump!$D$62)</f>
        <v>#REF!</v>
      </c>
      <c r="AX76" s="35" t="e">
        <f>((AY33+AY34+AY35+AY36+AY39+AY40+AY41)*Assump!$D$62-(AX33+AX34+AX35+AX36+AX39+AX40+AX41)*Assump!$D$62)</f>
        <v>#REF!</v>
      </c>
      <c r="AY76" s="35" t="e">
        <f>((AZ33+AZ34+AZ35+AZ36+AZ39+AZ40+AZ41)*Assump!$D$62-(AY33+AY34+AY35+AY36+AY39+AY40+AY41)*Assump!$D$62)</f>
        <v>#REF!</v>
      </c>
      <c r="AZ76" s="35" t="e">
        <f>((BA33+BA34+BA35+BA36+BA39+BA40+BA41)*Assump!$D$62-(AZ33+AZ34+AZ35+AZ36+AZ39+AZ40+AZ41)*Assump!$D$62)</f>
        <v>#REF!</v>
      </c>
      <c r="BA76" s="35" t="e">
        <f>((BB33+BB34+BB35+BB36+BB39+BB40+BB41)*Assump!$D$62-(BA33+BA34+BA35+BA36+BA39+BA40+BA41)*Assump!$D$62)</f>
        <v>#REF!</v>
      </c>
      <c r="BB76" s="35" t="e">
        <f>((BC33+BC34+BC35+BC36+BC39+BC40+BC41)*Assump!$D$62-(BB33+BB34+BB35+BB36+BB39+BB40+BB41)*Assump!$D$62)</f>
        <v>#REF!</v>
      </c>
      <c r="BC76" s="35" t="e">
        <f>((BD33+BD34+BD35+BD36+BD39+BD40+BD41)*Assump!$D$62-(BC33+BC34+BC35+BC36+BC39+BC40+BC41)*Assump!$D$62)</f>
        <v>#REF!</v>
      </c>
      <c r="BD76" s="35" t="e">
        <f>((BE33+BE34+BE35+BE36+BE39+BE40+BE41)*Assump!$D$62-(BD33+BD34+BD35+BD36+BD39+BD40+BD41)*Assump!$D$62)</f>
        <v>#REF!</v>
      </c>
      <c r="BE76" s="35" t="e">
        <f>((BF33+BF34+BF35+BF36+BF39+BF40+BF41)*Assump!$D$62-(BE33+BE34+BE35+BE36+BE39+BE40+BE41)*Assump!$D$62)</f>
        <v>#REF!</v>
      </c>
      <c r="BF76" s="35" t="e">
        <f>((BG33+BG34+BG35+BG36+BG39+BG40+BG41)*Assump!$D$62-(BF33+BF34+BF35+BF36+BF39+BF40+BF41)*Assump!$D$62)</f>
        <v>#REF!</v>
      </c>
      <c r="BG76" s="35" t="e">
        <f>((BH33+BH34+BH35+BH36+BH39+BH40+BH41)*Assump!$D$62-(BG33+BG34+BG35+BG36+BG39+BG40+BG41)*Assump!$D$62)</f>
        <v>#REF!</v>
      </c>
      <c r="BH76" s="35" t="e">
        <f>((BI33+BI34+BI35+BI36+BI39+BI40+BI41)*Assump!$D$62-(BH33+BH34+BH35+BH36+BH39+BH40+BH41)*Assump!$D$62)</f>
        <v>#REF!</v>
      </c>
      <c r="BI76" s="35" t="e">
        <f>((BJ33+BJ34+BJ35+BJ36+BJ39+BJ40+BJ41)*Assump!$D$62-(BI33+BI34+BI35+BI36+BI39+BI40+BI41)*Assump!$D$62)</f>
        <v>#REF!</v>
      </c>
      <c r="BJ76" s="35" t="e">
        <f>((BK33+BK34+BK35+BK36+BK39+BK40+BK41)*Assump!$D$62-(BJ33+BJ34+BJ35+BJ36+BJ39+BJ40+BJ41)*Assump!$D$62)</f>
        <v>#REF!</v>
      </c>
      <c r="BK76" s="35" t="e">
        <f>((BL33+BL34+BL35+BL36+BL39+BL40+BL41)*Assump!$D$62-(BK33+BK34+BK35+BK36+BK39+BK40+BK41)*Assump!$D$62)</f>
        <v>#REF!</v>
      </c>
      <c r="BL76" s="35" t="e">
        <f>((BM33+BM34+BM35+BM36+BM39+BM40+BM41)*Assump!$D$62-(BL33+BL34+BL35+BL36+BL39+BL40+BL41)*Assump!$D$62)</f>
        <v>#REF!</v>
      </c>
      <c r="BM76" s="35" t="e">
        <f>((BN33+BN34+BN35+BN36+BN39+BN40+BN41)*Assump!$D$62-(BM33+BM34+BM35+BM36+BM39+BM40+BM41)*Assump!$D$62)</f>
        <v>#REF!</v>
      </c>
      <c r="BN76" s="35" t="e">
        <f>((BO33+BO34+BO35+BO36+BO39+BO40+BO41)*Assump!$D$62-(BN33+BN34+BN35+BN36+BN39+BN40+BN41)*Assump!$D$62)</f>
        <v>#REF!</v>
      </c>
      <c r="BO76" s="35" t="e">
        <f>((BP33+BP34+BP35+BP36+BP39+BP40+BP41)*Assump!$D$62-(BO33+BO34+BO35+BO36+BO39+BO40+BO41)*Assump!$D$62)</f>
        <v>#REF!</v>
      </c>
      <c r="BP76" s="35" t="e">
        <f>((BQ33+BQ34+BQ35+BQ36+BQ39+BQ40+BQ41)*Assump!$D$62-(BP33+BP34+BP35+BP36+BP39+BP40+BP41)*Assump!$D$62)</f>
        <v>#REF!</v>
      </c>
      <c r="BQ76" s="35" t="e">
        <f>((BR33+BR34+BR35+BR36+BR39+BR40+BR41)*Assump!$D$62-(BQ33+BQ34+BQ35+BQ36+BQ39+BQ40+BQ41)*Assump!$D$62)</f>
        <v>#REF!</v>
      </c>
      <c r="BR76" s="35" t="e">
        <f>((BS33+BS34+BS35+BS36+BS39+BS40+BS41)*Assump!$D$62-(BR33+BR34+BR35+BR36+BR39+BR40+BR41)*Assump!$D$62)</f>
        <v>#REF!</v>
      </c>
      <c r="BS76" s="35" t="e">
        <f>((BT33+BT34+BT35+BT36+BT39+BT40+BT41)*Assump!$D$62-(BS33+BS34+BS35+BS36+BS39+BS40+BS41)*Assump!$D$62)</f>
        <v>#REF!</v>
      </c>
      <c r="BT76" s="35" t="e">
        <f>((BU33+BU34+BU35+BU36+BU39+BU40+BU41)*Assump!$D$62-(BT33+BT34+BT35+BT36+BT39+BT40+BT41)*Assump!$D$62)</f>
        <v>#REF!</v>
      </c>
      <c r="BU76" s="35" t="e">
        <f>((BV33+BV34+BV35+BV36+BV39+BV40+BV41)*Assump!$D$62-(BU33+BU34+BU35+BU36+BU39+BU40+BU41)*Assump!$D$62)</f>
        <v>#REF!</v>
      </c>
      <c r="BV76" s="35" t="e">
        <f>((BW33+BW34+BW35+BW36+BW39+BW40+BW41)*Assump!$D$62-(BV33+BV34+BV35+BV36+BV39+BV40+BV41)*Assump!$D$62)</f>
        <v>#REF!</v>
      </c>
      <c r="BW76" s="35" t="e">
        <f>((BX33+BX34+BX35+BX36+BX39+BX40+BX41)*Assump!$D$62-(BW33+BW34+BW35+BW36+BW39+BW40+BW41)*Assump!$D$62)</f>
        <v>#REF!</v>
      </c>
      <c r="BX76" s="35" t="e">
        <f>((BY33+BY34+BY35+BY36+BY39+BY40+BY41)*Assump!$D$62-(BX33+BX34+BX35+BX36+BX39+BX40+BX41)*Assump!$D$62)</f>
        <v>#REF!</v>
      </c>
      <c r="BY76" s="35" t="e">
        <f>((BZ33+BZ34+BZ35+BZ36+BZ39+BZ40+BZ41)*Assump!$D$62-(BY33+BY34+BY35+BY36+BY39+BY40+BY41)*Assump!$D$62)</f>
        <v>#REF!</v>
      </c>
      <c r="BZ76" s="35" t="e">
        <f>((CA33+CA34+CA35+CA36+CA39+CA40+CA41)*Assump!$D$62-(BZ33+BZ34+BZ35+BZ36+BZ39+BZ40+BZ41)*Assump!$D$62)</f>
        <v>#REF!</v>
      </c>
      <c r="CA76" s="35" t="e">
        <f>((CB33+CB34+CB35+CB36+CB39+CB40+CB41)*Assump!$D$62-(CA33+CA34+CA35+CA36+CA39+CA40+CA41)*Assump!$D$62)</f>
        <v>#REF!</v>
      </c>
      <c r="CB76" s="35" t="e">
        <f>((CC33+CC34+CC35+CC36+CC39+CC40+CC41)*Assump!$D$62-(CB33+CB34+CB35+CB36+CB39+CB40+CB41)*Assump!$D$62)</f>
        <v>#REF!</v>
      </c>
      <c r="CC76" s="35" t="e">
        <f>((CD33+CD34+CD35+CD36+CD39+CD40+CD41)*Assump!$D$62-(CC33+CC34+CC35+CC36+CC39+CC40+CC41)*Assump!$D$62)</f>
        <v>#REF!</v>
      </c>
      <c r="CD76" s="35" t="e">
        <f>((CE33+CE34+CE35+CE36+CE39+CE40+CE41)*Assump!$D$62-(CD33+CD34+CD35+CD36+CD39+CD40+CD41)*Assump!$D$62)</f>
        <v>#REF!</v>
      </c>
      <c r="CE76" s="35" t="e">
        <f>((CF33+CF34+CF35+CF36+CF39+CF40+CF41)*Assump!$D$62-(CE33+CE34+CE35+CE36+CE39+CE40+CE41)*Assump!$D$62)</f>
        <v>#REF!</v>
      </c>
      <c r="CF76" s="35" t="e">
        <f>((CG33+CG34+CG35+CG36+CG39+CG40+CG41)*Assump!$D$62-(CF33+CF34+CF35+CF36+CF39+CF40+CF41)*Assump!$D$62)</f>
        <v>#REF!</v>
      </c>
      <c r="CG76" s="35" t="e">
        <f>((CH33+CH34+CH35+CH36+CH39+CH40+CH41)*Assump!$D$62-(CG33+CG34+CG35+CG36+CG39+CG40+CG41)*Assump!$D$62)</f>
        <v>#REF!</v>
      </c>
      <c r="CH76" s="35" t="e">
        <f>((CI33+CI34+CI35+CI36+CI39+CI40+CI41)*Assump!$D$62-(CH33+CH34+CH35+CH36+CH39+CH40+CH41)*Assump!$D$62)</f>
        <v>#REF!</v>
      </c>
      <c r="CI76" s="35" t="e">
        <f>((CJ33+CJ34+CJ35+CJ36+CJ39+CJ40+CJ41)*Assump!$D$62-(CI33+CI34+CI35+CI36+CI39+CI40+CI41)*Assump!$D$62)</f>
        <v>#REF!</v>
      </c>
      <c r="CJ76" s="35" t="e">
        <f>((CK33+CK34+CK35+CK36+CK39+CK40+CK41)*Assump!$D$62-(CJ33+CJ34+CJ35+CJ36+CJ39+CJ40+CJ41)*Assump!$D$62)</f>
        <v>#REF!</v>
      </c>
      <c r="CK76" s="35" t="e">
        <f>((CL33+CL34+CL35+CL36+CL39+CL40+CL41)*Assump!$D$62-(CK33+CK34+CK35+CK36+CK39+CK40+CK41)*Assump!$D$62)</f>
        <v>#REF!</v>
      </c>
      <c r="CL76" s="35" t="e">
        <f>((CM33+CM34+CM35+CM36+CM39+CM40+CM41)*Assump!$D$62-(CL33+CL34+CL35+CL36+CL39+CL40+CL41)*Assump!$D$62)</f>
        <v>#REF!</v>
      </c>
      <c r="CM76" s="35" t="e">
        <f>((CN33+CN34+CN35+CN36+CN39+CN40+CN41)*Assump!$D$62-(CM33+CM34+CM35+CM36+CM39+CM40+CM41)*Assump!$D$62)</f>
        <v>#REF!</v>
      </c>
      <c r="CN76" s="35" t="e">
        <f>((CO33+CO34+CO35+CO36+CO39+CO40+CO41)*Assump!$D$62-(CN33+CN34+CN35+CN36+CN39+CN40+CN41)*Assump!$D$62)</f>
        <v>#REF!</v>
      </c>
      <c r="CO76" s="35"/>
    </row>
    <row r="77" spans="1:93" ht="12.75" customHeight="1">
      <c r="A77" s="35"/>
      <c r="B77" s="87" t="s">
        <v>172</v>
      </c>
      <c r="C77" s="35" t="e">
        <f t="shared" si="32"/>
        <v>#REF!</v>
      </c>
      <c r="D77" s="60"/>
      <c r="E77" s="35" t="e">
        <f>(D30+D32/(1+Assump!$D$24)+D43/(1-#REF!))/E13*Assump!$E$63*Assump!$D$63-(E30+E32/(1+Assump!$D$24)+E43/(1-#REF!))/E13*Assump!$E$63*Assump!$D$63</f>
        <v>#REF!</v>
      </c>
      <c r="F77" s="35" t="e">
        <f>(E30+E32/(1+Assump!$D$24)+E43/(1-#REF!))/F13*Assump!$E$63*Assump!$D$63-(F30+F32/(1+Assump!$D$24)+F43/(1-#REF!))/F13*Assump!$E$63*Assump!$D$63</f>
        <v>#REF!</v>
      </c>
      <c r="G77" s="35" t="e">
        <f>(F30+F32/(1+Assump!$D$24)+F43/(1-#REF!))/G13*Assump!$E$63*Assump!$D$63-(G30+G32/(1+Assump!$D$24)+G43/(1-#REF!))/G13*Assump!$E$63*Assump!$D$63</f>
        <v>#REF!</v>
      </c>
      <c r="H77" s="35" t="e">
        <f>(G30+G32/(1+Assump!$D$24)+G43/(1-#REF!))/H13*Assump!$E$63*Assump!$D$63-(H30+H32/(1+Assump!$D$24)+H43/(1-#REF!))/H13*Assump!$E$63*Assump!$D$63</f>
        <v>#REF!</v>
      </c>
      <c r="I77" s="35" t="e">
        <f>(H30+H32/(1+Assump!$D$24)+H43/(1-#REF!))/I13*Assump!$E$63*Assump!$D$63-(I30+I32/(1+Assump!$D$24)+I43/(1-#REF!))/I13*Assump!$E$63*Assump!$D$63</f>
        <v>#REF!</v>
      </c>
      <c r="J77" s="35" t="e">
        <f>(I30+I32/(1+Assump!$D$24)+I43/(1-#REF!))/J13*Assump!$E$63*Assump!$D$63-(J30+J32/(1+Assump!$D$24)+J43/(1-#REF!))/J13*Assump!$E$63*Assump!$D$63</f>
        <v>#REF!</v>
      </c>
      <c r="K77" s="35" t="e">
        <f>(J30+J32/(1+Assump!$D$24)+J43/(1-#REF!))/K13*Assump!$E$63*Assump!$D$63-(K30+K32/(1+Assump!$D$24)+K43/(1-#REF!))/K13*Assump!$E$63*Assump!$D$63</f>
        <v>#REF!</v>
      </c>
      <c r="L77" s="35" t="e">
        <f>(K30+K32/(1+Assump!$D$24)+K43/(1-#REF!))/L13*Assump!$E$63*Assump!$D$63-(L30+L32/(1+Assump!$D$24)+L43/(1-#REF!))/L13*Assump!$E$63*Assump!$D$63</f>
        <v>#REF!</v>
      </c>
      <c r="M77" s="35" t="e">
        <f>(L30+L32/(1+Assump!$D$24)+L43/(1-#REF!))/M13*Assump!$E$63*Assump!$D$63-(M30+M32/(1+Assump!$D$24)+M43/(1-#REF!))/M13*Assump!$E$63*Assump!$D$63</f>
        <v>#REF!</v>
      </c>
      <c r="N77" s="35" t="e">
        <f>(M30+M32/(1+Assump!$D$24)+M43/(1-#REF!))/N13*Assump!$E$63*Assump!$D$63-(N30+N32/(1+Assump!$D$24)+N43/(1-#REF!))/N13*Assump!$E$63*Assump!$D$63</f>
        <v>#REF!</v>
      </c>
      <c r="O77" s="35" t="e">
        <f>(N30+N32/(1+Assump!$D$24)+N43/(1-#REF!))/O13*Assump!$E$63*Assump!$D$63-(O30+O32/(1+Assump!$D$24)+O43/(1-#REF!))/O13*Assump!$E$63*Assump!$D$63</f>
        <v>#REF!</v>
      </c>
      <c r="P77" s="35" t="e">
        <f>(O30+O32/(1+Assump!$D$24)+O43/(1-#REF!))/P13*Assump!$E$63*Assump!$D$63-(P30+P32/(1+Assump!$D$24)+P43/(1-#REF!))/P13*Assump!$E$63*Assump!$D$63</f>
        <v>#REF!</v>
      </c>
      <c r="Q77" s="35" t="e">
        <f>(P30+P32/(1+Assump!$D$24)+P43/(1-#REF!))/Q13*Assump!$E$63*Assump!$D$63-(Q30+Q32/(1+Assump!$D$24)+Q43/(1-#REF!))/Q13*Assump!$E$63*Assump!$D$63</f>
        <v>#REF!</v>
      </c>
      <c r="R77" s="35" t="e">
        <f>(Q30+Q32/(1+Assump!$D$24)+Q43/(1-#REF!))/R13*Assump!$E$63*Assump!$D$63-(R30+R32/(1+Assump!$D$24)+R43/(1-#REF!))/R13*Assump!$E$63*Assump!$D$63</f>
        <v>#REF!</v>
      </c>
      <c r="S77" s="35" t="e">
        <f>(R30+R32/(1+Assump!$D$24)+R43/(1-#REF!))/S13*Assump!$E$63*Assump!$D$63-(S30+S32/(1+Assump!$D$24)+S43/(1-#REF!))/S13*Assump!$E$63*Assump!$D$63</f>
        <v>#REF!</v>
      </c>
      <c r="T77" s="35" t="e">
        <f>(S30+S32/(1+Assump!$D$24)+S43/(1-#REF!))/T13*Assump!$E$63*Assump!$D$63-(T30+T32/(1+Assump!$D$24)+T43/(1-#REF!))/T13*Assump!$E$63*Assump!$D$63</f>
        <v>#REF!</v>
      </c>
      <c r="U77" s="35" t="e">
        <f>(T30+T32/(1+Assump!$D$24)+T43/(1-#REF!))/U13*Assump!$E$63*Assump!$D$63-(U30+U32/(1+Assump!$D$24)+U43/(1-#REF!))/U13*Assump!$E$63*Assump!$D$63</f>
        <v>#REF!</v>
      </c>
      <c r="V77" s="35" t="e">
        <f>(U30+U32/(1+Assump!$D$24)+U43/(1-#REF!))/V13*Assump!$E$63*Assump!$D$63-(V30+V32/(1+Assump!$D$24)+V43/(1-#REF!))/V13*Assump!$E$63*Assump!$D$63</f>
        <v>#REF!</v>
      </c>
      <c r="W77" s="35" t="e">
        <f>(V30+V32/(1+Assump!$D$24)+V43/(1-#REF!))/W13*Assump!$E$63*Assump!$D$63-(W30+W32/(1+Assump!$D$24)+W43/(1-#REF!))/W13*Assump!$E$63*Assump!$D$63</f>
        <v>#REF!</v>
      </c>
      <c r="X77" s="35" t="e">
        <f>(W30+W32/(1+Assump!$D$24)+W43/(1-#REF!))/X13*Assump!$E$63*Assump!$D$63-(X30+X32/(1+Assump!$D$24)+X43/(1-#REF!))/X13*Assump!$E$63*Assump!$D$63</f>
        <v>#REF!</v>
      </c>
      <c r="Y77" s="35" t="e">
        <f>(X30+X32/(1+Assump!$D$24)+X43/(1-#REF!))/Y13*Assump!$E$63*Assump!$D$63-(Y30+Y32/(1+Assump!$D$24)+Y43/(1-#REF!))/Y13*Assump!$E$63*Assump!$D$63</f>
        <v>#REF!</v>
      </c>
      <c r="Z77" s="35" t="e">
        <f>(Y30+Y32/(1+Assump!$D$24)+Y43/(1-#REF!))/Z13*Assump!$E$63*Assump!$D$63-(Z30+Z32/(1+Assump!$D$24)+Z43/(1-#REF!))/Z13*Assump!$E$63*Assump!$D$63</f>
        <v>#REF!</v>
      </c>
      <c r="AA77" s="35" t="e">
        <f>(Z30+Z32/(1+Assump!$D$24)+Z43/(1-#REF!))/AA13*Assump!$E$63*Assump!$D$63-(AA30+AA32/(1+Assump!$D$24)+AA43/(1-#REF!))/AA13*Assump!$E$63*Assump!$D$63</f>
        <v>#REF!</v>
      </c>
      <c r="AB77" s="35" t="e">
        <f>(AA30+AA32/(1+Assump!$D$24)+AA43/(1-#REF!))/AB13*Assump!$E$63*Assump!$D$63-(AB30+AB32/(1+Assump!$D$24)+AB43/(1-#REF!))/AB13*Assump!$E$63*Assump!$D$63</f>
        <v>#REF!</v>
      </c>
      <c r="AC77" s="35" t="e">
        <f>(AB30+AB32/(1+Assump!$D$24)+AB43/(1-#REF!))/AC13*Assump!$E$63*Assump!$D$63-(AC30+AC32/(1+Assump!$D$24)+AC43/(1-#REF!))/AC13*Assump!$E$63*Assump!$D$63</f>
        <v>#REF!</v>
      </c>
      <c r="AD77" s="35" t="e">
        <f>(AC30+AC32/(1+Assump!$D$24)+AC43/(1-#REF!))/AD13*Assump!$E$63*Assump!$D$63-(AD30+AD32/(1+Assump!$D$24)+AD43/(1-#REF!))/AD13*Assump!$E$63*Assump!$D$63</f>
        <v>#REF!</v>
      </c>
      <c r="AE77" s="35" t="e">
        <f>(AD30+AD32/(1+Assump!$D$24)+AD43/(1-#REF!))/AE13*Assump!$E$63*Assump!$D$63-(AE30+AE32/(1+Assump!$D$24)+AE43/(1-#REF!))/AE13*Assump!$E$63*Assump!$D$63</f>
        <v>#REF!</v>
      </c>
      <c r="AF77" s="35" t="e">
        <f>(AE30+AE32/(1+Assump!$D$24)+AE43/(1-#REF!))/AF13*Assump!$E$63*Assump!$D$63-(AF30+AF32/(1+Assump!$D$24)+AF43/(1-#REF!))/AF13*Assump!$E$63*Assump!$D$63</f>
        <v>#REF!</v>
      </c>
      <c r="AG77" s="35" t="e">
        <f>(AF30+AF32/(1+Assump!$D$24)+AF43/(1-#REF!))/AG13*Assump!$E$63*Assump!$D$63-(AG30+AG32/(1+Assump!$D$24)+AG43/(1-#REF!))/AG13*Assump!$E$63*Assump!$D$63</f>
        <v>#REF!</v>
      </c>
      <c r="AH77" s="35" t="e">
        <f>(AG30+AG32/(1+Assump!$D$24)+AG43/(1-#REF!))/AH13*Assump!$E$63*Assump!$D$63-(AH30+AH32/(1+Assump!$D$24)+AH43/(1-#REF!))/AH13*Assump!$E$63*Assump!$D$63</f>
        <v>#REF!</v>
      </c>
      <c r="AI77" s="35" t="e">
        <f>(AH30+AH32/(1+Assump!$D$24)+AH43/(1-#REF!))/AI13*Assump!$E$63*Assump!$D$63-(AI30+AI32/(1+Assump!$D$24)+AI43/(1-#REF!))/AI13*Assump!$E$63*Assump!$D$63</f>
        <v>#REF!</v>
      </c>
      <c r="AJ77" s="35" t="e">
        <f>(AI30+AI32/(1+Assump!$D$24)+AI43/(1-#REF!))/AJ13*Assump!$E$63*Assump!$D$63-(AJ30+AJ32/(1+Assump!$D$24)+AJ43/(1-#REF!))/AJ13*Assump!$E$63*Assump!$D$63</f>
        <v>#REF!</v>
      </c>
      <c r="AK77" s="35" t="e">
        <f>(AJ30+AJ32/(1+Assump!$D$24)+AJ43/(1-#REF!))/AK13*Assump!$E$63*Assump!$D$63-(AK30+AK32/(1+Assump!$D$24)+AK43/(1-#REF!))/AK13*Assump!$E$63*Assump!$D$63</f>
        <v>#REF!</v>
      </c>
      <c r="AL77" s="35" t="e">
        <f>(AK30+AK32/(1+Assump!$D$24)+AK43/(1-#REF!))/AL13*Assump!$E$63*Assump!$D$63-(AL30+AL32/(1+Assump!$D$24)+AL43/(1-#REF!))/AL13*Assump!$E$63*Assump!$D$63</f>
        <v>#REF!</v>
      </c>
      <c r="AM77" s="35" t="e">
        <f>(AL30+AL32/(1+Assump!$D$24)+AL43/(1-#REF!))/AM13*Assump!$E$63*Assump!$D$63-(AM30+AM32/(1+Assump!$D$24)+AM43/(1-#REF!))/AM13*Assump!$E$63*Assump!$D$63</f>
        <v>#REF!</v>
      </c>
      <c r="AN77" s="35" t="e">
        <f>(AM30+AM32/(1+Assump!$D$24)+AM43/(1-#REF!))/AN13*Assump!$E$63*Assump!$D$63-(AN30+AN32/(1+Assump!$D$24)+AN43/(1-#REF!))/AN13*Assump!$E$63*Assump!$D$63</f>
        <v>#REF!</v>
      </c>
      <c r="AO77" s="35" t="e">
        <f>(AN30+AN32/(1+Assump!$D$24)+AN43/(1-#REF!))/AO13*Assump!$E$63*Assump!$D$63-(AO30+AO32/(1+Assump!$D$24)+AO43/(1-#REF!))/AO13*Assump!$E$63*Assump!$D$63</f>
        <v>#REF!</v>
      </c>
      <c r="AP77" s="35" t="e">
        <f>(AO30+AO32/(1+Assump!$D$24)+AO43/(1-#REF!))/AP13*Assump!$E$63*Assump!$D$63-(AP30+AP32/(1+Assump!$D$24)+AP43/(1-#REF!))/AP13*Assump!$E$63*Assump!$D$63</f>
        <v>#REF!</v>
      </c>
      <c r="AQ77" s="35" t="e">
        <f>(AP30+AP32/(1+Assump!$D$24)+AP43/(1-#REF!))/AQ13*Assump!$E$63*Assump!$D$63-(AQ30+AQ32/(1+Assump!$D$24)+AQ43/(1-#REF!))/AQ13*Assump!$E$63*Assump!$D$63</f>
        <v>#REF!</v>
      </c>
      <c r="AR77" s="35" t="e">
        <f>(AQ30+AQ32/(1+Assump!$D$24)+AQ43/(1-#REF!))/AR13*Assump!$E$63*Assump!$D$63-(AR30+AR32/(1+Assump!$D$24)+AR43/(1-#REF!))/AR13*Assump!$E$63*Assump!$D$63</f>
        <v>#REF!</v>
      </c>
      <c r="AS77" s="35" t="e">
        <f>(AR30+AR32/(1+Assump!$D$24)+AR43/(1-#REF!))/AS13*Assump!$E$63*Assump!$D$63-(AS30+AS32/(1+Assump!$D$24)+AS43/(1-#REF!))/AS13*Assump!$E$63*Assump!$D$63</f>
        <v>#REF!</v>
      </c>
      <c r="AT77" s="35" t="e">
        <f>(AS30+AS32/(1+Assump!$D$24)+AS43/(1-#REF!))/AT13*Assump!$E$63*Assump!$D$63-(AT30+AT32/(1+Assump!$D$24)+AT43/(1-#REF!))/AT13*Assump!$E$63*Assump!$D$63</f>
        <v>#REF!</v>
      </c>
      <c r="AU77" s="35" t="e">
        <f>(AT30+AT32/(1+Assump!$D$24)+AT43/(1-#REF!))/AU13*Assump!$E$63*Assump!$D$63-(AU30+AU32/(1+Assump!$D$24)+AU43/(1-#REF!))/AU13*Assump!$E$63*Assump!$D$63</f>
        <v>#REF!</v>
      </c>
      <c r="AV77" s="35" t="e">
        <f>(AU30+AU32/(1+Assump!$D$24)+AU43/(1-#REF!))/AV13*Assump!$E$63*Assump!$D$63-(AV30+AV32/(1+Assump!$D$24)+AV43/(1-#REF!))/AV13*Assump!$E$63*Assump!$D$63</f>
        <v>#REF!</v>
      </c>
      <c r="AW77" s="35" t="e">
        <f>(AV30+AV32/(1+Assump!$D$24)+AV43/(1-#REF!))/AW13*Assump!$E$63*Assump!$D$63-(AW30+AW32/(1+Assump!$D$24)+AW43/(1-#REF!))/AW13*Assump!$E$63*Assump!$D$63</f>
        <v>#REF!</v>
      </c>
      <c r="AX77" s="35" t="e">
        <f>(AW30+AW32/(1+Assump!$D$24)+AW43/(1-#REF!))/AX13*Assump!$E$63*Assump!$D$63-(AX30+AX32/(1+Assump!$D$24)+AX43/(1-#REF!))/AX13*Assump!$E$63*Assump!$D$63</f>
        <v>#REF!</v>
      </c>
      <c r="AY77" s="35" t="e">
        <f>(AX30+AX32/(1+Assump!$D$24)+AX43/(1-#REF!))/AY13*Assump!$E$63*Assump!$D$63-(AY30+AY32/(1+Assump!$D$24)+AY43/(1-#REF!))/AY13*Assump!$E$63*Assump!$D$63</f>
        <v>#REF!</v>
      </c>
      <c r="AZ77" s="35" t="e">
        <f>(AY30+AY32/(1+Assump!$D$24)+AY43/(1-#REF!))/AZ13*Assump!$E$63*Assump!$D$63-(AZ30+AZ32/(1+Assump!$D$24)+AZ43/(1-#REF!))/AZ13*Assump!$E$63*Assump!$D$63</f>
        <v>#REF!</v>
      </c>
      <c r="BA77" s="35" t="e">
        <f>(AZ30+AZ32/(1+Assump!$D$24)+AZ43/(1-#REF!))/BA13*Assump!$E$63*Assump!$D$63-(BA30+BA32/(1+Assump!$D$24)+BA43/(1-#REF!))/BA13*Assump!$E$63*Assump!$D$63</f>
        <v>#REF!</v>
      </c>
      <c r="BB77" s="35" t="e">
        <f>(BA30+BA32/(1+Assump!$D$24)+BA43/(1-#REF!))/BB13*Assump!$E$63*Assump!$D$63-(BB30+BB32/(1+Assump!$D$24)+BB43/(1-#REF!))/BB13*Assump!$E$63*Assump!$D$63</f>
        <v>#REF!</v>
      </c>
      <c r="BC77" s="35" t="e">
        <f>(BB30+BB32/(1+Assump!$D$24)+BB43/(1-#REF!))/BC13*Assump!$E$63*Assump!$D$63-(BC30+BC32/(1+Assump!$D$24)+BC43/(1-#REF!))/BC13*Assump!$E$63*Assump!$D$63</f>
        <v>#REF!</v>
      </c>
      <c r="BD77" s="35" t="e">
        <f>(BC30+BC32/(1+Assump!$D$24)+BC43/(1-#REF!))/BD13*Assump!$E$63*Assump!$D$63-(BD30+BD32/(1+Assump!$D$24)+BD43/(1-#REF!))/BD13*Assump!$E$63*Assump!$D$63</f>
        <v>#REF!</v>
      </c>
      <c r="BE77" s="35" t="e">
        <f>(BD30+BD32/(1+Assump!$D$24)+BD43/(1-#REF!))/BE13*Assump!$E$63*Assump!$D$63-(BE30+BE32/(1+Assump!$D$24)+BE43/(1-#REF!))/BE13*Assump!$E$63*Assump!$D$63</f>
        <v>#REF!</v>
      </c>
      <c r="BF77" s="35" t="e">
        <f>(BE30+BE32/(1+Assump!$D$24)+BE43/(1-#REF!))/BF13*Assump!$E$63*Assump!$D$63-(BF30+BF32/(1+Assump!$D$24)+BF43/(1-#REF!))/BF13*Assump!$E$63*Assump!$D$63</f>
        <v>#REF!</v>
      </c>
      <c r="BG77" s="35" t="e">
        <f>(BF30+BF32/(1+Assump!$D$24)+BF43/(1-#REF!))/BG13*Assump!$E$63*Assump!$D$63-(BG30+BG32/(1+Assump!$D$24)+BG43/(1-#REF!))/BG13*Assump!$E$63*Assump!$D$63</f>
        <v>#REF!</v>
      </c>
      <c r="BH77" s="35" t="e">
        <f>(BG30+BG32/(1+Assump!$D$24)+BG43/(1-#REF!))/BH13*Assump!$E$63*Assump!$D$63-(BH30+BH32/(1+Assump!$D$24)+BH43/(1-#REF!))/BH13*Assump!$E$63*Assump!$D$63</f>
        <v>#REF!</v>
      </c>
      <c r="BI77" s="35" t="e">
        <f>(BH30+BH32/(1+Assump!$D$24)+BH43/(1-#REF!))/BI13*Assump!$E$63*Assump!$D$63-(BI30+BI32/(1+Assump!$D$24)+BI43/(1-#REF!))/BI13*Assump!$E$63*Assump!$D$63</f>
        <v>#REF!</v>
      </c>
      <c r="BJ77" s="35" t="e">
        <f>(BI30+BI32/(1+Assump!$D$24)+BI43/(1-#REF!))/BJ13*Assump!$E$63*Assump!$D$63-(BJ30+BJ32/(1+Assump!$D$24)+BJ43/(1-#REF!))/BJ13*Assump!$E$63*Assump!$D$63</f>
        <v>#REF!</v>
      </c>
      <c r="BK77" s="35" t="e">
        <f>(BJ30+BJ32/(1+Assump!$D$24)+BJ43/(1-#REF!))/BK13*Assump!$E$63*Assump!$D$63-(BK30+BK32/(1+Assump!$D$24)+BK43/(1-#REF!))/BK13*Assump!$E$63*Assump!$D$63</f>
        <v>#REF!</v>
      </c>
      <c r="BL77" s="35" t="e">
        <f>(BK30+BK32/(1+Assump!$D$24)+BK43/(1-#REF!))/BL13*Assump!$E$63*Assump!$D$63-(BL30+BL32/(1+Assump!$D$24)+BL43/(1-#REF!))/BL13*Assump!$E$63*Assump!$D$63</f>
        <v>#REF!</v>
      </c>
      <c r="BM77" s="35" t="e">
        <f>(BL30+BL32/(1+Assump!$D$24)+BL43/(1-#REF!))/BM13*Assump!$E$63*Assump!$D$63-(BM30+BM32/(1+Assump!$D$24)+BM43/(1-#REF!))/BM13*Assump!$E$63*Assump!$D$63</f>
        <v>#REF!</v>
      </c>
      <c r="BN77" s="35" t="e">
        <f>(BM30+BM32/(1+Assump!$D$24)+BM43/(1-#REF!))/BN13*Assump!$E$63*Assump!$D$63-(BN30+BN32/(1+Assump!$D$24)+BN43/(1-#REF!))/BN13*Assump!$E$63*Assump!$D$63</f>
        <v>#REF!</v>
      </c>
      <c r="BO77" s="35" t="e">
        <f>(BN30+BN32/(1+Assump!$D$24)+BN43/(1-#REF!))/BO13*Assump!$E$63*Assump!$D$63-(BO30+BO32/(1+Assump!$D$24)+BO43/(1-#REF!))/BO13*Assump!$E$63*Assump!$D$63</f>
        <v>#REF!</v>
      </c>
      <c r="BP77" s="35" t="e">
        <f>(BO30+BO32/(1+Assump!$D$24)+BO43/(1-#REF!))/BP13*Assump!$E$63*Assump!$D$63-(BP30+BP32/(1+Assump!$D$24)+BP43/(1-#REF!))/BP13*Assump!$E$63*Assump!$D$63</f>
        <v>#REF!</v>
      </c>
      <c r="BQ77" s="35" t="e">
        <f>(BP30+BP32/(1+Assump!$D$24)+BP43/(1-#REF!))/BQ13*Assump!$E$63*Assump!$D$63-(BQ30+BQ32/(1+Assump!$D$24)+BQ43/(1-#REF!))/BQ13*Assump!$E$63*Assump!$D$63</f>
        <v>#REF!</v>
      </c>
      <c r="BR77" s="35" t="e">
        <f>(BQ30+BQ32/(1+Assump!$D$24)+BQ43/(1-#REF!))/BR13*Assump!$E$63*Assump!$D$63-(BR30+BR32/(1+Assump!$D$24)+BR43/(1-#REF!))/BR13*Assump!$E$63*Assump!$D$63</f>
        <v>#REF!</v>
      </c>
      <c r="BS77" s="35" t="e">
        <f>(BR30+BR32/(1+Assump!$D$24)+BR43/(1-#REF!))/BS13*Assump!$E$63*Assump!$D$63-(BS30+BS32/(1+Assump!$D$24)+BS43/(1-#REF!))/BS13*Assump!$E$63*Assump!$D$63</f>
        <v>#REF!</v>
      </c>
      <c r="BT77" s="35" t="e">
        <f>(BS30+BS32/(1+Assump!$D$24)+BS43/(1-#REF!))/BT13*Assump!$E$63*Assump!$D$63-(BT30+BT32/(1+Assump!$D$24)+BT43/(1-#REF!))/BT13*Assump!$E$63*Assump!$D$63</f>
        <v>#REF!</v>
      </c>
      <c r="BU77" s="35" t="e">
        <f>(BT30+BT32/(1+Assump!$D$24)+BT43/(1-#REF!))/BU13*Assump!$E$63*Assump!$D$63-(BU30+BU32/(1+Assump!$D$24)+BU43/(1-#REF!))/BU13*Assump!$E$63*Assump!$D$63</f>
        <v>#REF!</v>
      </c>
      <c r="BV77" s="35" t="e">
        <f>(BU30+BU32/(1+Assump!$D$24)+BU43/(1-#REF!))/BV13*Assump!$E$63*Assump!$D$63-(BV30+BV32/(1+Assump!$D$24)+BV43/(1-#REF!))/BV13*Assump!$E$63*Assump!$D$63</f>
        <v>#REF!</v>
      </c>
      <c r="BW77" s="35" t="e">
        <f>(BV30+BV32/(1+Assump!$D$24)+BV43/(1-#REF!))/BW13*Assump!$E$63*Assump!$D$63-(BW30+BW32/(1+Assump!$D$24)+BW43/(1-#REF!))/BW13*Assump!$E$63*Assump!$D$63</f>
        <v>#REF!</v>
      </c>
      <c r="BX77" s="35" t="e">
        <f>(BW30+BW32/(1+Assump!$D$24)+BW43/(1-#REF!))/BX13*Assump!$E$63*Assump!$D$63-(BX30+BX32/(1+Assump!$D$24)+BX43/(1-#REF!))/BX13*Assump!$E$63*Assump!$D$63</f>
        <v>#REF!</v>
      </c>
      <c r="BY77" s="35" t="e">
        <f>(BX30+BX32/(1+Assump!$D$24)+BX43/(1-#REF!))/BY13*Assump!$E$63*Assump!$D$63-(BY30+BY32/(1+Assump!$D$24)+BY43/(1-#REF!))/BY13*Assump!$E$63*Assump!$D$63</f>
        <v>#REF!</v>
      </c>
      <c r="BZ77" s="35" t="e">
        <f>(BY30+BY32/(1+Assump!$D$24)+BY43/(1-#REF!))/BZ13*Assump!$E$63*Assump!$D$63-(BZ30+BZ32/(1+Assump!$D$24)+BZ43/(1-#REF!))/BZ13*Assump!$E$63*Assump!$D$63</f>
        <v>#REF!</v>
      </c>
      <c r="CA77" s="35" t="e">
        <f>(BZ30+BZ32/(1+Assump!$D$24)+BZ43/(1-#REF!))/CA13*Assump!$E$63*Assump!$D$63-(CA30+CA32/(1+Assump!$D$24)+CA43/(1-#REF!))/CA13*Assump!$E$63*Assump!$D$63</f>
        <v>#REF!</v>
      </c>
      <c r="CB77" s="35" t="e">
        <f>(CA30+CA32/(1+Assump!$D$24)+CA43/(1-#REF!))/CB13*Assump!$E$63*Assump!$D$63-(CB30+CB32/(1+Assump!$D$24)+CB43/(1-#REF!))/CB13*Assump!$E$63*Assump!$D$63</f>
        <v>#REF!</v>
      </c>
      <c r="CC77" s="35" t="e">
        <f>(CB30+CB32/(1+Assump!$D$24)+CB43/(1-#REF!))/CC13*Assump!$E$63*Assump!$D$63-(CC30+CC32/(1+Assump!$D$24)+CC43/(1-#REF!))/CC13*Assump!$E$63*Assump!$D$63</f>
        <v>#REF!</v>
      </c>
      <c r="CD77" s="35" t="e">
        <f>(CC30+CC32/(1+Assump!$D$24)+CC43/(1-#REF!))/CD13*Assump!$E$63*Assump!$D$63-(CD30+CD32/(1+Assump!$D$24)+CD43/(1-#REF!))/CD13*Assump!$E$63*Assump!$D$63</f>
        <v>#REF!</v>
      </c>
      <c r="CE77" s="35" t="e">
        <f>(CD30+CD32/(1+Assump!$D$24)+CD43/(1-#REF!))/CE13*Assump!$E$63*Assump!$D$63-(CE30+CE32/(1+Assump!$D$24)+CE43/(1-#REF!))/CE13*Assump!$E$63*Assump!$D$63</f>
        <v>#REF!</v>
      </c>
      <c r="CF77" s="35" t="e">
        <f>(CE30+CE32/(1+Assump!$D$24)+CE43/(1-#REF!))/CF13*Assump!$E$63*Assump!$D$63-(CF30+CF32/(1+Assump!$D$24)+CF43/(1-#REF!))/CF13*Assump!$E$63*Assump!$D$63</f>
        <v>#REF!</v>
      </c>
      <c r="CG77" s="35" t="e">
        <f>(CF30+CF32/(1+Assump!$D$24)+CF43/(1-#REF!))/CG13*Assump!$E$63*Assump!$D$63-(CG30+CG32/(1+Assump!$D$24)+CG43/(1-#REF!))/CG13*Assump!$E$63*Assump!$D$63</f>
        <v>#REF!</v>
      </c>
      <c r="CH77" s="35" t="e">
        <f>(CG30+CG32/(1+Assump!$D$24)+CG43/(1-#REF!))/CH13*Assump!$E$63*Assump!$D$63-(CH30+CH32/(1+Assump!$D$24)+CH43/(1-#REF!))/CH13*Assump!$E$63*Assump!$D$63</f>
        <v>#REF!</v>
      </c>
      <c r="CI77" s="35" t="e">
        <f>(CH30+CH32/(1+Assump!$D$24)+CH43/(1-#REF!))/CI13*Assump!$E$63*Assump!$D$63-(CI30+CI32/(1+Assump!$D$24)+CI43/(1-#REF!))/CI13*Assump!$E$63*Assump!$D$63</f>
        <v>#REF!</v>
      </c>
      <c r="CJ77" s="35" t="e">
        <f>(CI30+CI32/(1+Assump!$D$24)+CI43/(1-#REF!))/CJ13*Assump!$E$63*Assump!$D$63-(CJ30+CJ32/(1+Assump!$D$24)+CJ43/(1-#REF!))/CJ13*Assump!$E$63*Assump!$D$63</f>
        <v>#REF!</v>
      </c>
      <c r="CK77" s="35" t="e">
        <f>(CJ30+CJ32/(1+Assump!$D$24)+CJ43/(1-#REF!))/CK13*Assump!$E$63*Assump!$D$63-(CK30+CK32/(1+Assump!$D$24)+CK43/(1-#REF!))/CK13*Assump!$E$63*Assump!$D$63</f>
        <v>#REF!</v>
      </c>
      <c r="CL77" s="35" t="e">
        <f>(CK30+CK32/(1+Assump!$D$24)+CK43/(1-#REF!))/CL13*Assump!$E$63*Assump!$D$63-(CL30+CL32/(1+Assump!$D$24)+CL43/(1-#REF!))/CL13*Assump!$E$63*Assump!$D$63</f>
        <v>#REF!</v>
      </c>
      <c r="CM77" s="35" t="e">
        <f>(CL30+CL32/(1+Assump!$D$24)+CL43/(1-#REF!))/CM13*Assump!$E$63*Assump!$D$63-(CM30+CM32/(1+Assump!$D$24)+CM43/(1-#REF!))/CM13*Assump!$E$63*Assump!$D$63</f>
        <v>#REF!</v>
      </c>
      <c r="CN77" s="35" t="e">
        <f>(CM30+CM32/(1+Assump!$D$24)+CM43/(1-#REF!))/CN13*Assump!$E$63*Assump!$D$63-(CN30+CN32/(1+Assump!$D$24)+CN43/(1-#REF!))/CN13*Assump!$E$63*Assump!$D$63</f>
        <v>#REF!</v>
      </c>
      <c r="CO77" s="35"/>
    </row>
    <row r="78" spans="1:93" ht="12.75" customHeight="1">
      <c r="A78" s="35"/>
      <c r="B78" s="87" t="s">
        <v>173</v>
      </c>
      <c r="C78" s="35" t="e">
        <f t="shared" si="32"/>
        <v>#REF!</v>
      </c>
      <c r="D78" s="60"/>
      <c r="E78" s="35" t="e">
        <f>(D31+D32/(1+Assump!$D$24)*Assump!$D$24+Model!D42*#REF!)/E13*Assump!$E$64-(E31+E32/(1+Assump!$D$24)*Assump!$D$24+Model!E42*#REF!)/E13*Assump!$E$64</f>
        <v>#REF!</v>
      </c>
      <c r="F78" s="35" t="e">
        <f>(E31+E32/(1+Assump!$D$24)*Assump!$D$24+Model!E42*#REF!)/F13*Assump!$E$64-(F31+F32/(1+Assump!$D$24)*Assump!$D$24+Model!F42*#REF!)/F13*Assump!$E$64</f>
        <v>#REF!</v>
      </c>
      <c r="G78" s="35" t="e">
        <f>(F31+F32/(1+Assump!$D$24)*Assump!$D$24+Model!F42*#REF!)/G13*Assump!$E$64-(G31+G32/(1+Assump!$D$24)*Assump!$D$24+Model!G42*#REF!)/G13*Assump!$E$64</f>
        <v>#REF!</v>
      </c>
      <c r="H78" s="35" t="e">
        <f>(G31+G32/(1+Assump!$D$24)*Assump!$D$24+Model!G42*#REF!)/H13*Assump!$E$64-(H31+H32/(1+Assump!$D$24)*Assump!$D$24+Model!H42*#REF!)/H13*Assump!$E$64</f>
        <v>#REF!</v>
      </c>
      <c r="I78" s="35" t="e">
        <f>(H31+H32/(1+Assump!$D$24)*Assump!$D$24+Model!H42*#REF!)/I13*Assump!$E$64-(I31+I32/(1+Assump!$D$24)*Assump!$D$24+Model!I42*#REF!)/I13*Assump!$E$64</f>
        <v>#REF!</v>
      </c>
      <c r="J78" s="35" t="e">
        <f>(I31+I32/(1+Assump!$D$24)*Assump!$D$24+Model!I42*#REF!)/J13*Assump!$E$64-(J31+J32/(1+Assump!$D$24)*Assump!$D$24+Model!J42*#REF!)/J13*Assump!$E$64</f>
        <v>#REF!</v>
      </c>
      <c r="K78" s="35" t="e">
        <f>(J31+J32/(1+Assump!$D$24)*Assump!$D$24+Model!J42*#REF!)/K13*Assump!$E$64-(K31+K32/(1+Assump!$D$24)*Assump!$D$24+Model!K42*#REF!)/K13*Assump!$E$64</f>
        <v>#REF!</v>
      </c>
      <c r="L78" s="35" t="e">
        <f>(K31+K32/(1+Assump!$D$24)*Assump!$D$24+Model!K42*#REF!)/L13*Assump!$E$64-(L31+L32/(1+Assump!$D$24)*Assump!$D$24+Model!L42*#REF!)/L13*Assump!$E$64</f>
        <v>#REF!</v>
      </c>
      <c r="M78" s="35" t="e">
        <f>(L31+L32/(1+Assump!$D$24)*Assump!$D$24+Model!L42*#REF!)/M13*Assump!$E$64-(M31+M32/(1+Assump!$D$24)*Assump!$D$24+Model!M42*#REF!)/M13*Assump!$E$64</f>
        <v>#REF!</v>
      </c>
      <c r="N78" s="35" t="e">
        <f>(M31+M32/(1+Assump!$D$24)*Assump!$D$24+Model!M42*#REF!)/N13*Assump!$E$64-(N31+N32/(1+Assump!$D$24)*Assump!$D$24+Model!N42*#REF!)/N13*Assump!$E$64</f>
        <v>#REF!</v>
      </c>
      <c r="O78" s="35" t="e">
        <f>(N31+N32/(1+Assump!$D$24)*Assump!$D$24+Model!N42*#REF!)/O13*Assump!$E$64-(O31+O32/(1+Assump!$D$24)*Assump!$D$24+Model!O42*#REF!)/O13*Assump!$E$64</f>
        <v>#REF!</v>
      </c>
      <c r="P78" s="35" t="e">
        <f>(O31+O32/(1+Assump!$D$24)*Assump!$D$24+Model!O42*#REF!)/P13*Assump!$E$64-(P31+P32/(1+Assump!$D$24)*Assump!$D$24+Model!P42*#REF!)/P13*Assump!$E$64</f>
        <v>#REF!</v>
      </c>
      <c r="Q78" s="35" t="e">
        <f>(P31+P32/(1+Assump!$D$24)*Assump!$D$24+Model!P42*#REF!)/Q13*Assump!$E$64-(Q31+Q32/(1+Assump!$D$24)*Assump!$D$24+Model!Q42*#REF!)/Q13*Assump!$E$64</f>
        <v>#REF!</v>
      </c>
      <c r="R78" s="35" t="e">
        <f>(Q31+Q32/(1+Assump!$D$24)*Assump!$D$24+Model!Q42*#REF!)/R13*Assump!$E$64-(R31+R32/(1+Assump!$D$24)*Assump!$D$24+Model!R42*#REF!)/R13*Assump!$E$64</f>
        <v>#REF!</v>
      </c>
      <c r="S78" s="35" t="e">
        <f>(R31+R32/(1+Assump!$D$24)*Assump!$D$24+Model!R42*#REF!)/S13*Assump!$E$64-(S31+S32/(1+Assump!$D$24)*Assump!$D$24+Model!S42*#REF!)/S13*Assump!$E$64</f>
        <v>#REF!</v>
      </c>
      <c r="T78" s="35" t="e">
        <f>(S31+S32/(1+Assump!$D$24)*Assump!$D$24+Model!S42*#REF!)/T13*Assump!$E$64-(T31+T32/(1+Assump!$D$24)*Assump!$D$24+Model!T42*#REF!)/T13*Assump!$E$64</f>
        <v>#REF!</v>
      </c>
      <c r="U78" s="35" t="e">
        <f>(T31+T32/(1+Assump!$D$24)*Assump!$D$24+Model!T42*#REF!)/U13*Assump!$E$64-(U31+U32/(1+Assump!$D$24)*Assump!$D$24+Model!U42*#REF!)/U13*Assump!$E$64</f>
        <v>#REF!</v>
      </c>
      <c r="V78" s="35" t="e">
        <f>(U31+U32/(1+Assump!$D$24)*Assump!$D$24+Model!U42*#REF!)/V13*Assump!$E$64-(V31+V32/(1+Assump!$D$24)*Assump!$D$24+Model!V42*#REF!)/V13*Assump!$E$64</f>
        <v>#REF!</v>
      </c>
      <c r="W78" s="35" t="e">
        <f>(V31+V32/(1+Assump!$D$24)*Assump!$D$24+Model!V42*#REF!)/W13*Assump!$E$64-(W31+W32/(1+Assump!$D$24)*Assump!$D$24+Model!W42*#REF!)/W13*Assump!$E$64</f>
        <v>#REF!</v>
      </c>
      <c r="X78" s="35" t="e">
        <f>(W31+W32/(1+Assump!$D$24)*Assump!$D$24+Model!W42*#REF!)/X13*Assump!$E$64-(X31+X32/(1+Assump!$D$24)*Assump!$D$24+Model!X42*#REF!)/X13*Assump!$E$64</f>
        <v>#REF!</v>
      </c>
      <c r="Y78" s="35" t="e">
        <f>(X31+X32/(1+Assump!$D$24)*Assump!$D$24+Model!X42*#REF!)/Y13*Assump!$E$64-(Y31+Y32/(1+Assump!$D$24)*Assump!$D$24+Model!Y42*#REF!)/Y13*Assump!$E$64</f>
        <v>#REF!</v>
      </c>
      <c r="Z78" s="35" t="e">
        <f>(Y31+Y32/(1+Assump!$D$24)*Assump!$D$24+Model!Y42*#REF!)/Z13*Assump!$E$64-(Z31+Z32/(1+Assump!$D$24)*Assump!$D$24+Model!Z42*#REF!)/Z13*Assump!$E$64</f>
        <v>#REF!</v>
      </c>
      <c r="AA78" s="35" t="e">
        <f>(Z31+Z32/(1+Assump!$D$24)*Assump!$D$24+Model!Z42*#REF!)/AA13*Assump!$E$64-(AA31+AA32/(1+Assump!$D$24)*Assump!$D$24+Model!AA42*#REF!)/AA13*Assump!$E$64</f>
        <v>#REF!</v>
      </c>
      <c r="AB78" s="35" t="e">
        <f>(AA31+AA32/(1+Assump!$D$24)*Assump!$D$24+Model!AA42*#REF!)/AB13*Assump!$E$64-(AB31+AB32/(1+Assump!$D$24)*Assump!$D$24+Model!AB42*#REF!)/AB13*Assump!$E$64</f>
        <v>#REF!</v>
      </c>
      <c r="AC78" s="35" t="e">
        <f>(AB31+AB32/(1+Assump!$D$24)*Assump!$D$24+Model!AB42*#REF!)/AC13*Assump!$E$64-(AC31+AC32/(1+Assump!$D$24)*Assump!$D$24+Model!AC42*#REF!)/AC13*Assump!$E$64</f>
        <v>#REF!</v>
      </c>
      <c r="AD78" s="35" t="e">
        <f>(AC31+AC32/(1+Assump!$D$24)*Assump!$D$24+Model!AC42*#REF!)/AD13*Assump!$E$64-(AD31+AD32/(1+Assump!$D$24)*Assump!$D$24+Model!AD42*#REF!)/AD13*Assump!$E$64</f>
        <v>#REF!</v>
      </c>
      <c r="AE78" s="35" t="e">
        <f>(AD31+AD32/(1+Assump!$D$24)*Assump!$D$24+Model!AD42*#REF!)/AE13*Assump!$E$64-(AE31+AE32/(1+Assump!$D$24)*Assump!$D$24+Model!AE42*#REF!)/AE13*Assump!$E$64</f>
        <v>#REF!</v>
      </c>
      <c r="AF78" s="35" t="e">
        <f>(AE31+AE32/(1+Assump!$D$24)*Assump!$D$24+Model!AE42*#REF!)/AF13*Assump!$E$64-(AF31+AF32/(1+Assump!$D$24)*Assump!$D$24+Model!AF42*#REF!)/AF13*Assump!$E$64</f>
        <v>#REF!</v>
      </c>
      <c r="AG78" s="35" t="e">
        <f>(AF31+AF32/(1+Assump!$D$24)*Assump!$D$24+Model!AF42*#REF!)/AG13*Assump!$E$64-(AG31+AG32/(1+Assump!$D$24)*Assump!$D$24+Model!AG42*#REF!)/AG13*Assump!$E$64</f>
        <v>#REF!</v>
      </c>
      <c r="AH78" s="35" t="e">
        <f>(AG31+AG32/(1+Assump!$D$24)*Assump!$D$24+Model!AG42*#REF!)/AH13*Assump!$E$64-(AH31+AH32/(1+Assump!$D$24)*Assump!$D$24+Model!AH42*#REF!)/AH13*Assump!$E$64</f>
        <v>#REF!</v>
      </c>
      <c r="AI78" s="35" t="e">
        <f>(AH31+AH32/(1+Assump!$D$24)*Assump!$D$24+Model!AH42*#REF!)/AI13*Assump!$E$64-(AI31+AI32/(1+Assump!$D$24)*Assump!$D$24+Model!AI42*#REF!)/AI13*Assump!$E$64</f>
        <v>#REF!</v>
      </c>
      <c r="AJ78" s="35" t="e">
        <f>(AI31+AI32/(1+Assump!$D$24)*Assump!$D$24+Model!AI42*#REF!)/AJ13*Assump!$E$64-(AJ31+AJ32/(1+Assump!$D$24)*Assump!$D$24+Model!AJ42*#REF!)/AJ13*Assump!$E$64</f>
        <v>#REF!</v>
      </c>
      <c r="AK78" s="35" t="e">
        <f>(AJ31+AJ32/(1+Assump!$D$24)*Assump!$D$24+Model!AJ42*#REF!)/AK13*Assump!$E$64-(AK31+AK32/(1+Assump!$D$24)*Assump!$D$24+Model!AK42*#REF!)/AK13*Assump!$E$64</f>
        <v>#REF!</v>
      </c>
      <c r="AL78" s="35" t="e">
        <f>(AK31+AK32/(1+Assump!$D$24)*Assump!$D$24+Model!AK42*#REF!)/AL13*Assump!$E$64-(AL31+AL32/(1+Assump!$D$24)*Assump!$D$24+Model!AL42*#REF!)/AL13*Assump!$E$64</f>
        <v>#REF!</v>
      </c>
      <c r="AM78" s="35" t="e">
        <f>(AL31+AL32/(1+Assump!$D$24)*Assump!$D$24+Model!AL42*#REF!)/AM13*Assump!$E$64-(AM31+AM32/(1+Assump!$D$24)*Assump!$D$24+Model!AM42*#REF!)/AM13*Assump!$E$64</f>
        <v>#REF!</v>
      </c>
      <c r="AN78" s="35" t="e">
        <f>(AM31+AM32/(1+Assump!$D$24)*Assump!$D$24+Model!AM42*#REF!)/AN13*Assump!$E$64-(AN31+AN32/(1+Assump!$D$24)*Assump!$D$24+Model!AN42*#REF!)/AN13*Assump!$E$64</f>
        <v>#REF!</v>
      </c>
      <c r="AO78" s="35" t="e">
        <f>(AN31+AN32/(1+Assump!$D$24)*Assump!$D$24+Model!AN42*#REF!)/AO13*Assump!$E$64-(AO31+AO32/(1+Assump!$D$24)*Assump!$D$24+Model!AO42*#REF!)/AO13*Assump!$E$64</f>
        <v>#REF!</v>
      </c>
      <c r="AP78" s="35" t="e">
        <f>(AO31+AO32/(1+Assump!$D$24)*Assump!$D$24+Model!AO42*#REF!)/AP13*Assump!$E$64-(AP31+AP32/(1+Assump!$D$24)*Assump!$D$24+Model!AP42*#REF!)/AP13*Assump!$E$64</f>
        <v>#REF!</v>
      </c>
      <c r="AQ78" s="35" t="e">
        <f>(AP31+AP32/(1+Assump!$D$24)*Assump!$D$24+Model!AP42*#REF!)/AQ13*Assump!$E$64-(AQ31+AQ32/(1+Assump!$D$24)*Assump!$D$24+Model!AQ42*#REF!)/AQ13*Assump!$E$64</f>
        <v>#REF!</v>
      </c>
      <c r="AR78" s="35" t="e">
        <f>(AQ31+AQ32/(1+Assump!$D$24)*Assump!$D$24+Model!AQ42*#REF!)/AR13*Assump!$E$64-(AR31+AR32/(1+Assump!$D$24)*Assump!$D$24+Model!AR42*#REF!)/AR13*Assump!$E$64</f>
        <v>#REF!</v>
      </c>
      <c r="AS78" s="35" t="e">
        <f>(AR31+AR32/(1+Assump!$D$24)*Assump!$D$24+Model!AR42*#REF!)/AS13*Assump!$E$64-(AS31+AS32/(1+Assump!$D$24)*Assump!$D$24+Model!AS42*#REF!)/AS13*Assump!$E$64</f>
        <v>#REF!</v>
      </c>
      <c r="AT78" s="35" t="e">
        <f>(AS31+AS32/(1+Assump!$D$24)*Assump!$D$24+Model!AS42*#REF!)/AT13*Assump!$E$64-(AT31+AT32/(1+Assump!$D$24)*Assump!$D$24+Model!AT42*#REF!)/AT13*Assump!$E$64</f>
        <v>#REF!</v>
      </c>
      <c r="AU78" s="35" t="e">
        <f>(AT31+AT32/(1+Assump!$D$24)*Assump!$D$24+Model!AT42*#REF!)/AU13*Assump!$E$64-(AU31+AU32/(1+Assump!$D$24)*Assump!$D$24+Model!AU42*#REF!)/AU13*Assump!$E$64</f>
        <v>#REF!</v>
      </c>
      <c r="AV78" s="35" t="e">
        <f>(AU31+AU32/(1+Assump!$D$24)*Assump!$D$24+Model!AU42*#REF!)/AV13*Assump!$E$64-(AV31+AV32/(1+Assump!$D$24)*Assump!$D$24+Model!AV42*#REF!)/AV13*Assump!$E$64</f>
        <v>#REF!</v>
      </c>
      <c r="AW78" s="35" t="e">
        <f>(AV31+AV32/(1+Assump!$D$24)*Assump!$D$24+Model!AV42*#REF!)/AW13*Assump!$E$64-(AW31+AW32/(1+Assump!$D$24)*Assump!$D$24+Model!AW42*#REF!)/AW13*Assump!$E$64</f>
        <v>#REF!</v>
      </c>
      <c r="AX78" s="35" t="e">
        <f>(AW31+AW32/(1+Assump!$D$24)*Assump!$D$24+Model!AW42*#REF!)/AX13*Assump!$E$64-(AX31+AX32/(1+Assump!$D$24)*Assump!$D$24+Model!AX42*#REF!)/AX13*Assump!$E$64</f>
        <v>#REF!</v>
      </c>
      <c r="AY78" s="35" t="e">
        <f>(AX31+AX32/(1+Assump!$D$24)*Assump!$D$24+Model!AX42*#REF!)/AY13*Assump!$E$64-(AY31+AY32/(1+Assump!$D$24)*Assump!$D$24+Model!AY42*#REF!)/AY13*Assump!$E$64</f>
        <v>#REF!</v>
      </c>
      <c r="AZ78" s="35" t="e">
        <f>(AY31+AY32/(1+Assump!$D$24)*Assump!$D$24+Model!AY42*#REF!)/AZ13*Assump!$E$64-(AZ31+AZ32/(1+Assump!$D$24)*Assump!$D$24+Model!AZ42*#REF!)/AZ13*Assump!$E$64</f>
        <v>#REF!</v>
      </c>
      <c r="BA78" s="35" t="e">
        <f>(AZ31+AZ32/(1+Assump!$D$24)*Assump!$D$24+Model!AZ42*#REF!)/BA13*Assump!$E$64-(BA31+BA32/(1+Assump!$D$24)*Assump!$D$24+Model!BA42*#REF!)/BA13*Assump!$E$64</f>
        <v>#REF!</v>
      </c>
      <c r="BB78" s="35" t="e">
        <f>(BA31+BA32/(1+Assump!$D$24)*Assump!$D$24+Model!BA42*#REF!)/BB13*Assump!$E$64-(BB31+BB32/(1+Assump!$D$24)*Assump!$D$24+Model!BB42*#REF!)/BB13*Assump!$E$64</f>
        <v>#REF!</v>
      </c>
      <c r="BC78" s="35" t="e">
        <f>(BB31+BB32/(1+Assump!$D$24)*Assump!$D$24+Model!BB42*#REF!)/BC13*Assump!$E$64-(BC31+BC32/(1+Assump!$D$24)*Assump!$D$24+Model!BC42*#REF!)/BC13*Assump!$E$64</f>
        <v>#REF!</v>
      </c>
      <c r="BD78" s="35" t="e">
        <f>(BC31+BC32/(1+Assump!$D$24)*Assump!$D$24+Model!BC42*#REF!)/BD13*Assump!$E$64-(BD31+BD32/(1+Assump!$D$24)*Assump!$D$24+Model!BD42*#REF!)/BD13*Assump!$E$64</f>
        <v>#REF!</v>
      </c>
      <c r="BE78" s="35" t="e">
        <f>(BD31+BD32/(1+Assump!$D$24)*Assump!$D$24+Model!BD42*#REF!)/BE13*Assump!$E$64-(BE31+BE32/(1+Assump!$D$24)*Assump!$D$24+Model!BE42*#REF!)/BE13*Assump!$E$64</f>
        <v>#REF!</v>
      </c>
      <c r="BF78" s="35" t="e">
        <f>(BE31+BE32/(1+Assump!$D$24)*Assump!$D$24+Model!BE42*#REF!)/BF13*Assump!$E$64-(BF31+BF32/(1+Assump!$D$24)*Assump!$D$24+Model!BF42*#REF!)/BF13*Assump!$E$64</f>
        <v>#REF!</v>
      </c>
      <c r="BG78" s="35" t="e">
        <f>(BF31+BF32/(1+Assump!$D$24)*Assump!$D$24+Model!BF42*#REF!)/BG13*Assump!$E$64-(BG31+BG32/(1+Assump!$D$24)*Assump!$D$24+Model!BG42*#REF!)/BG13*Assump!$E$64</f>
        <v>#REF!</v>
      </c>
      <c r="BH78" s="35" t="e">
        <f>(BG31+BG32/(1+Assump!$D$24)*Assump!$D$24+Model!BG42*#REF!)/BH13*Assump!$E$64-(BH31+BH32/(1+Assump!$D$24)*Assump!$D$24+Model!BH42*#REF!)/BH13*Assump!$E$64</f>
        <v>#REF!</v>
      </c>
      <c r="BI78" s="35" t="e">
        <f>(BH31+BH32/(1+Assump!$D$24)*Assump!$D$24+Model!BH42*#REF!)/BI13*Assump!$E$64-(BI31+BI32/(1+Assump!$D$24)*Assump!$D$24+Model!BI42*#REF!)/BI13*Assump!$E$64</f>
        <v>#REF!</v>
      </c>
      <c r="BJ78" s="35" t="e">
        <f>(BI31+BI32/(1+Assump!$D$24)*Assump!$D$24+Model!BI42*#REF!)/BJ13*Assump!$E$64-(BJ31+BJ32/(1+Assump!$D$24)*Assump!$D$24+Model!BJ42*#REF!)/BJ13*Assump!$E$64</f>
        <v>#REF!</v>
      </c>
      <c r="BK78" s="35" t="e">
        <f>(BJ31+BJ32/(1+Assump!$D$24)*Assump!$D$24+Model!BJ42*#REF!)/BK13*Assump!$E$64-(BK31+BK32/(1+Assump!$D$24)*Assump!$D$24+Model!BK42*#REF!)/BK13*Assump!$E$64</f>
        <v>#REF!</v>
      </c>
      <c r="BL78" s="35" t="e">
        <f>(BK31+BK32/(1+Assump!$D$24)*Assump!$D$24+Model!BK42*#REF!)/BL13*Assump!$E$64-(BL31+BL32/(1+Assump!$D$24)*Assump!$D$24+Model!BL42*#REF!)/BL13*Assump!$E$64</f>
        <v>#REF!</v>
      </c>
      <c r="BM78" s="35" t="e">
        <f>(BL31+BL32/(1+Assump!$D$24)*Assump!$D$24+Model!BL42*#REF!)/BM13*Assump!$E$64-(BM31+BM32/(1+Assump!$D$24)*Assump!$D$24+Model!BM42*#REF!)/BM13*Assump!$E$64</f>
        <v>#REF!</v>
      </c>
      <c r="BN78" s="35" t="e">
        <f>(BM31+BM32/(1+Assump!$D$24)*Assump!$D$24+Model!BM42*#REF!)/BN13*Assump!$E$64-(BN31+BN32/(1+Assump!$D$24)*Assump!$D$24+Model!BN42*#REF!)/BN13*Assump!$E$64</f>
        <v>#REF!</v>
      </c>
      <c r="BO78" s="35" t="e">
        <f>(BN31+BN32/(1+Assump!$D$24)*Assump!$D$24+Model!BN42*#REF!)/BO13*Assump!$E$64-(BO31+BO32/(1+Assump!$D$24)*Assump!$D$24+Model!BO42*#REF!)/BO13*Assump!$E$64</f>
        <v>#REF!</v>
      </c>
      <c r="BP78" s="35" t="e">
        <f>(BO31+BO32/(1+Assump!$D$24)*Assump!$D$24+Model!BO42*#REF!)/BP13*Assump!$E$64-(BP31+BP32/(1+Assump!$D$24)*Assump!$D$24+Model!BP42*#REF!)/BP13*Assump!$E$64</f>
        <v>#REF!</v>
      </c>
      <c r="BQ78" s="35" t="e">
        <f>(BP31+BP32/(1+Assump!$D$24)*Assump!$D$24+Model!BP42*#REF!)/BQ13*Assump!$E$64-(BQ31+BQ32/(1+Assump!$D$24)*Assump!$D$24+Model!BQ42*#REF!)/BQ13*Assump!$E$64</f>
        <v>#REF!</v>
      </c>
      <c r="BR78" s="35" t="e">
        <f>(BQ31+BQ32/(1+Assump!$D$24)*Assump!$D$24+Model!BQ42*#REF!)/BR13*Assump!$E$64-(BR31+BR32/(1+Assump!$D$24)*Assump!$D$24+Model!BR42*#REF!)/BR13*Assump!$E$64</f>
        <v>#REF!</v>
      </c>
      <c r="BS78" s="35" t="e">
        <f>(BR31+BR32/(1+Assump!$D$24)*Assump!$D$24+Model!BR42*#REF!)/BS13*Assump!$E$64-(BS31+BS32/(1+Assump!$D$24)*Assump!$D$24+Model!BS42*#REF!)/BS13*Assump!$E$64</f>
        <v>#REF!</v>
      </c>
      <c r="BT78" s="35" t="e">
        <f>(BS31+BS32/(1+Assump!$D$24)*Assump!$D$24+Model!BS42*#REF!)/BT13*Assump!$E$64-(BT31+BT32/(1+Assump!$D$24)*Assump!$D$24+Model!BT42*#REF!)/BT13*Assump!$E$64</f>
        <v>#REF!</v>
      </c>
      <c r="BU78" s="35" t="e">
        <f>(BT31+BT32/(1+Assump!$D$24)*Assump!$D$24+Model!BT42*#REF!)/BU13*Assump!$E$64-(BU31+BU32/(1+Assump!$D$24)*Assump!$D$24+Model!BU42*#REF!)/BU13*Assump!$E$64</f>
        <v>#REF!</v>
      </c>
      <c r="BV78" s="35" t="e">
        <f>(BU31+BU32/(1+Assump!$D$24)*Assump!$D$24+Model!BU42*#REF!)/BV13*Assump!$E$64-(BV31+BV32/(1+Assump!$D$24)*Assump!$D$24+Model!BV42*#REF!)/BV13*Assump!$E$64</f>
        <v>#REF!</v>
      </c>
      <c r="BW78" s="35" t="e">
        <f>(BV31+BV32/(1+Assump!$D$24)*Assump!$D$24+Model!BV42*#REF!)/BW13*Assump!$E$64-(BW31+BW32/(1+Assump!$D$24)*Assump!$D$24+Model!BW42*#REF!)/BW13*Assump!$E$64</f>
        <v>#REF!</v>
      </c>
      <c r="BX78" s="35" t="e">
        <f>(BW31+BW32/(1+Assump!$D$24)*Assump!$D$24+Model!BW42*#REF!)/BX13*Assump!$E$64-(BX31+BX32/(1+Assump!$D$24)*Assump!$D$24+Model!BX42*#REF!)/BX13*Assump!$E$64</f>
        <v>#REF!</v>
      </c>
      <c r="BY78" s="35" t="e">
        <f>(BX31+BX32/(1+Assump!$D$24)*Assump!$D$24+Model!BX42*#REF!)/BY13*Assump!$E$64-(BY31+BY32/(1+Assump!$D$24)*Assump!$D$24+Model!BY42*#REF!)/BY13*Assump!$E$64</f>
        <v>#REF!</v>
      </c>
      <c r="BZ78" s="35" t="e">
        <f>(BY31+BY32/(1+Assump!$D$24)*Assump!$D$24+Model!BY42*#REF!)/BZ13*Assump!$E$64-(BZ31+BZ32/(1+Assump!$D$24)*Assump!$D$24+Model!BZ42*#REF!)/BZ13*Assump!$E$64</f>
        <v>#REF!</v>
      </c>
      <c r="CA78" s="35" t="e">
        <f>(BZ31+BZ32/(1+Assump!$D$24)*Assump!$D$24+Model!BZ42*#REF!)/CA13*Assump!$E$64-(CA31+CA32/(1+Assump!$D$24)*Assump!$D$24+Model!CA42*#REF!)/CA13*Assump!$E$64</f>
        <v>#REF!</v>
      </c>
      <c r="CB78" s="35" t="e">
        <f>(CA31+CA32/(1+Assump!$D$24)*Assump!$D$24+Model!CA42*#REF!)/CB13*Assump!$E$64-(CB31+CB32/(1+Assump!$D$24)*Assump!$D$24+Model!CB42*#REF!)/CB13*Assump!$E$64</f>
        <v>#REF!</v>
      </c>
      <c r="CC78" s="35" t="e">
        <f>(CB31+CB32/(1+Assump!$D$24)*Assump!$D$24+Model!CB42*#REF!)/CC13*Assump!$E$64-(CC31+CC32/(1+Assump!$D$24)*Assump!$D$24+Model!CC42*#REF!)/CC13*Assump!$E$64</f>
        <v>#REF!</v>
      </c>
      <c r="CD78" s="35" t="e">
        <f>(CC31+CC32/(1+Assump!$D$24)*Assump!$D$24+Model!CC42*#REF!)/CD13*Assump!$E$64-(CD31+CD32/(1+Assump!$D$24)*Assump!$D$24+Model!CD42*#REF!)/CD13*Assump!$E$64</f>
        <v>#REF!</v>
      </c>
      <c r="CE78" s="35" t="e">
        <f>(CD31+CD32/(1+Assump!$D$24)*Assump!$D$24+Model!CD42*#REF!)/CE13*Assump!$E$64-(CE31+CE32/(1+Assump!$D$24)*Assump!$D$24+Model!CE42*#REF!)/CE13*Assump!$E$64</f>
        <v>#REF!</v>
      </c>
      <c r="CF78" s="35" t="e">
        <f>(CE31+CE32/(1+Assump!$D$24)*Assump!$D$24+Model!CE42*#REF!)/CF13*Assump!$E$64-(CF31+CF32/(1+Assump!$D$24)*Assump!$D$24+Model!CF42*#REF!)/CF13*Assump!$E$64</f>
        <v>#REF!</v>
      </c>
      <c r="CG78" s="35" t="e">
        <f>(CF31+CF32/(1+Assump!$D$24)*Assump!$D$24+Model!CF42*#REF!)/CG13*Assump!$E$64-(CG31+CG32/(1+Assump!$D$24)*Assump!$D$24+Model!CG42*#REF!)/CG13*Assump!$E$64</f>
        <v>#REF!</v>
      </c>
      <c r="CH78" s="35" t="e">
        <f>(CG31+CG32/(1+Assump!$D$24)*Assump!$D$24+Model!CG42*#REF!)/CH13*Assump!$E$64-(CH31+CH32/(1+Assump!$D$24)*Assump!$D$24+Model!CH42*#REF!)/CH13*Assump!$E$64</f>
        <v>#REF!</v>
      </c>
      <c r="CI78" s="35" t="e">
        <f>(CH31+CH32/(1+Assump!$D$24)*Assump!$D$24+Model!CH42*#REF!)/CI13*Assump!$E$64-(CI31+CI32/(1+Assump!$D$24)*Assump!$D$24+Model!CI42*#REF!)/CI13*Assump!$E$64</f>
        <v>#REF!</v>
      </c>
      <c r="CJ78" s="35" t="e">
        <f>(CI31+CI32/(1+Assump!$D$24)*Assump!$D$24+Model!CI42*#REF!)/CJ13*Assump!$E$64-(CJ31+CJ32/(1+Assump!$D$24)*Assump!$D$24+Model!CJ42*#REF!)/CJ13*Assump!$E$64</f>
        <v>#REF!</v>
      </c>
      <c r="CK78" s="35" t="e">
        <f>(CJ31+CJ32/(1+Assump!$D$24)*Assump!$D$24+Model!CJ42*#REF!)/CK13*Assump!$E$64-(CK31+CK32/(1+Assump!$D$24)*Assump!$D$24+Model!CK42*#REF!)/CK13*Assump!$E$64</f>
        <v>#REF!</v>
      </c>
      <c r="CL78" s="35" t="e">
        <f>(CK31+CK32/(1+Assump!$D$24)*Assump!$D$24+Model!CK42*#REF!)/CL13*Assump!$E$64-(CL31+CL32/(1+Assump!$D$24)*Assump!$D$24+Model!CL42*#REF!)/CL13*Assump!$E$64</f>
        <v>#REF!</v>
      </c>
      <c r="CM78" s="35" t="e">
        <f>(CL31+CL32/(1+Assump!$D$24)*Assump!$D$24+Model!CL42*#REF!)/CM13*Assump!$E$64-(CM31+CM32/(1+Assump!$D$24)*Assump!$D$24+Model!CM42*#REF!)/CM13*Assump!$E$64</f>
        <v>#REF!</v>
      </c>
      <c r="CN78" s="35" t="e">
        <f>(CM31+CM32/(1+Assump!$D$24)*Assump!$D$24+Model!CM42*#REF!)/CN13*Assump!$E$64-(CN31+CN32/(1+Assump!$D$24)*Assump!$D$24+Model!CN42*#REF!)/CN13*Assump!$E$64</f>
        <v>#REF!</v>
      </c>
      <c r="CO78" s="35"/>
    </row>
    <row r="79" spans="1:93" ht="12.75" customHeight="1">
      <c r="A79" s="35"/>
      <c r="B79" s="26" t="s">
        <v>629</v>
      </c>
      <c r="C79" s="35" t="e">
        <f t="shared" si="32"/>
        <v>#REF!</v>
      </c>
      <c r="D79" s="443"/>
      <c r="E79" s="35" t="e">
        <f>-E28*'операционные  расходы 1 этап'!#REF!</f>
        <v>#REF!</v>
      </c>
      <c r="F79" s="35" t="e">
        <f>-F28*'операционные  расходы 1 этап'!#REF!</f>
        <v>#REF!</v>
      </c>
      <c r="G79" s="35" t="e">
        <f>-G28*'операционные  расходы 1 этап'!#REF!</f>
        <v>#REF!</v>
      </c>
      <c r="H79" s="35" t="e">
        <f>-H28*'операционные  расходы 1 этап'!#REF!</f>
        <v>#REF!</v>
      </c>
      <c r="I79" s="35" t="e">
        <f>-I28*'операционные  расходы 1 этап'!#REF!</f>
        <v>#REF!</v>
      </c>
      <c r="J79" s="35" t="e">
        <f>-J28*'операционные  расходы 1 этап'!#REF!</f>
        <v>#REF!</v>
      </c>
      <c r="K79" s="35" t="e">
        <f>-K28*'операционные  расходы 1 этап'!#REF!</f>
        <v>#REF!</v>
      </c>
      <c r="L79" s="35" t="e">
        <f>-L28*'операционные  расходы 1 этап'!#REF!</f>
        <v>#REF!</v>
      </c>
      <c r="M79" s="35" t="e">
        <f>-M28*'операционные  расходы 1 этап'!#REF!</f>
        <v>#REF!</v>
      </c>
      <c r="N79" s="35" t="e">
        <f>-N28*'операционные  расходы 1 этап'!#REF!</f>
        <v>#REF!</v>
      </c>
      <c r="O79" s="35" t="e">
        <f>-O28*'операционные  расходы 1 этап'!#REF!</f>
        <v>#REF!</v>
      </c>
      <c r="P79" s="35" t="e">
        <f>-P28*'операционные  расходы 1 этап'!#REF!</f>
        <v>#REF!</v>
      </c>
      <c r="Q79" s="35" t="e">
        <f>-Q28*'операционные  расходы 1 этап'!#REF!</f>
        <v>#REF!</v>
      </c>
      <c r="R79" s="35" t="e">
        <f>-R28*'операционные  расходы 1 этап'!#REF!</f>
        <v>#REF!</v>
      </c>
      <c r="S79" s="35" t="e">
        <f>-S28*'операционные  расходы 1 этап'!#REF!</f>
        <v>#REF!</v>
      </c>
      <c r="T79" s="35" t="e">
        <f>-T28*'операционные  расходы 1 этап'!#REF!</f>
        <v>#REF!</v>
      </c>
      <c r="U79" s="35" t="e">
        <f>-U28*'операционные  расходы 1 этап'!#REF!</f>
        <v>#REF!</v>
      </c>
      <c r="V79" s="35" t="e">
        <f>-V28*'операционные  расходы 1 этап'!#REF!</f>
        <v>#REF!</v>
      </c>
      <c r="W79" s="35" t="e">
        <f>-W28*'операционные  расходы 1 этап'!#REF!</f>
        <v>#REF!</v>
      </c>
      <c r="X79" s="35" t="e">
        <f>-X28*'операционные  расходы 1 этап'!#REF!</f>
        <v>#REF!</v>
      </c>
      <c r="Y79" s="35" t="e">
        <f>-Y28*'операционные  расходы 1 этап'!#REF!</f>
        <v>#REF!</v>
      </c>
      <c r="Z79" s="35" t="e">
        <f>-Z28*'операционные  расходы 1 этап'!#REF!</f>
        <v>#REF!</v>
      </c>
      <c r="AA79" s="35" t="e">
        <f>-AA28*'операционные  расходы 1 этап'!#REF!</f>
        <v>#REF!</v>
      </c>
      <c r="AB79" s="35" t="e">
        <f>-AB28*'операционные  расходы 1 этап'!#REF!</f>
        <v>#REF!</v>
      </c>
      <c r="AC79" s="35" t="e">
        <f>-AC28*'операционные  расходы 1 этап'!#REF!</f>
        <v>#REF!</v>
      </c>
      <c r="AD79" s="35" t="e">
        <f>-AD28*'операционные  расходы 1 этап'!#REF!</f>
        <v>#REF!</v>
      </c>
      <c r="AE79" s="35" t="e">
        <f>-AE28*'операционные  расходы 1 этап'!#REF!</f>
        <v>#REF!</v>
      </c>
      <c r="AF79" s="35" t="e">
        <f>-AF28*'операционные  расходы 1 этап'!#REF!</f>
        <v>#REF!</v>
      </c>
      <c r="AG79" s="35" t="e">
        <f>-AG28*'операционные  расходы 1 этап'!#REF!</f>
        <v>#REF!</v>
      </c>
      <c r="AH79" s="35" t="e">
        <f>-AH28*'операционные  расходы 1 этап'!#REF!</f>
        <v>#REF!</v>
      </c>
      <c r="AI79" s="35" t="e">
        <f>-AI28*'операционные  расходы 1 этап'!#REF!</f>
        <v>#REF!</v>
      </c>
      <c r="AJ79" s="35" t="e">
        <f>-AJ28*'операционные  расходы 1 этап'!#REF!</f>
        <v>#REF!</v>
      </c>
      <c r="AK79" s="35" t="e">
        <f>-AK28*'операционные  расходы 1 этап'!#REF!</f>
        <v>#REF!</v>
      </c>
      <c r="AL79" s="35" t="e">
        <f>-AL28*'операционные  расходы 1 этап'!#REF!</f>
        <v>#REF!</v>
      </c>
      <c r="AM79" s="35" t="e">
        <f>-AM28*'операционные  расходы 1 этап'!#REF!</f>
        <v>#REF!</v>
      </c>
      <c r="AN79" s="35" t="e">
        <f>-AN28*'операционные  расходы 1 этап'!#REF!</f>
        <v>#REF!</v>
      </c>
      <c r="AO79" s="35" t="e">
        <f>-AO28*'операционные  расходы 1 этап'!#REF!</f>
        <v>#REF!</v>
      </c>
      <c r="AP79" s="35" t="e">
        <f>-AP28*'операционные  расходы 1 этап'!#REF!</f>
        <v>#REF!</v>
      </c>
      <c r="AQ79" s="35" t="e">
        <f>-AQ28*'операционные  расходы 1 этап'!#REF!</f>
        <v>#REF!</v>
      </c>
      <c r="AR79" s="35" t="e">
        <f>-AR28*'операционные  расходы 1 этап'!#REF!</f>
        <v>#REF!</v>
      </c>
      <c r="AS79" s="35" t="e">
        <f>-AS28*'операционные  расходы 1 этап'!#REF!</f>
        <v>#REF!</v>
      </c>
      <c r="AT79" s="35" t="e">
        <f>-AT28*'операционные  расходы 1 этап'!#REF!</f>
        <v>#REF!</v>
      </c>
      <c r="AU79" s="35" t="e">
        <f>-AU28*'операционные  расходы 1 этап'!#REF!</f>
        <v>#REF!</v>
      </c>
      <c r="AV79" s="35" t="e">
        <f>-AV28*'операционные  расходы 1 этап'!#REF!</f>
        <v>#REF!</v>
      </c>
      <c r="AW79" s="35" t="e">
        <f>-AW28*'операционные  расходы 1 этап'!#REF!</f>
        <v>#REF!</v>
      </c>
      <c r="AX79" s="35" t="e">
        <f>-AX28*'операционные  расходы 1 этап'!#REF!</f>
        <v>#REF!</v>
      </c>
      <c r="AY79" s="35" t="e">
        <f>-AY28*'операционные  расходы 1 этап'!#REF!</f>
        <v>#REF!</v>
      </c>
      <c r="AZ79" s="35" t="e">
        <f>-AZ28*'операционные  расходы 1 этап'!#REF!</f>
        <v>#REF!</v>
      </c>
      <c r="BA79" s="35" t="e">
        <f>-BA28*'операционные  расходы 1 этап'!#REF!</f>
        <v>#REF!</v>
      </c>
      <c r="BB79" s="35" t="e">
        <f>-BB28*'операционные  расходы 1 этап'!#REF!</f>
        <v>#REF!</v>
      </c>
      <c r="BC79" s="35" t="e">
        <f>-BC28*'операционные  расходы 1 этап'!#REF!</f>
        <v>#REF!</v>
      </c>
      <c r="BD79" s="35" t="e">
        <f>-BD28*'операционные  расходы 1 этап'!#REF!</f>
        <v>#REF!</v>
      </c>
      <c r="BE79" s="35" t="e">
        <f>-BE28*'операционные  расходы 1 этап'!#REF!</f>
        <v>#REF!</v>
      </c>
      <c r="BF79" s="35" t="e">
        <f>-BF28*'операционные  расходы 1 этап'!#REF!</f>
        <v>#REF!</v>
      </c>
      <c r="BG79" s="35" t="e">
        <f>-BG28*'операционные  расходы 1 этап'!#REF!</f>
        <v>#REF!</v>
      </c>
      <c r="BH79" s="35" t="e">
        <f>-BH28*'операционные  расходы 1 этап'!#REF!</f>
        <v>#REF!</v>
      </c>
      <c r="BI79" s="35" t="e">
        <f>-BI28*'операционные  расходы 1 этап'!#REF!</f>
        <v>#REF!</v>
      </c>
      <c r="BJ79" s="35" t="e">
        <f>-BJ28*'операционные  расходы 1 этап'!#REF!</f>
        <v>#REF!</v>
      </c>
      <c r="BK79" s="35" t="e">
        <f>-BK28*'операционные  расходы 1 этап'!#REF!</f>
        <v>#REF!</v>
      </c>
      <c r="BL79" s="35" t="e">
        <f>-BL28*'операционные  расходы 1 этап'!#REF!</f>
        <v>#REF!</v>
      </c>
      <c r="BM79" s="35" t="e">
        <f>-BM28*'операционные  расходы 1 этап'!#REF!</f>
        <v>#REF!</v>
      </c>
      <c r="BN79" s="35" t="e">
        <f>-BN28*'операционные  расходы 1 этап'!#REF!</f>
        <v>#REF!</v>
      </c>
      <c r="BO79" s="35" t="e">
        <f>-BO28*'операционные  расходы 1 этап'!#REF!</f>
        <v>#REF!</v>
      </c>
      <c r="BP79" s="35" t="e">
        <f>-BP28*'операционные  расходы 1 этап'!#REF!</f>
        <v>#REF!</v>
      </c>
      <c r="BQ79" s="35" t="e">
        <f>-BQ28*'операционные  расходы 1 этап'!#REF!</f>
        <v>#REF!</v>
      </c>
      <c r="BR79" s="35" t="e">
        <f>-BR28*'операционные  расходы 1 этап'!#REF!</f>
        <v>#REF!</v>
      </c>
      <c r="BS79" s="35" t="e">
        <f>-BS28*'операционные  расходы 1 этап'!#REF!</f>
        <v>#REF!</v>
      </c>
      <c r="BT79" s="35" t="e">
        <f>-BT28*'операционные  расходы 1 этап'!#REF!</f>
        <v>#REF!</v>
      </c>
      <c r="BU79" s="35" t="e">
        <f>-BU28*'операционные  расходы 1 этап'!#REF!</f>
        <v>#REF!</v>
      </c>
      <c r="BV79" s="35" t="e">
        <f>-BV28*'операционные  расходы 1 этап'!#REF!</f>
        <v>#REF!</v>
      </c>
      <c r="BW79" s="35" t="e">
        <f>-BW28*'операционные  расходы 1 этап'!#REF!</f>
        <v>#REF!</v>
      </c>
      <c r="BX79" s="35" t="e">
        <f>-BX28*'операционные  расходы 1 этап'!#REF!</f>
        <v>#REF!</v>
      </c>
      <c r="BY79" s="35" t="e">
        <f>-BY28*'операционные  расходы 1 этап'!#REF!</f>
        <v>#REF!</v>
      </c>
      <c r="BZ79" s="35" t="e">
        <f>-BZ28*'операционные  расходы 1 этап'!#REF!</f>
        <v>#REF!</v>
      </c>
      <c r="CA79" s="35" t="e">
        <f>-CA28*'операционные  расходы 1 этап'!#REF!</f>
        <v>#REF!</v>
      </c>
      <c r="CB79" s="35" t="e">
        <f>-CB28*'операционные  расходы 1 этап'!#REF!</f>
        <v>#REF!</v>
      </c>
      <c r="CC79" s="35" t="e">
        <f>-CC28*'операционные  расходы 1 этап'!#REF!</f>
        <v>#REF!</v>
      </c>
      <c r="CD79" s="35" t="e">
        <f>-CD28*'операционные  расходы 1 этап'!#REF!</f>
        <v>#REF!</v>
      </c>
      <c r="CE79" s="35" t="e">
        <f>-CE28*'операционные  расходы 1 этап'!#REF!</f>
        <v>#REF!</v>
      </c>
      <c r="CF79" s="35" t="e">
        <f>-CF28*'операционные  расходы 1 этап'!#REF!</f>
        <v>#REF!</v>
      </c>
      <c r="CG79" s="35" t="e">
        <f>-CG28*'операционные  расходы 1 этап'!#REF!</f>
        <v>#REF!</v>
      </c>
      <c r="CH79" s="35" t="e">
        <f>-CH28*'операционные  расходы 1 этап'!#REF!</f>
        <v>#REF!</v>
      </c>
      <c r="CI79" s="35" t="e">
        <f>-CI28*'операционные  расходы 1 этап'!#REF!</f>
        <v>#REF!</v>
      </c>
      <c r="CJ79" s="35" t="e">
        <f>-CJ28*'операционные  расходы 1 этап'!#REF!</f>
        <v>#REF!</v>
      </c>
      <c r="CK79" s="35" t="e">
        <f>-CK28*'операционные  расходы 1 этап'!#REF!</f>
        <v>#REF!</v>
      </c>
      <c r="CL79" s="35" t="e">
        <f>-CL28*'операционные  расходы 1 этап'!#REF!</f>
        <v>#REF!</v>
      </c>
      <c r="CM79" s="35" t="e">
        <f>-CM28*'операционные  расходы 1 этап'!#REF!</f>
        <v>#REF!</v>
      </c>
      <c r="CN79" s="35" t="e">
        <f>-CN28*'операционные  расходы 1 этап'!#REF!</f>
        <v>#REF!</v>
      </c>
      <c r="CO79" s="35"/>
    </row>
    <row r="80" spans="1:93" ht="12.75" customHeight="1">
      <c r="A80" s="35"/>
      <c r="B80" s="63" t="s">
        <v>164</v>
      </c>
      <c r="C80" s="35" t="e">
        <f t="shared" si="32"/>
        <v>#REF!</v>
      </c>
      <c r="D80" s="60">
        <f t="shared" ref="D80:AI80" si="34">D66</f>
        <v>0</v>
      </c>
      <c r="E80" s="35" t="e">
        <f t="shared" si="34"/>
        <v>#REF!</v>
      </c>
      <c r="F80" s="35" t="e">
        <f t="shared" si="34"/>
        <v>#REF!</v>
      </c>
      <c r="G80" s="35" t="e">
        <f t="shared" si="34"/>
        <v>#REF!</v>
      </c>
      <c r="H80" s="35" t="e">
        <f t="shared" si="34"/>
        <v>#REF!</v>
      </c>
      <c r="I80" s="35" t="e">
        <f t="shared" si="34"/>
        <v>#REF!</v>
      </c>
      <c r="J80" s="35" t="e">
        <f t="shared" si="34"/>
        <v>#REF!</v>
      </c>
      <c r="K80" s="35" t="e">
        <f t="shared" si="34"/>
        <v>#REF!</v>
      </c>
      <c r="L80" s="35" t="e">
        <f t="shared" si="34"/>
        <v>#REF!</v>
      </c>
      <c r="M80" s="35" t="e">
        <f t="shared" si="34"/>
        <v>#REF!</v>
      </c>
      <c r="N80" s="35" t="e">
        <f t="shared" si="34"/>
        <v>#REF!</v>
      </c>
      <c r="O80" s="35" t="e">
        <f t="shared" si="34"/>
        <v>#REF!</v>
      </c>
      <c r="P80" s="35" t="e">
        <f t="shared" si="34"/>
        <v>#REF!</v>
      </c>
      <c r="Q80" s="35" t="e">
        <f t="shared" si="34"/>
        <v>#REF!</v>
      </c>
      <c r="R80" s="35" t="e">
        <f t="shared" si="34"/>
        <v>#REF!</v>
      </c>
      <c r="S80" s="35" t="e">
        <f t="shared" si="34"/>
        <v>#REF!</v>
      </c>
      <c r="T80" s="35" t="e">
        <f t="shared" si="34"/>
        <v>#REF!</v>
      </c>
      <c r="U80" s="35" t="e">
        <f t="shared" si="34"/>
        <v>#REF!</v>
      </c>
      <c r="V80" s="35" t="e">
        <f t="shared" si="34"/>
        <v>#REF!</v>
      </c>
      <c r="W80" s="35" t="e">
        <f t="shared" si="34"/>
        <v>#REF!</v>
      </c>
      <c r="X80" s="35" t="e">
        <f t="shared" si="34"/>
        <v>#REF!</v>
      </c>
      <c r="Y80" s="35" t="e">
        <f t="shared" si="34"/>
        <v>#REF!</v>
      </c>
      <c r="Z80" s="35" t="e">
        <f t="shared" si="34"/>
        <v>#REF!</v>
      </c>
      <c r="AA80" s="35" t="e">
        <f t="shared" si="34"/>
        <v>#REF!</v>
      </c>
      <c r="AB80" s="35" t="e">
        <f t="shared" si="34"/>
        <v>#REF!</v>
      </c>
      <c r="AC80" s="35" t="e">
        <f t="shared" si="34"/>
        <v>#REF!</v>
      </c>
      <c r="AD80" s="35" t="e">
        <f t="shared" si="34"/>
        <v>#REF!</v>
      </c>
      <c r="AE80" s="35" t="e">
        <f t="shared" si="34"/>
        <v>#REF!</v>
      </c>
      <c r="AF80" s="35" t="e">
        <f t="shared" si="34"/>
        <v>#REF!</v>
      </c>
      <c r="AG80" s="35" t="e">
        <f t="shared" si="34"/>
        <v>#REF!</v>
      </c>
      <c r="AH80" s="35" t="e">
        <f t="shared" si="34"/>
        <v>#REF!</v>
      </c>
      <c r="AI80" s="35" t="e">
        <f t="shared" si="34"/>
        <v>#REF!</v>
      </c>
      <c r="AJ80" s="35" t="e">
        <f t="shared" ref="AJ80:BO80" si="35">AJ66</f>
        <v>#REF!</v>
      </c>
      <c r="AK80" s="35" t="e">
        <f t="shared" si="35"/>
        <v>#REF!</v>
      </c>
      <c r="AL80" s="35" t="e">
        <f t="shared" si="35"/>
        <v>#REF!</v>
      </c>
      <c r="AM80" s="35" t="e">
        <f t="shared" si="35"/>
        <v>#REF!</v>
      </c>
      <c r="AN80" s="35" t="e">
        <f t="shared" si="35"/>
        <v>#REF!</v>
      </c>
      <c r="AO80" s="35" t="e">
        <f t="shared" si="35"/>
        <v>#REF!</v>
      </c>
      <c r="AP80" s="35" t="e">
        <f t="shared" si="35"/>
        <v>#REF!</v>
      </c>
      <c r="AQ80" s="35" t="e">
        <f t="shared" si="35"/>
        <v>#REF!</v>
      </c>
      <c r="AR80" s="35" t="e">
        <f t="shared" si="35"/>
        <v>#REF!</v>
      </c>
      <c r="AS80" s="35" t="e">
        <f t="shared" si="35"/>
        <v>#REF!</v>
      </c>
      <c r="AT80" s="35" t="e">
        <f t="shared" si="35"/>
        <v>#REF!</v>
      </c>
      <c r="AU80" s="35" t="e">
        <f t="shared" si="35"/>
        <v>#REF!</v>
      </c>
      <c r="AV80" s="35" t="e">
        <f t="shared" si="35"/>
        <v>#REF!</v>
      </c>
      <c r="AW80" s="35" t="e">
        <f t="shared" si="35"/>
        <v>#REF!</v>
      </c>
      <c r="AX80" s="35" t="e">
        <f t="shared" si="35"/>
        <v>#REF!</v>
      </c>
      <c r="AY80" s="35" t="e">
        <f t="shared" si="35"/>
        <v>#REF!</v>
      </c>
      <c r="AZ80" s="35" t="e">
        <f t="shared" si="35"/>
        <v>#REF!</v>
      </c>
      <c r="BA80" s="35" t="e">
        <f t="shared" si="35"/>
        <v>#REF!</v>
      </c>
      <c r="BB80" s="35" t="e">
        <f t="shared" si="35"/>
        <v>#REF!</v>
      </c>
      <c r="BC80" s="35" t="e">
        <f t="shared" si="35"/>
        <v>#REF!</v>
      </c>
      <c r="BD80" s="35" t="e">
        <f t="shared" si="35"/>
        <v>#REF!</v>
      </c>
      <c r="BE80" s="35" t="e">
        <f t="shared" si="35"/>
        <v>#REF!</v>
      </c>
      <c r="BF80" s="35" t="e">
        <f t="shared" si="35"/>
        <v>#REF!</v>
      </c>
      <c r="BG80" s="35" t="e">
        <f t="shared" si="35"/>
        <v>#REF!</v>
      </c>
      <c r="BH80" s="35" t="e">
        <f t="shared" si="35"/>
        <v>#REF!</v>
      </c>
      <c r="BI80" s="35" t="e">
        <f t="shared" si="35"/>
        <v>#REF!</v>
      </c>
      <c r="BJ80" s="35" t="e">
        <f t="shared" si="35"/>
        <v>#REF!</v>
      </c>
      <c r="BK80" s="35" t="e">
        <f t="shared" si="35"/>
        <v>#REF!</v>
      </c>
      <c r="BL80" s="35" t="e">
        <f t="shared" si="35"/>
        <v>#REF!</v>
      </c>
      <c r="BM80" s="35" t="e">
        <f t="shared" si="35"/>
        <v>#REF!</v>
      </c>
      <c r="BN80" s="35" t="e">
        <f t="shared" si="35"/>
        <v>#REF!</v>
      </c>
      <c r="BO80" s="35" t="e">
        <f t="shared" si="35"/>
        <v>#REF!</v>
      </c>
      <c r="BP80" s="35" t="e">
        <f t="shared" ref="BP80:CN80" si="36">BP66</f>
        <v>#REF!</v>
      </c>
      <c r="BQ80" s="35" t="e">
        <f t="shared" si="36"/>
        <v>#REF!</v>
      </c>
      <c r="BR80" s="35" t="e">
        <f t="shared" si="36"/>
        <v>#REF!</v>
      </c>
      <c r="BS80" s="35" t="e">
        <f t="shared" si="36"/>
        <v>#REF!</v>
      </c>
      <c r="BT80" s="35" t="e">
        <f t="shared" si="36"/>
        <v>#REF!</v>
      </c>
      <c r="BU80" s="35" t="e">
        <f t="shared" si="36"/>
        <v>#REF!</v>
      </c>
      <c r="BV80" s="35" t="e">
        <f t="shared" si="36"/>
        <v>#REF!</v>
      </c>
      <c r="BW80" s="35" t="e">
        <f t="shared" si="36"/>
        <v>#REF!</v>
      </c>
      <c r="BX80" s="35" t="e">
        <f t="shared" si="36"/>
        <v>#REF!</v>
      </c>
      <c r="BY80" s="35" t="e">
        <f t="shared" si="36"/>
        <v>#REF!</v>
      </c>
      <c r="BZ80" s="35" t="e">
        <f t="shared" si="36"/>
        <v>#REF!</v>
      </c>
      <c r="CA80" s="35" t="e">
        <f t="shared" si="36"/>
        <v>#REF!</v>
      </c>
      <c r="CB80" s="35" t="e">
        <f t="shared" si="36"/>
        <v>#REF!</v>
      </c>
      <c r="CC80" s="35" t="e">
        <f t="shared" si="36"/>
        <v>#REF!</v>
      </c>
      <c r="CD80" s="35" t="e">
        <f t="shared" si="36"/>
        <v>#REF!</v>
      </c>
      <c r="CE80" s="35" t="e">
        <f t="shared" si="36"/>
        <v>#REF!</v>
      </c>
      <c r="CF80" s="35" t="e">
        <f t="shared" si="36"/>
        <v>#REF!</v>
      </c>
      <c r="CG80" s="35" t="e">
        <f t="shared" si="36"/>
        <v>#REF!</v>
      </c>
      <c r="CH80" s="35" t="e">
        <f t="shared" si="36"/>
        <v>#REF!</v>
      </c>
      <c r="CI80" s="35" t="e">
        <f t="shared" si="36"/>
        <v>#REF!</v>
      </c>
      <c r="CJ80" s="35" t="e">
        <f t="shared" si="36"/>
        <v>#REF!</v>
      </c>
      <c r="CK80" s="35" t="e">
        <f t="shared" si="36"/>
        <v>#REF!</v>
      </c>
      <c r="CL80" s="35" t="e">
        <f t="shared" si="36"/>
        <v>#REF!</v>
      </c>
      <c r="CM80" s="35" t="e">
        <f t="shared" si="36"/>
        <v>#REF!</v>
      </c>
      <c r="CN80" s="35" t="e">
        <f t="shared" si="36"/>
        <v>#REF!</v>
      </c>
      <c r="CO80" s="35"/>
    </row>
    <row r="81" spans="1:93" ht="12.75" customHeight="1">
      <c r="A81" s="35"/>
      <c r="B81" s="63" t="s">
        <v>174</v>
      </c>
      <c r="C81" s="35" t="e">
        <f t="shared" si="32"/>
        <v>#REF!</v>
      </c>
      <c r="D81" s="60">
        <f t="shared" ref="D81:CN81" si="37">-D153-D152</f>
        <v>0</v>
      </c>
      <c r="E81" s="35" t="e">
        <f t="shared" si="37"/>
        <v>#REF!</v>
      </c>
      <c r="F81" s="35" t="e">
        <f t="shared" si="37"/>
        <v>#REF!</v>
      </c>
      <c r="G81" s="35" t="e">
        <f t="shared" si="37"/>
        <v>#REF!</v>
      </c>
      <c r="H81" s="35" t="e">
        <f t="shared" si="37"/>
        <v>#REF!</v>
      </c>
      <c r="I81" s="35" t="e">
        <f t="shared" si="37"/>
        <v>#REF!</v>
      </c>
      <c r="J81" s="35" t="e">
        <f t="shared" si="37"/>
        <v>#REF!</v>
      </c>
      <c r="K81" s="35" t="e">
        <f t="shared" si="37"/>
        <v>#REF!</v>
      </c>
      <c r="L81" s="35" t="e">
        <f t="shared" si="37"/>
        <v>#REF!</v>
      </c>
      <c r="M81" s="35" t="e">
        <f t="shared" si="37"/>
        <v>#REF!</v>
      </c>
      <c r="N81" s="35" t="e">
        <f t="shared" si="37"/>
        <v>#REF!</v>
      </c>
      <c r="O81" s="35" t="e">
        <f t="shared" si="37"/>
        <v>#REF!</v>
      </c>
      <c r="P81" s="35" t="e">
        <f t="shared" si="37"/>
        <v>#REF!</v>
      </c>
      <c r="Q81" s="35" t="e">
        <f t="shared" si="37"/>
        <v>#REF!</v>
      </c>
      <c r="R81" s="35" t="e">
        <f t="shared" si="37"/>
        <v>#REF!</v>
      </c>
      <c r="S81" s="35" t="e">
        <f t="shared" si="37"/>
        <v>#REF!</v>
      </c>
      <c r="T81" s="35" t="e">
        <f t="shared" si="37"/>
        <v>#REF!</v>
      </c>
      <c r="U81" s="35" t="e">
        <f t="shared" si="37"/>
        <v>#REF!</v>
      </c>
      <c r="V81" s="35" t="e">
        <f t="shared" si="37"/>
        <v>#REF!</v>
      </c>
      <c r="W81" s="35" t="e">
        <f t="shared" si="37"/>
        <v>#REF!</v>
      </c>
      <c r="X81" s="35" t="e">
        <f t="shared" si="37"/>
        <v>#REF!</v>
      </c>
      <c r="Y81" s="35" t="e">
        <f t="shared" si="37"/>
        <v>#REF!</v>
      </c>
      <c r="Z81" s="35" t="e">
        <f t="shared" si="37"/>
        <v>#REF!</v>
      </c>
      <c r="AA81" s="35" t="e">
        <f t="shared" si="37"/>
        <v>#REF!</v>
      </c>
      <c r="AB81" s="35" t="e">
        <f t="shared" si="37"/>
        <v>#REF!</v>
      </c>
      <c r="AC81" s="35" t="e">
        <f t="shared" si="37"/>
        <v>#REF!</v>
      </c>
      <c r="AD81" s="35" t="e">
        <f t="shared" si="37"/>
        <v>#REF!</v>
      </c>
      <c r="AE81" s="35" t="e">
        <f t="shared" si="37"/>
        <v>#REF!</v>
      </c>
      <c r="AF81" s="35" t="e">
        <f t="shared" si="37"/>
        <v>#REF!</v>
      </c>
      <c r="AG81" s="35" t="e">
        <f t="shared" si="37"/>
        <v>#REF!</v>
      </c>
      <c r="AH81" s="35" t="e">
        <f t="shared" si="37"/>
        <v>#REF!</v>
      </c>
      <c r="AI81" s="35" t="e">
        <f t="shared" si="37"/>
        <v>#REF!</v>
      </c>
      <c r="AJ81" s="35" t="e">
        <f t="shared" si="37"/>
        <v>#REF!</v>
      </c>
      <c r="AK81" s="35" t="e">
        <f t="shared" si="37"/>
        <v>#REF!</v>
      </c>
      <c r="AL81" s="35" t="e">
        <f t="shared" si="37"/>
        <v>#REF!</v>
      </c>
      <c r="AM81" s="35" t="e">
        <f t="shared" si="37"/>
        <v>#REF!</v>
      </c>
      <c r="AN81" s="35" t="e">
        <f t="shared" si="37"/>
        <v>#REF!</v>
      </c>
      <c r="AO81" s="35" t="e">
        <f t="shared" si="37"/>
        <v>#REF!</v>
      </c>
      <c r="AP81" s="35" t="e">
        <f t="shared" si="37"/>
        <v>#REF!</v>
      </c>
      <c r="AQ81" s="35" t="e">
        <f t="shared" si="37"/>
        <v>#REF!</v>
      </c>
      <c r="AR81" s="35" t="e">
        <f t="shared" si="37"/>
        <v>#REF!</v>
      </c>
      <c r="AS81" s="35" t="e">
        <f t="shared" si="37"/>
        <v>#REF!</v>
      </c>
      <c r="AT81" s="35" t="e">
        <f t="shared" si="37"/>
        <v>#REF!</v>
      </c>
      <c r="AU81" s="35" t="e">
        <f t="shared" si="37"/>
        <v>#REF!</v>
      </c>
      <c r="AV81" s="35" t="e">
        <f t="shared" si="37"/>
        <v>#REF!</v>
      </c>
      <c r="AW81" s="35" t="e">
        <f t="shared" si="37"/>
        <v>#REF!</v>
      </c>
      <c r="AX81" s="35" t="e">
        <f t="shared" si="37"/>
        <v>#REF!</v>
      </c>
      <c r="AY81" s="35" t="e">
        <f t="shared" si="37"/>
        <v>#REF!</v>
      </c>
      <c r="AZ81" s="35" t="e">
        <f t="shared" si="37"/>
        <v>#REF!</v>
      </c>
      <c r="BA81" s="35" t="e">
        <f t="shared" si="37"/>
        <v>#REF!</v>
      </c>
      <c r="BB81" s="35" t="e">
        <f t="shared" si="37"/>
        <v>#REF!</v>
      </c>
      <c r="BC81" s="35" t="e">
        <f t="shared" si="37"/>
        <v>#REF!</v>
      </c>
      <c r="BD81" s="35" t="e">
        <f t="shared" si="37"/>
        <v>#REF!</v>
      </c>
      <c r="BE81" s="35" t="e">
        <f t="shared" si="37"/>
        <v>#REF!</v>
      </c>
      <c r="BF81" s="35" t="e">
        <f t="shared" si="37"/>
        <v>#REF!</v>
      </c>
      <c r="BG81" s="35" t="e">
        <f t="shared" si="37"/>
        <v>#REF!</v>
      </c>
      <c r="BH81" s="35" t="e">
        <f t="shared" si="37"/>
        <v>#REF!</v>
      </c>
      <c r="BI81" s="35" t="e">
        <f t="shared" si="37"/>
        <v>#REF!</v>
      </c>
      <c r="BJ81" s="35" t="e">
        <f t="shared" si="37"/>
        <v>#REF!</v>
      </c>
      <c r="BK81" s="35" t="e">
        <f t="shared" si="37"/>
        <v>#REF!</v>
      </c>
      <c r="BL81" s="35" t="e">
        <f t="shared" si="37"/>
        <v>#REF!</v>
      </c>
      <c r="BM81" s="35" t="e">
        <f t="shared" si="37"/>
        <v>#REF!</v>
      </c>
      <c r="BN81" s="35" t="e">
        <f t="shared" si="37"/>
        <v>#REF!</v>
      </c>
      <c r="BO81" s="35" t="e">
        <f t="shared" si="37"/>
        <v>#REF!</v>
      </c>
      <c r="BP81" s="35" t="e">
        <f t="shared" si="37"/>
        <v>#REF!</v>
      </c>
      <c r="BQ81" s="35" t="e">
        <f t="shared" si="37"/>
        <v>#REF!</v>
      </c>
      <c r="BR81" s="35" t="e">
        <f t="shared" si="37"/>
        <v>#REF!</v>
      </c>
      <c r="BS81" s="35" t="e">
        <f t="shared" si="37"/>
        <v>#REF!</v>
      </c>
      <c r="BT81" s="35" t="e">
        <f t="shared" si="37"/>
        <v>#REF!</v>
      </c>
      <c r="BU81" s="35" t="e">
        <f t="shared" si="37"/>
        <v>#REF!</v>
      </c>
      <c r="BV81" s="35" t="e">
        <f t="shared" si="37"/>
        <v>#REF!</v>
      </c>
      <c r="BW81" s="35" t="e">
        <f t="shared" si="37"/>
        <v>#REF!</v>
      </c>
      <c r="BX81" s="35" t="e">
        <f t="shared" si="37"/>
        <v>#REF!</v>
      </c>
      <c r="BY81" s="35" t="e">
        <f t="shared" si="37"/>
        <v>#REF!</v>
      </c>
      <c r="BZ81" s="35" t="e">
        <f t="shared" si="37"/>
        <v>#REF!</v>
      </c>
      <c r="CA81" s="35" t="e">
        <f t="shared" si="37"/>
        <v>#REF!</v>
      </c>
      <c r="CB81" s="35" t="e">
        <f t="shared" si="37"/>
        <v>#REF!</v>
      </c>
      <c r="CC81" s="35" t="e">
        <f t="shared" si="37"/>
        <v>#REF!</v>
      </c>
      <c r="CD81" s="35" t="e">
        <f t="shared" si="37"/>
        <v>#REF!</v>
      </c>
      <c r="CE81" s="35" t="e">
        <f t="shared" si="37"/>
        <v>#REF!</v>
      </c>
      <c r="CF81" s="35" t="e">
        <f t="shared" si="37"/>
        <v>#REF!</v>
      </c>
      <c r="CG81" s="35" t="e">
        <f t="shared" si="37"/>
        <v>#REF!</v>
      </c>
      <c r="CH81" s="35" t="e">
        <f t="shared" si="37"/>
        <v>#REF!</v>
      </c>
      <c r="CI81" s="35" t="e">
        <f t="shared" si="37"/>
        <v>#REF!</v>
      </c>
      <c r="CJ81" s="35" t="e">
        <f t="shared" si="37"/>
        <v>#REF!</v>
      </c>
      <c r="CK81" s="35" t="e">
        <f t="shared" si="37"/>
        <v>#REF!</v>
      </c>
      <c r="CL81" s="35" t="e">
        <f t="shared" si="37"/>
        <v>#REF!</v>
      </c>
      <c r="CM81" s="35" t="e">
        <f t="shared" si="37"/>
        <v>#REF!</v>
      </c>
      <c r="CN81" s="35" t="e">
        <f t="shared" si="37"/>
        <v>#REF!</v>
      </c>
      <c r="CO81" s="35"/>
    </row>
    <row r="82" spans="1:93" ht="12.75" customHeight="1">
      <c r="A82" s="88"/>
      <c r="B82" s="89" t="s">
        <v>175</v>
      </c>
      <c r="C82" s="88" t="e">
        <f t="shared" si="32"/>
        <v>#REF!</v>
      </c>
      <c r="D82" s="60">
        <f t="shared" ref="D82:CN82" si="38">MIN(SUM(D151:D153),0)</f>
        <v>0</v>
      </c>
      <c r="E82" s="88" t="e">
        <f t="shared" si="38"/>
        <v>#REF!</v>
      </c>
      <c r="F82" s="88" t="e">
        <f t="shared" si="38"/>
        <v>#REF!</v>
      </c>
      <c r="G82" s="88" t="e">
        <f t="shared" si="38"/>
        <v>#REF!</v>
      </c>
      <c r="H82" s="88" t="e">
        <f t="shared" si="38"/>
        <v>#REF!</v>
      </c>
      <c r="I82" s="88" t="e">
        <f t="shared" si="38"/>
        <v>#REF!</v>
      </c>
      <c r="J82" s="88" t="e">
        <f t="shared" si="38"/>
        <v>#REF!</v>
      </c>
      <c r="K82" s="88" t="e">
        <f t="shared" si="38"/>
        <v>#REF!</v>
      </c>
      <c r="L82" s="88" t="e">
        <f t="shared" si="38"/>
        <v>#REF!</v>
      </c>
      <c r="M82" s="88" t="e">
        <f t="shared" si="38"/>
        <v>#REF!</v>
      </c>
      <c r="N82" s="88" t="e">
        <f t="shared" si="38"/>
        <v>#REF!</v>
      </c>
      <c r="O82" s="88" t="e">
        <f t="shared" si="38"/>
        <v>#REF!</v>
      </c>
      <c r="P82" s="88" t="e">
        <f t="shared" si="38"/>
        <v>#REF!</v>
      </c>
      <c r="Q82" s="88" t="e">
        <f t="shared" si="38"/>
        <v>#REF!</v>
      </c>
      <c r="R82" s="88" t="e">
        <f t="shared" si="38"/>
        <v>#REF!</v>
      </c>
      <c r="S82" s="88" t="e">
        <f t="shared" si="38"/>
        <v>#REF!</v>
      </c>
      <c r="T82" s="88" t="e">
        <f t="shared" si="38"/>
        <v>#REF!</v>
      </c>
      <c r="U82" s="88" t="e">
        <f t="shared" si="38"/>
        <v>#REF!</v>
      </c>
      <c r="V82" s="88" t="e">
        <f t="shared" si="38"/>
        <v>#REF!</v>
      </c>
      <c r="W82" s="88" t="e">
        <f t="shared" si="38"/>
        <v>#REF!</v>
      </c>
      <c r="X82" s="88" t="e">
        <f t="shared" si="38"/>
        <v>#REF!</v>
      </c>
      <c r="Y82" s="88" t="e">
        <f t="shared" si="38"/>
        <v>#REF!</v>
      </c>
      <c r="Z82" s="88" t="e">
        <f t="shared" si="38"/>
        <v>#REF!</v>
      </c>
      <c r="AA82" s="88" t="e">
        <f t="shared" si="38"/>
        <v>#REF!</v>
      </c>
      <c r="AB82" s="88" t="e">
        <f t="shared" si="38"/>
        <v>#REF!</v>
      </c>
      <c r="AC82" s="88" t="e">
        <f t="shared" si="38"/>
        <v>#REF!</v>
      </c>
      <c r="AD82" s="88" t="e">
        <f t="shared" si="38"/>
        <v>#REF!</v>
      </c>
      <c r="AE82" s="88" t="e">
        <f t="shared" si="38"/>
        <v>#REF!</v>
      </c>
      <c r="AF82" s="88" t="e">
        <f t="shared" si="38"/>
        <v>#REF!</v>
      </c>
      <c r="AG82" s="88" t="e">
        <f t="shared" si="38"/>
        <v>#REF!</v>
      </c>
      <c r="AH82" s="88" t="e">
        <f t="shared" si="38"/>
        <v>#REF!</v>
      </c>
      <c r="AI82" s="88" t="e">
        <f t="shared" si="38"/>
        <v>#REF!</v>
      </c>
      <c r="AJ82" s="88" t="e">
        <f t="shared" si="38"/>
        <v>#REF!</v>
      </c>
      <c r="AK82" s="35" t="e">
        <f t="shared" si="38"/>
        <v>#REF!</v>
      </c>
      <c r="AL82" s="88" t="e">
        <f t="shared" si="38"/>
        <v>#REF!</v>
      </c>
      <c r="AM82" s="88" t="e">
        <f t="shared" si="38"/>
        <v>#REF!</v>
      </c>
      <c r="AN82" s="88" t="e">
        <f t="shared" si="38"/>
        <v>#REF!</v>
      </c>
      <c r="AO82" s="88" t="e">
        <f t="shared" si="38"/>
        <v>#REF!</v>
      </c>
      <c r="AP82" s="88" t="e">
        <f t="shared" si="38"/>
        <v>#REF!</v>
      </c>
      <c r="AQ82" s="88" t="e">
        <f t="shared" si="38"/>
        <v>#REF!</v>
      </c>
      <c r="AR82" s="88" t="e">
        <f t="shared" si="38"/>
        <v>#REF!</v>
      </c>
      <c r="AS82" s="88" t="e">
        <f t="shared" si="38"/>
        <v>#REF!</v>
      </c>
      <c r="AT82" s="88" t="e">
        <f t="shared" si="38"/>
        <v>#REF!</v>
      </c>
      <c r="AU82" s="88" t="e">
        <f t="shared" si="38"/>
        <v>#REF!</v>
      </c>
      <c r="AV82" s="88" t="e">
        <f t="shared" si="38"/>
        <v>#REF!</v>
      </c>
      <c r="AW82" s="88" t="e">
        <f t="shared" si="38"/>
        <v>#REF!</v>
      </c>
      <c r="AX82" s="88" t="e">
        <f t="shared" si="38"/>
        <v>#REF!</v>
      </c>
      <c r="AY82" s="88" t="e">
        <f t="shared" si="38"/>
        <v>#REF!</v>
      </c>
      <c r="AZ82" s="88" t="e">
        <f t="shared" si="38"/>
        <v>#REF!</v>
      </c>
      <c r="BA82" s="88" t="e">
        <f t="shared" si="38"/>
        <v>#REF!</v>
      </c>
      <c r="BB82" s="88" t="e">
        <f t="shared" si="38"/>
        <v>#REF!</v>
      </c>
      <c r="BC82" s="88" t="e">
        <f t="shared" si="38"/>
        <v>#REF!</v>
      </c>
      <c r="BD82" s="88" t="e">
        <f t="shared" si="38"/>
        <v>#REF!</v>
      </c>
      <c r="BE82" s="88" t="e">
        <f t="shared" si="38"/>
        <v>#REF!</v>
      </c>
      <c r="BF82" s="88" t="e">
        <f t="shared" si="38"/>
        <v>#REF!</v>
      </c>
      <c r="BG82" s="88" t="e">
        <f t="shared" si="38"/>
        <v>#REF!</v>
      </c>
      <c r="BH82" s="88" t="e">
        <f t="shared" si="38"/>
        <v>#REF!</v>
      </c>
      <c r="BI82" s="88" t="e">
        <f t="shared" si="38"/>
        <v>#REF!</v>
      </c>
      <c r="BJ82" s="88" t="e">
        <f t="shared" si="38"/>
        <v>#REF!</v>
      </c>
      <c r="BK82" s="88" t="e">
        <f t="shared" si="38"/>
        <v>#REF!</v>
      </c>
      <c r="BL82" s="88" t="e">
        <f t="shared" si="38"/>
        <v>#REF!</v>
      </c>
      <c r="BM82" s="88" t="e">
        <f t="shared" si="38"/>
        <v>#REF!</v>
      </c>
      <c r="BN82" s="88" t="e">
        <f t="shared" si="38"/>
        <v>#REF!</v>
      </c>
      <c r="BO82" s="88" t="e">
        <f t="shared" si="38"/>
        <v>#REF!</v>
      </c>
      <c r="BP82" s="88" t="e">
        <f t="shared" si="38"/>
        <v>#REF!</v>
      </c>
      <c r="BQ82" s="88" t="e">
        <f t="shared" si="38"/>
        <v>#REF!</v>
      </c>
      <c r="BR82" s="88" t="e">
        <f t="shared" si="38"/>
        <v>#REF!</v>
      </c>
      <c r="BS82" s="88" t="e">
        <f t="shared" si="38"/>
        <v>#REF!</v>
      </c>
      <c r="BT82" s="88" t="e">
        <f t="shared" si="38"/>
        <v>#REF!</v>
      </c>
      <c r="BU82" s="88" t="e">
        <f t="shared" si="38"/>
        <v>#REF!</v>
      </c>
      <c r="BV82" s="88" t="e">
        <f t="shared" si="38"/>
        <v>#REF!</v>
      </c>
      <c r="BW82" s="88" t="e">
        <f t="shared" si="38"/>
        <v>#REF!</v>
      </c>
      <c r="BX82" s="88" t="e">
        <f t="shared" si="38"/>
        <v>#REF!</v>
      </c>
      <c r="BY82" s="88" t="e">
        <f t="shared" si="38"/>
        <v>#REF!</v>
      </c>
      <c r="BZ82" s="88" t="e">
        <f t="shared" si="38"/>
        <v>#REF!</v>
      </c>
      <c r="CA82" s="88" t="e">
        <f t="shared" si="38"/>
        <v>#REF!</v>
      </c>
      <c r="CB82" s="88" t="e">
        <f t="shared" si="38"/>
        <v>#REF!</v>
      </c>
      <c r="CC82" s="88" t="e">
        <f t="shared" si="38"/>
        <v>#REF!</v>
      </c>
      <c r="CD82" s="88" t="e">
        <f t="shared" si="38"/>
        <v>#REF!</v>
      </c>
      <c r="CE82" s="88" t="e">
        <f t="shared" si="38"/>
        <v>#REF!</v>
      </c>
      <c r="CF82" s="88" t="e">
        <f t="shared" si="38"/>
        <v>#REF!</v>
      </c>
      <c r="CG82" s="88" t="e">
        <f t="shared" si="38"/>
        <v>#REF!</v>
      </c>
      <c r="CH82" s="88" t="e">
        <f t="shared" si="38"/>
        <v>#REF!</v>
      </c>
      <c r="CI82" s="88" t="e">
        <f t="shared" si="38"/>
        <v>#REF!</v>
      </c>
      <c r="CJ82" s="88" t="e">
        <f t="shared" si="38"/>
        <v>#REF!</v>
      </c>
      <c r="CK82" s="88" t="e">
        <f t="shared" si="38"/>
        <v>#REF!</v>
      </c>
      <c r="CL82" s="88" t="e">
        <f t="shared" si="38"/>
        <v>#REF!</v>
      </c>
      <c r="CM82" s="88" t="e">
        <f t="shared" si="38"/>
        <v>#REF!</v>
      </c>
      <c r="CN82" s="88" t="e">
        <f t="shared" si="38"/>
        <v>#REF!</v>
      </c>
      <c r="CO82" s="88"/>
    </row>
    <row r="83" spans="1:93" ht="12.75" customHeight="1">
      <c r="A83" s="37"/>
      <c r="B83" s="70" t="s">
        <v>176</v>
      </c>
      <c r="C83" s="70" t="e">
        <f t="shared" si="32"/>
        <v>#REF!</v>
      </c>
      <c r="D83" s="71">
        <f t="shared" ref="D83:AI83" si="39">SUM(D72:D82)</f>
        <v>0</v>
      </c>
      <c r="E83" s="70" t="e">
        <f t="shared" si="39"/>
        <v>#REF!</v>
      </c>
      <c r="F83" s="70" t="e">
        <f t="shared" si="39"/>
        <v>#REF!</v>
      </c>
      <c r="G83" s="70" t="e">
        <f t="shared" si="39"/>
        <v>#REF!</v>
      </c>
      <c r="H83" s="70" t="e">
        <f t="shared" si="39"/>
        <v>#REF!</v>
      </c>
      <c r="I83" s="70" t="e">
        <f t="shared" si="39"/>
        <v>#REF!</v>
      </c>
      <c r="J83" s="70" t="e">
        <f t="shared" si="39"/>
        <v>#REF!</v>
      </c>
      <c r="K83" s="70" t="e">
        <f t="shared" si="39"/>
        <v>#REF!</v>
      </c>
      <c r="L83" s="70" t="e">
        <f t="shared" si="39"/>
        <v>#REF!</v>
      </c>
      <c r="M83" s="70" t="e">
        <f t="shared" si="39"/>
        <v>#REF!</v>
      </c>
      <c r="N83" s="70" t="e">
        <f t="shared" si="39"/>
        <v>#REF!</v>
      </c>
      <c r="O83" s="70" t="e">
        <f t="shared" si="39"/>
        <v>#REF!</v>
      </c>
      <c r="P83" s="70" t="e">
        <f t="shared" si="39"/>
        <v>#REF!</v>
      </c>
      <c r="Q83" s="70" t="e">
        <f t="shared" si="39"/>
        <v>#REF!</v>
      </c>
      <c r="R83" s="70" t="e">
        <f t="shared" si="39"/>
        <v>#REF!</v>
      </c>
      <c r="S83" s="70" t="e">
        <f t="shared" si="39"/>
        <v>#REF!</v>
      </c>
      <c r="T83" s="70" t="e">
        <f t="shared" si="39"/>
        <v>#REF!</v>
      </c>
      <c r="U83" s="70" t="e">
        <f t="shared" si="39"/>
        <v>#REF!</v>
      </c>
      <c r="V83" s="70" t="e">
        <f t="shared" si="39"/>
        <v>#REF!</v>
      </c>
      <c r="W83" s="70" t="e">
        <f t="shared" si="39"/>
        <v>#REF!</v>
      </c>
      <c r="X83" s="70" t="e">
        <f t="shared" si="39"/>
        <v>#REF!</v>
      </c>
      <c r="Y83" s="70" t="e">
        <f t="shared" si="39"/>
        <v>#REF!</v>
      </c>
      <c r="Z83" s="70" t="e">
        <f t="shared" si="39"/>
        <v>#REF!</v>
      </c>
      <c r="AA83" s="70" t="e">
        <f t="shared" si="39"/>
        <v>#REF!</v>
      </c>
      <c r="AB83" s="70" t="e">
        <f t="shared" si="39"/>
        <v>#REF!</v>
      </c>
      <c r="AC83" s="70" t="e">
        <f t="shared" si="39"/>
        <v>#REF!</v>
      </c>
      <c r="AD83" s="70" t="e">
        <f t="shared" si="39"/>
        <v>#REF!</v>
      </c>
      <c r="AE83" s="70" t="e">
        <f t="shared" si="39"/>
        <v>#REF!</v>
      </c>
      <c r="AF83" s="70" t="e">
        <f t="shared" si="39"/>
        <v>#REF!</v>
      </c>
      <c r="AG83" s="70" t="e">
        <f t="shared" si="39"/>
        <v>#REF!</v>
      </c>
      <c r="AH83" s="70" t="e">
        <f t="shared" si="39"/>
        <v>#REF!</v>
      </c>
      <c r="AI83" s="70" t="e">
        <f t="shared" si="39"/>
        <v>#REF!</v>
      </c>
      <c r="AJ83" s="70" t="e">
        <f t="shared" ref="AJ83:BO83" si="40">SUM(AJ72:AJ82)</f>
        <v>#REF!</v>
      </c>
      <c r="AK83" s="70" t="e">
        <f t="shared" si="40"/>
        <v>#REF!</v>
      </c>
      <c r="AL83" s="70" t="e">
        <f t="shared" si="40"/>
        <v>#REF!</v>
      </c>
      <c r="AM83" s="70" t="e">
        <f t="shared" si="40"/>
        <v>#REF!</v>
      </c>
      <c r="AN83" s="70" t="e">
        <f t="shared" si="40"/>
        <v>#REF!</v>
      </c>
      <c r="AO83" s="70" t="e">
        <f t="shared" si="40"/>
        <v>#REF!</v>
      </c>
      <c r="AP83" s="70" t="e">
        <f t="shared" si="40"/>
        <v>#REF!</v>
      </c>
      <c r="AQ83" s="70" t="e">
        <f t="shared" si="40"/>
        <v>#REF!</v>
      </c>
      <c r="AR83" s="70" t="e">
        <f t="shared" si="40"/>
        <v>#REF!</v>
      </c>
      <c r="AS83" s="70" t="e">
        <f t="shared" si="40"/>
        <v>#REF!</v>
      </c>
      <c r="AT83" s="70" t="e">
        <f t="shared" si="40"/>
        <v>#REF!</v>
      </c>
      <c r="AU83" s="70" t="e">
        <f t="shared" si="40"/>
        <v>#REF!</v>
      </c>
      <c r="AV83" s="70" t="e">
        <f t="shared" si="40"/>
        <v>#REF!</v>
      </c>
      <c r="AW83" s="70" t="e">
        <f t="shared" si="40"/>
        <v>#REF!</v>
      </c>
      <c r="AX83" s="70" t="e">
        <f t="shared" si="40"/>
        <v>#REF!</v>
      </c>
      <c r="AY83" s="70" t="e">
        <f t="shared" si="40"/>
        <v>#REF!</v>
      </c>
      <c r="AZ83" s="70" t="e">
        <f t="shared" si="40"/>
        <v>#REF!</v>
      </c>
      <c r="BA83" s="70" t="e">
        <f t="shared" si="40"/>
        <v>#REF!</v>
      </c>
      <c r="BB83" s="70" t="e">
        <f t="shared" si="40"/>
        <v>#REF!</v>
      </c>
      <c r="BC83" s="70" t="e">
        <f t="shared" si="40"/>
        <v>#REF!</v>
      </c>
      <c r="BD83" s="70" t="e">
        <f t="shared" si="40"/>
        <v>#REF!</v>
      </c>
      <c r="BE83" s="70" t="e">
        <f t="shared" si="40"/>
        <v>#REF!</v>
      </c>
      <c r="BF83" s="70" t="e">
        <f t="shared" si="40"/>
        <v>#REF!</v>
      </c>
      <c r="BG83" s="70" t="e">
        <f t="shared" si="40"/>
        <v>#REF!</v>
      </c>
      <c r="BH83" s="70" t="e">
        <f t="shared" si="40"/>
        <v>#REF!</v>
      </c>
      <c r="BI83" s="70" t="e">
        <f t="shared" si="40"/>
        <v>#REF!</v>
      </c>
      <c r="BJ83" s="70" t="e">
        <f t="shared" si="40"/>
        <v>#REF!</v>
      </c>
      <c r="BK83" s="70" t="e">
        <f t="shared" si="40"/>
        <v>#REF!</v>
      </c>
      <c r="BL83" s="70" t="e">
        <f t="shared" si="40"/>
        <v>#REF!</v>
      </c>
      <c r="BM83" s="70" t="e">
        <f t="shared" si="40"/>
        <v>#REF!</v>
      </c>
      <c r="BN83" s="70" t="e">
        <f t="shared" si="40"/>
        <v>#REF!</v>
      </c>
      <c r="BO83" s="70" t="e">
        <f t="shared" si="40"/>
        <v>#REF!</v>
      </c>
      <c r="BP83" s="70" t="e">
        <f t="shared" ref="BP83:CN83" si="41">SUM(BP72:BP82)</f>
        <v>#REF!</v>
      </c>
      <c r="BQ83" s="70" t="e">
        <f t="shared" si="41"/>
        <v>#REF!</v>
      </c>
      <c r="BR83" s="70" t="e">
        <f t="shared" si="41"/>
        <v>#REF!</v>
      </c>
      <c r="BS83" s="70" t="e">
        <f t="shared" si="41"/>
        <v>#REF!</v>
      </c>
      <c r="BT83" s="70" t="e">
        <f t="shared" si="41"/>
        <v>#REF!</v>
      </c>
      <c r="BU83" s="70" t="e">
        <f t="shared" si="41"/>
        <v>#REF!</v>
      </c>
      <c r="BV83" s="70" t="e">
        <f t="shared" si="41"/>
        <v>#REF!</v>
      </c>
      <c r="BW83" s="70" t="e">
        <f t="shared" si="41"/>
        <v>#REF!</v>
      </c>
      <c r="BX83" s="70" t="e">
        <f t="shared" si="41"/>
        <v>#REF!</v>
      </c>
      <c r="BY83" s="70" t="e">
        <f t="shared" si="41"/>
        <v>#REF!</v>
      </c>
      <c r="BZ83" s="70" t="e">
        <f t="shared" si="41"/>
        <v>#REF!</v>
      </c>
      <c r="CA83" s="70" t="e">
        <f t="shared" si="41"/>
        <v>#REF!</v>
      </c>
      <c r="CB83" s="70" t="e">
        <f t="shared" si="41"/>
        <v>#REF!</v>
      </c>
      <c r="CC83" s="70" t="e">
        <f t="shared" si="41"/>
        <v>#REF!</v>
      </c>
      <c r="CD83" s="70" t="e">
        <f t="shared" si="41"/>
        <v>#REF!</v>
      </c>
      <c r="CE83" s="70" t="e">
        <f t="shared" si="41"/>
        <v>#REF!</v>
      </c>
      <c r="CF83" s="70" t="e">
        <f t="shared" si="41"/>
        <v>#REF!</v>
      </c>
      <c r="CG83" s="70" t="e">
        <f t="shared" si="41"/>
        <v>#REF!</v>
      </c>
      <c r="CH83" s="70" t="e">
        <f t="shared" si="41"/>
        <v>#REF!</v>
      </c>
      <c r="CI83" s="70" t="e">
        <f t="shared" si="41"/>
        <v>#REF!</v>
      </c>
      <c r="CJ83" s="70" t="e">
        <f t="shared" si="41"/>
        <v>#REF!</v>
      </c>
      <c r="CK83" s="70" t="e">
        <f t="shared" si="41"/>
        <v>#REF!</v>
      </c>
      <c r="CL83" s="70" t="e">
        <f t="shared" si="41"/>
        <v>#REF!</v>
      </c>
      <c r="CM83" s="70" t="e">
        <f t="shared" si="41"/>
        <v>#REF!</v>
      </c>
      <c r="CN83" s="70" t="e">
        <f t="shared" si="41"/>
        <v>#REF!</v>
      </c>
      <c r="CO83" s="37" t="e">
        <f>'sensitivity (years)'!AA83</f>
        <v>#REF!</v>
      </c>
    </row>
    <row r="84" spans="1:93" ht="12.75" customHeight="1">
      <c r="A84" s="35"/>
      <c r="B84" s="37" t="s">
        <v>177</v>
      </c>
      <c r="C84" s="35"/>
      <c r="D84" s="60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</row>
    <row r="85" spans="1:93" ht="12.75" customHeight="1">
      <c r="A85" s="35"/>
      <c r="B85" s="63" t="s">
        <v>178</v>
      </c>
      <c r="C85" s="35" t="e">
        <f t="shared" ref="C85:C86" si="42">SUM(D85:CN85)</f>
        <v>#REF!</v>
      </c>
      <c r="D85" s="60" t="e">
        <f>-(Финансирование!C3-SUM('график квартальный'!#REF!))/1000</f>
        <v>#REF!</v>
      </c>
      <c r="E85" s="35" t="e">
        <f>-'график квартальный'!#REF!/1000</f>
        <v>#REF!</v>
      </c>
      <c r="F85" s="35" t="e">
        <f>-'график квартальный'!#REF!/1000</f>
        <v>#REF!</v>
      </c>
      <c r="G85" s="35" t="e">
        <f>-'график квартальный'!#REF!/1000</f>
        <v>#REF!</v>
      </c>
      <c r="H85" s="35" t="e">
        <f>-'график квартальный'!#REF!/1000</f>
        <v>#REF!</v>
      </c>
      <c r="I85" s="35" t="e">
        <f>-'график квартальный'!#REF!/1000</f>
        <v>#REF!</v>
      </c>
      <c r="J85" s="35" t="e">
        <f>-'график квартальный'!#REF!/1000</f>
        <v>#REF!</v>
      </c>
      <c r="K85" s="35" t="e">
        <f>-'график квартальный'!#REF!/1000</f>
        <v>#REF!</v>
      </c>
      <c r="L85" s="35" t="e">
        <f>-'график квартальный'!#REF!/1000</f>
        <v>#REF!</v>
      </c>
      <c r="M85" s="35" t="e">
        <f>-'график квартальный'!#REF!/1000</f>
        <v>#REF!</v>
      </c>
      <c r="N85" s="35" t="e">
        <f>-'график квартальный'!#REF!/1000</f>
        <v>#REF!</v>
      </c>
      <c r="O85" s="35" t="e">
        <f>-'график квартальный'!#REF!/1000</f>
        <v>#REF!</v>
      </c>
      <c r="P85" s="35" t="e">
        <f>-'график квартальный'!#REF!/1000</f>
        <v>#REF!</v>
      </c>
      <c r="Q85" s="35" t="e">
        <f>-'график квартальный'!#REF!/1000</f>
        <v>#REF!</v>
      </c>
      <c r="R85" s="35" t="e">
        <f>-'график квартальный'!#REF!/1000</f>
        <v>#REF!</v>
      </c>
      <c r="S85" s="35" t="e">
        <f>-'график квартальный'!#REF!/1000</f>
        <v>#REF!</v>
      </c>
      <c r="T85" s="35" t="e">
        <f>-'график квартальный'!#REF!/1000</f>
        <v>#REF!</v>
      </c>
      <c r="U85" s="35" t="e">
        <f>-'график квартальный'!#REF!/1000</f>
        <v>#REF!</v>
      </c>
      <c r="V85" s="35" t="e">
        <f>-'график квартальный'!#REF!/1000</f>
        <v>#REF!</v>
      </c>
      <c r="W85" s="35" t="e">
        <f>-'график квартальный'!#REF!/1000</f>
        <v>#REF!</v>
      </c>
      <c r="X85" s="35" t="e">
        <f>-'график квартальный'!#REF!/1000</f>
        <v>#REF!</v>
      </c>
      <c r="Y85" s="35" t="e">
        <f>-'график квартальный'!#REF!/1000</f>
        <v>#REF!</v>
      </c>
      <c r="Z85" s="35" t="e">
        <f>-'график квартальный'!#REF!/1000</f>
        <v>#REF!</v>
      </c>
      <c r="AA85" s="35" t="e">
        <f>-'график квартальный'!#REF!/1000</f>
        <v>#REF!</v>
      </c>
      <c r="AB85" s="35" t="e">
        <f>-'график квартальный'!#REF!/1000</f>
        <v>#REF!</v>
      </c>
      <c r="AC85" s="35" t="e">
        <f>-'график квартальный'!#REF!/1000</f>
        <v>#REF!</v>
      </c>
      <c r="AD85" s="35" t="e">
        <f>-'график квартальный'!#REF!/1000</f>
        <v>#REF!</v>
      </c>
      <c r="AE85" s="35" t="e">
        <f>-'график квартальный'!#REF!/1000</f>
        <v>#REF!</v>
      </c>
      <c r="AF85" s="35" t="e">
        <f>-'график квартальный'!#REF!/1000</f>
        <v>#REF!</v>
      </c>
      <c r="AG85" s="35" t="e">
        <f>-'график квартальный'!#REF!/1000</f>
        <v>#REF!</v>
      </c>
      <c r="AH85" s="35" t="e">
        <f>-'график квартальный'!#REF!/1000</f>
        <v>#REF!</v>
      </c>
      <c r="AI85" s="35" t="e">
        <f>-'график квартальный'!#REF!/1000</f>
        <v>#REF!</v>
      </c>
      <c r="AJ85" s="35" t="e">
        <f>-'график квартальный'!#REF!/1000</f>
        <v>#REF!</v>
      </c>
      <c r="AK85" s="35" t="e">
        <f>-'график квартальный'!#REF!/1000</f>
        <v>#REF!</v>
      </c>
      <c r="AL85" s="35" t="e">
        <f>-'график квартальный'!#REF!/1000</f>
        <v>#REF!</v>
      </c>
      <c r="AM85" s="35" t="e">
        <f>-'график квартальный'!#REF!/1000</f>
        <v>#REF!</v>
      </c>
      <c r="AN85" s="35" t="e">
        <f>-'график квартальный'!#REF!/1000</f>
        <v>#REF!</v>
      </c>
      <c r="AO85" s="35" t="e">
        <f>-'график квартальный'!#REF!/1000</f>
        <v>#REF!</v>
      </c>
      <c r="AP85" s="35" t="e">
        <f>-'график квартальный'!#REF!/1000</f>
        <v>#REF!</v>
      </c>
      <c r="AQ85" s="35" t="e">
        <f>-'график квартальный'!#REF!/1000</f>
        <v>#REF!</v>
      </c>
      <c r="AR85" s="35" t="e">
        <f>-'график квартальный'!#REF!/1000</f>
        <v>#REF!</v>
      </c>
      <c r="AS85" s="35" t="e">
        <f>-'график квартальный'!#REF!/1000</f>
        <v>#REF!</v>
      </c>
      <c r="AT85" s="35" t="e">
        <f>-'график квартальный'!#REF!/1000</f>
        <v>#REF!</v>
      </c>
      <c r="AU85" s="35" t="e">
        <f>-'график квартальный'!#REF!/1000</f>
        <v>#REF!</v>
      </c>
      <c r="AV85" s="35" t="e">
        <f>-'график квартальный'!#REF!/1000</f>
        <v>#REF!</v>
      </c>
      <c r="AW85" s="35" t="e">
        <f>-'график квартальный'!#REF!/1000</f>
        <v>#REF!</v>
      </c>
      <c r="AX85" s="35" t="e">
        <f>-'график квартальный'!#REF!/1000</f>
        <v>#REF!</v>
      </c>
      <c r="AY85" s="35" t="e">
        <f>-'график квартальный'!#REF!/1000</f>
        <v>#REF!</v>
      </c>
      <c r="AZ85" s="35" t="e">
        <f>-'график квартальный'!#REF!/1000</f>
        <v>#REF!</v>
      </c>
      <c r="BA85" s="35" t="e">
        <f>-'график квартальный'!#REF!/1000</f>
        <v>#REF!</v>
      </c>
      <c r="BB85" s="35" t="e">
        <f>-'график квартальный'!#REF!/1000</f>
        <v>#REF!</v>
      </c>
      <c r="BC85" s="35" t="e">
        <f>-'график квартальный'!#REF!/1000</f>
        <v>#REF!</v>
      </c>
      <c r="BD85" s="35" t="e">
        <f>-'график квартальный'!#REF!/1000</f>
        <v>#REF!</v>
      </c>
      <c r="BE85" s="35" t="e">
        <f>-'график квартальный'!#REF!/1000</f>
        <v>#REF!</v>
      </c>
      <c r="BF85" s="35" t="e">
        <f>-'график квартальный'!#REF!/1000</f>
        <v>#REF!</v>
      </c>
      <c r="BG85" s="35" t="e">
        <f>-'график квартальный'!#REF!/1000</f>
        <v>#REF!</v>
      </c>
      <c r="BH85" s="35" t="e">
        <f>-'график квартальный'!#REF!/1000</f>
        <v>#REF!</v>
      </c>
      <c r="BI85" s="35" t="e">
        <f>-'график квартальный'!#REF!/1000</f>
        <v>#REF!</v>
      </c>
      <c r="BJ85" s="35" t="e">
        <f>-'график квартальный'!#REF!/1000</f>
        <v>#REF!</v>
      </c>
      <c r="BK85" s="35" t="e">
        <f>-'график квартальный'!#REF!/1000</f>
        <v>#REF!</v>
      </c>
      <c r="BL85" s="35" t="e">
        <f>-'график квартальный'!#REF!/1000</f>
        <v>#REF!</v>
      </c>
      <c r="BM85" s="35" t="e">
        <f>-'график квартальный'!#REF!/1000</f>
        <v>#REF!</v>
      </c>
      <c r="BN85" s="35" t="e">
        <f>-'график квартальный'!#REF!/1000</f>
        <v>#REF!</v>
      </c>
      <c r="BO85" s="35" t="e">
        <f>-'график квартальный'!#REF!/1000</f>
        <v>#REF!</v>
      </c>
      <c r="BP85" s="35" t="e">
        <f>-'график квартальный'!#REF!/1000</f>
        <v>#REF!</v>
      </c>
      <c r="BQ85" s="35" t="e">
        <f>-'график квартальный'!#REF!/1000</f>
        <v>#REF!</v>
      </c>
      <c r="BR85" s="35" t="e">
        <f>-'график квартальный'!#REF!/1000</f>
        <v>#REF!</v>
      </c>
      <c r="BS85" s="35" t="e">
        <f>-'график квартальный'!#REF!/1000</f>
        <v>#REF!</v>
      </c>
      <c r="BT85" s="35" t="e">
        <f>-'график квартальный'!#REF!/1000</f>
        <v>#REF!</v>
      </c>
      <c r="BU85" s="35" t="e">
        <f>-'график квартальный'!#REF!/1000</f>
        <v>#REF!</v>
      </c>
      <c r="BV85" s="35" t="e">
        <f>-'график квартальный'!#REF!/1000</f>
        <v>#REF!</v>
      </c>
      <c r="BW85" s="35" t="e">
        <f>-'график квартальный'!#REF!/1000</f>
        <v>#REF!</v>
      </c>
      <c r="BX85" s="35" t="e">
        <f>-'график квартальный'!#REF!/1000</f>
        <v>#REF!</v>
      </c>
      <c r="BY85" s="35" t="e">
        <f>-'график квартальный'!#REF!/1000</f>
        <v>#REF!</v>
      </c>
      <c r="BZ85" s="35" t="e">
        <f>-'график квартальный'!#REF!/1000</f>
        <v>#REF!</v>
      </c>
      <c r="CA85" s="35" t="e">
        <f>-'график квартальный'!#REF!/1000</f>
        <v>#REF!</v>
      </c>
      <c r="CB85" s="35" t="e">
        <f>-'график квартальный'!#REF!/1000</f>
        <v>#REF!</v>
      </c>
      <c r="CC85" s="35" t="e">
        <f>-'график квартальный'!#REF!/1000</f>
        <v>#REF!</v>
      </c>
      <c r="CD85" s="35" t="e">
        <f>-'график квартальный'!#REF!/1000</f>
        <v>#REF!</v>
      </c>
      <c r="CE85" s="35" t="e">
        <f>-'график квартальный'!#REF!/1000</f>
        <v>#REF!</v>
      </c>
      <c r="CF85" s="35" t="e">
        <f>-'график квартальный'!#REF!/1000</f>
        <v>#REF!</v>
      </c>
      <c r="CG85" s="35" t="e">
        <f>-'график квартальный'!#REF!/1000</f>
        <v>#REF!</v>
      </c>
      <c r="CH85" s="35" t="e">
        <f>-'график квартальный'!#REF!/1000</f>
        <v>#REF!</v>
      </c>
      <c r="CI85" s="35" t="e">
        <f>-'график квартальный'!#REF!/1000</f>
        <v>#REF!</v>
      </c>
      <c r="CJ85" s="35" t="e">
        <f>-'график квартальный'!#REF!/1000</f>
        <v>#REF!</v>
      </c>
      <c r="CK85" s="35" t="e">
        <f>-'график квартальный'!#REF!/1000</f>
        <v>#REF!</v>
      </c>
      <c r="CL85" s="35" t="e">
        <f>-'график квартальный'!#REF!/1000</f>
        <v>#REF!</v>
      </c>
      <c r="CM85" s="35" t="e">
        <f>-'график квартальный'!#REF!/1000</f>
        <v>#REF!</v>
      </c>
      <c r="CN85" s="35" t="e">
        <f>-'график квартальный'!#REF!/1000</f>
        <v>#REF!</v>
      </c>
      <c r="CO85" s="35"/>
    </row>
    <row r="86" spans="1:93" ht="12.75" customHeight="1">
      <c r="A86" s="35"/>
      <c r="B86" s="63" t="s">
        <v>179</v>
      </c>
      <c r="C86" s="35" t="e">
        <f t="shared" si="42"/>
        <v>#REF!</v>
      </c>
      <c r="D86" s="60">
        <f>IF(D9-2&lt;0,0,-B85/(1+Assump!$D$25)*Assump!$D$25)</f>
        <v>0</v>
      </c>
      <c r="E86" s="35">
        <f>IF(E9-2&lt;0,0,-C85/(1+Assump!$D$25)*Assump!$D$25)</f>
        <v>0</v>
      </c>
      <c r="F86" s="35" t="e">
        <f>IF(F9-2&lt;0,0,-D85/(1+Assump!$D$25)*Assump!$D$25)</f>
        <v>#REF!</v>
      </c>
      <c r="G86" s="35" t="e">
        <f>IF(G9-2&lt;0,0,-E85/(1+Assump!$D$25)*Assump!$D$25)</f>
        <v>#REF!</v>
      </c>
      <c r="H86" s="35" t="e">
        <f>IF(H9-2&lt;0,0,-F85/(1+Assump!$D$25)*Assump!$D$25)</f>
        <v>#REF!</v>
      </c>
      <c r="I86" s="35" t="e">
        <f>IF(I9-2&lt;0,0,-G85/(1+Assump!$D$25)*Assump!$D$25)</f>
        <v>#REF!</v>
      </c>
      <c r="J86" s="35" t="e">
        <f>IF(J9-2&lt;0,0,-H85/(1+Assump!$D$25)*Assump!$D$25)</f>
        <v>#REF!</v>
      </c>
      <c r="K86" s="35" t="e">
        <f>IF(K9-2&lt;0,0,-I85/(1+Assump!$D$25)*Assump!$D$25)</f>
        <v>#REF!</v>
      </c>
      <c r="L86" s="35" t="e">
        <f>IF(L9-2&lt;0,0,-J85/(1+Assump!$D$25)*Assump!$D$25)</f>
        <v>#REF!</v>
      </c>
      <c r="M86" s="35" t="e">
        <f>IF(M9-2&lt;0,0,-K85/(1+Assump!$D$25)*Assump!$D$25)</f>
        <v>#REF!</v>
      </c>
      <c r="N86" s="35" t="e">
        <f>IF(N9-2&lt;0,0,-L85/(1+Assump!$D$25)*Assump!$D$25)</f>
        <v>#REF!</v>
      </c>
      <c r="O86" s="35" t="e">
        <f>IF(O9-2&lt;0,0,-M85/(1+Assump!$D$25)*Assump!$D$25)</f>
        <v>#REF!</v>
      </c>
      <c r="P86" s="35" t="e">
        <f>IF(P9-2&lt;0,0,-N85/(1+Assump!$D$25)*Assump!$D$25)</f>
        <v>#REF!</v>
      </c>
      <c r="Q86" s="35" t="e">
        <f>IF(Q9-2&lt;0,0,-O85/(1+Assump!$D$25)*Assump!$D$25)</f>
        <v>#REF!</v>
      </c>
      <c r="R86" s="35" t="e">
        <f>IF(R9-2&lt;0,0,-P85/(1+Assump!$D$25)*Assump!$D$25)</f>
        <v>#REF!</v>
      </c>
      <c r="S86" s="35" t="e">
        <f>IF(S9-2&lt;0,0,-Q85/(1+Assump!$D$25)*Assump!$D$25)</f>
        <v>#REF!</v>
      </c>
      <c r="T86" s="35" t="e">
        <f>IF(T9-2&lt;0,0,-R85/(1+Assump!$D$25)*Assump!$D$25)</f>
        <v>#REF!</v>
      </c>
      <c r="U86" s="35" t="e">
        <f>IF(U9-2&lt;0,0,-S85/(1+Assump!$D$25)*Assump!$D$25)</f>
        <v>#REF!</v>
      </c>
      <c r="V86" s="35" t="e">
        <f>IF(V9-2&lt;0,0,-T85/(1+Assump!$D$25)*Assump!$D$25)</f>
        <v>#REF!</v>
      </c>
      <c r="W86" s="35" t="e">
        <f>IF(W9-2&lt;0,0,-U85/(1+Assump!$D$25)*Assump!$D$25)</f>
        <v>#REF!</v>
      </c>
      <c r="X86" s="35" t="e">
        <f>IF(X9-2&lt;0,0,-V85/(1+Assump!$D$25)*Assump!$D$25)</f>
        <v>#REF!</v>
      </c>
      <c r="Y86" s="35" t="e">
        <f>IF(Y9-2&lt;0,0,-W85/(1+Assump!$D$25)*Assump!$D$25)</f>
        <v>#REF!</v>
      </c>
      <c r="Z86" s="35" t="e">
        <f>IF(Z9-2&lt;0,0,-X85/(1+Assump!$D$25)*Assump!$D$25)</f>
        <v>#REF!</v>
      </c>
      <c r="AA86" s="35" t="e">
        <f>IF(AA9-2&lt;0,0,-Y85/(1+Assump!$D$25)*Assump!$D$25)</f>
        <v>#REF!</v>
      </c>
      <c r="AB86" s="35" t="e">
        <f>IF(AB9-2&lt;0,0,-Z85/(1+Assump!$D$25)*Assump!$D$25)</f>
        <v>#REF!</v>
      </c>
      <c r="AC86" s="35" t="e">
        <f>IF(AC9-2&lt;0,0,-AA85/(1+Assump!$D$25)*Assump!$D$25)</f>
        <v>#REF!</v>
      </c>
      <c r="AD86" s="35" t="e">
        <f>IF(AD9-2&lt;0,0,-AB85/(1+Assump!$D$25)*Assump!$D$25)</f>
        <v>#REF!</v>
      </c>
      <c r="AE86" s="35" t="e">
        <f>IF(AE9-2&lt;0,0,-AC85/(1+Assump!$D$25)*Assump!$D$25)</f>
        <v>#REF!</v>
      </c>
      <c r="AF86" s="35" t="e">
        <f>IF(AF9-2&lt;0,0,-AD85/(1+Assump!$D$25)*Assump!$D$25)</f>
        <v>#REF!</v>
      </c>
      <c r="AG86" s="35" t="e">
        <f>IF(AG9-2&lt;0,0,-AE85/(1+Assump!$D$25)*Assump!$D$25)</f>
        <v>#REF!</v>
      </c>
      <c r="AH86" s="35" t="e">
        <f>IF(AH9-2&lt;0,0,-AF85/(1+Assump!$D$25)*Assump!$D$25)</f>
        <v>#REF!</v>
      </c>
      <c r="AI86" s="35" t="e">
        <f>IF(AI9-2&lt;0,0,-AG85/(1+Assump!$D$25)*Assump!$D$25)</f>
        <v>#REF!</v>
      </c>
      <c r="AJ86" s="35" t="e">
        <f>IF(AJ9-2&lt;0,0,-AH85/(1+Assump!$D$25)*Assump!$D$25)</f>
        <v>#REF!</v>
      </c>
      <c r="AK86" s="35" t="e">
        <f>IF(AK9-2&lt;0,0,-AI85/(1+Assump!$D$25)*Assump!$D$25)</f>
        <v>#REF!</v>
      </c>
      <c r="AL86" s="35" t="e">
        <f>IF(AL9-2&lt;0,0,-AJ85/(1+Assump!$D$25)*Assump!$D$25)</f>
        <v>#REF!</v>
      </c>
      <c r="AM86" s="35" t="e">
        <f>IF(AM9-2&lt;0,0,-AK85/(1+Assump!$D$25)*Assump!$D$25)</f>
        <v>#REF!</v>
      </c>
      <c r="AN86" s="35" t="e">
        <f>IF(AN9-2&lt;0,0,-AL85/(1+Assump!$D$25)*Assump!$D$25)</f>
        <v>#REF!</v>
      </c>
      <c r="AO86" s="35" t="e">
        <f>IF(AO9-2&lt;0,0,-AM85/(1+Assump!$D$25)*Assump!$D$25)</f>
        <v>#REF!</v>
      </c>
      <c r="AP86" s="35" t="e">
        <f>IF(AP9-2&lt;0,0,-AN85/(1+Assump!$D$25)*Assump!$D$25)</f>
        <v>#REF!</v>
      </c>
      <c r="AQ86" s="35" t="e">
        <f>IF(AQ9-2&lt;0,0,-AO85/(1+Assump!$D$25)*Assump!$D$25)</f>
        <v>#REF!</v>
      </c>
      <c r="AR86" s="35" t="e">
        <f>IF(AR9-2&lt;0,0,-AP85/(1+Assump!$D$25)*Assump!$D$25)</f>
        <v>#REF!</v>
      </c>
      <c r="AS86" s="35" t="e">
        <f>IF(AS9-2&lt;0,0,-AQ85/(1+Assump!$D$25)*Assump!$D$25)</f>
        <v>#REF!</v>
      </c>
      <c r="AT86" s="35" t="e">
        <f>IF(AT9-2&lt;0,0,-AR85/(1+Assump!$D$25)*Assump!$D$25)</f>
        <v>#REF!</v>
      </c>
      <c r="AU86" s="35" t="e">
        <f>IF(AU9-2&lt;0,0,-AS85/(1+Assump!$D$25)*Assump!$D$25)</f>
        <v>#REF!</v>
      </c>
      <c r="AV86" s="35" t="e">
        <f>IF(AV9-2&lt;0,0,-AT85/(1+Assump!$D$25)*Assump!$D$25)</f>
        <v>#REF!</v>
      </c>
      <c r="AW86" s="35" t="e">
        <f>IF(AW9-2&lt;0,0,-AU85/(1+Assump!$D$25)*Assump!$D$25)</f>
        <v>#REF!</v>
      </c>
      <c r="AX86" s="35" t="e">
        <f>IF(AX9-2&lt;0,0,-AV85/(1+Assump!$D$25)*Assump!$D$25)</f>
        <v>#REF!</v>
      </c>
      <c r="AY86" s="35" t="e">
        <f>IF(AY9-2&lt;0,0,-AW85/(1+Assump!$D$25)*Assump!$D$25)</f>
        <v>#REF!</v>
      </c>
      <c r="AZ86" s="35" t="e">
        <f>IF(AZ9-2&lt;0,0,-AX85/(1+Assump!$D$25)*Assump!$D$25)</f>
        <v>#REF!</v>
      </c>
      <c r="BA86" s="35" t="e">
        <f>IF(BA9-2&lt;0,0,-AY85/(1+Assump!$D$25)*Assump!$D$25)</f>
        <v>#REF!</v>
      </c>
      <c r="BB86" s="35" t="e">
        <f>IF(BB9-2&lt;0,0,-AZ85/(1+Assump!$D$25)*Assump!$D$25)</f>
        <v>#REF!</v>
      </c>
      <c r="BC86" s="35" t="e">
        <f>IF(BC9-2&lt;0,0,-BA85/(1+Assump!$D$25)*Assump!$D$25)</f>
        <v>#REF!</v>
      </c>
      <c r="BD86" s="35" t="e">
        <f>IF(BD9-2&lt;0,0,-BB85/(1+Assump!$D$25)*Assump!$D$25)</f>
        <v>#REF!</v>
      </c>
      <c r="BE86" s="35" t="e">
        <f>IF(BE9-2&lt;0,0,-BC85/(1+Assump!$D$25)*Assump!$D$25)</f>
        <v>#REF!</v>
      </c>
      <c r="BF86" s="35" t="e">
        <f>IF(BF9-2&lt;0,0,-BD85/(1+Assump!$D$25)*Assump!$D$25)</f>
        <v>#REF!</v>
      </c>
      <c r="BG86" s="35" t="e">
        <f>IF(BG9-2&lt;0,0,-BE85/(1+Assump!$D$25)*Assump!$D$25)</f>
        <v>#REF!</v>
      </c>
      <c r="BH86" s="35" t="e">
        <f>IF(BH9-2&lt;0,0,-BF85/(1+Assump!$D$25)*Assump!$D$25)</f>
        <v>#REF!</v>
      </c>
      <c r="BI86" s="35" t="e">
        <f>IF(BI9-2&lt;0,0,-BG85/(1+Assump!$D$25)*Assump!$D$25)</f>
        <v>#REF!</v>
      </c>
      <c r="BJ86" s="35" t="e">
        <f>IF(BJ9-2&lt;0,0,-BH85/(1+Assump!$D$25)*Assump!$D$25)</f>
        <v>#REF!</v>
      </c>
      <c r="BK86" s="35" t="e">
        <f>IF(BK9-2&lt;0,0,-BI85/(1+Assump!$D$25)*Assump!$D$25)</f>
        <v>#REF!</v>
      </c>
      <c r="BL86" s="35" t="e">
        <f>IF(BL9-2&lt;0,0,-BJ85/(1+Assump!$D$25)*Assump!$D$25)</f>
        <v>#REF!</v>
      </c>
      <c r="BM86" s="35" t="e">
        <f>IF(BM9-2&lt;0,0,-BK85/(1+Assump!$D$25)*Assump!$D$25)</f>
        <v>#REF!</v>
      </c>
      <c r="BN86" s="35" t="e">
        <f>IF(BN9-2&lt;0,0,-BL85/(1+Assump!$D$25)*Assump!$D$25)</f>
        <v>#REF!</v>
      </c>
      <c r="BO86" s="35" t="e">
        <f>IF(BO9-2&lt;0,0,-BM85/(1+Assump!$D$25)*Assump!$D$25)</f>
        <v>#REF!</v>
      </c>
      <c r="BP86" s="35" t="e">
        <f>IF(BP9-2&lt;0,0,-BN85/(1+Assump!$D$25)*Assump!$D$25)</f>
        <v>#REF!</v>
      </c>
      <c r="BQ86" s="35" t="e">
        <f>IF(BQ9-2&lt;0,0,-BO85/(1+Assump!$D$25)*Assump!$D$25)</f>
        <v>#REF!</v>
      </c>
      <c r="BR86" s="35" t="e">
        <f>IF(BR9-2&lt;0,0,-BP85/(1+Assump!$D$25)*Assump!$D$25)</f>
        <v>#REF!</v>
      </c>
      <c r="BS86" s="35" t="e">
        <f>IF(BS9-2&lt;0,0,-BQ85/(1+Assump!$D$25)*Assump!$D$25)</f>
        <v>#REF!</v>
      </c>
      <c r="BT86" s="35" t="e">
        <f>IF(BT9-2&lt;0,0,-BR85/(1+Assump!$D$25)*Assump!$D$25)</f>
        <v>#REF!</v>
      </c>
      <c r="BU86" s="35" t="e">
        <f>IF(BU9-2&lt;0,0,-BS85/(1+Assump!$D$25)*Assump!$D$25)</f>
        <v>#REF!</v>
      </c>
      <c r="BV86" s="35" t="e">
        <f>IF(BV9-2&lt;0,0,-BT85/(1+Assump!$D$25)*Assump!$D$25)</f>
        <v>#REF!</v>
      </c>
      <c r="BW86" s="35" t="e">
        <f>IF(BW9-2&lt;0,0,-BU85/(1+Assump!$D$25)*Assump!$D$25)</f>
        <v>#REF!</v>
      </c>
      <c r="BX86" s="35" t="e">
        <f>IF(BX9-2&lt;0,0,-BV85/(1+Assump!$D$25)*Assump!$D$25)</f>
        <v>#REF!</v>
      </c>
      <c r="BY86" s="35" t="e">
        <f>IF(BY9-2&lt;0,0,-BW85/(1+Assump!$D$25)*Assump!$D$25)</f>
        <v>#REF!</v>
      </c>
      <c r="BZ86" s="35" t="e">
        <f>IF(BZ9-2&lt;0,0,-BX85/(1+Assump!$D$25)*Assump!$D$25)</f>
        <v>#REF!</v>
      </c>
      <c r="CA86" s="35" t="e">
        <f>IF(CA9-2&lt;0,0,-BY85/(1+Assump!$D$25)*Assump!$D$25)</f>
        <v>#REF!</v>
      </c>
      <c r="CB86" s="35" t="e">
        <f>IF(CB9-2&lt;0,0,-BZ85/(1+Assump!$D$25)*Assump!$D$25)</f>
        <v>#REF!</v>
      </c>
      <c r="CC86" s="35" t="e">
        <f>IF(CC9-2&lt;0,0,-CA85/(1+Assump!$D$25)*Assump!$D$25)</f>
        <v>#REF!</v>
      </c>
      <c r="CD86" s="35" t="e">
        <f>IF(CD9-2&lt;0,0,-CB85/(1+Assump!$D$25)*Assump!$D$25)</f>
        <v>#REF!</v>
      </c>
      <c r="CE86" s="35" t="e">
        <f>IF(CE9-2&lt;0,0,-CC85/(1+Assump!$D$25)*Assump!$D$25)</f>
        <v>#REF!</v>
      </c>
      <c r="CF86" s="35" t="e">
        <f>IF(CF9-2&lt;0,0,-CD85/(1+Assump!$D$25)*Assump!$D$25)</f>
        <v>#REF!</v>
      </c>
      <c r="CG86" s="35" t="e">
        <f>IF(CG9-2&lt;0,0,-CE85/(1+Assump!$D$25)*Assump!$D$25)</f>
        <v>#REF!</v>
      </c>
      <c r="CH86" s="35" t="e">
        <f>IF(CH9-2&lt;0,0,-CF85/(1+Assump!$D$25)*Assump!$D$25)</f>
        <v>#REF!</v>
      </c>
      <c r="CI86" s="35" t="e">
        <f>IF(CI9-2&lt;0,0,-CG85/(1+Assump!$D$25)*Assump!$D$25)</f>
        <v>#REF!</v>
      </c>
      <c r="CJ86" s="35" t="e">
        <f>IF(CJ9-2&lt;0,0,-CH85/(1+Assump!$D$25)*Assump!$D$25)</f>
        <v>#REF!</v>
      </c>
      <c r="CK86" s="35" t="e">
        <f>IF(CK9-2&lt;0,0,-CI85/(1+Assump!$D$25)*Assump!$D$25)</f>
        <v>#REF!</v>
      </c>
      <c r="CL86" s="35" t="e">
        <f>IF(CL9-2&lt;0,0,-CJ85/(1+Assump!$D$25)*Assump!$D$25)</f>
        <v>#REF!</v>
      </c>
      <c r="CM86" s="35" t="e">
        <f>IF(CM9-2&lt;0,0,-CK85/(1+Assump!$D$25)*Assump!$D$25)</f>
        <v>#REF!</v>
      </c>
      <c r="CN86" s="35" t="e">
        <f>IF(CN9-2&lt;0,0,-CL85/(1+Assump!$D$25)*Assump!$D$25)</f>
        <v>#REF!</v>
      </c>
      <c r="CO86" s="35"/>
    </row>
    <row r="87" spans="1:93" ht="12.75" customHeight="1">
      <c r="A87" s="90"/>
      <c r="B87" s="91" t="s">
        <v>180</v>
      </c>
      <c r="C87" s="91" t="e">
        <f t="shared" ref="C87:CN87" si="43">SUM(C85:C86)</f>
        <v>#REF!</v>
      </c>
      <c r="D87" s="71" t="e">
        <f t="shared" si="43"/>
        <v>#REF!</v>
      </c>
      <c r="E87" s="91" t="e">
        <f t="shared" si="43"/>
        <v>#REF!</v>
      </c>
      <c r="F87" s="91" t="e">
        <f t="shared" si="43"/>
        <v>#REF!</v>
      </c>
      <c r="G87" s="91" t="e">
        <f t="shared" si="43"/>
        <v>#REF!</v>
      </c>
      <c r="H87" s="91" t="e">
        <f t="shared" si="43"/>
        <v>#REF!</v>
      </c>
      <c r="I87" s="91" t="e">
        <f t="shared" si="43"/>
        <v>#REF!</v>
      </c>
      <c r="J87" s="91" t="e">
        <f t="shared" si="43"/>
        <v>#REF!</v>
      </c>
      <c r="K87" s="91" t="e">
        <f t="shared" si="43"/>
        <v>#REF!</v>
      </c>
      <c r="L87" s="91" t="e">
        <f t="shared" si="43"/>
        <v>#REF!</v>
      </c>
      <c r="M87" s="91" t="e">
        <f t="shared" si="43"/>
        <v>#REF!</v>
      </c>
      <c r="N87" s="91" t="e">
        <f t="shared" si="43"/>
        <v>#REF!</v>
      </c>
      <c r="O87" s="91" t="e">
        <f t="shared" si="43"/>
        <v>#REF!</v>
      </c>
      <c r="P87" s="91" t="e">
        <f t="shared" si="43"/>
        <v>#REF!</v>
      </c>
      <c r="Q87" s="91" t="e">
        <f t="shared" si="43"/>
        <v>#REF!</v>
      </c>
      <c r="R87" s="91" t="e">
        <f t="shared" si="43"/>
        <v>#REF!</v>
      </c>
      <c r="S87" s="91" t="e">
        <f t="shared" si="43"/>
        <v>#REF!</v>
      </c>
      <c r="T87" s="91" t="e">
        <f t="shared" si="43"/>
        <v>#REF!</v>
      </c>
      <c r="U87" s="91" t="e">
        <f t="shared" si="43"/>
        <v>#REF!</v>
      </c>
      <c r="V87" s="91" t="e">
        <f t="shared" si="43"/>
        <v>#REF!</v>
      </c>
      <c r="W87" s="91" t="e">
        <f t="shared" si="43"/>
        <v>#REF!</v>
      </c>
      <c r="X87" s="91" t="e">
        <f t="shared" si="43"/>
        <v>#REF!</v>
      </c>
      <c r="Y87" s="91" t="e">
        <f t="shared" si="43"/>
        <v>#REF!</v>
      </c>
      <c r="Z87" s="91" t="e">
        <f t="shared" si="43"/>
        <v>#REF!</v>
      </c>
      <c r="AA87" s="91" t="e">
        <f t="shared" si="43"/>
        <v>#REF!</v>
      </c>
      <c r="AB87" s="91" t="e">
        <f t="shared" si="43"/>
        <v>#REF!</v>
      </c>
      <c r="AC87" s="91" t="e">
        <f t="shared" si="43"/>
        <v>#REF!</v>
      </c>
      <c r="AD87" s="91" t="e">
        <f t="shared" si="43"/>
        <v>#REF!</v>
      </c>
      <c r="AE87" s="91" t="e">
        <f t="shared" si="43"/>
        <v>#REF!</v>
      </c>
      <c r="AF87" s="91" t="e">
        <f t="shared" si="43"/>
        <v>#REF!</v>
      </c>
      <c r="AG87" s="91" t="e">
        <f t="shared" si="43"/>
        <v>#REF!</v>
      </c>
      <c r="AH87" s="91" t="e">
        <f t="shared" si="43"/>
        <v>#REF!</v>
      </c>
      <c r="AI87" s="91" t="e">
        <f t="shared" si="43"/>
        <v>#REF!</v>
      </c>
      <c r="AJ87" s="91" t="e">
        <f t="shared" si="43"/>
        <v>#REF!</v>
      </c>
      <c r="AK87" s="70" t="e">
        <f t="shared" si="43"/>
        <v>#REF!</v>
      </c>
      <c r="AL87" s="91" t="e">
        <f t="shared" si="43"/>
        <v>#REF!</v>
      </c>
      <c r="AM87" s="91" t="e">
        <f t="shared" si="43"/>
        <v>#REF!</v>
      </c>
      <c r="AN87" s="91" t="e">
        <f t="shared" si="43"/>
        <v>#REF!</v>
      </c>
      <c r="AO87" s="91" t="e">
        <f t="shared" si="43"/>
        <v>#REF!</v>
      </c>
      <c r="AP87" s="91" t="e">
        <f t="shared" si="43"/>
        <v>#REF!</v>
      </c>
      <c r="AQ87" s="91" t="e">
        <f t="shared" si="43"/>
        <v>#REF!</v>
      </c>
      <c r="AR87" s="91" t="e">
        <f t="shared" si="43"/>
        <v>#REF!</v>
      </c>
      <c r="AS87" s="91" t="e">
        <f t="shared" si="43"/>
        <v>#REF!</v>
      </c>
      <c r="AT87" s="91" t="e">
        <f t="shared" si="43"/>
        <v>#REF!</v>
      </c>
      <c r="AU87" s="91" t="e">
        <f t="shared" si="43"/>
        <v>#REF!</v>
      </c>
      <c r="AV87" s="91" t="e">
        <f t="shared" si="43"/>
        <v>#REF!</v>
      </c>
      <c r="AW87" s="91" t="e">
        <f t="shared" si="43"/>
        <v>#REF!</v>
      </c>
      <c r="AX87" s="91" t="e">
        <f t="shared" si="43"/>
        <v>#REF!</v>
      </c>
      <c r="AY87" s="91" t="e">
        <f t="shared" si="43"/>
        <v>#REF!</v>
      </c>
      <c r="AZ87" s="91" t="e">
        <f t="shared" si="43"/>
        <v>#REF!</v>
      </c>
      <c r="BA87" s="91" t="e">
        <f t="shared" si="43"/>
        <v>#REF!</v>
      </c>
      <c r="BB87" s="91" t="e">
        <f t="shared" si="43"/>
        <v>#REF!</v>
      </c>
      <c r="BC87" s="91" t="e">
        <f t="shared" si="43"/>
        <v>#REF!</v>
      </c>
      <c r="BD87" s="91" t="e">
        <f t="shared" si="43"/>
        <v>#REF!</v>
      </c>
      <c r="BE87" s="91" t="e">
        <f t="shared" si="43"/>
        <v>#REF!</v>
      </c>
      <c r="BF87" s="91" t="e">
        <f t="shared" si="43"/>
        <v>#REF!</v>
      </c>
      <c r="BG87" s="91" t="e">
        <f t="shared" si="43"/>
        <v>#REF!</v>
      </c>
      <c r="BH87" s="91" t="e">
        <f t="shared" si="43"/>
        <v>#REF!</v>
      </c>
      <c r="BI87" s="91" t="e">
        <f t="shared" si="43"/>
        <v>#REF!</v>
      </c>
      <c r="BJ87" s="91" t="e">
        <f t="shared" si="43"/>
        <v>#REF!</v>
      </c>
      <c r="BK87" s="91" t="e">
        <f t="shared" si="43"/>
        <v>#REF!</v>
      </c>
      <c r="BL87" s="91" t="e">
        <f t="shared" si="43"/>
        <v>#REF!</v>
      </c>
      <c r="BM87" s="91" t="e">
        <f t="shared" si="43"/>
        <v>#REF!</v>
      </c>
      <c r="BN87" s="91" t="e">
        <f t="shared" si="43"/>
        <v>#REF!</v>
      </c>
      <c r="BO87" s="91" t="e">
        <f t="shared" si="43"/>
        <v>#REF!</v>
      </c>
      <c r="BP87" s="91" t="e">
        <f t="shared" si="43"/>
        <v>#REF!</v>
      </c>
      <c r="BQ87" s="91" t="e">
        <f t="shared" si="43"/>
        <v>#REF!</v>
      </c>
      <c r="BR87" s="91" t="e">
        <f t="shared" si="43"/>
        <v>#REF!</v>
      </c>
      <c r="BS87" s="91" t="e">
        <f t="shared" si="43"/>
        <v>#REF!</v>
      </c>
      <c r="BT87" s="91" t="e">
        <f t="shared" si="43"/>
        <v>#REF!</v>
      </c>
      <c r="BU87" s="91" t="e">
        <f t="shared" si="43"/>
        <v>#REF!</v>
      </c>
      <c r="BV87" s="91" t="e">
        <f t="shared" si="43"/>
        <v>#REF!</v>
      </c>
      <c r="BW87" s="91" t="e">
        <f t="shared" si="43"/>
        <v>#REF!</v>
      </c>
      <c r="BX87" s="91" t="e">
        <f t="shared" si="43"/>
        <v>#REF!</v>
      </c>
      <c r="BY87" s="91" t="e">
        <f t="shared" si="43"/>
        <v>#REF!</v>
      </c>
      <c r="BZ87" s="91" t="e">
        <f t="shared" si="43"/>
        <v>#REF!</v>
      </c>
      <c r="CA87" s="91" t="e">
        <f t="shared" si="43"/>
        <v>#REF!</v>
      </c>
      <c r="CB87" s="91" t="e">
        <f t="shared" si="43"/>
        <v>#REF!</v>
      </c>
      <c r="CC87" s="91" t="e">
        <f t="shared" si="43"/>
        <v>#REF!</v>
      </c>
      <c r="CD87" s="91" t="e">
        <f t="shared" si="43"/>
        <v>#REF!</v>
      </c>
      <c r="CE87" s="91" t="e">
        <f t="shared" si="43"/>
        <v>#REF!</v>
      </c>
      <c r="CF87" s="91" t="e">
        <f t="shared" si="43"/>
        <v>#REF!</v>
      </c>
      <c r="CG87" s="91" t="e">
        <f t="shared" si="43"/>
        <v>#REF!</v>
      </c>
      <c r="CH87" s="91" t="e">
        <f t="shared" si="43"/>
        <v>#REF!</v>
      </c>
      <c r="CI87" s="91" t="e">
        <f t="shared" si="43"/>
        <v>#REF!</v>
      </c>
      <c r="CJ87" s="91" t="e">
        <f t="shared" si="43"/>
        <v>#REF!</v>
      </c>
      <c r="CK87" s="91" t="e">
        <f t="shared" si="43"/>
        <v>#REF!</v>
      </c>
      <c r="CL87" s="91" t="e">
        <f t="shared" si="43"/>
        <v>#REF!</v>
      </c>
      <c r="CM87" s="91" t="e">
        <f t="shared" si="43"/>
        <v>#REF!</v>
      </c>
      <c r="CN87" s="91" t="e">
        <f t="shared" si="43"/>
        <v>#REF!</v>
      </c>
      <c r="CO87" s="90"/>
    </row>
    <row r="88" spans="1:93" ht="12.75" customHeight="1">
      <c r="A88" s="90"/>
      <c r="B88" s="90" t="s">
        <v>181</v>
      </c>
      <c r="C88" s="90"/>
      <c r="D88" s="92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37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</row>
    <row r="89" spans="1:93" ht="12.75" customHeight="1">
      <c r="A89" s="35"/>
      <c r="B89" s="63" t="s">
        <v>182</v>
      </c>
      <c r="C89" s="35">
        <f t="shared" ref="C89:C96" si="44">SUM(D89:CN89)</f>
        <v>2200549.9500000002</v>
      </c>
      <c r="D89" s="131">
        <f>Финансирование!C3/1000*$C$204</f>
        <v>2200549.9500000002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G89" s="35">
        <v>0</v>
      </c>
      <c r="AH89" s="35">
        <v>0</v>
      </c>
      <c r="AI89" s="35">
        <v>0</v>
      </c>
      <c r="AJ89" s="35">
        <v>0</v>
      </c>
      <c r="AK89" s="35">
        <v>0</v>
      </c>
      <c r="AL89" s="35">
        <v>0</v>
      </c>
      <c r="AM89" s="35">
        <v>0</v>
      </c>
      <c r="AN89" s="35">
        <v>0</v>
      </c>
      <c r="AO89" s="35">
        <v>0</v>
      </c>
      <c r="AP89" s="35">
        <v>0</v>
      </c>
      <c r="AQ89" s="35">
        <v>0</v>
      </c>
      <c r="AR89" s="35">
        <v>0</v>
      </c>
      <c r="AS89" s="35">
        <v>0</v>
      </c>
      <c r="AT89" s="35">
        <v>0</v>
      </c>
      <c r="AU89" s="35">
        <v>0</v>
      </c>
      <c r="AV89" s="35">
        <v>0</v>
      </c>
      <c r="AW89" s="35">
        <v>0</v>
      </c>
      <c r="AX89" s="35">
        <v>0</v>
      </c>
      <c r="AY89" s="35">
        <v>0</v>
      </c>
      <c r="AZ89" s="35">
        <v>0</v>
      </c>
      <c r="BA89" s="35">
        <v>0</v>
      </c>
      <c r="BB89" s="35">
        <v>0</v>
      </c>
      <c r="BC89" s="35">
        <v>0</v>
      </c>
      <c r="BD89" s="35">
        <v>0</v>
      </c>
      <c r="BE89" s="35">
        <v>0</v>
      </c>
      <c r="BF89" s="35">
        <v>0</v>
      </c>
      <c r="BG89" s="35">
        <v>0</v>
      </c>
      <c r="BH89" s="35">
        <v>0</v>
      </c>
      <c r="BI89" s="35">
        <v>0</v>
      </c>
      <c r="BJ89" s="35">
        <v>0</v>
      </c>
      <c r="BK89" s="35">
        <v>0</v>
      </c>
      <c r="BL89" s="35">
        <v>0</v>
      </c>
      <c r="BM89" s="35">
        <v>0</v>
      </c>
      <c r="BN89" s="35">
        <v>0</v>
      </c>
      <c r="BO89" s="35">
        <v>0</v>
      </c>
      <c r="BP89" s="35">
        <v>0</v>
      </c>
      <c r="BQ89" s="35">
        <v>0</v>
      </c>
      <c r="BR89" s="35">
        <v>0</v>
      </c>
      <c r="BS89" s="35">
        <v>0</v>
      </c>
      <c r="BT89" s="35">
        <v>0</v>
      </c>
      <c r="BU89" s="35">
        <v>0</v>
      </c>
      <c r="BV89" s="35">
        <v>0</v>
      </c>
      <c r="BW89" s="35">
        <v>0</v>
      </c>
      <c r="BX89" s="35">
        <v>0</v>
      </c>
      <c r="BY89" s="35">
        <v>0</v>
      </c>
      <c r="BZ89" s="35">
        <v>0</v>
      </c>
      <c r="CA89" s="35">
        <v>0</v>
      </c>
      <c r="CB89" s="35">
        <v>0</v>
      </c>
      <c r="CC89" s="35">
        <v>0</v>
      </c>
      <c r="CD89" s="35">
        <v>0</v>
      </c>
      <c r="CE89" s="35">
        <v>0</v>
      </c>
      <c r="CF89" s="35">
        <v>0</v>
      </c>
      <c r="CG89" s="35">
        <v>0</v>
      </c>
      <c r="CH89" s="35">
        <v>0</v>
      </c>
      <c r="CI89" s="35">
        <v>0</v>
      </c>
      <c r="CJ89" s="35">
        <v>0</v>
      </c>
      <c r="CK89" s="35">
        <v>0</v>
      </c>
      <c r="CL89" s="35">
        <v>0</v>
      </c>
      <c r="CM89" s="35">
        <v>0</v>
      </c>
      <c r="CN89" s="35">
        <v>0</v>
      </c>
      <c r="CO89" s="35"/>
    </row>
    <row r="90" spans="1:93" ht="12.75" customHeight="1">
      <c r="A90" s="35"/>
      <c r="B90" s="63" t="s">
        <v>183</v>
      </c>
      <c r="C90" s="35" t="e">
        <f t="shared" si="44"/>
        <v>#REF!</v>
      </c>
      <c r="D90" s="60" t="e">
        <f>IF(C191&lt;0,0,IF((D83+D87+D89+D91+D92+D93+C97)&lt;Assump!$D$65,0,IF(D67&gt;0,MAX(-D67,(Assump!$D$65-D83-D87-D89-D91-D92-D93-C97)),0)))</f>
        <v>#REF!</v>
      </c>
      <c r="E90" s="35" t="e">
        <f>IF(D191&lt;0,0,IF((E83+E87+E89+E91+E92+E93+D97)&lt;Assump!$D$65,0,IF(E67&gt;0,MAX(-E67,(Assump!$D$65-E83-E87-E89-E91-E92-E93-D97)),0)))</f>
        <v>#REF!</v>
      </c>
      <c r="F90" s="35" t="e">
        <f>IF(E191&lt;0,0,IF((F83+F87+F89+F91+F92+F93+E97)&lt;Assump!$D$65,0,IF(F67&gt;0,MAX(-F67,(Assump!$D$65-F83-F87-F89-F91-F92-F93-E97)),0)))</f>
        <v>#REF!</v>
      </c>
      <c r="G90" s="35" t="e">
        <f>IF(F191&lt;0,0,IF((G83+G87+G89+G91+G92+G93+F97)&lt;Assump!$D$65,0,IF(G67&gt;0,MAX(-G67,(Assump!$D$65-G83-G87-G89-G91-G92-G93-F97)),0)))</f>
        <v>#REF!</v>
      </c>
      <c r="H90" s="35" t="e">
        <f>IF(G191&lt;0,0,IF((H83+H87+H89+H91+H92+H93+G97)&lt;Assump!$D$65,0,IF(H67&gt;0,MAX(-H67,(Assump!$D$65-H83-H87-H89-H91-H92-H93-G97)),0)))</f>
        <v>#REF!</v>
      </c>
      <c r="I90" s="35" t="e">
        <f>IF(H191&lt;0,0,IF((I83+I87+I89+I91+I92+I93+H97)&lt;Assump!$D$65,0,IF(I67&gt;0,MAX(-I67,(Assump!$D$65-I83-I87-I89-I91-I92-I93-H97)),0)))</f>
        <v>#REF!</v>
      </c>
      <c r="J90" s="35" t="e">
        <f>IF(I191&lt;0,0,IF((J83+J87+J89+J91+J92+J93+I97)&lt;Assump!$D$65,0,IF(J67&gt;0,MAX(-J67,(Assump!$D$65-J83-J87-J89-J91-J92-J93-I97)),0)))</f>
        <v>#REF!</v>
      </c>
      <c r="K90" s="35" t="e">
        <f>IF(J191&lt;0,0,IF((K83+K87+K89+K91+K92+K93+J97)&lt;Assump!$D$65,0,IF(K67&gt;0,MAX(-K67,(Assump!$D$65-K83-K87-K89-K91-K92-K93-J97)),0)))</f>
        <v>#REF!</v>
      </c>
      <c r="L90" s="35" t="e">
        <f>IF(K191&lt;0,0,IF((L83+L87+L89+L91+L92+L93+K97)&lt;Assump!$D$65,0,IF(L67&gt;0,MAX(-L67,(Assump!$D$65-L83-L87-L89-L91-L92-L93-K97)),0)))</f>
        <v>#REF!</v>
      </c>
      <c r="M90" s="35" t="e">
        <f>IF(L191&lt;0,0,IF((M83+M87+M89+M91+M92+M93+L97)&lt;Assump!$D$65,0,IF(M67&gt;0,MAX(-M67,(Assump!$D$65-M83-M87-M89-M91-M92-M93-L97)),0)))</f>
        <v>#REF!</v>
      </c>
      <c r="N90" s="35" t="e">
        <f>IF(M191&lt;0,0,IF((N83+N87+N89+N91+N92+N93+M97)&lt;Assump!$D$65,0,IF(N67&gt;0,MAX(-N67,(Assump!$D$65-N83-N87-N89-N91-N92-N93-M97)),0)))</f>
        <v>#REF!</v>
      </c>
      <c r="O90" s="35" t="e">
        <f>IF(N191&lt;0,0,IF((O83+O87+O89+O91+O92+O93+N97)&lt;Assump!$D$65,0,IF(O67&gt;0,MAX(-O67,(Assump!$D$65-O83-O87-O89-O91-O92-O93-N97)),0)))</f>
        <v>#REF!</v>
      </c>
      <c r="P90" s="35" t="e">
        <f>IF(O191&lt;0,0,IF((P83+P87+P89+P91+P92+P93+O97)&lt;Assump!$D$65,0,IF(P67&gt;0,MAX(-P67,(Assump!$D$65-P83-P87-P89-P91-P92-P93-O97)),0)))</f>
        <v>#REF!</v>
      </c>
      <c r="Q90" s="35" t="e">
        <f>IF(P191&lt;0,0,IF((Q83+Q87+Q89+Q91+Q92+Q93+P97)&lt;Assump!$D$65,0,IF(Q67&gt;0,MAX(-Q67,(Assump!$D$65-Q83-Q87-Q89-Q91-Q92-Q93-P97)),0)))</f>
        <v>#REF!</v>
      </c>
      <c r="R90" s="35" t="e">
        <f>IF(Q191&lt;0,0,IF((R83+R87+R89+R91+R92+R93+Q97)&lt;Assump!$D$65,0,IF(R67&gt;0,MAX(-R67,(Assump!$D$65-R83-R87-R89-R91-R92-R93-Q97)),0)))</f>
        <v>#REF!</v>
      </c>
      <c r="S90" s="35" t="e">
        <f>IF(R191&lt;0,0,IF((S83+S87+S89+S91+S92+S93+R97)&lt;Assump!$D$65,0,IF(S67&gt;0,MAX(-S67,(Assump!$D$65-S83-S87-S89-S91-S92-S93-R97)),0)))</f>
        <v>#REF!</v>
      </c>
      <c r="T90" s="35" t="e">
        <f>IF(S191&lt;0,0,IF((T83+T87+T89+T91+T92+T93+S97)&lt;Assump!$D$65,0,IF(T67&gt;0,MAX(-T67,(Assump!$D$65-T83-T87-T89-T91-T92-T93-S97)),0)))</f>
        <v>#REF!</v>
      </c>
      <c r="U90" s="35" t="e">
        <f>IF(T191&lt;0,0,IF((U83+U87+U89+U91+U92+U93+T97)&lt;Assump!$D$65,0,IF(U67&gt;0,MAX(-U67,(Assump!$D$65-U83-U87-U89-U91-U92-U93-T97)),0)))</f>
        <v>#REF!</v>
      </c>
      <c r="V90" s="35" t="e">
        <f>IF(U191&lt;0,0,IF((V83+V87+V89+V91+V92+V93+U97)&lt;Assump!$D$65,0,IF(V67&gt;0,MAX(-V67,(Assump!$D$65-V83-V87-V89-V91-V92-V93-U97)),0)))</f>
        <v>#REF!</v>
      </c>
      <c r="W90" s="35" t="e">
        <f>IF(V191&lt;0,0,IF((W83+W87+W89+W91+W92+W93+V97)&lt;Assump!$D$65,0,IF(W67&gt;0,MAX(-W67,(Assump!$D$65-W83-W87-W89-W91-W92-W93-V97)),0)))</f>
        <v>#REF!</v>
      </c>
      <c r="X90" s="35" t="e">
        <f>IF(W191&lt;0,0,IF((X83+X87+X89+X91+X92+X93+W97)&lt;Assump!$D$65,0,IF(X67&gt;0,MAX(-X67,(Assump!$D$65-X83-X87-X89-X91-X92-X93-W97)),0)))</f>
        <v>#REF!</v>
      </c>
      <c r="Y90" s="35" t="e">
        <f>IF(X191&lt;0,0,IF((Y83+Y87+Y89+Y91+Y92+Y93+X97)&lt;Assump!$D$65,0,IF(Y67&gt;0,MAX(-Y67,(Assump!$D$65-Y83-Y87-Y89-Y91-Y92-Y93-X97)),0)))</f>
        <v>#REF!</v>
      </c>
      <c r="Z90" s="35" t="e">
        <f>IF(Y191&lt;0,0,IF((Z83+Z87+Z89+Z91+Z92+Z93+Y97)&lt;Assump!$D$65,0,IF(Z67&gt;0,MAX(-Z67,(Assump!$D$65-Z83-Z87-Z89-Z91-Z92-Z93-Y97)),0)))</f>
        <v>#REF!</v>
      </c>
      <c r="AA90" s="35" t="e">
        <f>IF(Z191&lt;0,0,IF((AA83+AA87+AA89+AA91+AA92+AA93+Z97)&lt;Assump!$D$65,0,IF(AA67&gt;0,MAX(-AA67,(Assump!$D$65-AA83-AA87-AA89-AA91-AA92-AA93-Z97)),0)))</f>
        <v>#REF!</v>
      </c>
      <c r="AB90" s="35" t="e">
        <f>IF(AA191&lt;0,0,IF((AB83+AB87+AB89+AB91+AB92+AB93+AA97)&lt;Assump!$D$65,0,IF(AB67&gt;0,MAX(-AB67,(Assump!$D$65-AB83-AB87-AB89-AB91-AB92-AB93-AA97)),0)))</f>
        <v>#REF!</v>
      </c>
      <c r="AC90" s="35" t="e">
        <f>IF(AB191&lt;0,0,IF((AC83+AC87+AC89+AC91+AC92+AC93+AB97)&lt;Assump!$D$65,0,IF(AC67&gt;0,MAX(-AC67,(Assump!$D$65-AC83-AC87-AC89-AC91-AC92-AC93-AB97)),0)))</f>
        <v>#REF!</v>
      </c>
      <c r="AD90" s="35" t="e">
        <f>IF(AC191&lt;0,0,IF((AD83+AD87+AD89+AD91+AD92+AD93+AC97)&lt;Assump!$D$65,0,IF(AD67&gt;0,MAX(-AD67,(Assump!$D$65-AD83-AD87-AD89-AD91-AD92-AD93-AC97)),0)))</f>
        <v>#REF!</v>
      </c>
      <c r="AE90" s="35" t="e">
        <f>IF(AD191&lt;0,0,IF((AE83+AE87+AE89+AE91+AE92+AE93+AD97)&lt;Assump!$D$65,0,IF(AE67&gt;0,MAX(-AE67,(Assump!$D$65-AE83-AE87-AE89-AE91-AE92-AE93-AD97)),0)))</f>
        <v>#REF!</v>
      </c>
      <c r="AF90" s="35" t="e">
        <f>IF(AE191&lt;0,0,IF((AF83+AF87+AF89+AF91+AF92+AF93+AE97)&lt;Assump!$D$65,0,IF(AF67&gt;0,MAX(-AF67,(Assump!$D$65-AF83-AF87-AF89-AF91-AF92-AF93-AE97)),0)))</f>
        <v>#REF!</v>
      </c>
      <c r="AG90" s="35" t="e">
        <f>IF(AF191&lt;0,0,IF((AG83+AG87+AG89+AG91+AG92+AG93+AF97)&lt;Assump!$D$65,0,IF(AG67&gt;0,MAX(-AG67,(Assump!$D$65-AG83-AG87-AG89-AG91-AG92-AG93-AF97)),0)))</f>
        <v>#REF!</v>
      </c>
      <c r="AH90" s="35" t="e">
        <f>IF(AG191&lt;0,0,IF((AH83+AH87+AH89+AH91+AH92+AH93+AG97)&lt;Assump!$D$65,0,IF(AH67&gt;0,MAX(-AH67,(Assump!$D$65-AH83-AH87-AH89-AH91-AH92-AH93-AG97)),0)))</f>
        <v>#REF!</v>
      </c>
      <c r="AI90" s="35" t="e">
        <f>IF(AH191&lt;0,0,IF((AI83+AI87+AI89+AI91+AI92+AI93+AH97)&lt;Assump!$D$65,0,IF(AI67&gt;0,MAX(-AI67,(Assump!$D$65-AI83-AI87-AI89-AI91-AI92-AI93-AH97)),0)))</f>
        <v>#REF!</v>
      </c>
      <c r="AJ90" s="35" t="e">
        <f>IF(AI191&lt;0,0,IF((AJ83+AJ87+AJ89+AJ91+AJ92+AJ93+AI97)&lt;Assump!$D$65,0,IF(AJ67&gt;0,MAX(-AJ67,(Assump!$D$65-AJ83-AJ87-AJ89-AJ91-AJ92-AJ93-AI97)),0)))</f>
        <v>#REF!</v>
      </c>
      <c r="AK90" s="35" t="e">
        <f>IF(AJ191&lt;0,0,IF((AK83+AK87+AK89+AK91+AK92+AK93+AJ97)&lt;Assump!$D$65,0,IF(AK67&gt;0,MAX(-AK67,(Assump!$D$65-AK83-AK87-AK89-AK91-AK92-AK93-AJ97)),0)))</f>
        <v>#REF!</v>
      </c>
      <c r="AL90" s="35" t="e">
        <f>IF(AK191&lt;0,0,IF((AL83+AL87+AL89+AL91+AL92+AL93+AK97)&lt;Assump!$D$65,0,IF(AL67&gt;0,MAX(-AL67,(Assump!$D$65-AL83-AL87-AL89-AL91-AL92-AL93-AK97)),0)))</f>
        <v>#REF!</v>
      </c>
      <c r="AM90" s="35" t="e">
        <f>IF(AL191&lt;0,0,IF((AM83+AM87+AM89+AM91+AM92+AM93+AL97)&lt;Assump!$D$65,0,IF(AM67&gt;0,MAX(-AM67,(Assump!$D$65-AM83-AM87-AM89-AM91-AM92-AM93-AL97)),0)))</f>
        <v>#REF!</v>
      </c>
      <c r="AN90" s="35" t="e">
        <f>IF(AM191&lt;0,0,IF((AN83+AN87+AN89+AN91+AN92+AN93+AM97)&lt;Assump!$D$65,0,IF(AN67&gt;0,MAX(-AN67,(Assump!$D$65-AN83-AN87-AN89-AN91-AN92-AN93-AM97)),0)))</f>
        <v>#REF!</v>
      </c>
      <c r="AO90" s="35" t="e">
        <f>IF(AN191&lt;0,0,IF((AO83+AO87+AO89+AO91+AO92+AO93+AN97)&lt;Assump!$D$65,0,IF(AO67&gt;0,MAX(-AO67,(Assump!$D$65-AO83-AO87-AO89-AO91-AO92-AO93-AN97)),0)))</f>
        <v>#REF!</v>
      </c>
      <c r="AP90" s="35" t="e">
        <f>IF(AO191&lt;0,0,IF((AP83+AP87+AP89+AP91+AP92+AP93+AO97)&lt;Assump!$D$65,0,IF(AP67&gt;0,MAX(-AP67,(Assump!$D$65-AP83-AP87-AP89-AP91-AP92-AP93-AO97)),0)))</f>
        <v>#REF!</v>
      </c>
      <c r="AQ90" s="35" t="e">
        <f>IF(AP191&lt;0,0,IF((AQ83+AQ87+AQ89+AQ91+AQ92+AQ93+AP97)&lt;Assump!$D$65,0,IF(AQ67&gt;0,MAX(-AQ67,(Assump!$D$65-AQ83-AQ87-AQ89-AQ91-AQ92-AQ93-AP97)),0)))</f>
        <v>#REF!</v>
      </c>
      <c r="AR90" s="35" t="e">
        <f>IF(AQ191&lt;0,0,IF((AR83+AR87+AR89+AR91+AR92+AR93+AQ97)&lt;Assump!$D$65,0,IF(AR67&gt;0,MAX(-AR67,(Assump!$D$65-AR83-AR87-AR89-AR91-AR92-AR93-AQ97)),0)))</f>
        <v>#REF!</v>
      </c>
      <c r="AS90" s="35" t="e">
        <f>IF(AR191&lt;0,0,IF((AS83+AS87+AS89+AS91+AS92+AS93+AR97)&lt;Assump!$D$65,0,IF(AS67&gt;0,MAX(-AS67,(Assump!$D$65-AS83-AS87-AS89-AS91-AS92-AS93-AR97)),0)))</f>
        <v>#REF!</v>
      </c>
      <c r="AT90" s="35" t="e">
        <f>IF(AS191&lt;0,0,IF((AT83+AT87+AT89+AT91+AT92+AT93+AS97)&lt;Assump!$D$65,0,IF(AT67&gt;0,MAX(-AT67,(Assump!$D$65-AT83-AT87-AT89-AT91-AT92-AT93-AS97)),0)))</f>
        <v>#REF!</v>
      </c>
      <c r="AU90" s="35" t="e">
        <f>IF(AT191&lt;0,0,IF((AU83+AU87+AU89+AU91+AU92+AU93+AT97)&lt;Assump!$D$65,0,IF(AU67&gt;0,MAX(-AU67,(Assump!$D$65-AU83-AU87-AU89-AU91-AU92-AU93-AT97)),0)))</f>
        <v>#REF!</v>
      </c>
      <c r="AV90" s="35" t="e">
        <f>IF(AU191&lt;0,0,IF((AV83+AV87+AV89+AV91+AV92+AV93+AU97)&lt;Assump!$D$65,0,IF(AV67&gt;0,MAX(-AV67,(Assump!$D$65-AV83-AV87-AV89-AV91-AV92-AV93-AU97)),0)))</f>
        <v>#REF!</v>
      </c>
      <c r="AW90" s="35" t="e">
        <f>IF(AV191&lt;0,0,IF((AW83+AW87+AW89+AW91+AW92+AW93+AV97)&lt;Assump!$D$65,0,IF(AW67&gt;0,MAX(-AW67,(Assump!$D$65-AW83-AW87-AW89-AW91-AW92-AW93-AV97)),0)))</f>
        <v>#REF!</v>
      </c>
      <c r="AX90" s="35" t="e">
        <f>IF(AW191&lt;0,0,IF((AX83+AX87+AX89+AX91+AX92+AX93+AW97)&lt;Assump!$D$65,0,IF(AX67&gt;0,MAX(-AX67,(Assump!$D$65-AX83-AX87-AX89-AX91-AX92-AX93-AW97)),0)))</f>
        <v>#REF!</v>
      </c>
      <c r="AY90" s="35" t="e">
        <f>IF(AX191&lt;0,0,IF((AY83+AY87+AY89+AY91+AY92+AY93+AX97)&lt;Assump!$D$65,0,IF(AY67&gt;0,MAX(-AY67,(Assump!$D$65-AY83-AY87-AY89-AY91-AY92-AY93-AX97)),0)))</f>
        <v>#REF!</v>
      </c>
      <c r="AZ90" s="35" t="e">
        <f>IF(AY191&lt;0,0,IF((AZ83+AZ87+AZ89+AZ91+AZ92+AZ93+AY97)&lt;Assump!$D$65,0,IF(AZ67&gt;0,MAX(-AZ67,(Assump!$D$65-AZ83-AZ87-AZ89-AZ91-AZ92-AZ93-AY97)),0)))</f>
        <v>#REF!</v>
      </c>
      <c r="BA90" s="35" t="e">
        <f>IF(AZ191&lt;0,0,IF((BA83+BA87+BA89+BA91+BA92+BA93+AZ97)&lt;Assump!$D$65,0,IF(BA67&gt;0,MAX(-BA67,(Assump!$D$65-BA83-BA87-BA89-BA91-BA92-BA93-AZ97)),0)))</f>
        <v>#REF!</v>
      </c>
      <c r="BB90" s="35" t="e">
        <f>IF(BA191&lt;0,0,IF((BB83+BB87+BB89+BB91+BB92+BB93+BA97)&lt;Assump!$D$65,0,IF(BB67&gt;0,MAX(-BB67,(Assump!$D$65-BB83-BB87-BB89-BB91-BB92-BB93-BA97)),0)))</f>
        <v>#REF!</v>
      </c>
      <c r="BC90" s="35" t="e">
        <f>IF(BB191&lt;0,0,IF((BC83+BC87+BC89+BC91+BC92+BC93+BB97)&lt;Assump!$D$65,0,IF(BC67&gt;0,MAX(-BC67,(Assump!$D$65-BC83-BC87-BC89-BC91-BC92-BC93-BB97)),0)))</f>
        <v>#REF!</v>
      </c>
      <c r="BD90" s="35" t="e">
        <f>IF(BC191&lt;0,0,IF((BD83+BD87+BD89+BD91+BD92+BD93+BC97)&lt;Assump!$D$65,0,IF(BD67&gt;0,MAX(-BD67,(Assump!$D$65-BD83-BD87-BD89-BD91-BD92-BD93-BC97)),0)))</f>
        <v>#REF!</v>
      </c>
      <c r="BE90" s="35" t="e">
        <f>IF(BD191&lt;0,0,IF((BE83+BE87+BE89+BE91+BE92+BE93+BD97)&lt;Assump!$D$65,0,IF(BE67&gt;0,MAX(-BE67,(Assump!$D$65-BE83-BE87-BE89-BE91-BE92-BE93-BD97)),0)))</f>
        <v>#REF!</v>
      </c>
      <c r="BF90" s="35" t="e">
        <f>IF(BE191&lt;0,0,IF((BF83+BF87+BF89+BF91+BF92+BF93+BE97)&lt;Assump!$D$65,0,IF(BF67&gt;0,MAX(-BF67,(Assump!$D$65-BF83-BF87-BF89-BF91-BF92-BF93-BE97)),0)))</f>
        <v>#REF!</v>
      </c>
      <c r="BG90" s="35" t="e">
        <f>IF(BF191&lt;0,0,IF((BG83+BG87+BG89+BG91+BG92+BG93+BF97)&lt;Assump!$D$65,0,IF(BG67&gt;0,MAX(-BG67,(Assump!$D$65-BG83-BG87-BG89-BG91-BG92-BG93-BF97)),0)))</f>
        <v>#REF!</v>
      </c>
      <c r="BH90" s="35" t="e">
        <f>IF(BG191&lt;0,0,IF((BH83+BH87+BH89+BH91+BH92+BH93+BG97)&lt;Assump!$D$65,0,IF(BH67&gt;0,MAX(-BH67,(Assump!$D$65-BH83-BH87-BH89-BH91-BH92-BH93-BG97)),0)))</f>
        <v>#REF!</v>
      </c>
      <c r="BI90" s="35" t="e">
        <f>IF(BH191&lt;0,0,IF((BI83+BI87+BI89+BI91+BI92+BI93+BH97)&lt;Assump!$D$65,0,IF(BI67&gt;0,MAX(-BI67,(Assump!$D$65-BI83-BI87-BI89-BI91-BI92-BI93-BH97)),0)))</f>
        <v>#REF!</v>
      </c>
      <c r="BJ90" s="35" t="e">
        <f>IF(BI191&lt;0,0,IF((BJ83+BJ87+BJ89+BJ91+BJ92+BJ93+BI97)&lt;Assump!$D$65,0,IF(BJ67&gt;0,MAX(-BJ67,(Assump!$D$65-BJ83-BJ87-BJ89-BJ91-BJ92-BJ93-BI97)),0)))</f>
        <v>#REF!</v>
      </c>
      <c r="BK90" s="35" t="e">
        <f>IF(BJ191&lt;0,0,IF((BK83+BK87+BK89+BK91+BK92+BK93+BJ97)&lt;Assump!$D$65,0,IF(BK67&gt;0,MAX(-BK67,(Assump!$D$65-BK83-BK87-BK89-BK91-BK92-BK93-BJ97)),0)))</f>
        <v>#REF!</v>
      </c>
      <c r="BL90" s="35" t="e">
        <f>IF(BK191&lt;0,0,IF((BL83+BL87+BL89+BL91+BL92+BL93+BK97)&lt;Assump!$D$65,0,IF(BL67&gt;0,MAX(-BL67,(Assump!$D$65-BL83-BL87-BL89-BL91-BL92-BL93-BK97)),0)))</f>
        <v>#REF!</v>
      </c>
      <c r="BM90" s="35" t="e">
        <f>IF(BL191&lt;0,0,IF((BM83+BM87+BM89+BM91+BM92+BM93+BL97)&lt;Assump!$D$65,0,IF(BM67&gt;0,MAX(-BM67,(Assump!$D$65-BM83-BM87-BM89-BM91-BM92-BM93-BL97)),0)))</f>
        <v>#REF!</v>
      </c>
      <c r="BN90" s="35" t="e">
        <f>IF(BM191&lt;0,0,IF((BN83+BN87+BN89+BN91+BN92+BN93+BM97)&lt;Assump!$D$65,0,IF(BN67&gt;0,MAX(-BN67,(Assump!$D$65-BN83-BN87-BN89-BN91-BN92-BN93-BM97)),0)))</f>
        <v>#REF!</v>
      </c>
      <c r="BO90" s="35" t="e">
        <f>IF(BN191&lt;0,0,IF((BO83+BO87+BO89+BO91+BO92+BO93+BN97)&lt;Assump!$D$65,0,IF(BO67&gt;0,MAX(-BO67,(Assump!$D$65-BO83-BO87-BO89-BO91-BO92-BO93-BN97)),0)))</f>
        <v>#REF!</v>
      </c>
      <c r="BP90" s="35" t="e">
        <f>IF(BO191&lt;0,0,IF((BP83+BP87+BP89+BP91+BP92+BP93+BO97)&lt;Assump!$D$65,0,IF(BP67&gt;0,MAX(-BP67,(Assump!$D$65-BP83-BP87-BP89-BP91-BP92-BP93-BO97)),0)))</f>
        <v>#REF!</v>
      </c>
      <c r="BQ90" s="35" t="e">
        <f>IF(BP191&lt;0,0,IF((BQ83+BQ87+BQ89+BQ91+BQ92+BQ93+BP97)&lt;Assump!$D$65,0,IF(BQ67&gt;0,MAX(-BQ67,(Assump!$D$65-BQ83-BQ87-BQ89-BQ91-BQ92-BQ93-BP97)),0)))</f>
        <v>#REF!</v>
      </c>
      <c r="BR90" s="35" t="e">
        <f>IF(BQ191&lt;0,0,IF((BR83+BR87+BR89+BR91+BR92+BR93+BQ97)&lt;Assump!$D$65,0,IF(BR67&gt;0,MAX(-BR67,(Assump!$D$65-BR83-BR87-BR89-BR91-BR92-BR93-BQ97)),0)))</f>
        <v>#REF!</v>
      </c>
      <c r="BS90" s="35" t="e">
        <f>IF(BR191&lt;0,0,IF((BS83+BS87+BS89+BS91+BS92+BS93+BR97)&lt;Assump!$D$65,0,IF(BS67&gt;0,MAX(-BS67,(Assump!$D$65-BS83-BS87-BS89-BS91-BS92-BS93-BR97)),0)))</f>
        <v>#REF!</v>
      </c>
      <c r="BT90" s="35" t="e">
        <f>IF(BS191&lt;0,0,IF((BT83+BT87+BT89+BT91+BT92+BT93+BS97)&lt;Assump!$D$65,0,IF(BT67&gt;0,MAX(-BT67,(Assump!$D$65-BT83-BT87-BT89-BT91-BT92-BT93-BS97)),0)))</f>
        <v>#REF!</v>
      </c>
      <c r="BU90" s="35" t="e">
        <f>IF(BT191&lt;0,0,IF((BU83+BU87+BU89+BU91+BU92+BU93+BT97)&lt;Assump!$D$65,0,IF(BU67&gt;0,MAX(-BU67,(Assump!$D$65-BU83-BU87-BU89-BU91-BU92-BU93-BT97)),0)))</f>
        <v>#REF!</v>
      </c>
      <c r="BV90" s="35" t="e">
        <f>IF(BU191&lt;0,0,IF((BV83+BV87+BV89+BV91+BV92+BV93+BU97)&lt;Assump!$D$65,0,IF(BV67&gt;0,MAX(-BV67,(Assump!$D$65-BV83-BV87-BV89-BV91-BV92-BV93-BU97)),0)))</f>
        <v>#REF!</v>
      </c>
      <c r="BW90" s="35" t="e">
        <f>IF(BV191&lt;0,0,IF((BW83+BW87+BW89+BW91+BW92+BW93+BV97)&lt;Assump!$D$65,0,IF(BW67&gt;0,MAX(-BW67,(Assump!$D$65-BW83-BW87-BW89-BW91-BW92-BW93-BV97)),0)))</f>
        <v>#REF!</v>
      </c>
      <c r="BX90" s="35" t="e">
        <f>IF(BW191&lt;0,0,IF((BX83+BX87+BX89+BX91+BX92+BX93+BW97)&lt;Assump!$D$65,0,IF(BX67&gt;0,MAX(-BX67,(Assump!$D$65-BX83-BX87-BX89-BX91-BX92-BX93-BW97)),0)))</f>
        <v>#REF!</v>
      </c>
      <c r="BY90" s="35" t="e">
        <f>IF(BX191&lt;0,0,IF((BY83+BY87+BY89+BY91+BY92+BY93+BX97)&lt;Assump!$D$65,0,IF(BY67&gt;0,MAX(-BY67,(Assump!$D$65-BY83-BY87-BY89-BY91-BY92-BY93-BX97)),0)))</f>
        <v>#REF!</v>
      </c>
      <c r="BZ90" s="35" t="e">
        <f>IF(BY191&lt;0,0,IF((BZ83+BZ87+BZ89+BZ91+BZ92+BZ93+BY97)&lt;Assump!$D$65,0,IF(BZ67&gt;0,MAX(-BZ67,(Assump!$D$65-BZ83-BZ87-BZ89-BZ91-BZ92-BZ93-BY97)),0)))</f>
        <v>#REF!</v>
      </c>
      <c r="CA90" s="35" t="e">
        <f>IF(BZ191&lt;0,0,IF((CA83+CA87+CA89+CA91+CA92+CA93+BZ97)&lt;Assump!$D$65,0,IF(CA67&gt;0,MAX(-CA67,(Assump!$D$65-CA83-CA87-CA89-CA91-CA92-CA93-BZ97)),0)))</f>
        <v>#REF!</v>
      </c>
      <c r="CB90" s="35" t="e">
        <f>IF(CA191&lt;0,0,IF((CB83+CB87+CB89+CB91+CB92+CB93+CA97)&lt;Assump!$D$65,0,IF(CB67&gt;0,MAX(-CB67,(Assump!$D$65-CB83-CB87-CB89-CB91-CB92-CB93-CA97)),0)))</f>
        <v>#REF!</v>
      </c>
      <c r="CC90" s="35" t="e">
        <f>IF(CB191&lt;0,0,IF((CC83+CC87+CC89+CC91+CC92+CC93+CB97)&lt;Assump!$D$65,0,IF(CC67&gt;0,MAX(-CC67,(Assump!$D$65-CC83-CC87-CC89-CC91-CC92-CC93-CB97)),0)))</f>
        <v>#REF!</v>
      </c>
      <c r="CD90" s="35" t="e">
        <f>IF(CC191&lt;0,0,IF((CD83+CD87+CD89+CD91+CD92+CD93+CC97)&lt;Assump!$D$65,0,IF(CD67&gt;0,MAX(-CD67,(Assump!$D$65-CD83-CD87-CD89-CD91-CD92-CD93-CC97)),0)))</f>
        <v>#REF!</v>
      </c>
      <c r="CE90" s="35" t="e">
        <f>IF(CD191&lt;0,0,IF((CE83+CE87+CE89+CE91+CE92+CE93+CD97)&lt;Assump!$D$65,0,IF(CE67&gt;0,MAX(-CE67,(Assump!$D$65-CE83-CE87-CE89-CE91-CE92-CE93-CD97)),0)))</f>
        <v>#REF!</v>
      </c>
      <c r="CF90" s="35" t="e">
        <f>IF(CE191&lt;0,0,IF((CF83+CF87+CF89+CF91+CF92+CF93+CE97)&lt;Assump!$D$65,0,IF(CF67&gt;0,MAX(-CF67,(Assump!$D$65-CF83-CF87-CF89-CF91-CF92-CF93-CE97)),0)))</f>
        <v>#REF!</v>
      </c>
      <c r="CG90" s="35" t="e">
        <f>IF(CF191&lt;0,0,IF((CG83+CG87+CG89+CG91+CG92+CG93+CF97)&lt;Assump!$D$65,0,IF(CG67&gt;0,MAX(-CG67,(Assump!$D$65-CG83-CG87-CG89-CG91-CG92-CG93-CF97)),0)))</f>
        <v>#REF!</v>
      </c>
      <c r="CH90" s="35" t="e">
        <f>IF(CG191&lt;0,0,IF((CH83+CH87+CH89+CH91+CH92+CH93+CG97)&lt;Assump!$D$65,0,IF(CH67&gt;0,MAX(-CH67,(Assump!$D$65-CH83-CH87-CH89-CH91-CH92-CH93-CG97)),0)))</f>
        <v>#REF!</v>
      </c>
      <c r="CI90" s="35" t="e">
        <f>IF(CH191&lt;0,0,IF((CI83+CI87+CI89+CI91+CI92+CI93+CH97)&lt;Assump!$D$65,0,IF(CI67&gt;0,MAX(-CI67,(Assump!$D$65-CI83-CI87-CI89-CI91-CI92-CI93-CH97)),0)))</f>
        <v>#REF!</v>
      </c>
      <c r="CJ90" s="35" t="e">
        <f>IF(CI191&lt;0,0,IF((CJ83+CJ87+CJ89+CJ91+CJ92+CJ93+CI97)&lt;Assump!$D$65,0,IF(CJ67&gt;0,MAX(-CJ67,(Assump!$D$65-CJ83-CJ87-CJ89-CJ91-CJ92-CJ93-CI97)),0)))</f>
        <v>#REF!</v>
      </c>
      <c r="CK90" s="35" t="e">
        <f>IF(CJ191&lt;0,0,IF((CK83+CK87+CK89+CK91+CK92+CK93+CJ97)&lt;Assump!$D$65,0,IF(CK67&gt;0,MAX(-CK67,(Assump!$D$65-CK83-CK87-CK89-CK91-CK92-CK93-CJ97)),0)))</f>
        <v>#REF!</v>
      </c>
      <c r="CL90" s="35" t="e">
        <f>IF(CK191&lt;0,0,IF((CL83+CL87+CL89+CL91+CL92+CL93+CK97)&lt;Assump!$D$65,0,IF(CL67&gt;0,MAX(-CL67,(Assump!$D$65-CL83-CL87-CL89-CL91-CL92-CL93-CK97)),0)))</f>
        <v>#REF!</v>
      </c>
      <c r="CM90" s="35" t="e">
        <f>IF(CL191&lt;0,0,IF((CM83+CM87+CM89+CM91+CM92+CM93+CL97)&lt;Assump!$D$65,0,IF(CM67&gt;0,MAX(-CM67,(Assump!$D$65-CM83-CM87-CM89-CM91-CM92-CM93-CL97)),0)))</f>
        <v>#REF!</v>
      </c>
      <c r="CN90" s="35" t="e">
        <f>IF(CM191&lt;0,0,IF((CN83+CN87+CN89+CN91+CN92+CN93+CM97)&lt;Assump!$D$65,0,IF(CN67&gt;0,MAX(-CN67,(Assump!$D$65-CN83-CN87-CN89-CN91-CN92-CN93-CM97)),0)))</f>
        <v>#REF!</v>
      </c>
      <c r="CO90" s="35"/>
    </row>
    <row r="91" spans="1:93" ht="12.75" customHeight="1">
      <c r="A91" s="35"/>
      <c r="B91" s="63" t="s">
        <v>184</v>
      </c>
      <c r="C91" s="35" t="e">
        <f t="shared" si="44"/>
        <v>#REF!</v>
      </c>
      <c r="D91" s="60" t="e">
        <f>IF(($D$89+SUM($D$85:D85))&gt;0,0,-($D$89+SUM($D$85:D85)+SUM(C$91:$E91)))</f>
        <v>#REF!</v>
      </c>
      <c r="E91" s="35" t="e">
        <f>IF(($D$89+SUM($D$85:E85))&gt;0,0,-($D$89+SUM($D$85:E85)+SUM(D$91:$E91)))</f>
        <v>#REF!</v>
      </c>
      <c r="F91" s="35" t="e">
        <f>IF(($D$89+SUM($D$85:F85))&gt;0,0,-($D$89+SUM($D$85:F85)+SUM($E$91:E91)))</f>
        <v>#REF!</v>
      </c>
      <c r="G91" s="35" t="e">
        <f>IF(($D$89+SUM($D$85:G85))&gt;0,0,-($D$89+SUM($D$85:G85)+SUM($E$91:F91)))</f>
        <v>#REF!</v>
      </c>
      <c r="H91" s="88" t="e">
        <f>IF(($D$89+SUM($D$85:H85))&gt;0,0,-($D$89+SUM($D$85:H85)+SUM($E$91:G91)))</f>
        <v>#REF!</v>
      </c>
      <c r="I91" s="35" t="e">
        <f>IF(($D$89+SUM($D$85:I85))&gt;0,0,-($D$89+SUM($D$85:I85)+SUM($E$91:H91)))</f>
        <v>#REF!</v>
      </c>
      <c r="J91" s="35" t="e">
        <f>IF(($D$89+SUM($D$85:J85))&gt;0,0,-($D$89+SUM($D$85:J85)+SUM($E$91:I91)))</f>
        <v>#REF!</v>
      </c>
      <c r="K91" s="35" t="e">
        <f>IF(($D$89+SUM($D$85:K85))&gt;0,0,-($D$89+SUM($D$85:K85)+SUM($E$91:J91)))</f>
        <v>#REF!</v>
      </c>
      <c r="L91" s="35" t="e">
        <f>IF(($D$89+SUM($D$85:L85))&gt;0,0,-($D$89+SUM($D$85:L85)+SUM($E$91:K91)))</f>
        <v>#REF!</v>
      </c>
      <c r="M91" s="35" t="e">
        <f>IF(($D$89+SUM($D$85:M85))&gt;0,0,-($D$89+SUM($D$85:M85)+SUM($E$91:L91)))</f>
        <v>#REF!</v>
      </c>
      <c r="N91" s="35" t="e">
        <f>IF(($D$89+SUM($D$85:N85))&gt;0,0,-($D$89+SUM($D$85:N85)+SUM($E$91:M91)))</f>
        <v>#REF!</v>
      </c>
      <c r="O91" s="35" t="e">
        <f>IF(($D$89+SUM($D$85:O85))&gt;0,0,-($D$89+SUM($D$85:O85)+SUM($E$91:N91)))</f>
        <v>#REF!</v>
      </c>
      <c r="P91" s="35" t="e">
        <f>IF(($D$89+SUM($D$85:P85))&gt;0,0,-($D$89+SUM($D$85:P85)+SUM($E$91:O91)))</f>
        <v>#REF!</v>
      </c>
      <c r="Q91" s="35" t="e">
        <f>IF(($D$89+SUM($D$85:Q85))&gt;0,0,-($D$89+SUM($D$85:Q85)+SUM($E$91:P91)))</f>
        <v>#REF!</v>
      </c>
      <c r="R91" s="35" t="e">
        <f>IF(($D$89+SUM($D$85:R85))&gt;0,0,-($D$89+SUM($D$85:R85)+SUM($E$91:Q91)))</f>
        <v>#REF!</v>
      </c>
      <c r="S91" s="35" t="e">
        <f>IF(($D$89+SUM($D$85:S85))&gt;0,0,-($D$89+SUM($D$85:S85)+SUM($E$91:R91)))</f>
        <v>#REF!</v>
      </c>
      <c r="T91" s="35" t="e">
        <f>IF(($D$89+SUM($D$85:T85))&gt;0,0,-($D$89+SUM($D$85:T85)+SUM($E$91:S91)))</f>
        <v>#REF!</v>
      </c>
      <c r="U91" s="35" t="e">
        <f>IF(($D$89+SUM($D$85:U85))&gt;0,0,-($D$89+SUM($D$85:U85)+SUM($E$91:T91)))</f>
        <v>#REF!</v>
      </c>
      <c r="V91" s="35" t="e">
        <f>IF(($D$89+SUM($D$85:V85))&gt;0,0,-($D$89+SUM($D$85:V85)+SUM($E$91:U91)))</f>
        <v>#REF!</v>
      </c>
      <c r="W91" s="35" t="e">
        <f>IF(($D$89+SUM($D$85:W85))&gt;0,0,-($D$89+SUM($D$85:W85)+SUM($E$91:V91)))</f>
        <v>#REF!</v>
      </c>
      <c r="X91" s="35" t="e">
        <f>IF(($D$89+SUM($D$85:X85))&gt;0,0,-($D$89+SUM($D$85:X85)+SUM($E$91:W91)))</f>
        <v>#REF!</v>
      </c>
      <c r="Y91" s="35" t="e">
        <f>IF(($D$89+SUM($D$85:Y85))&gt;0,0,-($D$89+SUM($D$85:Y85)+SUM($E$91:X91)))</f>
        <v>#REF!</v>
      </c>
      <c r="Z91" s="35" t="e">
        <f>IF(($D$89+SUM($D$85:Z85))&gt;0,0,-($D$89+SUM($D$85:Z85)+SUM($E$91:Y91)))</f>
        <v>#REF!</v>
      </c>
      <c r="AA91" s="35" t="e">
        <f>IF(($D$89+SUM($D$85:AA85))&gt;0,0,-($D$89+SUM($D$85:AA85)+SUM($E$91:Z91)))</f>
        <v>#REF!</v>
      </c>
      <c r="AB91" s="35" t="e">
        <f>IF(($D$89+SUM($D$85:AB85))&gt;0,0,-($D$89+SUM($D$85:AB85)+SUM($E$91:AA91)))</f>
        <v>#REF!</v>
      </c>
      <c r="AC91" s="35" t="e">
        <f>IF(($D$89+SUM($D$85:AC85))&gt;0,0,-($D$89+SUM($D$85:AC85)+SUM($E$91:AB91)))</f>
        <v>#REF!</v>
      </c>
      <c r="AD91" s="35" t="e">
        <f>IF(($D$89+SUM($D$85:AD85))&gt;0,0,-($D$89+SUM($D$85:AD85)+SUM($E$91:AC91)))</f>
        <v>#REF!</v>
      </c>
      <c r="AE91" s="35" t="e">
        <f>IF(($D$89+SUM($D$85:AE85))&gt;0,0,-($D$89+SUM($D$85:AE85)+SUM($E$91:AD91)))</f>
        <v>#REF!</v>
      </c>
      <c r="AF91" s="35" t="e">
        <f>IF(($D$89+SUM($D$85:AF85))&gt;0,0,-($D$89+SUM($D$85:AF85)+SUM($E$91:AE91)))</f>
        <v>#REF!</v>
      </c>
      <c r="AG91" s="35" t="e">
        <f>IF(($D$89+SUM($D$85:AG85))&gt;0,0,-($D$89+SUM($D$85:AG85)+SUM($E$91:AF91)))</f>
        <v>#REF!</v>
      </c>
      <c r="AH91" s="35" t="e">
        <f>IF(($D$89+SUM($D$85:AH85))&gt;0,0,-($D$89+SUM($D$85:AH85)+SUM($E$91:AG91)))</f>
        <v>#REF!</v>
      </c>
      <c r="AI91" s="35" t="e">
        <f>IF(($D$89+SUM($D$85:AI85))&gt;0,0,-($D$89+SUM($D$85:AI85)+SUM($E$91:AH91)))</f>
        <v>#REF!</v>
      </c>
      <c r="AJ91" s="35" t="e">
        <f>IF(($D$89+SUM($D$85:AJ85))&gt;0,0,-($D$89+SUM($D$85:AJ85)+SUM($E$91:AI91)))</f>
        <v>#REF!</v>
      </c>
      <c r="AK91" s="35" t="e">
        <f>IF(($D$89+SUM($D$85:AK85))&gt;0,0,-($D$89+SUM($D$85:AK85)+SUM($E$91:AJ91)))</f>
        <v>#REF!</v>
      </c>
      <c r="AL91" s="35" t="e">
        <f>IF(($D$89+SUM($D$85:AL85))&gt;0,0,-($D$89+SUM($D$85:AL85)+SUM($E$91:AK91)))</f>
        <v>#REF!</v>
      </c>
      <c r="AM91" s="35" t="e">
        <f>IF(($D$89+SUM($D$85:AM85))&gt;0,0,-($D$89+SUM($D$85:AM85)+SUM($E$91:AL91)))</f>
        <v>#REF!</v>
      </c>
      <c r="AN91" s="35" t="e">
        <f>IF(($D$89+SUM($D$85:AN85))&gt;0,0,-($D$89+SUM($D$85:AN85)+SUM($E$91:AM91)))</f>
        <v>#REF!</v>
      </c>
      <c r="AO91" s="35" t="e">
        <f>IF(($D$89+SUM($D$85:AO85))&gt;0,0,-($D$89+SUM($D$85:AO85)+SUM($E$91:AN91)))</f>
        <v>#REF!</v>
      </c>
      <c r="AP91" s="35" t="e">
        <f>IF(($D$89+SUM($D$85:AP85))&gt;0,0,-($D$89+SUM($D$85:AP85)+SUM($E$91:AO91)))</f>
        <v>#REF!</v>
      </c>
      <c r="AQ91" s="35" t="e">
        <f>IF(($D$89+SUM($D$85:AQ85))&gt;0,0,-($D$89+SUM($D$85:AQ85)+SUM($E$91:AP91)))</f>
        <v>#REF!</v>
      </c>
      <c r="AR91" s="35" t="e">
        <f>IF(($D$89+SUM($D$85:AR85))&gt;0,0,-($D$89+SUM($D$85:AR85)+SUM($E$91:AQ91)))</f>
        <v>#REF!</v>
      </c>
      <c r="AS91" s="35" t="e">
        <f>IF(($D$89+SUM($D$85:AS85))&gt;0,0,-($D$89+SUM($D$85:AS85)+SUM($E$91:AR91)))</f>
        <v>#REF!</v>
      </c>
      <c r="AT91" s="35" t="e">
        <f>IF(($D$89+SUM($D$85:AT85))&gt;0,0,-($D$89+SUM($D$85:AT85)+SUM($E$91:AS91)))</f>
        <v>#REF!</v>
      </c>
      <c r="AU91" s="35" t="e">
        <f>IF(($D$89+SUM($D$85:AU85))&gt;0,0,-($D$89+SUM($D$85:AU85)+SUM($E$91:AT91)))</f>
        <v>#REF!</v>
      </c>
      <c r="AV91" s="35" t="e">
        <f>IF(($D$89+SUM($D$85:AV85))&gt;0,0,-($D$89+SUM($D$85:AV85)+SUM($E$91:AU91)))</f>
        <v>#REF!</v>
      </c>
      <c r="AW91" s="35" t="e">
        <f>IF(($D$89+SUM($D$85:AW85))&gt;0,0,-($D$89+SUM($D$85:AW85)+SUM($E$91:AV91)))</f>
        <v>#REF!</v>
      </c>
      <c r="AX91" s="35" t="e">
        <f>IF(($D$89+SUM($D$85:AX85))&gt;0,0,-($D$89+SUM($D$85:AX85)+SUM($E$91:AW91)))</f>
        <v>#REF!</v>
      </c>
      <c r="AY91" s="35" t="e">
        <f>IF(($D$89+SUM($D$85:AY85))&gt;0,0,-($D$89+SUM($D$85:AY85)+SUM($E$91:AX91)))</f>
        <v>#REF!</v>
      </c>
      <c r="AZ91" s="35" t="e">
        <f>IF(($D$89+SUM($D$85:AZ85))&gt;0,0,-($D$89+SUM($D$85:AZ85)+SUM($E$91:AY91)))</f>
        <v>#REF!</v>
      </c>
      <c r="BA91" s="35" t="e">
        <f>IF(($D$89+SUM($D$85:BA85))&gt;0,0,-($D$89+SUM($D$85:BA85)+SUM($E$91:AZ91)))</f>
        <v>#REF!</v>
      </c>
      <c r="BB91" s="35" t="e">
        <f>IF(($D$89+SUM($D$85:BB85))&gt;0,0,-($D$89+SUM($D$85:BB85)+SUM($E$91:BA91)))</f>
        <v>#REF!</v>
      </c>
      <c r="BC91" s="35" t="e">
        <f>IF(($D$89+SUM($D$85:BC85))&gt;0,0,-($D$89+SUM($D$85:BC85)+SUM($E$91:BB91)))</f>
        <v>#REF!</v>
      </c>
      <c r="BD91" s="35" t="e">
        <f>IF(($D$89+SUM($D$85:BD85))&gt;0,0,-($D$89+SUM($D$85:BD85)+SUM($E$91:BC91)))</f>
        <v>#REF!</v>
      </c>
      <c r="BE91" s="35" t="e">
        <f>IF(($D$89+SUM($D$85:BE85))&gt;0,0,-($D$89+SUM($D$85:BE85)+SUM($E$91:BD91)))</f>
        <v>#REF!</v>
      </c>
      <c r="BF91" s="35" t="e">
        <f>IF(($D$89+SUM($D$85:BF85))&gt;0,0,-($D$89+SUM($D$85:BF85)+SUM($E$91:BE91)))</f>
        <v>#REF!</v>
      </c>
      <c r="BG91" s="35" t="e">
        <f>IF(($D$89+SUM($D$85:BG85))&gt;0,0,-($D$89+SUM($D$85:BG85)+SUM($E$91:BF91)))</f>
        <v>#REF!</v>
      </c>
      <c r="BH91" s="35" t="e">
        <f>IF(($D$89+SUM($D$85:BH85))&gt;0,0,-($D$89+SUM($D$85:BH85)+SUM($E$91:BG91)))</f>
        <v>#REF!</v>
      </c>
      <c r="BI91" s="35" t="e">
        <f>IF(($D$89+SUM($D$85:BI85))&gt;0,0,-($D$89+SUM($D$85:BI85)+SUM($E$91:BH91)))</f>
        <v>#REF!</v>
      </c>
      <c r="BJ91" s="35" t="e">
        <f>IF(($D$89+SUM($D$85:BJ85))&gt;0,0,-($D$89+SUM($D$85:BJ85)+SUM($E$91:BI91)))</f>
        <v>#REF!</v>
      </c>
      <c r="BK91" s="35" t="e">
        <f>IF(($D$89+SUM($D$85:BK85))&gt;0,0,-($D$89+SUM($D$85:BK85)+SUM($E$91:BJ91)))</f>
        <v>#REF!</v>
      </c>
      <c r="BL91" s="35" t="e">
        <f>IF(($D$89+SUM($D$85:BL85))&gt;0,0,-($D$89+SUM($D$85:BL85)+SUM($E$91:BK91)))</f>
        <v>#REF!</v>
      </c>
      <c r="BM91" s="35" t="e">
        <f>IF(($D$89+SUM($D$85:BM85))&gt;0,0,-($D$89+SUM($D$85:BM85)+SUM($E$91:BL91)))</f>
        <v>#REF!</v>
      </c>
      <c r="BN91" s="35" t="e">
        <f>IF(($D$89+SUM($D$85:BN85))&gt;0,0,-($D$89+SUM($D$85:BN85)+SUM($E$91:BM91)))</f>
        <v>#REF!</v>
      </c>
      <c r="BO91" s="35" t="e">
        <f>IF(($D$89+SUM($D$85:BO85))&gt;0,0,-($D$89+SUM($D$85:BO85)+SUM($E$91:BN91)))</f>
        <v>#REF!</v>
      </c>
      <c r="BP91" s="35" t="e">
        <f>IF(($D$89+SUM($D$85:BP85))&gt;0,0,-($D$89+SUM($D$85:BP85)+SUM($E$91:BO91)))</f>
        <v>#REF!</v>
      </c>
      <c r="BQ91" s="35" t="e">
        <f>IF(($D$89+SUM($D$85:BQ85))&gt;0,0,-($D$89+SUM($D$85:BQ85)+SUM($E$91:BP91)))</f>
        <v>#REF!</v>
      </c>
      <c r="BR91" s="35" t="e">
        <f>IF(($D$89+SUM($D$85:BR85))&gt;0,0,-($D$89+SUM($D$85:BR85)+SUM($E$91:BQ91)))</f>
        <v>#REF!</v>
      </c>
      <c r="BS91" s="35" t="e">
        <f>IF(($D$89+SUM($D$85:BS85))&gt;0,0,-($D$89+SUM($D$85:BS85)+SUM($E$91:BR91)))</f>
        <v>#REF!</v>
      </c>
      <c r="BT91" s="35" t="e">
        <f>IF(($D$89+SUM($D$85:BT85))&gt;0,0,-($D$89+SUM($D$85:BT85)+SUM($E$91:BS91)))</f>
        <v>#REF!</v>
      </c>
      <c r="BU91" s="35" t="e">
        <f>IF(($D$89+SUM($D$85:BU85))&gt;0,0,-($D$89+SUM($D$85:BU85)+SUM($E$91:BT91)))</f>
        <v>#REF!</v>
      </c>
      <c r="BV91" s="35" t="e">
        <f>IF(($D$89+SUM($D$85:BV85))&gt;0,0,-($D$89+SUM($D$85:BV85)+SUM($E$91:BU91)))</f>
        <v>#REF!</v>
      </c>
      <c r="BW91" s="35" t="e">
        <f>IF(($D$89+SUM($D$85:BW85))&gt;0,0,-($D$89+SUM($D$85:BW85)+SUM($E$91:BV91)))</f>
        <v>#REF!</v>
      </c>
      <c r="BX91" s="35" t="e">
        <f>IF(($D$89+SUM($D$85:BX85))&gt;0,0,-($D$89+SUM($D$85:BX85)+SUM($E$91:BW91)))</f>
        <v>#REF!</v>
      </c>
      <c r="BY91" s="35" t="e">
        <f>IF(($D$89+SUM($D$85:BY85))&gt;0,0,-($D$89+SUM($D$85:BY85)+SUM($E$91:BX91)))</f>
        <v>#REF!</v>
      </c>
      <c r="BZ91" s="35" t="e">
        <f>IF(($D$89+SUM($D$85:BZ85))&gt;0,0,-($D$89+SUM($D$85:BZ85)+SUM($E$91:BY91)))</f>
        <v>#REF!</v>
      </c>
      <c r="CA91" s="35" t="e">
        <f>IF(($D$89+SUM($D$85:CA85))&gt;0,0,-($D$89+SUM($D$85:CA85)+SUM($E$91:BZ91)))</f>
        <v>#REF!</v>
      </c>
      <c r="CB91" s="35" t="e">
        <f>IF(($D$89+SUM($D$85:CB85))&gt;0,0,-($D$89+SUM($D$85:CB85)+SUM($E$91:CA91)))</f>
        <v>#REF!</v>
      </c>
      <c r="CC91" s="35" t="e">
        <f>IF(($D$89+SUM($D$85:CC85))&gt;0,0,-($D$89+SUM($D$85:CC85)+SUM($E$91:CB91)))</f>
        <v>#REF!</v>
      </c>
      <c r="CD91" s="35" t="e">
        <f>IF(($D$89+SUM($D$85:CD85))&gt;0,0,-($D$89+SUM($D$85:CD85)+SUM($E$91:CC91)))</f>
        <v>#REF!</v>
      </c>
      <c r="CE91" s="35" t="e">
        <f>IF(($D$89+SUM($D$85:CE85))&gt;0,0,-($D$89+SUM($D$85:CE85)+SUM($E$91:CD91)))</f>
        <v>#REF!</v>
      </c>
      <c r="CF91" s="35" t="e">
        <f>IF(($D$89+SUM($D$85:CF85))&gt;0,0,-($D$89+SUM($D$85:CF85)+SUM($E$91:CE91)))</f>
        <v>#REF!</v>
      </c>
      <c r="CG91" s="35" t="e">
        <f>IF(($D$89+SUM($D$85:CG85))&gt;0,0,-($D$89+SUM($D$85:CG85)+SUM($E$91:CF91)))</f>
        <v>#REF!</v>
      </c>
      <c r="CH91" s="35" t="e">
        <f>IF(($D$89+SUM($D$85:CH85))&gt;0,0,-($D$89+SUM($D$85:CH85)+SUM($E$91:CG91)))</f>
        <v>#REF!</v>
      </c>
      <c r="CI91" s="35" t="e">
        <f>IF(($D$89+SUM($D$85:CI85))&gt;0,0,-($D$89+SUM($D$85:CI85)+SUM($E$91:CH91)))</f>
        <v>#REF!</v>
      </c>
      <c r="CJ91" s="35" t="e">
        <f>IF(($D$89+SUM($D$85:CJ85))&gt;0,0,-($D$89+SUM($D$85:CJ85)+SUM($E$91:CI91)))</f>
        <v>#REF!</v>
      </c>
      <c r="CK91" s="35" t="e">
        <f>IF(($D$89+SUM($D$85:CK85))&gt;0,0,-($D$89+SUM($D$85:CK85)+SUM($E$91:CJ91)))</f>
        <v>#REF!</v>
      </c>
      <c r="CL91" s="35" t="e">
        <f>IF(($D$89+SUM($D$85:CL85))&gt;0,0,-($D$89+SUM($D$85:CL85)+SUM($E$91:CK91)))</f>
        <v>#REF!</v>
      </c>
      <c r="CM91" s="35" t="e">
        <f>IF(($D$89+SUM($D$85:CM85))&gt;0,0,-($D$89+SUM($D$85:CM85)+SUM($E$91:CL91)))</f>
        <v>#REF!</v>
      </c>
      <c r="CN91" s="35" t="e">
        <f>IF(($D$89+SUM($D$85:CN85))&gt;0,0,-($D$89+SUM($D$85:CN85)+SUM($E$91:CM91)))</f>
        <v>#REF!</v>
      </c>
      <c r="CO91" s="35"/>
    </row>
    <row r="92" spans="1:93" ht="12.75" customHeight="1">
      <c r="A92" s="35"/>
      <c r="B92" s="63" t="s">
        <v>185</v>
      </c>
      <c r="C92" s="35" t="e">
        <f t="shared" si="44"/>
        <v>#REF!</v>
      </c>
      <c r="D92" s="60" t="e">
        <f t="shared" ref="D92:CN92" si="45">D165</f>
        <v>#REF!</v>
      </c>
      <c r="E92" s="35" t="e">
        <f t="shared" si="45"/>
        <v>#REF!</v>
      </c>
      <c r="F92" s="35" t="e">
        <f t="shared" si="45"/>
        <v>#REF!</v>
      </c>
      <c r="G92" s="35" t="e">
        <f t="shared" si="45"/>
        <v>#REF!</v>
      </c>
      <c r="H92" s="35" t="e">
        <f t="shared" si="45"/>
        <v>#REF!</v>
      </c>
      <c r="I92" s="35" t="e">
        <f t="shared" si="45"/>
        <v>#REF!</v>
      </c>
      <c r="J92" s="35" t="e">
        <f t="shared" si="45"/>
        <v>#REF!</v>
      </c>
      <c r="K92" s="35" t="e">
        <f t="shared" si="45"/>
        <v>#REF!</v>
      </c>
      <c r="L92" s="35" t="e">
        <f t="shared" si="45"/>
        <v>#REF!</v>
      </c>
      <c r="M92" s="35" t="e">
        <f t="shared" si="45"/>
        <v>#REF!</v>
      </c>
      <c r="N92" s="35" t="e">
        <f t="shared" si="45"/>
        <v>#REF!</v>
      </c>
      <c r="O92" s="35" t="e">
        <f t="shared" si="45"/>
        <v>#REF!</v>
      </c>
      <c r="P92" s="35" t="e">
        <f t="shared" si="45"/>
        <v>#REF!</v>
      </c>
      <c r="Q92" s="35" t="e">
        <f t="shared" si="45"/>
        <v>#REF!</v>
      </c>
      <c r="R92" s="35" t="e">
        <f t="shared" si="45"/>
        <v>#REF!</v>
      </c>
      <c r="S92" s="35" t="e">
        <f t="shared" si="45"/>
        <v>#REF!</v>
      </c>
      <c r="T92" s="35" t="e">
        <f t="shared" si="45"/>
        <v>#REF!</v>
      </c>
      <c r="U92" s="35" t="e">
        <f t="shared" si="45"/>
        <v>#REF!</v>
      </c>
      <c r="V92" s="35" t="e">
        <f t="shared" si="45"/>
        <v>#REF!</v>
      </c>
      <c r="W92" s="35" t="e">
        <f t="shared" si="45"/>
        <v>#REF!</v>
      </c>
      <c r="X92" s="35" t="e">
        <f t="shared" si="45"/>
        <v>#REF!</v>
      </c>
      <c r="Y92" s="35" t="e">
        <f t="shared" si="45"/>
        <v>#REF!</v>
      </c>
      <c r="Z92" s="35" t="e">
        <f t="shared" si="45"/>
        <v>#REF!</v>
      </c>
      <c r="AA92" s="35" t="e">
        <f t="shared" si="45"/>
        <v>#REF!</v>
      </c>
      <c r="AB92" s="35" t="e">
        <f t="shared" si="45"/>
        <v>#REF!</v>
      </c>
      <c r="AC92" s="35" t="e">
        <f t="shared" si="45"/>
        <v>#REF!</v>
      </c>
      <c r="AD92" s="35" t="e">
        <f t="shared" si="45"/>
        <v>#REF!</v>
      </c>
      <c r="AE92" s="35" t="e">
        <f t="shared" si="45"/>
        <v>#REF!</v>
      </c>
      <c r="AF92" s="35" t="e">
        <f t="shared" si="45"/>
        <v>#REF!</v>
      </c>
      <c r="AG92" s="35" t="e">
        <f t="shared" si="45"/>
        <v>#REF!</v>
      </c>
      <c r="AH92" s="35" t="e">
        <f t="shared" si="45"/>
        <v>#REF!</v>
      </c>
      <c r="AI92" s="35" t="e">
        <f t="shared" si="45"/>
        <v>#REF!</v>
      </c>
      <c r="AJ92" s="35" t="e">
        <f t="shared" si="45"/>
        <v>#REF!</v>
      </c>
      <c r="AK92" s="35" t="e">
        <f t="shared" si="45"/>
        <v>#REF!</v>
      </c>
      <c r="AL92" s="35" t="e">
        <f t="shared" si="45"/>
        <v>#REF!</v>
      </c>
      <c r="AM92" s="35" t="e">
        <f t="shared" si="45"/>
        <v>#REF!</v>
      </c>
      <c r="AN92" s="35" t="e">
        <f t="shared" si="45"/>
        <v>#REF!</v>
      </c>
      <c r="AO92" s="35" t="e">
        <f t="shared" si="45"/>
        <v>#REF!</v>
      </c>
      <c r="AP92" s="35" t="e">
        <f t="shared" si="45"/>
        <v>#REF!</v>
      </c>
      <c r="AQ92" s="35" t="e">
        <f t="shared" si="45"/>
        <v>#REF!</v>
      </c>
      <c r="AR92" s="35" t="e">
        <f t="shared" si="45"/>
        <v>#REF!</v>
      </c>
      <c r="AS92" s="35" t="e">
        <f t="shared" si="45"/>
        <v>#REF!</v>
      </c>
      <c r="AT92" s="35" t="e">
        <f t="shared" si="45"/>
        <v>#REF!</v>
      </c>
      <c r="AU92" s="35" t="e">
        <f t="shared" si="45"/>
        <v>#REF!</v>
      </c>
      <c r="AV92" s="35" t="e">
        <f t="shared" si="45"/>
        <v>#REF!</v>
      </c>
      <c r="AW92" s="35" t="e">
        <f t="shared" si="45"/>
        <v>#REF!</v>
      </c>
      <c r="AX92" s="35" t="e">
        <f t="shared" si="45"/>
        <v>#REF!</v>
      </c>
      <c r="AY92" s="35" t="e">
        <f t="shared" si="45"/>
        <v>#REF!</v>
      </c>
      <c r="AZ92" s="35" t="e">
        <f t="shared" si="45"/>
        <v>#REF!</v>
      </c>
      <c r="BA92" s="35" t="e">
        <f t="shared" si="45"/>
        <v>#REF!</v>
      </c>
      <c r="BB92" s="35" t="e">
        <f t="shared" si="45"/>
        <v>#REF!</v>
      </c>
      <c r="BC92" s="35" t="e">
        <f t="shared" si="45"/>
        <v>#REF!</v>
      </c>
      <c r="BD92" s="35" t="e">
        <f t="shared" si="45"/>
        <v>#REF!</v>
      </c>
      <c r="BE92" s="35" t="e">
        <f t="shared" si="45"/>
        <v>#REF!</v>
      </c>
      <c r="BF92" s="35" t="e">
        <f t="shared" si="45"/>
        <v>#REF!</v>
      </c>
      <c r="BG92" s="35" t="e">
        <f t="shared" si="45"/>
        <v>#REF!</v>
      </c>
      <c r="BH92" s="35" t="e">
        <f t="shared" si="45"/>
        <v>#REF!</v>
      </c>
      <c r="BI92" s="35" t="e">
        <f t="shared" si="45"/>
        <v>#REF!</v>
      </c>
      <c r="BJ92" s="35" t="e">
        <f t="shared" si="45"/>
        <v>#REF!</v>
      </c>
      <c r="BK92" s="35" t="e">
        <f t="shared" si="45"/>
        <v>#REF!</v>
      </c>
      <c r="BL92" s="35" t="e">
        <f t="shared" si="45"/>
        <v>#REF!</v>
      </c>
      <c r="BM92" s="35" t="e">
        <f t="shared" si="45"/>
        <v>#REF!</v>
      </c>
      <c r="BN92" s="35" t="e">
        <f t="shared" si="45"/>
        <v>#REF!</v>
      </c>
      <c r="BO92" s="35" t="e">
        <f t="shared" si="45"/>
        <v>#REF!</v>
      </c>
      <c r="BP92" s="35" t="e">
        <f t="shared" si="45"/>
        <v>#REF!</v>
      </c>
      <c r="BQ92" s="35" t="e">
        <f t="shared" si="45"/>
        <v>#REF!</v>
      </c>
      <c r="BR92" s="35" t="e">
        <f t="shared" si="45"/>
        <v>#REF!</v>
      </c>
      <c r="BS92" s="35" t="e">
        <f t="shared" si="45"/>
        <v>#REF!</v>
      </c>
      <c r="BT92" s="35" t="e">
        <f t="shared" si="45"/>
        <v>#REF!</v>
      </c>
      <c r="BU92" s="35" t="e">
        <f t="shared" si="45"/>
        <v>#REF!</v>
      </c>
      <c r="BV92" s="35" t="e">
        <f t="shared" si="45"/>
        <v>#REF!</v>
      </c>
      <c r="BW92" s="35" t="e">
        <f t="shared" si="45"/>
        <v>#REF!</v>
      </c>
      <c r="BX92" s="35" t="e">
        <f t="shared" si="45"/>
        <v>#REF!</v>
      </c>
      <c r="BY92" s="35" t="e">
        <f t="shared" si="45"/>
        <v>#REF!</v>
      </c>
      <c r="BZ92" s="35" t="e">
        <f t="shared" si="45"/>
        <v>#REF!</v>
      </c>
      <c r="CA92" s="35" t="e">
        <f t="shared" si="45"/>
        <v>#REF!</v>
      </c>
      <c r="CB92" s="35" t="e">
        <f t="shared" si="45"/>
        <v>#REF!</v>
      </c>
      <c r="CC92" s="35" t="e">
        <f t="shared" si="45"/>
        <v>#REF!</v>
      </c>
      <c r="CD92" s="35" t="e">
        <f t="shared" si="45"/>
        <v>#REF!</v>
      </c>
      <c r="CE92" s="35" t="e">
        <f t="shared" si="45"/>
        <v>#REF!</v>
      </c>
      <c r="CF92" s="35" t="e">
        <f t="shared" si="45"/>
        <v>#REF!</v>
      </c>
      <c r="CG92" s="35" t="e">
        <f t="shared" si="45"/>
        <v>#REF!</v>
      </c>
      <c r="CH92" s="35" t="e">
        <f t="shared" si="45"/>
        <v>#REF!</v>
      </c>
      <c r="CI92" s="35" t="e">
        <f t="shared" si="45"/>
        <v>#REF!</v>
      </c>
      <c r="CJ92" s="35" t="e">
        <f t="shared" si="45"/>
        <v>#REF!</v>
      </c>
      <c r="CK92" s="35" t="e">
        <f t="shared" si="45"/>
        <v>#REF!</v>
      </c>
      <c r="CL92" s="35" t="e">
        <f t="shared" si="45"/>
        <v>#REF!</v>
      </c>
      <c r="CM92" s="35" t="e">
        <f t="shared" si="45"/>
        <v>#REF!</v>
      </c>
      <c r="CN92" s="35" t="e">
        <f t="shared" si="45"/>
        <v>#REF!</v>
      </c>
      <c r="CO92" s="35"/>
    </row>
    <row r="93" spans="1:93" ht="12.75" customHeight="1">
      <c r="A93" s="35"/>
      <c r="B93" s="63" t="s">
        <v>186</v>
      </c>
      <c r="C93" s="35" t="e">
        <f t="shared" si="44"/>
        <v>#REF!</v>
      </c>
      <c r="D93" s="60">
        <f t="shared" ref="D93:CN93" si="46">D167</f>
        <v>0</v>
      </c>
      <c r="E93" s="35" t="e">
        <f t="shared" si="46"/>
        <v>#REF!</v>
      </c>
      <c r="F93" s="35" t="e">
        <f t="shared" si="46"/>
        <v>#REF!</v>
      </c>
      <c r="G93" s="35" t="e">
        <f t="shared" si="46"/>
        <v>#REF!</v>
      </c>
      <c r="H93" s="35" t="e">
        <f t="shared" si="46"/>
        <v>#REF!</v>
      </c>
      <c r="I93" s="35" t="e">
        <f t="shared" si="46"/>
        <v>#REF!</v>
      </c>
      <c r="J93" s="35" t="e">
        <f t="shared" si="46"/>
        <v>#REF!</v>
      </c>
      <c r="K93" s="35" t="e">
        <f t="shared" si="46"/>
        <v>#REF!</v>
      </c>
      <c r="L93" s="35" t="e">
        <f t="shared" si="46"/>
        <v>#REF!</v>
      </c>
      <c r="M93" s="35" t="e">
        <f t="shared" si="46"/>
        <v>#REF!</v>
      </c>
      <c r="N93" s="35" t="e">
        <f t="shared" si="46"/>
        <v>#REF!</v>
      </c>
      <c r="O93" s="35" t="e">
        <f t="shared" si="46"/>
        <v>#REF!</v>
      </c>
      <c r="P93" s="35" t="e">
        <f t="shared" si="46"/>
        <v>#REF!</v>
      </c>
      <c r="Q93" s="35" t="e">
        <f t="shared" si="46"/>
        <v>#REF!</v>
      </c>
      <c r="R93" s="35" t="e">
        <f t="shared" si="46"/>
        <v>#REF!</v>
      </c>
      <c r="S93" s="35" t="e">
        <f t="shared" si="46"/>
        <v>#REF!</v>
      </c>
      <c r="T93" s="35" t="e">
        <f t="shared" si="46"/>
        <v>#REF!</v>
      </c>
      <c r="U93" s="35" t="e">
        <f t="shared" si="46"/>
        <v>#REF!</v>
      </c>
      <c r="V93" s="35" t="e">
        <f t="shared" si="46"/>
        <v>#REF!</v>
      </c>
      <c r="W93" s="35" t="e">
        <f t="shared" si="46"/>
        <v>#REF!</v>
      </c>
      <c r="X93" s="35" t="e">
        <f t="shared" si="46"/>
        <v>#REF!</v>
      </c>
      <c r="Y93" s="35" t="e">
        <f t="shared" si="46"/>
        <v>#REF!</v>
      </c>
      <c r="Z93" s="35" t="e">
        <f t="shared" si="46"/>
        <v>#REF!</v>
      </c>
      <c r="AA93" s="35" t="e">
        <f t="shared" si="46"/>
        <v>#REF!</v>
      </c>
      <c r="AB93" s="35" t="e">
        <f t="shared" si="46"/>
        <v>#REF!</v>
      </c>
      <c r="AC93" s="35" t="e">
        <f t="shared" si="46"/>
        <v>#REF!</v>
      </c>
      <c r="AD93" s="35" t="e">
        <f t="shared" si="46"/>
        <v>#REF!</v>
      </c>
      <c r="AE93" s="35" t="e">
        <f t="shared" si="46"/>
        <v>#REF!</v>
      </c>
      <c r="AF93" s="35" t="e">
        <f t="shared" si="46"/>
        <v>#REF!</v>
      </c>
      <c r="AG93" s="35" t="e">
        <f t="shared" si="46"/>
        <v>#REF!</v>
      </c>
      <c r="AH93" s="35" t="e">
        <f t="shared" si="46"/>
        <v>#REF!</v>
      </c>
      <c r="AI93" s="35" t="e">
        <f t="shared" si="46"/>
        <v>#REF!</v>
      </c>
      <c r="AJ93" s="35" t="e">
        <f t="shared" si="46"/>
        <v>#REF!</v>
      </c>
      <c r="AK93" s="35" t="e">
        <f t="shared" si="46"/>
        <v>#REF!</v>
      </c>
      <c r="AL93" s="35" t="e">
        <f t="shared" si="46"/>
        <v>#REF!</v>
      </c>
      <c r="AM93" s="35" t="e">
        <f t="shared" si="46"/>
        <v>#REF!</v>
      </c>
      <c r="AN93" s="35" t="e">
        <f t="shared" si="46"/>
        <v>#REF!</v>
      </c>
      <c r="AO93" s="35" t="e">
        <f t="shared" si="46"/>
        <v>#REF!</v>
      </c>
      <c r="AP93" s="35" t="e">
        <f t="shared" si="46"/>
        <v>#REF!</v>
      </c>
      <c r="AQ93" s="35" t="e">
        <f t="shared" si="46"/>
        <v>#REF!</v>
      </c>
      <c r="AR93" s="35" t="e">
        <f t="shared" si="46"/>
        <v>#REF!</v>
      </c>
      <c r="AS93" s="35" t="e">
        <f t="shared" si="46"/>
        <v>#REF!</v>
      </c>
      <c r="AT93" s="35" t="e">
        <f t="shared" si="46"/>
        <v>#REF!</v>
      </c>
      <c r="AU93" s="35" t="e">
        <f t="shared" si="46"/>
        <v>#REF!</v>
      </c>
      <c r="AV93" s="35" t="e">
        <f t="shared" si="46"/>
        <v>#REF!</v>
      </c>
      <c r="AW93" s="35" t="e">
        <f t="shared" si="46"/>
        <v>#REF!</v>
      </c>
      <c r="AX93" s="35" t="e">
        <f t="shared" si="46"/>
        <v>#REF!</v>
      </c>
      <c r="AY93" s="35" t="e">
        <f t="shared" si="46"/>
        <v>#REF!</v>
      </c>
      <c r="AZ93" s="35" t="e">
        <f t="shared" si="46"/>
        <v>#REF!</v>
      </c>
      <c r="BA93" s="35" t="e">
        <f t="shared" si="46"/>
        <v>#REF!</v>
      </c>
      <c r="BB93" s="35" t="e">
        <f t="shared" si="46"/>
        <v>#REF!</v>
      </c>
      <c r="BC93" s="35" t="e">
        <f t="shared" si="46"/>
        <v>#REF!</v>
      </c>
      <c r="BD93" s="35" t="e">
        <f t="shared" si="46"/>
        <v>#REF!</v>
      </c>
      <c r="BE93" s="35" t="e">
        <f t="shared" si="46"/>
        <v>#REF!</v>
      </c>
      <c r="BF93" s="35" t="e">
        <f t="shared" si="46"/>
        <v>#REF!</v>
      </c>
      <c r="BG93" s="35" t="e">
        <f t="shared" si="46"/>
        <v>#REF!</v>
      </c>
      <c r="BH93" s="35" t="e">
        <f t="shared" si="46"/>
        <v>#REF!</v>
      </c>
      <c r="BI93" s="35" t="e">
        <f t="shared" si="46"/>
        <v>#REF!</v>
      </c>
      <c r="BJ93" s="35" t="e">
        <f t="shared" si="46"/>
        <v>#REF!</v>
      </c>
      <c r="BK93" s="35" t="e">
        <f t="shared" si="46"/>
        <v>#REF!</v>
      </c>
      <c r="BL93" s="35" t="e">
        <f t="shared" si="46"/>
        <v>#REF!</v>
      </c>
      <c r="BM93" s="35" t="e">
        <f t="shared" si="46"/>
        <v>#REF!</v>
      </c>
      <c r="BN93" s="35" t="e">
        <f t="shared" si="46"/>
        <v>#REF!</v>
      </c>
      <c r="BO93" s="35" t="e">
        <f t="shared" si="46"/>
        <v>#REF!</v>
      </c>
      <c r="BP93" s="35" t="e">
        <f t="shared" si="46"/>
        <v>#REF!</v>
      </c>
      <c r="BQ93" s="35" t="e">
        <f t="shared" si="46"/>
        <v>#REF!</v>
      </c>
      <c r="BR93" s="35" t="e">
        <f t="shared" si="46"/>
        <v>#REF!</v>
      </c>
      <c r="BS93" s="35" t="e">
        <f t="shared" si="46"/>
        <v>#REF!</v>
      </c>
      <c r="BT93" s="35" t="e">
        <f t="shared" si="46"/>
        <v>#REF!</v>
      </c>
      <c r="BU93" s="35" t="e">
        <f t="shared" si="46"/>
        <v>#REF!</v>
      </c>
      <c r="BV93" s="35" t="e">
        <f t="shared" si="46"/>
        <v>#REF!</v>
      </c>
      <c r="BW93" s="35" t="e">
        <f t="shared" si="46"/>
        <v>#REF!</v>
      </c>
      <c r="BX93" s="35" t="e">
        <f t="shared" si="46"/>
        <v>#REF!</v>
      </c>
      <c r="BY93" s="35" t="e">
        <f t="shared" si="46"/>
        <v>#REF!</v>
      </c>
      <c r="BZ93" s="35" t="e">
        <f t="shared" si="46"/>
        <v>#REF!</v>
      </c>
      <c r="CA93" s="35" t="e">
        <f t="shared" si="46"/>
        <v>#REF!</v>
      </c>
      <c r="CB93" s="35" t="e">
        <f t="shared" si="46"/>
        <v>#REF!</v>
      </c>
      <c r="CC93" s="35" t="e">
        <f t="shared" si="46"/>
        <v>#REF!</v>
      </c>
      <c r="CD93" s="35" t="e">
        <f t="shared" si="46"/>
        <v>#REF!</v>
      </c>
      <c r="CE93" s="35" t="e">
        <f t="shared" si="46"/>
        <v>#REF!</v>
      </c>
      <c r="CF93" s="35" t="e">
        <f t="shared" si="46"/>
        <v>#REF!</v>
      </c>
      <c r="CG93" s="35" t="e">
        <f t="shared" si="46"/>
        <v>#REF!</v>
      </c>
      <c r="CH93" s="35" t="e">
        <f t="shared" si="46"/>
        <v>#REF!</v>
      </c>
      <c r="CI93" s="35" t="e">
        <f t="shared" si="46"/>
        <v>#REF!</v>
      </c>
      <c r="CJ93" s="35" t="e">
        <f t="shared" si="46"/>
        <v>#REF!</v>
      </c>
      <c r="CK93" s="35" t="e">
        <f t="shared" si="46"/>
        <v>#REF!</v>
      </c>
      <c r="CL93" s="35" t="e">
        <f t="shared" si="46"/>
        <v>#REF!</v>
      </c>
      <c r="CM93" s="35" t="e">
        <f t="shared" si="46"/>
        <v>#REF!</v>
      </c>
      <c r="CN93" s="35" t="e">
        <f t="shared" si="46"/>
        <v>#REF!</v>
      </c>
      <c r="CO93" s="35"/>
    </row>
    <row r="94" spans="1:93" ht="12.75" customHeight="1">
      <c r="A94" s="90"/>
      <c r="B94" s="91" t="s">
        <v>187</v>
      </c>
      <c r="C94" s="91" t="e">
        <f t="shared" si="44"/>
        <v>#REF!</v>
      </c>
      <c r="D94" s="71" t="e">
        <f t="shared" ref="D94:CN94" si="47">SUM(D89:D93)</f>
        <v>#REF!</v>
      </c>
      <c r="E94" s="91" t="e">
        <f t="shared" si="47"/>
        <v>#REF!</v>
      </c>
      <c r="F94" s="91" t="e">
        <f t="shared" si="47"/>
        <v>#REF!</v>
      </c>
      <c r="G94" s="91" t="e">
        <f t="shared" si="47"/>
        <v>#REF!</v>
      </c>
      <c r="H94" s="91" t="e">
        <f t="shared" si="47"/>
        <v>#REF!</v>
      </c>
      <c r="I94" s="91" t="e">
        <f t="shared" si="47"/>
        <v>#REF!</v>
      </c>
      <c r="J94" s="91" t="e">
        <f t="shared" si="47"/>
        <v>#REF!</v>
      </c>
      <c r="K94" s="91" t="e">
        <f t="shared" si="47"/>
        <v>#REF!</v>
      </c>
      <c r="L94" s="91" t="e">
        <f t="shared" si="47"/>
        <v>#REF!</v>
      </c>
      <c r="M94" s="91" t="e">
        <f t="shared" si="47"/>
        <v>#REF!</v>
      </c>
      <c r="N94" s="91" t="e">
        <f t="shared" si="47"/>
        <v>#REF!</v>
      </c>
      <c r="O94" s="91" t="e">
        <f t="shared" si="47"/>
        <v>#REF!</v>
      </c>
      <c r="P94" s="91" t="e">
        <f t="shared" si="47"/>
        <v>#REF!</v>
      </c>
      <c r="Q94" s="91" t="e">
        <f t="shared" si="47"/>
        <v>#REF!</v>
      </c>
      <c r="R94" s="91" t="e">
        <f t="shared" si="47"/>
        <v>#REF!</v>
      </c>
      <c r="S94" s="91" t="e">
        <f t="shared" si="47"/>
        <v>#REF!</v>
      </c>
      <c r="T94" s="91" t="e">
        <f t="shared" si="47"/>
        <v>#REF!</v>
      </c>
      <c r="U94" s="91" t="e">
        <f t="shared" si="47"/>
        <v>#REF!</v>
      </c>
      <c r="V94" s="91" t="e">
        <f t="shared" si="47"/>
        <v>#REF!</v>
      </c>
      <c r="W94" s="91" t="e">
        <f t="shared" si="47"/>
        <v>#REF!</v>
      </c>
      <c r="X94" s="91" t="e">
        <f t="shared" si="47"/>
        <v>#REF!</v>
      </c>
      <c r="Y94" s="91" t="e">
        <f t="shared" si="47"/>
        <v>#REF!</v>
      </c>
      <c r="Z94" s="91" t="e">
        <f t="shared" si="47"/>
        <v>#REF!</v>
      </c>
      <c r="AA94" s="91" t="e">
        <f t="shared" si="47"/>
        <v>#REF!</v>
      </c>
      <c r="AB94" s="91" t="e">
        <f t="shared" si="47"/>
        <v>#REF!</v>
      </c>
      <c r="AC94" s="91" t="e">
        <f t="shared" si="47"/>
        <v>#REF!</v>
      </c>
      <c r="AD94" s="91" t="e">
        <f t="shared" si="47"/>
        <v>#REF!</v>
      </c>
      <c r="AE94" s="91" t="e">
        <f t="shared" si="47"/>
        <v>#REF!</v>
      </c>
      <c r="AF94" s="91" t="e">
        <f t="shared" si="47"/>
        <v>#REF!</v>
      </c>
      <c r="AG94" s="91" t="e">
        <f t="shared" si="47"/>
        <v>#REF!</v>
      </c>
      <c r="AH94" s="91" t="e">
        <f t="shared" si="47"/>
        <v>#REF!</v>
      </c>
      <c r="AI94" s="91" t="e">
        <f t="shared" si="47"/>
        <v>#REF!</v>
      </c>
      <c r="AJ94" s="91" t="e">
        <f t="shared" si="47"/>
        <v>#REF!</v>
      </c>
      <c r="AK94" s="70" t="e">
        <f t="shared" si="47"/>
        <v>#REF!</v>
      </c>
      <c r="AL94" s="91" t="e">
        <f t="shared" si="47"/>
        <v>#REF!</v>
      </c>
      <c r="AM94" s="91" t="e">
        <f t="shared" si="47"/>
        <v>#REF!</v>
      </c>
      <c r="AN94" s="91" t="e">
        <f t="shared" si="47"/>
        <v>#REF!</v>
      </c>
      <c r="AO94" s="91" t="e">
        <f t="shared" si="47"/>
        <v>#REF!</v>
      </c>
      <c r="AP94" s="91" t="e">
        <f t="shared" si="47"/>
        <v>#REF!</v>
      </c>
      <c r="AQ94" s="91" t="e">
        <f t="shared" si="47"/>
        <v>#REF!</v>
      </c>
      <c r="AR94" s="91" t="e">
        <f t="shared" si="47"/>
        <v>#REF!</v>
      </c>
      <c r="AS94" s="91" t="e">
        <f t="shared" si="47"/>
        <v>#REF!</v>
      </c>
      <c r="AT94" s="91" t="e">
        <f t="shared" si="47"/>
        <v>#REF!</v>
      </c>
      <c r="AU94" s="91" t="e">
        <f t="shared" si="47"/>
        <v>#REF!</v>
      </c>
      <c r="AV94" s="91" t="e">
        <f t="shared" si="47"/>
        <v>#REF!</v>
      </c>
      <c r="AW94" s="91" t="e">
        <f t="shared" si="47"/>
        <v>#REF!</v>
      </c>
      <c r="AX94" s="91" t="e">
        <f t="shared" si="47"/>
        <v>#REF!</v>
      </c>
      <c r="AY94" s="91" t="e">
        <f t="shared" si="47"/>
        <v>#REF!</v>
      </c>
      <c r="AZ94" s="91" t="e">
        <f t="shared" si="47"/>
        <v>#REF!</v>
      </c>
      <c r="BA94" s="91" t="e">
        <f t="shared" si="47"/>
        <v>#REF!</v>
      </c>
      <c r="BB94" s="91" t="e">
        <f t="shared" si="47"/>
        <v>#REF!</v>
      </c>
      <c r="BC94" s="91" t="e">
        <f t="shared" si="47"/>
        <v>#REF!</v>
      </c>
      <c r="BD94" s="91" t="e">
        <f t="shared" si="47"/>
        <v>#REF!</v>
      </c>
      <c r="BE94" s="91" t="e">
        <f t="shared" si="47"/>
        <v>#REF!</v>
      </c>
      <c r="BF94" s="91" t="e">
        <f t="shared" si="47"/>
        <v>#REF!</v>
      </c>
      <c r="BG94" s="91" t="e">
        <f t="shared" si="47"/>
        <v>#REF!</v>
      </c>
      <c r="BH94" s="91" t="e">
        <f t="shared" si="47"/>
        <v>#REF!</v>
      </c>
      <c r="BI94" s="91" t="e">
        <f t="shared" si="47"/>
        <v>#REF!</v>
      </c>
      <c r="BJ94" s="91" t="e">
        <f t="shared" si="47"/>
        <v>#REF!</v>
      </c>
      <c r="BK94" s="91" t="e">
        <f t="shared" si="47"/>
        <v>#REF!</v>
      </c>
      <c r="BL94" s="91" t="e">
        <f t="shared" si="47"/>
        <v>#REF!</v>
      </c>
      <c r="BM94" s="91" t="e">
        <f t="shared" si="47"/>
        <v>#REF!</v>
      </c>
      <c r="BN94" s="91" t="e">
        <f t="shared" si="47"/>
        <v>#REF!</v>
      </c>
      <c r="BO94" s="91" t="e">
        <f t="shared" si="47"/>
        <v>#REF!</v>
      </c>
      <c r="BP94" s="91" t="e">
        <f t="shared" si="47"/>
        <v>#REF!</v>
      </c>
      <c r="BQ94" s="91" t="e">
        <f t="shared" si="47"/>
        <v>#REF!</v>
      </c>
      <c r="BR94" s="91" t="e">
        <f t="shared" si="47"/>
        <v>#REF!</v>
      </c>
      <c r="BS94" s="91" t="e">
        <f t="shared" si="47"/>
        <v>#REF!</v>
      </c>
      <c r="BT94" s="91" t="e">
        <f t="shared" si="47"/>
        <v>#REF!</v>
      </c>
      <c r="BU94" s="91" t="e">
        <f t="shared" si="47"/>
        <v>#REF!</v>
      </c>
      <c r="BV94" s="91" t="e">
        <f t="shared" si="47"/>
        <v>#REF!</v>
      </c>
      <c r="BW94" s="91" t="e">
        <f t="shared" si="47"/>
        <v>#REF!</v>
      </c>
      <c r="BX94" s="91" t="e">
        <f t="shared" si="47"/>
        <v>#REF!</v>
      </c>
      <c r="BY94" s="91" t="e">
        <f t="shared" si="47"/>
        <v>#REF!</v>
      </c>
      <c r="BZ94" s="91" t="e">
        <f t="shared" si="47"/>
        <v>#REF!</v>
      </c>
      <c r="CA94" s="91" t="e">
        <f t="shared" si="47"/>
        <v>#REF!</v>
      </c>
      <c r="CB94" s="91" t="e">
        <f t="shared" si="47"/>
        <v>#REF!</v>
      </c>
      <c r="CC94" s="91" t="e">
        <f t="shared" si="47"/>
        <v>#REF!</v>
      </c>
      <c r="CD94" s="91" t="e">
        <f t="shared" si="47"/>
        <v>#REF!</v>
      </c>
      <c r="CE94" s="91" t="e">
        <f t="shared" si="47"/>
        <v>#REF!</v>
      </c>
      <c r="CF94" s="91" t="e">
        <f t="shared" si="47"/>
        <v>#REF!</v>
      </c>
      <c r="CG94" s="91" t="e">
        <f t="shared" si="47"/>
        <v>#REF!</v>
      </c>
      <c r="CH94" s="91" t="e">
        <f t="shared" si="47"/>
        <v>#REF!</v>
      </c>
      <c r="CI94" s="91" t="e">
        <f t="shared" si="47"/>
        <v>#REF!</v>
      </c>
      <c r="CJ94" s="91" t="e">
        <f t="shared" si="47"/>
        <v>#REF!</v>
      </c>
      <c r="CK94" s="91" t="e">
        <f t="shared" si="47"/>
        <v>#REF!</v>
      </c>
      <c r="CL94" s="91" t="e">
        <f t="shared" si="47"/>
        <v>#REF!</v>
      </c>
      <c r="CM94" s="91" t="e">
        <f t="shared" si="47"/>
        <v>#REF!</v>
      </c>
      <c r="CN94" s="91" t="e">
        <f t="shared" si="47"/>
        <v>#REF!</v>
      </c>
      <c r="CO94" s="90"/>
    </row>
    <row r="95" spans="1:93" ht="12.75" customHeight="1">
      <c r="A95" s="90"/>
      <c r="B95" s="93" t="s">
        <v>188</v>
      </c>
      <c r="C95" s="90"/>
      <c r="D95" s="92">
        <v>0</v>
      </c>
      <c r="E95" s="90" t="e">
        <f t="shared" ref="E95:CN95" si="48">D97</f>
        <v>#REF!</v>
      </c>
      <c r="F95" s="90" t="e">
        <f t="shared" si="48"/>
        <v>#REF!</v>
      </c>
      <c r="G95" s="90" t="e">
        <f t="shared" si="48"/>
        <v>#REF!</v>
      </c>
      <c r="H95" s="90" t="e">
        <f t="shared" si="48"/>
        <v>#REF!</v>
      </c>
      <c r="I95" s="90" t="e">
        <f t="shared" si="48"/>
        <v>#REF!</v>
      </c>
      <c r="J95" s="90" t="e">
        <f t="shared" si="48"/>
        <v>#REF!</v>
      </c>
      <c r="K95" s="90" t="e">
        <f t="shared" si="48"/>
        <v>#REF!</v>
      </c>
      <c r="L95" s="90" t="e">
        <f t="shared" si="48"/>
        <v>#REF!</v>
      </c>
      <c r="M95" s="90" t="e">
        <f t="shared" si="48"/>
        <v>#REF!</v>
      </c>
      <c r="N95" s="90" t="e">
        <f t="shared" si="48"/>
        <v>#REF!</v>
      </c>
      <c r="O95" s="90" t="e">
        <f t="shared" si="48"/>
        <v>#REF!</v>
      </c>
      <c r="P95" s="90" t="e">
        <f t="shared" si="48"/>
        <v>#REF!</v>
      </c>
      <c r="Q95" s="90" t="e">
        <f t="shared" si="48"/>
        <v>#REF!</v>
      </c>
      <c r="R95" s="90" t="e">
        <f t="shared" si="48"/>
        <v>#REF!</v>
      </c>
      <c r="S95" s="90" t="e">
        <f t="shared" si="48"/>
        <v>#REF!</v>
      </c>
      <c r="T95" s="90" t="e">
        <f t="shared" si="48"/>
        <v>#REF!</v>
      </c>
      <c r="U95" s="90" t="e">
        <f t="shared" si="48"/>
        <v>#REF!</v>
      </c>
      <c r="V95" s="90" t="e">
        <f t="shared" si="48"/>
        <v>#REF!</v>
      </c>
      <c r="W95" s="90" t="e">
        <f t="shared" si="48"/>
        <v>#REF!</v>
      </c>
      <c r="X95" s="90" t="e">
        <f t="shared" si="48"/>
        <v>#REF!</v>
      </c>
      <c r="Y95" s="90" t="e">
        <f t="shared" si="48"/>
        <v>#REF!</v>
      </c>
      <c r="Z95" s="90" t="e">
        <f t="shared" si="48"/>
        <v>#REF!</v>
      </c>
      <c r="AA95" s="90" t="e">
        <f t="shared" si="48"/>
        <v>#REF!</v>
      </c>
      <c r="AB95" s="90" t="e">
        <f t="shared" si="48"/>
        <v>#REF!</v>
      </c>
      <c r="AC95" s="90" t="e">
        <f t="shared" si="48"/>
        <v>#REF!</v>
      </c>
      <c r="AD95" s="90" t="e">
        <f t="shared" si="48"/>
        <v>#REF!</v>
      </c>
      <c r="AE95" s="90" t="e">
        <f t="shared" si="48"/>
        <v>#REF!</v>
      </c>
      <c r="AF95" s="90" t="e">
        <f t="shared" si="48"/>
        <v>#REF!</v>
      </c>
      <c r="AG95" s="90" t="e">
        <f t="shared" si="48"/>
        <v>#REF!</v>
      </c>
      <c r="AH95" s="90" t="e">
        <f t="shared" si="48"/>
        <v>#REF!</v>
      </c>
      <c r="AI95" s="90" t="e">
        <f t="shared" si="48"/>
        <v>#REF!</v>
      </c>
      <c r="AJ95" s="90" t="e">
        <f t="shared" si="48"/>
        <v>#REF!</v>
      </c>
      <c r="AK95" s="37" t="e">
        <f t="shared" si="48"/>
        <v>#REF!</v>
      </c>
      <c r="AL95" s="90" t="e">
        <f t="shared" si="48"/>
        <v>#REF!</v>
      </c>
      <c r="AM95" s="90" t="e">
        <f t="shared" si="48"/>
        <v>#REF!</v>
      </c>
      <c r="AN95" s="90" t="e">
        <f t="shared" si="48"/>
        <v>#REF!</v>
      </c>
      <c r="AO95" s="90" t="e">
        <f t="shared" si="48"/>
        <v>#REF!</v>
      </c>
      <c r="AP95" s="90" t="e">
        <f t="shared" si="48"/>
        <v>#REF!</v>
      </c>
      <c r="AQ95" s="90" t="e">
        <f t="shared" si="48"/>
        <v>#REF!</v>
      </c>
      <c r="AR95" s="90" t="e">
        <f t="shared" si="48"/>
        <v>#REF!</v>
      </c>
      <c r="AS95" s="90" t="e">
        <f t="shared" si="48"/>
        <v>#REF!</v>
      </c>
      <c r="AT95" s="90" t="e">
        <f t="shared" si="48"/>
        <v>#REF!</v>
      </c>
      <c r="AU95" s="90" t="e">
        <f t="shared" si="48"/>
        <v>#REF!</v>
      </c>
      <c r="AV95" s="90" t="e">
        <f t="shared" si="48"/>
        <v>#REF!</v>
      </c>
      <c r="AW95" s="90" t="e">
        <f t="shared" si="48"/>
        <v>#REF!</v>
      </c>
      <c r="AX95" s="90" t="e">
        <f t="shared" si="48"/>
        <v>#REF!</v>
      </c>
      <c r="AY95" s="90" t="e">
        <f t="shared" si="48"/>
        <v>#REF!</v>
      </c>
      <c r="AZ95" s="90" t="e">
        <f t="shared" si="48"/>
        <v>#REF!</v>
      </c>
      <c r="BA95" s="90" t="e">
        <f t="shared" si="48"/>
        <v>#REF!</v>
      </c>
      <c r="BB95" s="90" t="e">
        <f t="shared" si="48"/>
        <v>#REF!</v>
      </c>
      <c r="BC95" s="90" t="e">
        <f t="shared" si="48"/>
        <v>#REF!</v>
      </c>
      <c r="BD95" s="90" t="e">
        <f t="shared" si="48"/>
        <v>#REF!</v>
      </c>
      <c r="BE95" s="90" t="e">
        <f t="shared" si="48"/>
        <v>#REF!</v>
      </c>
      <c r="BF95" s="90" t="e">
        <f t="shared" si="48"/>
        <v>#REF!</v>
      </c>
      <c r="BG95" s="90" t="e">
        <f t="shared" si="48"/>
        <v>#REF!</v>
      </c>
      <c r="BH95" s="90" t="e">
        <f t="shared" si="48"/>
        <v>#REF!</v>
      </c>
      <c r="BI95" s="90" t="e">
        <f t="shared" si="48"/>
        <v>#REF!</v>
      </c>
      <c r="BJ95" s="90" t="e">
        <f t="shared" si="48"/>
        <v>#REF!</v>
      </c>
      <c r="BK95" s="90" t="e">
        <f t="shared" si="48"/>
        <v>#REF!</v>
      </c>
      <c r="BL95" s="90" t="e">
        <f t="shared" si="48"/>
        <v>#REF!</v>
      </c>
      <c r="BM95" s="90" t="e">
        <f t="shared" si="48"/>
        <v>#REF!</v>
      </c>
      <c r="BN95" s="90" t="e">
        <f t="shared" si="48"/>
        <v>#REF!</v>
      </c>
      <c r="BO95" s="90" t="e">
        <f t="shared" si="48"/>
        <v>#REF!</v>
      </c>
      <c r="BP95" s="90" t="e">
        <f t="shared" si="48"/>
        <v>#REF!</v>
      </c>
      <c r="BQ95" s="90" t="e">
        <f t="shared" si="48"/>
        <v>#REF!</v>
      </c>
      <c r="BR95" s="90" t="e">
        <f t="shared" si="48"/>
        <v>#REF!</v>
      </c>
      <c r="BS95" s="90" t="e">
        <f t="shared" si="48"/>
        <v>#REF!</v>
      </c>
      <c r="BT95" s="90" t="e">
        <f t="shared" si="48"/>
        <v>#REF!</v>
      </c>
      <c r="BU95" s="90" t="e">
        <f t="shared" si="48"/>
        <v>#REF!</v>
      </c>
      <c r="BV95" s="90" t="e">
        <f t="shared" si="48"/>
        <v>#REF!</v>
      </c>
      <c r="BW95" s="90" t="e">
        <f t="shared" si="48"/>
        <v>#REF!</v>
      </c>
      <c r="BX95" s="90" t="e">
        <f t="shared" si="48"/>
        <v>#REF!</v>
      </c>
      <c r="BY95" s="90" t="e">
        <f t="shared" si="48"/>
        <v>#REF!</v>
      </c>
      <c r="BZ95" s="90" t="e">
        <f t="shared" si="48"/>
        <v>#REF!</v>
      </c>
      <c r="CA95" s="90" t="e">
        <f t="shared" si="48"/>
        <v>#REF!</v>
      </c>
      <c r="CB95" s="90" t="e">
        <f t="shared" si="48"/>
        <v>#REF!</v>
      </c>
      <c r="CC95" s="90" t="e">
        <f t="shared" si="48"/>
        <v>#REF!</v>
      </c>
      <c r="CD95" s="90" t="e">
        <f t="shared" si="48"/>
        <v>#REF!</v>
      </c>
      <c r="CE95" s="90" t="e">
        <f t="shared" si="48"/>
        <v>#REF!</v>
      </c>
      <c r="CF95" s="90" t="e">
        <f t="shared" si="48"/>
        <v>#REF!</v>
      </c>
      <c r="CG95" s="90" t="e">
        <f t="shared" si="48"/>
        <v>#REF!</v>
      </c>
      <c r="CH95" s="90" t="e">
        <f t="shared" si="48"/>
        <v>#REF!</v>
      </c>
      <c r="CI95" s="90" t="e">
        <f t="shared" si="48"/>
        <v>#REF!</v>
      </c>
      <c r="CJ95" s="90" t="e">
        <f t="shared" si="48"/>
        <v>#REF!</v>
      </c>
      <c r="CK95" s="90" t="e">
        <f t="shared" si="48"/>
        <v>#REF!</v>
      </c>
      <c r="CL95" s="90" t="e">
        <f t="shared" si="48"/>
        <v>#REF!</v>
      </c>
      <c r="CM95" s="90" t="e">
        <f t="shared" si="48"/>
        <v>#REF!</v>
      </c>
      <c r="CN95" s="90" t="e">
        <f t="shared" si="48"/>
        <v>#REF!</v>
      </c>
      <c r="CO95" s="90"/>
    </row>
    <row r="96" spans="1:93" ht="12.75" customHeight="1">
      <c r="A96" s="90"/>
      <c r="B96" s="93" t="s">
        <v>189</v>
      </c>
      <c r="C96" s="90" t="e">
        <f t="shared" si="44"/>
        <v>#REF!</v>
      </c>
      <c r="D96" s="92" t="e">
        <f t="shared" ref="D96:CN96" si="49">SUM(D83,D87,D94)</f>
        <v>#REF!</v>
      </c>
      <c r="E96" s="90" t="e">
        <f t="shared" si="49"/>
        <v>#REF!</v>
      </c>
      <c r="F96" s="90" t="e">
        <f t="shared" si="49"/>
        <v>#REF!</v>
      </c>
      <c r="G96" s="90" t="e">
        <f t="shared" si="49"/>
        <v>#REF!</v>
      </c>
      <c r="H96" s="90" t="e">
        <f t="shared" si="49"/>
        <v>#REF!</v>
      </c>
      <c r="I96" s="90" t="e">
        <f t="shared" si="49"/>
        <v>#REF!</v>
      </c>
      <c r="J96" s="90" t="e">
        <f t="shared" si="49"/>
        <v>#REF!</v>
      </c>
      <c r="K96" s="90" t="e">
        <f t="shared" si="49"/>
        <v>#REF!</v>
      </c>
      <c r="L96" s="90" t="e">
        <f t="shared" si="49"/>
        <v>#REF!</v>
      </c>
      <c r="M96" s="90" t="e">
        <f t="shared" si="49"/>
        <v>#REF!</v>
      </c>
      <c r="N96" s="90" t="e">
        <f t="shared" si="49"/>
        <v>#REF!</v>
      </c>
      <c r="O96" s="90" t="e">
        <f t="shared" si="49"/>
        <v>#REF!</v>
      </c>
      <c r="P96" s="90" t="e">
        <f t="shared" si="49"/>
        <v>#REF!</v>
      </c>
      <c r="Q96" s="90" t="e">
        <f t="shared" si="49"/>
        <v>#REF!</v>
      </c>
      <c r="R96" s="90" t="e">
        <f t="shared" si="49"/>
        <v>#REF!</v>
      </c>
      <c r="S96" s="90" t="e">
        <f t="shared" si="49"/>
        <v>#REF!</v>
      </c>
      <c r="T96" s="90" t="e">
        <f t="shared" si="49"/>
        <v>#REF!</v>
      </c>
      <c r="U96" s="90" t="e">
        <f t="shared" si="49"/>
        <v>#REF!</v>
      </c>
      <c r="V96" s="90" t="e">
        <f t="shared" si="49"/>
        <v>#REF!</v>
      </c>
      <c r="W96" s="90" t="e">
        <f t="shared" si="49"/>
        <v>#REF!</v>
      </c>
      <c r="X96" s="90" t="e">
        <f t="shared" si="49"/>
        <v>#REF!</v>
      </c>
      <c r="Y96" s="90" t="e">
        <f t="shared" si="49"/>
        <v>#REF!</v>
      </c>
      <c r="Z96" s="90" t="e">
        <f t="shared" si="49"/>
        <v>#REF!</v>
      </c>
      <c r="AA96" s="90" t="e">
        <f t="shared" si="49"/>
        <v>#REF!</v>
      </c>
      <c r="AB96" s="90" t="e">
        <f t="shared" si="49"/>
        <v>#REF!</v>
      </c>
      <c r="AC96" s="90" t="e">
        <f t="shared" si="49"/>
        <v>#REF!</v>
      </c>
      <c r="AD96" s="90" t="e">
        <f t="shared" si="49"/>
        <v>#REF!</v>
      </c>
      <c r="AE96" s="90" t="e">
        <f t="shared" si="49"/>
        <v>#REF!</v>
      </c>
      <c r="AF96" s="90" t="e">
        <f t="shared" si="49"/>
        <v>#REF!</v>
      </c>
      <c r="AG96" s="90" t="e">
        <f t="shared" si="49"/>
        <v>#REF!</v>
      </c>
      <c r="AH96" s="90" t="e">
        <f t="shared" si="49"/>
        <v>#REF!</v>
      </c>
      <c r="AI96" s="90" t="e">
        <f t="shared" si="49"/>
        <v>#REF!</v>
      </c>
      <c r="AJ96" s="90" t="e">
        <f t="shared" si="49"/>
        <v>#REF!</v>
      </c>
      <c r="AK96" s="37" t="e">
        <f t="shared" si="49"/>
        <v>#REF!</v>
      </c>
      <c r="AL96" s="90" t="e">
        <f t="shared" si="49"/>
        <v>#REF!</v>
      </c>
      <c r="AM96" s="90" t="e">
        <f t="shared" si="49"/>
        <v>#REF!</v>
      </c>
      <c r="AN96" s="90" t="e">
        <f t="shared" si="49"/>
        <v>#REF!</v>
      </c>
      <c r="AO96" s="90" t="e">
        <f t="shared" si="49"/>
        <v>#REF!</v>
      </c>
      <c r="AP96" s="90" t="e">
        <f t="shared" si="49"/>
        <v>#REF!</v>
      </c>
      <c r="AQ96" s="90" t="e">
        <f t="shared" si="49"/>
        <v>#REF!</v>
      </c>
      <c r="AR96" s="90" t="e">
        <f t="shared" si="49"/>
        <v>#REF!</v>
      </c>
      <c r="AS96" s="90" t="e">
        <f t="shared" si="49"/>
        <v>#REF!</v>
      </c>
      <c r="AT96" s="90" t="e">
        <f t="shared" si="49"/>
        <v>#REF!</v>
      </c>
      <c r="AU96" s="90" t="e">
        <f t="shared" si="49"/>
        <v>#REF!</v>
      </c>
      <c r="AV96" s="90" t="e">
        <f t="shared" si="49"/>
        <v>#REF!</v>
      </c>
      <c r="AW96" s="90" t="e">
        <f t="shared" si="49"/>
        <v>#REF!</v>
      </c>
      <c r="AX96" s="90" t="e">
        <f t="shared" si="49"/>
        <v>#REF!</v>
      </c>
      <c r="AY96" s="90" t="e">
        <f t="shared" si="49"/>
        <v>#REF!</v>
      </c>
      <c r="AZ96" s="90" t="e">
        <f t="shared" si="49"/>
        <v>#REF!</v>
      </c>
      <c r="BA96" s="90" t="e">
        <f t="shared" si="49"/>
        <v>#REF!</v>
      </c>
      <c r="BB96" s="90" t="e">
        <f t="shared" si="49"/>
        <v>#REF!</v>
      </c>
      <c r="BC96" s="90" t="e">
        <f t="shared" si="49"/>
        <v>#REF!</v>
      </c>
      <c r="BD96" s="90" t="e">
        <f t="shared" si="49"/>
        <v>#REF!</v>
      </c>
      <c r="BE96" s="90" t="e">
        <f t="shared" si="49"/>
        <v>#REF!</v>
      </c>
      <c r="BF96" s="90" t="e">
        <f t="shared" si="49"/>
        <v>#REF!</v>
      </c>
      <c r="BG96" s="90" t="e">
        <f t="shared" si="49"/>
        <v>#REF!</v>
      </c>
      <c r="BH96" s="90" t="e">
        <f t="shared" si="49"/>
        <v>#REF!</v>
      </c>
      <c r="BI96" s="90" t="e">
        <f t="shared" si="49"/>
        <v>#REF!</v>
      </c>
      <c r="BJ96" s="90" t="e">
        <f t="shared" si="49"/>
        <v>#REF!</v>
      </c>
      <c r="BK96" s="90" t="e">
        <f t="shared" si="49"/>
        <v>#REF!</v>
      </c>
      <c r="BL96" s="90" t="e">
        <f t="shared" si="49"/>
        <v>#REF!</v>
      </c>
      <c r="BM96" s="90" t="e">
        <f t="shared" si="49"/>
        <v>#REF!</v>
      </c>
      <c r="BN96" s="90" t="e">
        <f t="shared" si="49"/>
        <v>#REF!</v>
      </c>
      <c r="BO96" s="90" t="e">
        <f t="shared" si="49"/>
        <v>#REF!</v>
      </c>
      <c r="BP96" s="90" t="e">
        <f t="shared" si="49"/>
        <v>#REF!</v>
      </c>
      <c r="BQ96" s="90" t="e">
        <f t="shared" si="49"/>
        <v>#REF!</v>
      </c>
      <c r="BR96" s="90" t="e">
        <f t="shared" si="49"/>
        <v>#REF!</v>
      </c>
      <c r="BS96" s="90" t="e">
        <f t="shared" si="49"/>
        <v>#REF!</v>
      </c>
      <c r="BT96" s="90" t="e">
        <f t="shared" si="49"/>
        <v>#REF!</v>
      </c>
      <c r="BU96" s="90" t="e">
        <f t="shared" si="49"/>
        <v>#REF!</v>
      </c>
      <c r="BV96" s="90" t="e">
        <f t="shared" si="49"/>
        <v>#REF!</v>
      </c>
      <c r="BW96" s="90" t="e">
        <f t="shared" si="49"/>
        <v>#REF!</v>
      </c>
      <c r="BX96" s="90" t="e">
        <f t="shared" si="49"/>
        <v>#REF!</v>
      </c>
      <c r="BY96" s="90" t="e">
        <f t="shared" si="49"/>
        <v>#REF!</v>
      </c>
      <c r="BZ96" s="90" t="e">
        <f t="shared" si="49"/>
        <v>#REF!</v>
      </c>
      <c r="CA96" s="90" t="e">
        <f t="shared" si="49"/>
        <v>#REF!</v>
      </c>
      <c r="CB96" s="90" t="e">
        <f t="shared" si="49"/>
        <v>#REF!</v>
      </c>
      <c r="CC96" s="90" t="e">
        <f t="shared" si="49"/>
        <v>#REF!</v>
      </c>
      <c r="CD96" s="90" t="e">
        <f t="shared" si="49"/>
        <v>#REF!</v>
      </c>
      <c r="CE96" s="90" t="e">
        <f t="shared" si="49"/>
        <v>#REF!</v>
      </c>
      <c r="CF96" s="90" t="e">
        <f t="shared" si="49"/>
        <v>#REF!</v>
      </c>
      <c r="CG96" s="90" t="e">
        <f t="shared" si="49"/>
        <v>#REF!</v>
      </c>
      <c r="CH96" s="90" t="e">
        <f t="shared" si="49"/>
        <v>#REF!</v>
      </c>
      <c r="CI96" s="90" t="e">
        <f t="shared" si="49"/>
        <v>#REF!</v>
      </c>
      <c r="CJ96" s="90" t="e">
        <f t="shared" si="49"/>
        <v>#REF!</v>
      </c>
      <c r="CK96" s="90" t="e">
        <f t="shared" si="49"/>
        <v>#REF!</v>
      </c>
      <c r="CL96" s="90" t="e">
        <f t="shared" si="49"/>
        <v>#REF!</v>
      </c>
      <c r="CM96" s="90" t="e">
        <f t="shared" si="49"/>
        <v>#REF!</v>
      </c>
      <c r="CN96" s="90" t="e">
        <f t="shared" si="49"/>
        <v>#REF!</v>
      </c>
      <c r="CO96" s="90"/>
    </row>
    <row r="97" spans="1:93" ht="12.75" customHeight="1">
      <c r="A97" s="90"/>
      <c r="B97" s="94" t="s">
        <v>190</v>
      </c>
      <c r="C97" s="95"/>
      <c r="D97" s="76" t="e">
        <f t="shared" ref="D97:CN97" si="50">SUM(D95:D96)</f>
        <v>#REF!</v>
      </c>
      <c r="E97" s="95" t="e">
        <f t="shared" si="50"/>
        <v>#REF!</v>
      </c>
      <c r="F97" s="95" t="e">
        <f t="shared" si="50"/>
        <v>#REF!</v>
      </c>
      <c r="G97" s="95" t="e">
        <f t="shared" si="50"/>
        <v>#REF!</v>
      </c>
      <c r="H97" s="95" t="e">
        <f t="shared" si="50"/>
        <v>#REF!</v>
      </c>
      <c r="I97" s="95" t="e">
        <f t="shared" si="50"/>
        <v>#REF!</v>
      </c>
      <c r="J97" s="95" t="e">
        <f t="shared" si="50"/>
        <v>#REF!</v>
      </c>
      <c r="K97" s="95" t="e">
        <f t="shared" si="50"/>
        <v>#REF!</v>
      </c>
      <c r="L97" s="95" t="e">
        <f t="shared" si="50"/>
        <v>#REF!</v>
      </c>
      <c r="M97" s="95" t="e">
        <f t="shared" si="50"/>
        <v>#REF!</v>
      </c>
      <c r="N97" s="95" t="e">
        <f t="shared" si="50"/>
        <v>#REF!</v>
      </c>
      <c r="O97" s="95" t="e">
        <f t="shared" si="50"/>
        <v>#REF!</v>
      </c>
      <c r="P97" s="95" t="e">
        <f t="shared" si="50"/>
        <v>#REF!</v>
      </c>
      <c r="Q97" s="95" t="e">
        <f t="shared" si="50"/>
        <v>#REF!</v>
      </c>
      <c r="R97" s="95" t="e">
        <f t="shared" si="50"/>
        <v>#REF!</v>
      </c>
      <c r="S97" s="95" t="e">
        <f t="shared" si="50"/>
        <v>#REF!</v>
      </c>
      <c r="T97" s="95" t="e">
        <f t="shared" si="50"/>
        <v>#REF!</v>
      </c>
      <c r="U97" s="95" t="e">
        <f t="shared" si="50"/>
        <v>#REF!</v>
      </c>
      <c r="V97" s="95" t="e">
        <f t="shared" si="50"/>
        <v>#REF!</v>
      </c>
      <c r="W97" s="95" t="e">
        <f t="shared" si="50"/>
        <v>#REF!</v>
      </c>
      <c r="X97" s="95" t="e">
        <f t="shared" si="50"/>
        <v>#REF!</v>
      </c>
      <c r="Y97" s="95" t="e">
        <f t="shared" si="50"/>
        <v>#REF!</v>
      </c>
      <c r="Z97" s="95" t="e">
        <f t="shared" si="50"/>
        <v>#REF!</v>
      </c>
      <c r="AA97" s="95" t="e">
        <f t="shared" si="50"/>
        <v>#REF!</v>
      </c>
      <c r="AB97" s="95" t="e">
        <f t="shared" si="50"/>
        <v>#REF!</v>
      </c>
      <c r="AC97" s="95" t="e">
        <f t="shared" si="50"/>
        <v>#REF!</v>
      </c>
      <c r="AD97" s="95" t="e">
        <f t="shared" si="50"/>
        <v>#REF!</v>
      </c>
      <c r="AE97" s="95" t="e">
        <f t="shared" si="50"/>
        <v>#REF!</v>
      </c>
      <c r="AF97" s="95" t="e">
        <f t="shared" si="50"/>
        <v>#REF!</v>
      </c>
      <c r="AG97" s="95" t="e">
        <f t="shared" si="50"/>
        <v>#REF!</v>
      </c>
      <c r="AH97" s="95" t="e">
        <f t="shared" si="50"/>
        <v>#REF!</v>
      </c>
      <c r="AI97" s="95" t="e">
        <f t="shared" si="50"/>
        <v>#REF!</v>
      </c>
      <c r="AJ97" s="95" t="e">
        <f t="shared" si="50"/>
        <v>#REF!</v>
      </c>
      <c r="AK97" s="75" t="e">
        <f t="shared" si="50"/>
        <v>#REF!</v>
      </c>
      <c r="AL97" s="95" t="e">
        <f t="shared" si="50"/>
        <v>#REF!</v>
      </c>
      <c r="AM97" s="95" t="e">
        <f t="shared" si="50"/>
        <v>#REF!</v>
      </c>
      <c r="AN97" s="95" t="e">
        <f t="shared" si="50"/>
        <v>#REF!</v>
      </c>
      <c r="AO97" s="95" t="e">
        <f t="shared" si="50"/>
        <v>#REF!</v>
      </c>
      <c r="AP97" s="95" t="e">
        <f t="shared" si="50"/>
        <v>#REF!</v>
      </c>
      <c r="AQ97" s="95" t="e">
        <f t="shared" si="50"/>
        <v>#REF!</v>
      </c>
      <c r="AR97" s="95" t="e">
        <f t="shared" si="50"/>
        <v>#REF!</v>
      </c>
      <c r="AS97" s="95" t="e">
        <f t="shared" si="50"/>
        <v>#REF!</v>
      </c>
      <c r="AT97" s="95" t="e">
        <f t="shared" si="50"/>
        <v>#REF!</v>
      </c>
      <c r="AU97" s="95" t="e">
        <f t="shared" si="50"/>
        <v>#REF!</v>
      </c>
      <c r="AV97" s="95" t="e">
        <f t="shared" si="50"/>
        <v>#REF!</v>
      </c>
      <c r="AW97" s="95" t="e">
        <f t="shared" si="50"/>
        <v>#REF!</v>
      </c>
      <c r="AX97" s="95" t="e">
        <f t="shared" si="50"/>
        <v>#REF!</v>
      </c>
      <c r="AY97" s="95" t="e">
        <f t="shared" si="50"/>
        <v>#REF!</v>
      </c>
      <c r="AZ97" s="95" t="e">
        <f t="shared" si="50"/>
        <v>#REF!</v>
      </c>
      <c r="BA97" s="95" t="e">
        <f t="shared" si="50"/>
        <v>#REF!</v>
      </c>
      <c r="BB97" s="95" t="e">
        <f t="shared" si="50"/>
        <v>#REF!</v>
      </c>
      <c r="BC97" s="95" t="e">
        <f t="shared" si="50"/>
        <v>#REF!</v>
      </c>
      <c r="BD97" s="95" t="e">
        <f t="shared" si="50"/>
        <v>#REF!</v>
      </c>
      <c r="BE97" s="95" t="e">
        <f t="shared" si="50"/>
        <v>#REF!</v>
      </c>
      <c r="BF97" s="95" t="e">
        <f t="shared" si="50"/>
        <v>#REF!</v>
      </c>
      <c r="BG97" s="95" t="e">
        <f t="shared" si="50"/>
        <v>#REF!</v>
      </c>
      <c r="BH97" s="95" t="e">
        <f t="shared" si="50"/>
        <v>#REF!</v>
      </c>
      <c r="BI97" s="95" t="e">
        <f t="shared" si="50"/>
        <v>#REF!</v>
      </c>
      <c r="BJ97" s="95" t="e">
        <f t="shared" si="50"/>
        <v>#REF!</v>
      </c>
      <c r="BK97" s="95" t="e">
        <f t="shared" si="50"/>
        <v>#REF!</v>
      </c>
      <c r="BL97" s="95" t="e">
        <f t="shared" si="50"/>
        <v>#REF!</v>
      </c>
      <c r="BM97" s="95" t="e">
        <f t="shared" si="50"/>
        <v>#REF!</v>
      </c>
      <c r="BN97" s="95" t="e">
        <f t="shared" si="50"/>
        <v>#REF!</v>
      </c>
      <c r="BO97" s="95" t="e">
        <f t="shared" si="50"/>
        <v>#REF!</v>
      </c>
      <c r="BP97" s="95" t="e">
        <f t="shared" si="50"/>
        <v>#REF!</v>
      </c>
      <c r="BQ97" s="95" t="e">
        <f t="shared" si="50"/>
        <v>#REF!</v>
      </c>
      <c r="BR97" s="95" t="e">
        <f t="shared" si="50"/>
        <v>#REF!</v>
      </c>
      <c r="BS97" s="95" t="e">
        <f t="shared" si="50"/>
        <v>#REF!</v>
      </c>
      <c r="BT97" s="95" t="e">
        <f t="shared" si="50"/>
        <v>#REF!</v>
      </c>
      <c r="BU97" s="95" t="e">
        <f t="shared" si="50"/>
        <v>#REF!</v>
      </c>
      <c r="BV97" s="95" t="e">
        <f t="shared" si="50"/>
        <v>#REF!</v>
      </c>
      <c r="BW97" s="95" t="e">
        <f t="shared" si="50"/>
        <v>#REF!</v>
      </c>
      <c r="BX97" s="95" t="e">
        <f t="shared" si="50"/>
        <v>#REF!</v>
      </c>
      <c r="BY97" s="95" t="e">
        <f t="shared" si="50"/>
        <v>#REF!</v>
      </c>
      <c r="BZ97" s="95" t="e">
        <f t="shared" si="50"/>
        <v>#REF!</v>
      </c>
      <c r="CA97" s="95" t="e">
        <f t="shared" si="50"/>
        <v>#REF!</v>
      </c>
      <c r="CB97" s="95" t="e">
        <f t="shared" si="50"/>
        <v>#REF!</v>
      </c>
      <c r="CC97" s="95" t="e">
        <f t="shared" si="50"/>
        <v>#REF!</v>
      </c>
      <c r="CD97" s="95" t="e">
        <f t="shared" si="50"/>
        <v>#REF!</v>
      </c>
      <c r="CE97" s="95" t="e">
        <f t="shared" si="50"/>
        <v>#REF!</v>
      </c>
      <c r="CF97" s="95" t="e">
        <f t="shared" si="50"/>
        <v>#REF!</v>
      </c>
      <c r="CG97" s="95" t="e">
        <f t="shared" si="50"/>
        <v>#REF!</v>
      </c>
      <c r="CH97" s="95" t="e">
        <f t="shared" si="50"/>
        <v>#REF!</v>
      </c>
      <c r="CI97" s="95" t="e">
        <f t="shared" si="50"/>
        <v>#REF!</v>
      </c>
      <c r="CJ97" s="95" t="e">
        <f t="shared" si="50"/>
        <v>#REF!</v>
      </c>
      <c r="CK97" s="95" t="e">
        <f t="shared" si="50"/>
        <v>#REF!</v>
      </c>
      <c r="CL97" s="95" t="e">
        <f t="shared" si="50"/>
        <v>#REF!</v>
      </c>
      <c r="CM97" s="95" t="e">
        <f t="shared" si="50"/>
        <v>#REF!</v>
      </c>
      <c r="CN97" s="95" t="e">
        <f t="shared" si="50"/>
        <v>#REF!</v>
      </c>
      <c r="CO97" s="90"/>
    </row>
    <row r="98" spans="1:93" ht="12.75" customHeight="1">
      <c r="A98" s="90"/>
      <c r="B98" s="93"/>
      <c r="C98" s="90"/>
      <c r="D98" s="92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37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</row>
    <row r="99" spans="1:93" ht="12.75" customHeight="1">
      <c r="A99" s="90"/>
      <c r="B99" s="96" t="s">
        <v>191</v>
      </c>
      <c r="C99" s="96" t="e">
        <f>'sensitivity (years)'!AA83</f>
        <v>#REF!</v>
      </c>
      <c r="D99" s="92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37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</row>
    <row r="100" spans="1:93" ht="12.75" customHeight="1">
      <c r="A100" s="90"/>
      <c r="B100" s="96" t="s">
        <v>192</v>
      </c>
      <c r="C100" s="96" t="e">
        <f>SUM(D100:CO100)</f>
        <v>#REF!</v>
      </c>
      <c r="D100" s="92" t="e">
        <f t="shared" ref="D100:CO100" si="51">D87+D83</f>
        <v>#REF!</v>
      </c>
      <c r="E100" s="90" t="e">
        <f t="shared" si="51"/>
        <v>#REF!</v>
      </c>
      <c r="F100" s="90" t="e">
        <f t="shared" si="51"/>
        <v>#REF!</v>
      </c>
      <c r="G100" s="90" t="e">
        <f t="shared" si="51"/>
        <v>#REF!</v>
      </c>
      <c r="H100" s="90" t="e">
        <f t="shared" si="51"/>
        <v>#REF!</v>
      </c>
      <c r="I100" s="90" t="e">
        <f t="shared" si="51"/>
        <v>#REF!</v>
      </c>
      <c r="J100" s="90" t="e">
        <f t="shared" si="51"/>
        <v>#REF!</v>
      </c>
      <c r="K100" s="90" t="e">
        <f t="shared" si="51"/>
        <v>#REF!</v>
      </c>
      <c r="L100" s="90" t="e">
        <f t="shared" si="51"/>
        <v>#REF!</v>
      </c>
      <c r="M100" s="90" t="e">
        <f t="shared" si="51"/>
        <v>#REF!</v>
      </c>
      <c r="N100" s="90" t="e">
        <f t="shared" si="51"/>
        <v>#REF!</v>
      </c>
      <c r="O100" s="90" t="e">
        <f t="shared" si="51"/>
        <v>#REF!</v>
      </c>
      <c r="P100" s="90" t="e">
        <f t="shared" si="51"/>
        <v>#REF!</v>
      </c>
      <c r="Q100" s="90" t="e">
        <f t="shared" si="51"/>
        <v>#REF!</v>
      </c>
      <c r="R100" s="90" t="e">
        <f t="shared" si="51"/>
        <v>#REF!</v>
      </c>
      <c r="S100" s="90" t="e">
        <f t="shared" si="51"/>
        <v>#REF!</v>
      </c>
      <c r="T100" s="90" t="e">
        <f t="shared" si="51"/>
        <v>#REF!</v>
      </c>
      <c r="U100" s="90" t="e">
        <f t="shared" si="51"/>
        <v>#REF!</v>
      </c>
      <c r="V100" s="90" t="e">
        <f t="shared" si="51"/>
        <v>#REF!</v>
      </c>
      <c r="W100" s="90" t="e">
        <f t="shared" si="51"/>
        <v>#REF!</v>
      </c>
      <c r="X100" s="90" t="e">
        <f t="shared" si="51"/>
        <v>#REF!</v>
      </c>
      <c r="Y100" s="90" t="e">
        <f t="shared" si="51"/>
        <v>#REF!</v>
      </c>
      <c r="Z100" s="90" t="e">
        <f t="shared" si="51"/>
        <v>#REF!</v>
      </c>
      <c r="AA100" s="90" t="e">
        <f t="shared" si="51"/>
        <v>#REF!</v>
      </c>
      <c r="AB100" s="90" t="e">
        <f t="shared" si="51"/>
        <v>#REF!</v>
      </c>
      <c r="AC100" s="90" t="e">
        <f t="shared" si="51"/>
        <v>#REF!</v>
      </c>
      <c r="AD100" s="90" t="e">
        <f t="shared" si="51"/>
        <v>#REF!</v>
      </c>
      <c r="AE100" s="90" t="e">
        <f t="shared" si="51"/>
        <v>#REF!</v>
      </c>
      <c r="AF100" s="90" t="e">
        <f t="shared" si="51"/>
        <v>#REF!</v>
      </c>
      <c r="AG100" s="90" t="e">
        <f t="shared" si="51"/>
        <v>#REF!</v>
      </c>
      <c r="AH100" s="90" t="e">
        <f t="shared" si="51"/>
        <v>#REF!</v>
      </c>
      <c r="AI100" s="90" t="e">
        <f t="shared" si="51"/>
        <v>#REF!</v>
      </c>
      <c r="AJ100" s="90" t="e">
        <f t="shared" si="51"/>
        <v>#REF!</v>
      </c>
      <c r="AK100" s="37" t="e">
        <f t="shared" si="51"/>
        <v>#REF!</v>
      </c>
      <c r="AL100" s="90" t="e">
        <f t="shared" si="51"/>
        <v>#REF!</v>
      </c>
      <c r="AM100" s="90" t="e">
        <f t="shared" si="51"/>
        <v>#REF!</v>
      </c>
      <c r="AN100" s="90" t="e">
        <f t="shared" si="51"/>
        <v>#REF!</v>
      </c>
      <c r="AO100" s="90" t="e">
        <f t="shared" si="51"/>
        <v>#REF!</v>
      </c>
      <c r="AP100" s="90" t="e">
        <f t="shared" si="51"/>
        <v>#REF!</v>
      </c>
      <c r="AQ100" s="90" t="e">
        <f t="shared" si="51"/>
        <v>#REF!</v>
      </c>
      <c r="AR100" s="90" t="e">
        <f t="shared" si="51"/>
        <v>#REF!</v>
      </c>
      <c r="AS100" s="90" t="e">
        <f t="shared" si="51"/>
        <v>#REF!</v>
      </c>
      <c r="AT100" s="90" t="e">
        <f t="shared" si="51"/>
        <v>#REF!</v>
      </c>
      <c r="AU100" s="90" t="e">
        <f t="shared" si="51"/>
        <v>#REF!</v>
      </c>
      <c r="AV100" s="90" t="e">
        <f t="shared" si="51"/>
        <v>#REF!</v>
      </c>
      <c r="AW100" s="90" t="e">
        <f t="shared" si="51"/>
        <v>#REF!</v>
      </c>
      <c r="AX100" s="90" t="e">
        <f t="shared" si="51"/>
        <v>#REF!</v>
      </c>
      <c r="AY100" s="90" t="e">
        <f t="shared" si="51"/>
        <v>#REF!</v>
      </c>
      <c r="AZ100" s="90" t="e">
        <f t="shared" si="51"/>
        <v>#REF!</v>
      </c>
      <c r="BA100" s="90" t="e">
        <f t="shared" si="51"/>
        <v>#REF!</v>
      </c>
      <c r="BB100" s="90" t="e">
        <f t="shared" si="51"/>
        <v>#REF!</v>
      </c>
      <c r="BC100" s="90" t="e">
        <f t="shared" si="51"/>
        <v>#REF!</v>
      </c>
      <c r="BD100" s="90" t="e">
        <f t="shared" si="51"/>
        <v>#REF!</v>
      </c>
      <c r="BE100" s="90" t="e">
        <f t="shared" si="51"/>
        <v>#REF!</v>
      </c>
      <c r="BF100" s="90" t="e">
        <f t="shared" si="51"/>
        <v>#REF!</v>
      </c>
      <c r="BG100" s="90" t="e">
        <f t="shared" si="51"/>
        <v>#REF!</v>
      </c>
      <c r="BH100" s="90" t="e">
        <f t="shared" si="51"/>
        <v>#REF!</v>
      </c>
      <c r="BI100" s="90" t="e">
        <f t="shared" si="51"/>
        <v>#REF!</v>
      </c>
      <c r="BJ100" s="90" t="e">
        <f t="shared" si="51"/>
        <v>#REF!</v>
      </c>
      <c r="BK100" s="90" t="e">
        <f t="shared" si="51"/>
        <v>#REF!</v>
      </c>
      <c r="BL100" s="90" t="e">
        <f t="shared" si="51"/>
        <v>#REF!</v>
      </c>
      <c r="BM100" s="90" t="e">
        <f t="shared" si="51"/>
        <v>#REF!</v>
      </c>
      <c r="BN100" s="90" t="e">
        <f t="shared" si="51"/>
        <v>#REF!</v>
      </c>
      <c r="BO100" s="90" t="e">
        <f t="shared" si="51"/>
        <v>#REF!</v>
      </c>
      <c r="BP100" s="90" t="e">
        <f t="shared" si="51"/>
        <v>#REF!</v>
      </c>
      <c r="BQ100" s="90" t="e">
        <f t="shared" si="51"/>
        <v>#REF!</v>
      </c>
      <c r="BR100" s="90" t="e">
        <f t="shared" si="51"/>
        <v>#REF!</v>
      </c>
      <c r="BS100" s="90" t="e">
        <f t="shared" si="51"/>
        <v>#REF!</v>
      </c>
      <c r="BT100" s="90" t="e">
        <f t="shared" si="51"/>
        <v>#REF!</v>
      </c>
      <c r="BU100" s="90" t="e">
        <f t="shared" si="51"/>
        <v>#REF!</v>
      </c>
      <c r="BV100" s="90" t="e">
        <f t="shared" si="51"/>
        <v>#REF!</v>
      </c>
      <c r="BW100" s="90" t="e">
        <f t="shared" si="51"/>
        <v>#REF!</v>
      </c>
      <c r="BX100" s="90" t="e">
        <f t="shared" si="51"/>
        <v>#REF!</v>
      </c>
      <c r="BY100" s="90" t="e">
        <f t="shared" si="51"/>
        <v>#REF!</v>
      </c>
      <c r="BZ100" s="90" t="e">
        <f t="shared" si="51"/>
        <v>#REF!</v>
      </c>
      <c r="CA100" s="90" t="e">
        <f t="shared" si="51"/>
        <v>#REF!</v>
      </c>
      <c r="CB100" s="90" t="e">
        <f t="shared" si="51"/>
        <v>#REF!</v>
      </c>
      <c r="CC100" s="90" t="e">
        <f t="shared" si="51"/>
        <v>#REF!</v>
      </c>
      <c r="CD100" s="90" t="e">
        <f t="shared" si="51"/>
        <v>#REF!</v>
      </c>
      <c r="CE100" s="90" t="e">
        <f t="shared" si="51"/>
        <v>#REF!</v>
      </c>
      <c r="CF100" s="90" t="e">
        <f t="shared" si="51"/>
        <v>#REF!</v>
      </c>
      <c r="CG100" s="90" t="e">
        <f t="shared" si="51"/>
        <v>#REF!</v>
      </c>
      <c r="CH100" s="90" t="e">
        <f t="shared" si="51"/>
        <v>#REF!</v>
      </c>
      <c r="CI100" s="90" t="e">
        <f t="shared" si="51"/>
        <v>#REF!</v>
      </c>
      <c r="CJ100" s="90" t="e">
        <f t="shared" si="51"/>
        <v>#REF!</v>
      </c>
      <c r="CK100" s="90" t="e">
        <f t="shared" si="51"/>
        <v>#REF!</v>
      </c>
      <c r="CL100" s="90" t="e">
        <f t="shared" si="51"/>
        <v>#REF!</v>
      </c>
      <c r="CM100" s="90" t="e">
        <f t="shared" si="51"/>
        <v>#REF!</v>
      </c>
      <c r="CN100" s="90" t="e">
        <f t="shared" si="51"/>
        <v>#REF!</v>
      </c>
      <c r="CO100" s="90" t="e">
        <f t="shared" si="51"/>
        <v>#REF!</v>
      </c>
    </row>
    <row r="101" spans="1:93" ht="12.75" customHeight="1">
      <c r="A101" s="90"/>
      <c r="B101" s="96" t="s">
        <v>193</v>
      </c>
      <c r="C101" s="96" t="e">
        <f>CO101</f>
        <v>#REF!</v>
      </c>
      <c r="D101" s="92" t="e">
        <f>D100</f>
        <v>#REF!</v>
      </c>
      <c r="E101" s="90" t="e">
        <f t="shared" ref="E101:CO101" si="52">D101+E100</f>
        <v>#REF!</v>
      </c>
      <c r="F101" s="90" t="e">
        <f t="shared" si="52"/>
        <v>#REF!</v>
      </c>
      <c r="G101" s="90" t="e">
        <f t="shared" si="52"/>
        <v>#REF!</v>
      </c>
      <c r="H101" s="90" t="e">
        <f t="shared" si="52"/>
        <v>#REF!</v>
      </c>
      <c r="I101" s="90" t="e">
        <f t="shared" si="52"/>
        <v>#REF!</v>
      </c>
      <c r="J101" s="90" t="e">
        <f t="shared" si="52"/>
        <v>#REF!</v>
      </c>
      <c r="K101" s="90" t="e">
        <f t="shared" si="52"/>
        <v>#REF!</v>
      </c>
      <c r="L101" s="90" t="e">
        <f t="shared" si="52"/>
        <v>#REF!</v>
      </c>
      <c r="M101" s="90" t="e">
        <f t="shared" si="52"/>
        <v>#REF!</v>
      </c>
      <c r="N101" s="90" t="e">
        <f t="shared" si="52"/>
        <v>#REF!</v>
      </c>
      <c r="O101" s="90" t="e">
        <f t="shared" si="52"/>
        <v>#REF!</v>
      </c>
      <c r="P101" s="90" t="e">
        <f t="shared" si="52"/>
        <v>#REF!</v>
      </c>
      <c r="Q101" s="90" t="e">
        <f t="shared" si="52"/>
        <v>#REF!</v>
      </c>
      <c r="R101" s="90" t="e">
        <f t="shared" si="52"/>
        <v>#REF!</v>
      </c>
      <c r="S101" s="90" t="e">
        <f t="shared" si="52"/>
        <v>#REF!</v>
      </c>
      <c r="T101" s="90" t="e">
        <f t="shared" si="52"/>
        <v>#REF!</v>
      </c>
      <c r="U101" s="90" t="e">
        <f t="shared" si="52"/>
        <v>#REF!</v>
      </c>
      <c r="V101" s="90" t="e">
        <f t="shared" si="52"/>
        <v>#REF!</v>
      </c>
      <c r="W101" s="90" t="e">
        <f t="shared" si="52"/>
        <v>#REF!</v>
      </c>
      <c r="X101" s="90" t="e">
        <f t="shared" si="52"/>
        <v>#REF!</v>
      </c>
      <c r="Y101" s="90" t="e">
        <f t="shared" si="52"/>
        <v>#REF!</v>
      </c>
      <c r="Z101" s="90" t="e">
        <f t="shared" si="52"/>
        <v>#REF!</v>
      </c>
      <c r="AA101" s="90" t="e">
        <f t="shared" si="52"/>
        <v>#REF!</v>
      </c>
      <c r="AB101" s="90" t="e">
        <f t="shared" si="52"/>
        <v>#REF!</v>
      </c>
      <c r="AC101" s="90" t="e">
        <f t="shared" si="52"/>
        <v>#REF!</v>
      </c>
      <c r="AD101" s="90" t="e">
        <f t="shared" si="52"/>
        <v>#REF!</v>
      </c>
      <c r="AE101" s="90" t="e">
        <f t="shared" si="52"/>
        <v>#REF!</v>
      </c>
      <c r="AF101" s="90" t="e">
        <f t="shared" si="52"/>
        <v>#REF!</v>
      </c>
      <c r="AG101" s="90" t="e">
        <f t="shared" si="52"/>
        <v>#REF!</v>
      </c>
      <c r="AH101" s="90" t="e">
        <f t="shared" si="52"/>
        <v>#REF!</v>
      </c>
      <c r="AI101" s="90" t="e">
        <f t="shared" si="52"/>
        <v>#REF!</v>
      </c>
      <c r="AJ101" s="90" t="e">
        <f t="shared" si="52"/>
        <v>#REF!</v>
      </c>
      <c r="AK101" s="37" t="e">
        <f t="shared" si="52"/>
        <v>#REF!</v>
      </c>
      <c r="AL101" s="90" t="e">
        <f t="shared" si="52"/>
        <v>#REF!</v>
      </c>
      <c r="AM101" s="90" t="e">
        <f t="shared" si="52"/>
        <v>#REF!</v>
      </c>
      <c r="AN101" s="90" t="e">
        <f t="shared" si="52"/>
        <v>#REF!</v>
      </c>
      <c r="AO101" s="90" t="e">
        <f t="shared" si="52"/>
        <v>#REF!</v>
      </c>
      <c r="AP101" s="90" t="e">
        <f t="shared" si="52"/>
        <v>#REF!</v>
      </c>
      <c r="AQ101" s="90" t="e">
        <f t="shared" si="52"/>
        <v>#REF!</v>
      </c>
      <c r="AR101" s="90" t="e">
        <f t="shared" si="52"/>
        <v>#REF!</v>
      </c>
      <c r="AS101" s="90" t="e">
        <f t="shared" si="52"/>
        <v>#REF!</v>
      </c>
      <c r="AT101" s="90" t="e">
        <f t="shared" si="52"/>
        <v>#REF!</v>
      </c>
      <c r="AU101" s="90" t="e">
        <f t="shared" si="52"/>
        <v>#REF!</v>
      </c>
      <c r="AV101" s="90" t="e">
        <f t="shared" si="52"/>
        <v>#REF!</v>
      </c>
      <c r="AW101" s="90" t="e">
        <f t="shared" si="52"/>
        <v>#REF!</v>
      </c>
      <c r="AX101" s="90" t="e">
        <f t="shared" si="52"/>
        <v>#REF!</v>
      </c>
      <c r="AY101" s="90" t="e">
        <f t="shared" si="52"/>
        <v>#REF!</v>
      </c>
      <c r="AZ101" s="90" t="e">
        <f t="shared" si="52"/>
        <v>#REF!</v>
      </c>
      <c r="BA101" s="90" t="e">
        <f t="shared" si="52"/>
        <v>#REF!</v>
      </c>
      <c r="BB101" s="90" t="e">
        <f t="shared" si="52"/>
        <v>#REF!</v>
      </c>
      <c r="BC101" s="90" t="e">
        <f t="shared" si="52"/>
        <v>#REF!</v>
      </c>
      <c r="BD101" s="90" t="e">
        <f t="shared" si="52"/>
        <v>#REF!</v>
      </c>
      <c r="BE101" s="90" t="e">
        <f t="shared" si="52"/>
        <v>#REF!</v>
      </c>
      <c r="BF101" s="90" t="e">
        <f t="shared" si="52"/>
        <v>#REF!</v>
      </c>
      <c r="BG101" s="90" t="e">
        <f t="shared" si="52"/>
        <v>#REF!</v>
      </c>
      <c r="BH101" s="90" t="e">
        <f t="shared" si="52"/>
        <v>#REF!</v>
      </c>
      <c r="BI101" s="90" t="e">
        <f t="shared" si="52"/>
        <v>#REF!</v>
      </c>
      <c r="BJ101" s="90" t="e">
        <f t="shared" si="52"/>
        <v>#REF!</v>
      </c>
      <c r="BK101" s="90" t="e">
        <f t="shared" si="52"/>
        <v>#REF!</v>
      </c>
      <c r="BL101" s="90" t="e">
        <f t="shared" si="52"/>
        <v>#REF!</v>
      </c>
      <c r="BM101" s="90" t="e">
        <f t="shared" si="52"/>
        <v>#REF!</v>
      </c>
      <c r="BN101" s="90" t="e">
        <f t="shared" si="52"/>
        <v>#REF!</v>
      </c>
      <c r="BO101" s="90" t="e">
        <f t="shared" si="52"/>
        <v>#REF!</v>
      </c>
      <c r="BP101" s="90" t="e">
        <f t="shared" si="52"/>
        <v>#REF!</v>
      </c>
      <c r="BQ101" s="90" t="e">
        <f t="shared" si="52"/>
        <v>#REF!</v>
      </c>
      <c r="BR101" s="90" t="e">
        <f t="shared" si="52"/>
        <v>#REF!</v>
      </c>
      <c r="BS101" s="90" t="e">
        <f t="shared" si="52"/>
        <v>#REF!</v>
      </c>
      <c r="BT101" s="90" t="e">
        <f t="shared" si="52"/>
        <v>#REF!</v>
      </c>
      <c r="BU101" s="90" t="e">
        <f t="shared" si="52"/>
        <v>#REF!</v>
      </c>
      <c r="BV101" s="90" t="e">
        <f t="shared" si="52"/>
        <v>#REF!</v>
      </c>
      <c r="BW101" s="90" t="e">
        <f t="shared" si="52"/>
        <v>#REF!</v>
      </c>
      <c r="BX101" s="90" t="e">
        <f t="shared" si="52"/>
        <v>#REF!</v>
      </c>
      <c r="BY101" s="90" t="e">
        <f t="shared" si="52"/>
        <v>#REF!</v>
      </c>
      <c r="BZ101" s="90" t="e">
        <f t="shared" si="52"/>
        <v>#REF!</v>
      </c>
      <c r="CA101" s="90" t="e">
        <f t="shared" si="52"/>
        <v>#REF!</v>
      </c>
      <c r="CB101" s="90" t="e">
        <f t="shared" si="52"/>
        <v>#REF!</v>
      </c>
      <c r="CC101" s="90" t="e">
        <f t="shared" si="52"/>
        <v>#REF!</v>
      </c>
      <c r="CD101" s="90" t="e">
        <f t="shared" si="52"/>
        <v>#REF!</v>
      </c>
      <c r="CE101" s="90" t="e">
        <f t="shared" si="52"/>
        <v>#REF!</v>
      </c>
      <c r="CF101" s="90" t="e">
        <f t="shared" si="52"/>
        <v>#REF!</v>
      </c>
      <c r="CG101" s="90" t="e">
        <f t="shared" si="52"/>
        <v>#REF!</v>
      </c>
      <c r="CH101" s="90" t="e">
        <f t="shared" si="52"/>
        <v>#REF!</v>
      </c>
      <c r="CI101" s="90" t="e">
        <f t="shared" si="52"/>
        <v>#REF!</v>
      </c>
      <c r="CJ101" s="90" t="e">
        <f t="shared" si="52"/>
        <v>#REF!</v>
      </c>
      <c r="CK101" s="90" t="e">
        <f t="shared" si="52"/>
        <v>#REF!</v>
      </c>
      <c r="CL101" s="90" t="e">
        <f t="shared" si="52"/>
        <v>#REF!</v>
      </c>
      <c r="CM101" s="90" t="e">
        <f t="shared" si="52"/>
        <v>#REF!</v>
      </c>
      <c r="CN101" s="90" t="e">
        <f t="shared" si="52"/>
        <v>#REF!</v>
      </c>
      <c r="CO101" s="90" t="e">
        <f t="shared" si="52"/>
        <v>#REF!</v>
      </c>
    </row>
    <row r="102" spans="1:93" ht="12.75" customHeight="1">
      <c r="A102" s="90"/>
      <c r="B102" s="96" t="s">
        <v>194</v>
      </c>
      <c r="C102" s="96" t="e">
        <f>SUM(D102:CO102)</f>
        <v>#REF!</v>
      </c>
      <c r="D102" s="92" t="e">
        <f>D100/(1+Assump!$D$11)^D9</f>
        <v>#REF!</v>
      </c>
      <c r="E102" s="90" t="e">
        <f>E100/(1+Assump!$D$11)^E9</f>
        <v>#REF!</v>
      </c>
      <c r="F102" s="90" t="e">
        <f>F100/(1+Assump!$D$11)^F9</f>
        <v>#REF!</v>
      </c>
      <c r="G102" s="90" t="e">
        <f>G100/(1+Assump!$D$11)^G9</f>
        <v>#REF!</v>
      </c>
      <c r="H102" s="90" t="e">
        <f>H100/(1+Assump!$D$11)^H9</f>
        <v>#REF!</v>
      </c>
      <c r="I102" s="90" t="e">
        <f>I100/(1+Assump!$D$11)^I9</f>
        <v>#REF!</v>
      </c>
      <c r="J102" s="90" t="e">
        <f>J100/(1+Assump!$D$11)^J9</f>
        <v>#REF!</v>
      </c>
      <c r="K102" s="90" t="e">
        <f>K100/(1+Assump!$D$11)^K9</f>
        <v>#REF!</v>
      </c>
      <c r="L102" s="90" t="e">
        <f>L100/(1+Assump!$D$11)^L9</f>
        <v>#REF!</v>
      </c>
      <c r="M102" s="90" t="e">
        <f>M100/(1+Assump!$D$11)^M9</f>
        <v>#REF!</v>
      </c>
      <c r="N102" s="90" t="e">
        <f>N100/(1+Assump!$D$11)^N9</f>
        <v>#REF!</v>
      </c>
      <c r="O102" s="90" t="e">
        <f>O100/(1+Assump!$D$11)^O9</f>
        <v>#REF!</v>
      </c>
      <c r="P102" s="90" t="e">
        <f>P100/(1+Assump!$D$11)^P9</f>
        <v>#REF!</v>
      </c>
      <c r="Q102" s="90" t="e">
        <f>Q100/(1+Assump!$D$11)^Q9</f>
        <v>#REF!</v>
      </c>
      <c r="R102" s="90" t="e">
        <f>R100/(1+Assump!$D$11)^R9</f>
        <v>#REF!</v>
      </c>
      <c r="S102" s="90" t="e">
        <f>S100/(1+Assump!$D$11)^S9</f>
        <v>#REF!</v>
      </c>
      <c r="T102" s="90" t="e">
        <f>T100/(1+Assump!$D$11)^T9</f>
        <v>#REF!</v>
      </c>
      <c r="U102" s="90" t="e">
        <f>U100/(1+Assump!$D$11)^U9</f>
        <v>#REF!</v>
      </c>
      <c r="V102" s="90" t="e">
        <f>V100/(1+Assump!$D$11)^V9</f>
        <v>#REF!</v>
      </c>
      <c r="W102" s="90" t="e">
        <f>W100/(1+Assump!$D$11)^W9</f>
        <v>#REF!</v>
      </c>
      <c r="X102" s="90" t="e">
        <f>X100/(1+Assump!$D$11)^X9</f>
        <v>#REF!</v>
      </c>
      <c r="Y102" s="90" t="e">
        <f>Y100/(1+Assump!$D$11)^Y9</f>
        <v>#REF!</v>
      </c>
      <c r="Z102" s="90" t="e">
        <f>Z100/(1+Assump!$D$11)^Z9</f>
        <v>#REF!</v>
      </c>
      <c r="AA102" s="90" t="e">
        <f>AA100/(1+Assump!$D$11)^AA9</f>
        <v>#REF!</v>
      </c>
      <c r="AB102" s="90" t="e">
        <f>AB100/(1+Assump!$D$11)^AB9</f>
        <v>#REF!</v>
      </c>
      <c r="AC102" s="90" t="e">
        <f>AC100/(1+Assump!$D$11)^AC9</f>
        <v>#REF!</v>
      </c>
      <c r="AD102" s="90" t="e">
        <f>AD100/(1+Assump!$D$11)^AD9</f>
        <v>#REF!</v>
      </c>
      <c r="AE102" s="90" t="e">
        <f>AE100/(1+Assump!$D$11)^AE9</f>
        <v>#REF!</v>
      </c>
      <c r="AF102" s="90" t="e">
        <f>AF100/(1+Assump!$D$11)^AF9</f>
        <v>#REF!</v>
      </c>
      <c r="AG102" s="90" t="e">
        <f>AG100/(1+Assump!$D$11)^AG9</f>
        <v>#REF!</v>
      </c>
      <c r="AH102" s="90" t="e">
        <f>AH100/(1+Assump!$D$11)^AH9</f>
        <v>#REF!</v>
      </c>
      <c r="AI102" s="90" t="e">
        <f>AI100/(1+Assump!$D$11)^AI9</f>
        <v>#REF!</v>
      </c>
      <c r="AJ102" s="90" t="e">
        <f>AJ100/(1+Assump!$D$11)^AJ9</f>
        <v>#REF!</v>
      </c>
      <c r="AK102" s="37" t="e">
        <f>AK100/(1+Assump!$D$11)^AK9</f>
        <v>#REF!</v>
      </c>
      <c r="AL102" s="90" t="e">
        <f>AL100/(1+Assump!$D$11)^AL9</f>
        <v>#REF!</v>
      </c>
      <c r="AM102" s="90" t="e">
        <f>AM100/(1+Assump!$D$11)^AM9</f>
        <v>#REF!</v>
      </c>
      <c r="AN102" s="90" t="e">
        <f>AN100/(1+Assump!$D$11)^AN9</f>
        <v>#REF!</v>
      </c>
      <c r="AO102" s="90" t="e">
        <f>AO100/(1+Assump!$D$11)^AO9</f>
        <v>#REF!</v>
      </c>
      <c r="AP102" s="90" t="e">
        <f>AP100/(1+Assump!$D$11)^AP9</f>
        <v>#REF!</v>
      </c>
      <c r="AQ102" s="90" t="e">
        <f>AQ100/(1+Assump!$D$11)^AQ9</f>
        <v>#REF!</v>
      </c>
      <c r="AR102" s="90" t="e">
        <f>AR100/(1+Assump!$D$11)^AR9</f>
        <v>#REF!</v>
      </c>
      <c r="AS102" s="90" t="e">
        <f>AS100/(1+Assump!$D$11)^AS9</f>
        <v>#REF!</v>
      </c>
      <c r="AT102" s="90" t="e">
        <f>AT100/(1+Assump!$D$11)^AT9</f>
        <v>#REF!</v>
      </c>
      <c r="AU102" s="90" t="e">
        <f>AU100/(1+Assump!$D$11)^AU9</f>
        <v>#REF!</v>
      </c>
      <c r="AV102" s="90" t="e">
        <f>AV100/(1+Assump!$D$11)^AV9</f>
        <v>#REF!</v>
      </c>
      <c r="AW102" s="90" t="e">
        <f>AW100/(1+Assump!$D$11)^AW9</f>
        <v>#REF!</v>
      </c>
      <c r="AX102" s="90" t="e">
        <f>AX100/(1+Assump!$D$11)^AX9</f>
        <v>#REF!</v>
      </c>
      <c r="AY102" s="90" t="e">
        <f>AY100/(1+Assump!$D$11)^AY9</f>
        <v>#REF!</v>
      </c>
      <c r="AZ102" s="90" t="e">
        <f>AZ100/(1+Assump!$D$11)^AZ9</f>
        <v>#REF!</v>
      </c>
      <c r="BA102" s="90" t="e">
        <f>BA100/(1+Assump!$D$11)^BA9</f>
        <v>#REF!</v>
      </c>
      <c r="BB102" s="90" t="e">
        <f>BB100/(1+Assump!$D$11)^BB9</f>
        <v>#REF!</v>
      </c>
      <c r="BC102" s="90" t="e">
        <f>BC100/(1+Assump!$D$11)^BC9</f>
        <v>#REF!</v>
      </c>
      <c r="BD102" s="90" t="e">
        <f>BD100/(1+Assump!$D$11)^BD9</f>
        <v>#REF!</v>
      </c>
      <c r="BE102" s="90" t="e">
        <f>BE100/(1+Assump!$D$11)^BE9</f>
        <v>#REF!</v>
      </c>
      <c r="BF102" s="90" t="e">
        <f>BF100/(1+Assump!$D$11)^BF9</f>
        <v>#REF!</v>
      </c>
      <c r="BG102" s="90" t="e">
        <f>BG100/(1+Assump!$D$11)^BG9</f>
        <v>#REF!</v>
      </c>
      <c r="BH102" s="90" t="e">
        <f>BH100/(1+Assump!$D$11)^BH9</f>
        <v>#REF!</v>
      </c>
      <c r="BI102" s="90" t="e">
        <f>BI100/(1+Assump!$D$11)^BI9</f>
        <v>#REF!</v>
      </c>
      <c r="BJ102" s="90" t="e">
        <f>BJ100/(1+Assump!$D$11)^BJ9</f>
        <v>#REF!</v>
      </c>
      <c r="BK102" s="90" t="e">
        <f>BK100/(1+Assump!$D$11)^BK9</f>
        <v>#REF!</v>
      </c>
      <c r="BL102" s="90" t="e">
        <f>BL100/(1+Assump!$D$11)^BL9</f>
        <v>#REF!</v>
      </c>
      <c r="BM102" s="90" t="e">
        <f>BM100/(1+Assump!$D$11)^BM9</f>
        <v>#REF!</v>
      </c>
      <c r="BN102" s="90" t="e">
        <f>BN100/(1+Assump!$D$11)^BN9</f>
        <v>#REF!</v>
      </c>
      <c r="BO102" s="90" t="e">
        <f>BO100/(1+Assump!$D$11)^BO9</f>
        <v>#REF!</v>
      </c>
      <c r="BP102" s="90" t="e">
        <f>BP100/(1+Assump!$D$11)^BP9</f>
        <v>#REF!</v>
      </c>
      <c r="BQ102" s="90" t="e">
        <f>BQ100/(1+Assump!$D$11)^BQ9</f>
        <v>#REF!</v>
      </c>
      <c r="BR102" s="90" t="e">
        <f>BR100/(1+Assump!$D$11)^BR9</f>
        <v>#REF!</v>
      </c>
      <c r="BS102" s="90" t="e">
        <f>BS100/(1+Assump!$D$11)^BS9</f>
        <v>#REF!</v>
      </c>
      <c r="BT102" s="90" t="e">
        <f>BT100/(1+Assump!$D$11)^BT9</f>
        <v>#REF!</v>
      </c>
      <c r="BU102" s="90" t="e">
        <f>BU100/(1+Assump!$D$11)^BU9</f>
        <v>#REF!</v>
      </c>
      <c r="BV102" s="90" t="e">
        <f>BV100/(1+Assump!$D$11)^BV9</f>
        <v>#REF!</v>
      </c>
      <c r="BW102" s="90" t="e">
        <f>BW100/(1+Assump!$D$11)^BW9</f>
        <v>#REF!</v>
      </c>
      <c r="BX102" s="90" t="e">
        <f>BX100/(1+Assump!$D$11)^BX9</f>
        <v>#REF!</v>
      </c>
      <c r="BY102" s="90" t="e">
        <f>BY100/(1+Assump!$D$11)^BY9</f>
        <v>#REF!</v>
      </c>
      <c r="BZ102" s="90" t="e">
        <f>BZ100/(1+Assump!$D$11)^BZ9</f>
        <v>#REF!</v>
      </c>
      <c r="CA102" s="90" t="e">
        <f>CA100/(1+Assump!$D$11)^CA9</f>
        <v>#REF!</v>
      </c>
      <c r="CB102" s="90" t="e">
        <f>CB100/(1+Assump!$D$11)^CB9</f>
        <v>#REF!</v>
      </c>
      <c r="CC102" s="90" t="e">
        <f>CC100/(1+Assump!$D$11)^CC9</f>
        <v>#REF!</v>
      </c>
      <c r="CD102" s="90" t="e">
        <f>CD100/(1+Assump!$D$11)^CD9</f>
        <v>#REF!</v>
      </c>
      <c r="CE102" s="90" t="e">
        <f>CE100/(1+Assump!$D$11)^CE9</f>
        <v>#REF!</v>
      </c>
      <c r="CF102" s="90" t="e">
        <f>CF100/(1+Assump!$D$11)^CF9</f>
        <v>#REF!</v>
      </c>
      <c r="CG102" s="90" t="e">
        <f>CG100/(1+Assump!$D$11)^CG9</f>
        <v>#REF!</v>
      </c>
      <c r="CH102" s="90" t="e">
        <f>CH100/(1+Assump!$D$11)^CH9</f>
        <v>#REF!</v>
      </c>
      <c r="CI102" s="90" t="e">
        <f>CI100/(1+Assump!$D$11)^CI9</f>
        <v>#REF!</v>
      </c>
      <c r="CJ102" s="90" t="e">
        <f>CJ100/(1+Assump!$D$11)^CJ9</f>
        <v>#REF!</v>
      </c>
      <c r="CK102" s="90" t="e">
        <f>CK100/(1+Assump!$D$11)^CK9</f>
        <v>#REF!</v>
      </c>
      <c r="CL102" s="90" t="e">
        <f>CL100/(1+Assump!$D$11)^CL9</f>
        <v>#REF!</v>
      </c>
      <c r="CM102" s="90" t="e">
        <f>CM100/(1+Assump!$D$11)^CM9</f>
        <v>#REF!</v>
      </c>
      <c r="CN102" s="90" t="e">
        <f>CN100/(1+Assump!$D$11)^CN9</f>
        <v>#REF!</v>
      </c>
      <c r="CO102" s="90" t="e">
        <f>CO100/(1+DiscRate!$E$3)^$CO$8</f>
        <v>#REF!</v>
      </c>
    </row>
    <row r="103" spans="1:93" ht="12.75" customHeight="1">
      <c r="A103" s="90"/>
      <c r="B103" s="96" t="s">
        <v>195</v>
      </c>
      <c r="C103" s="96" t="e">
        <f>CO103</f>
        <v>#REF!</v>
      </c>
      <c r="D103" s="92" t="e">
        <f>D102</f>
        <v>#REF!</v>
      </c>
      <c r="E103" s="90" t="e">
        <f t="shared" ref="E103:CO103" si="53">D103+E102</f>
        <v>#REF!</v>
      </c>
      <c r="F103" s="90" t="e">
        <f t="shared" si="53"/>
        <v>#REF!</v>
      </c>
      <c r="G103" s="90" t="e">
        <f t="shared" si="53"/>
        <v>#REF!</v>
      </c>
      <c r="H103" s="90" t="e">
        <f t="shared" si="53"/>
        <v>#REF!</v>
      </c>
      <c r="I103" s="90" t="e">
        <f t="shared" si="53"/>
        <v>#REF!</v>
      </c>
      <c r="J103" s="90" t="e">
        <f t="shared" si="53"/>
        <v>#REF!</v>
      </c>
      <c r="K103" s="90" t="e">
        <f t="shared" si="53"/>
        <v>#REF!</v>
      </c>
      <c r="L103" s="90" t="e">
        <f t="shared" si="53"/>
        <v>#REF!</v>
      </c>
      <c r="M103" s="90" t="e">
        <f t="shared" si="53"/>
        <v>#REF!</v>
      </c>
      <c r="N103" s="90" t="e">
        <f t="shared" si="53"/>
        <v>#REF!</v>
      </c>
      <c r="O103" s="90" t="e">
        <f t="shared" si="53"/>
        <v>#REF!</v>
      </c>
      <c r="P103" s="90" t="e">
        <f t="shared" si="53"/>
        <v>#REF!</v>
      </c>
      <c r="Q103" s="90" t="e">
        <f t="shared" si="53"/>
        <v>#REF!</v>
      </c>
      <c r="R103" s="90" t="e">
        <f t="shared" si="53"/>
        <v>#REF!</v>
      </c>
      <c r="S103" s="90" t="e">
        <f t="shared" si="53"/>
        <v>#REF!</v>
      </c>
      <c r="T103" s="90" t="e">
        <f t="shared" si="53"/>
        <v>#REF!</v>
      </c>
      <c r="U103" s="90" t="e">
        <f t="shared" si="53"/>
        <v>#REF!</v>
      </c>
      <c r="V103" s="90" t="e">
        <f t="shared" si="53"/>
        <v>#REF!</v>
      </c>
      <c r="W103" s="90" t="e">
        <f t="shared" si="53"/>
        <v>#REF!</v>
      </c>
      <c r="X103" s="90" t="e">
        <f t="shared" si="53"/>
        <v>#REF!</v>
      </c>
      <c r="Y103" s="90" t="e">
        <f t="shared" si="53"/>
        <v>#REF!</v>
      </c>
      <c r="Z103" s="90" t="e">
        <f t="shared" si="53"/>
        <v>#REF!</v>
      </c>
      <c r="AA103" s="90" t="e">
        <f t="shared" si="53"/>
        <v>#REF!</v>
      </c>
      <c r="AB103" s="90" t="e">
        <f t="shared" si="53"/>
        <v>#REF!</v>
      </c>
      <c r="AC103" s="90" t="e">
        <f t="shared" si="53"/>
        <v>#REF!</v>
      </c>
      <c r="AD103" s="90" t="e">
        <f t="shared" si="53"/>
        <v>#REF!</v>
      </c>
      <c r="AE103" s="90" t="e">
        <f t="shared" si="53"/>
        <v>#REF!</v>
      </c>
      <c r="AF103" s="90" t="e">
        <f t="shared" si="53"/>
        <v>#REF!</v>
      </c>
      <c r="AG103" s="90" t="e">
        <f t="shared" si="53"/>
        <v>#REF!</v>
      </c>
      <c r="AH103" s="90" t="e">
        <f t="shared" si="53"/>
        <v>#REF!</v>
      </c>
      <c r="AI103" s="90" t="e">
        <f t="shared" si="53"/>
        <v>#REF!</v>
      </c>
      <c r="AJ103" s="90" t="e">
        <f t="shared" si="53"/>
        <v>#REF!</v>
      </c>
      <c r="AK103" s="37" t="e">
        <f t="shared" si="53"/>
        <v>#REF!</v>
      </c>
      <c r="AL103" s="90" t="e">
        <f t="shared" si="53"/>
        <v>#REF!</v>
      </c>
      <c r="AM103" s="90" t="e">
        <f t="shared" si="53"/>
        <v>#REF!</v>
      </c>
      <c r="AN103" s="90" t="e">
        <f t="shared" si="53"/>
        <v>#REF!</v>
      </c>
      <c r="AO103" s="90" t="e">
        <f t="shared" si="53"/>
        <v>#REF!</v>
      </c>
      <c r="AP103" s="90" t="e">
        <f t="shared" si="53"/>
        <v>#REF!</v>
      </c>
      <c r="AQ103" s="90" t="e">
        <f t="shared" si="53"/>
        <v>#REF!</v>
      </c>
      <c r="AR103" s="90" t="e">
        <f t="shared" si="53"/>
        <v>#REF!</v>
      </c>
      <c r="AS103" s="90" t="e">
        <f t="shared" si="53"/>
        <v>#REF!</v>
      </c>
      <c r="AT103" s="90" t="e">
        <f t="shared" si="53"/>
        <v>#REF!</v>
      </c>
      <c r="AU103" s="90" t="e">
        <f t="shared" si="53"/>
        <v>#REF!</v>
      </c>
      <c r="AV103" s="90" t="e">
        <f t="shared" si="53"/>
        <v>#REF!</v>
      </c>
      <c r="AW103" s="90" t="e">
        <f t="shared" si="53"/>
        <v>#REF!</v>
      </c>
      <c r="AX103" s="90" t="e">
        <f t="shared" si="53"/>
        <v>#REF!</v>
      </c>
      <c r="AY103" s="90" t="e">
        <f t="shared" si="53"/>
        <v>#REF!</v>
      </c>
      <c r="AZ103" s="90" t="e">
        <f t="shared" si="53"/>
        <v>#REF!</v>
      </c>
      <c r="BA103" s="90" t="e">
        <f t="shared" si="53"/>
        <v>#REF!</v>
      </c>
      <c r="BB103" s="90" t="e">
        <f t="shared" si="53"/>
        <v>#REF!</v>
      </c>
      <c r="BC103" s="90" t="e">
        <f t="shared" si="53"/>
        <v>#REF!</v>
      </c>
      <c r="BD103" s="90" t="e">
        <f t="shared" si="53"/>
        <v>#REF!</v>
      </c>
      <c r="BE103" s="90" t="e">
        <f t="shared" si="53"/>
        <v>#REF!</v>
      </c>
      <c r="BF103" s="90" t="e">
        <f t="shared" si="53"/>
        <v>#REF!</v>
      </c>
      <c r="BG103" s="90" t="e">
        <f t="shared" si="53"/>
        <v>#REF!</v>
      </c>
      <c r="BH103" s="90" t="e">
        <f t="shared" si="53"/>
        <v>#REF!</v>
      </c>
      <c r="BI103" s="90" t="e">
        <f t="shared" si="53"/>
        <v>#REF!</v>
      </c>
      <c r="BJ103" s="90" t="e">
        <f t="shared" si="53"/>
        <v>#REF!</v>
      </c>
      <c r="BK103" s="90" t="e">
        <f t="shared" si="53"/>
        <v>#REF!</v>
      </c>
      <c r="BL103" s="90" t="e">
        <f t="shared" si="53"/>
        <v>#REF!</v>
      </c>
      <c r="BM103" s="90" t="e">
        <f t="shared" si="53"/>
        <v>#REF!</v>
      </c>
      <c r="BN103" s="90" t="e">
        <f t="shared" si="53"/>
        <v>#REF!</v>
      </c>
      <c r="BO103" s="90" t="e">
        <f t="shared" si="53"/>
        <v>#REF!</v>
      </c>
      <c r="BP103" s="90" t="e">
        <f t="shared" si="53"/>
        <v>#REF!</v>
      </c>
      <c r="BQ103" s="90" t="e">
        <f t="shared" si="53"/>
        <v>#REF!</v>
      </c>
      <c r="BR103" s="90" t="e">
        <f t="shared" si="53"/>
        <v>#REF!</v>
      </c>
      <c r="BS103" s="90" t="e">
        <f t="shared" si="53"/>
        <v>#REF!</v>
      </c>
      <c r="BT103" s="90" t="e">
        <f t="shared" si="53"/>
        <v>#REF!</v>
      </c>
      <c r="BU103" s="90" t="e">
        <f t="shared" si="53"/>
        <v>#REF!</v>
      </c>
      <c r="BV103" s="90" t="e">
        <f t="shared" si="53"/>
        <v>#REF!</v>
      </c>
      <c r="BW103" s="90" t="e">
        <f t="shared" si="53"/>
        <v>#REF!</v>
      </c>
      <c r="BX103" s="90" t="e">
        <f t="shared" si="53"/>
        <v>#REF!</v>
      </c>
      <c r="BY103" s="90" t="e">
        <f t="shared" si="53"/>
        <v>#REF!</v>
      </c>
      <c r="BZ103" s="90" t="e">
        <f t="shared" si="53"/>
        <v>#REF!</v>
      </c>
      <c r="CA103" s="90" t="e">
        <f t="shared" si="53"/>
        <v>#REF!</v>
      </c>
      <c r="CB103" s="90" t="e">
        <f t="shared" si="53"/>
        <v>#REF!</v>
      </c>
      <c r="CC103" s="90" t="e">
        <f t="shared" si="53"/>
        <v>#REF!</v>
      </c>
      <c r="CD103" s="90" t="e">
        <f t="shared" si="53"/>
        <v>#REF!</v>
      </c>
      <c r="CE103" s="90" t="e">
        <f t="shared" si="53"/>
        <v>#REF!</v>
      </c>
      <c r="CF103" s="90" t="e">
        <f t="shared" si="53"/>
        <v>#REF!</v>
      </c>
      <c r="CG103" s="90" t="e">
        <f t="shared" si="53"/>
        <v>#REF!</v>
      </c>
      <c r="CH103" s="90" t="e">
        <f t="shared" si="53"/>
        <v>#REF!</v>
      </c>
      <c r="CI103" s="90" t="e">
        <f t="shared" si="53"/>
        <v>#REF!</v>
      </c>
      <c r="CJ103" s="90" t="e">
        <f t="shared" si="53"/>
        <v>#REF!</v>
      </c>
      <c r="CK103" s="90" t="e">
        <f t="shared" si="53"/>
        <v>#REF!</v>
      </c>
      <c r="CL103" s="90" t="e">
        <f t="shared" si="53"/>
        <v>#REF!</v>
      </c>
      <c r="CM103" s="90" t="e">
        <f t="shared" si="53"/>
        <v>#REF!</v>
      </c>
      <c r="CN103" s="90" t="e">
        <f t="shared" si="53"/>
        <v>#REF!</v>
      </c>
      <c r="CO103" s="90" t="e">
        <f t="shared" si="53"/>
        <v>#REF!</v>
      </c>
    </row>
    <row r="104" spans="1:93" ht="12.75" customHeight="1">
      <c r="A104" s="90"/>
      <c r="B104" s="96" t="s">
        <v>196</v>
      </c>
      <c r="C104" s="96" t="e">
        <f t="array" ref="C104">D100+NPV(Assump!D11,sensitivity!E100:CN100)+CO102</f>
        <v>#REF!</v>
      </c>
      <c r="D104" s="92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37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</row>
    <row r="105" spans="1:93" ht="12.75" customHeight="1">
      <c r="A105" s="90"/>
      <c r="B105" s="96" t="s">
        <v>197</v>
      </c>
      <c r="C105" s="132" t="e">
        <f>IRR(D100:CO100)</f>
        <v>#VALUE!</v>
      </c>
      <c r="D105" s="98" t="e">
        <f>'sensitivity (years)'!C105</f>
        <v>#VALUE!</v>
      </c>
      <c r="E105" s="99" t="s">
        <v>198</v>
      </c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37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10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</row>
    <row r="106" spans="1:93" ht="12.75" customHeight="1">
      <c r="A106" s="90"/>
      <c r="B106" s="96" t="s">
        <v>199</v>
      </c>
      <c r="C106" s="101" t="e">
        <f t="array" ref="C106">(NPV(Assump!D11,sensitivity!E83:CN83)+D83+CO102)/-(NPV(Assump!D11,sensitivity!E87:Z87)+sensitivity!D87)</f>
        <v>#REF!</v>
      </c>
      <c r="D106" s="92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37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</row>
    <row r="107" spans="1:93" ht="12.75" customHeight="1">
      <c r="A107" s="90"/>
      <c r="B107" s="96" t="s">
        <v>200</v>
      </c>
      <c r="C107" s="96">
        <f>(COUNTIF(D101:CO101,"&lt;0")+1)/4</f>
        <v>0.25</v>
      </c>
      <c r="D107" s="92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37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</row>
    <row r="108" spans="1:93" ht="12.75" customHeight="1">
      <c r="A108" s="90"/>
      <c r="B108" s="96" t="s">
        <v>201</v>
      </c>
      <c r="C108" s="96" t="e">
        <f>IF(C104&lt;0,"выходит за рамки модели",(COUNTIF(D103:CO103,"&lt;0")+1)/4)</f>
        <v>#REF!</v>
      </c>
      <c r="D108" s="92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37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</row>
    <row r="109" spans="1:93" ht="12.75" customHeight="1">
      <c r="A109" s="90"/>
      <c r="B109" s="102" t="s">
        <v>202</v>
      </c>
      <c r="C109" s="102" t="e">
        <f>SUM(D109:CO109)</f>
        <v>#REF!</v>
      </c>
      <c r="D109" s="92" t="e">
        <f t="shared" ref="D109:AI109" si="54">D87*$C$204+(D83+D92+D93)</f>
        <v>#REF!</v>
      </c>
      <c r="E109" s="90" t="e">
        <f t="shared" si="54"/>
        <v>#REF!</v>
      </c>
      <c r="F109" s="90" t="e">
        <f t="shared" si="54"/>
        <v>#REF!</v>
      </c>
      <c r="G109" s="90" t="e">
        <f t="shared" si="54"/>
        <v>#REF!</v>
      </c>
      <c r="H109" s="90" t="e">
        <f t="shared" si="54"/>
        <v>#REF!</v>
      </c>
      <c r="I109" s="90" t="e">
        <f t="shared" si="54"/>
        <v>#REF!</v>
      </c>
      <c r="J109" s="90" t="e">
        <f t="shared" si="54"/>
        <v>#REF!</v>
      </c>
      <c r="K109" s="90" t="e">
        <f t="shared" si="54"/>
        <v>#REF!</v>
      </c>
      <c r="L109" s="90" t="e">
        <f t="shared" si="54"/>
        <v>#REF!</v>
      </c>
      <c r="M109" s="90" t="e">
        <f t="shared" si="54"/>
        <v>#REF!</v>
      </c>
      <c r="N109" s="90" t="e">
        <f t="shared" si="54"/>
        <v>#REF!</v>
      </c>
      <c r="O109" s="90" t="e">
        <f t="shared" si="54"/>
        <v>#REF!</v>
      </c>
      <c r="P109" s="90" t="e">
        <f t="shared" si="54"/>
        <v>#REF!</v>
      </c>
      <c r="Q109" s="90" t="e">
        <f t="shared" si="54"/>
        <v>#REF!</v>
      </c>
      <c r="R109" s="90" t="e">
        <f t="shared" si="54"/>
        <v>#REF!</v>
      </c>
      <c r="S109" s="90" t="e">
        <f t="shared" si="54"/>
        <v>#REF!</v>
      </c>
      <c r="T109" s="90" t="e">
        <f t="shared" si="54"/>
        <v>#REF!</v>
      </c>
      <c r="U109" s="90" t="e">
        <f t="shared" si="54"/>
        <v>#REF!</v>
      </c>
      <c r="V109" s="90" t="e">
        <f t="shared" si="54"/>
        <v>#REF!</v>
      </c>
      <c r="W109" s="90" t="e">
        <f t="shared" si="54"/>
        <v>#REF!</v>
      </c>
      <c r="X109" s="90" t="e">
        <f t="shared" si="54"/>
        <v>#REF!</v>
      </c>
      <c r="Y109" s="90" t="e">
        <f t="shared" si="54"/>
        <v>#REF!</v>
      </c>
      <c r="Z109" s="90" t="e">
        <f t="shared" si="54"/>
        <v>#REF!</v>
      </c>
      <c r="AA109" s="90" t="e">
        <f t="shared" si="54"/>
        <v>#REF!</v>
      </c>
      <c r="AB109" s="90" t="e">
        <f t="shared" si="54"/>
        <v>#REF!</v>
      </c>
      <c r="AC109" s="90" t="e">
        <f t="shared" si="54"/>
        <v>#REF!</v>
      </c>
      <c r="AD109" s="90" t="e">
        <f t="shared" si="54"/>
        <v>#REF!</v>
      </c>
      <c r="AE109" s="90" t="e">
        <f t="shared" si="54"/>
        <v>#REF!</v>
      </c>
      <c r="AF109" s="90" t="e">
        <f t="shared" si="54"/>
        <v>#REF!</v>
      </c>
      <c r="AG109" s="90" t="e">
        <f t="shared" si="54"/>
        <v>#REF!</v>
      </c>
      <c r="AH109" s="90" t="e">
        <f t="shared" si="54"/>
        <v>#REF!</v>
      </c>
      <c r="AI109" s="90" t="e">
        <f t="shared" si="54"/>
        <v>#REF!</v>
      </c>
      <c r="AJ109" s="90" t="e">
        <f t="shared" ref="AJ109:BO109" si="55">AJ87*$C$204+(AJ83+AJ92+AJ93)</f>
        <v>#REF!</v>
      </c>
      <c r="AK109" s="37" t="e">
        <f t="shared" si="55"/>
        <v>#REF!</v>
      </c>
      <c r="AL109" s="90" t="e">
        <f t="shared" si="55"/>
        <v>#REF!</v>
      </c>
      <c r="AM109" s="90" t="e">
        <f t="shared" si="55"/>
        <v>#REF!</v>
      </c>
      <c r="AN109" s="90" t="e">
        <f t="shared" si="55"/>
        <v>#REF!</v>
      </c>
      <c r="AO109" s="90" t="e">
        <f t="shared" si="55"/>
        <v>#REF!</v>
      </c>
      <c r="AP109" s="90" t="e">
        <f t="shared" si="55"/>
        <v>#REF!</v>
      </c>
      <c r="AQ109" s="90" t="e">
        <f t="shared" si="55"/>
        <v>#REF!</v>
      </c>
      <c r="AR109" s="90" t="e">
        <f t="shared" si="55"/>
        <v>#REF!</v>
      </c>
      <c r="AS109" s="90" t="e">
        <f t="shared" si="55"/>
        <v>#REF!</v>
      </c>
      <c r="AT109" s="90" t="e">
        <f t="shared" si="55"/>
        <v>#REF!</v>
      </c>
      <c r="AU109" s="90" t="e">
        <f t="shared" si="55"/>
        <v>#REF!</v>
      </c>
      <c r="AV109" s="90" t="e">
        <f t="shared" si="55"/>
        <v>#REF!</v>
      </c>
      <c r="AW109" s="90" t="e">
        <f t="shared" si="55"/>
        <v>#REF!</v>
      </c>
      <c r="AX109" s="90" t="e">
        <f t="shared" si="55"/>
        <v>#REF!</v>
      </c>
      <c r="AY109" s="90" t="e">
        <f t="shared" si="55"/>
        <v>#REF!</v>
      </c>
      <c r="AZ109" s="90" t="e">
        <f t="shared" si="55"/>
        <v>#REF!</v>
      </c>
      <c r="BA109" s="90" t="e">
        <f t="shared" si="55"/>
        <v>#REF!</v>
      </c>
      <c r="BB109" s="90" t="e">
        <f t="shared" si="55"/>
        <v>#REF!</v>
      </c>
      <c r="BC109" s="90" t="e">
        <f t="shared" si="55"/>
        <v>#REF!</v>
      </c>
      <c r="BD109" s="90" t="e">
        <f t="shared" si="55"/>
        <v>#REF!</v>
      </c>
      <c r="BE109" s="90" t="e">
        <f t="shared" si="55"/>
        <v>#REF!</v>
      </c>
      <c r="BF109" s="90" t="e">
        <f t="shared" si="55"/>
        <v>#REF!</v>
      </c>
      <c r="BG109" s="90" t="e">
        <f t="shared" si="55"/>
        <v>#REF!</v>
      </c>
      <c r="BH109" s="90" t="e">
        <f t="shared" si="55"/>
        <v>#REF!</v>
      </c>
      <c r="BI109" s="90" t="e">
        <f t="shared" si="55"/>
        <v>#REF!</v>
      </c>
      <c r="BJ109" s="90" t="e">
        <f t="shared" si="55"/>
        <v>#REF!</v>
      </c>
      <c r="BK109" s="90" t="e">
        <f t="shared" si="55"/>
        <v>#REF!</v>
      </c>
      <c r="BL109" s="90" t="e">
        <f t="shared" si="55"/>
        <v>#REF!</v>
      </c>
      <c r="BM109" s="90" t="e">
        <f t="shared" si="55"/>
        <v>#REF!</v>
      </c>
      <c r="BN109" s="90" t="e">
        <f t="shared" si="55"/>
        <v>#REF!</v>
      </c>
      <c r="BO109" s="90" t="e">
        <f t="shared" si="55"/>
        <v>#REF!</v>
      </c>
      <c r="BP109" s="90" t="e">
        <f t="shared" ref="BP109:CN109" si="56">BP87*$C$204+(BP83+BP92+BP93)</f>
        <v>#REF!</v>
      </c>
      <c r="BQ109" s="90" t="e">
        <f t="shared" si="56"/>
        <v>#REF!</v>
      </c>
      <c r="BR109" s="90" t="e">
        <f t="shared" si="56"/>
        <v>#REF!</v>
      </c>
      <c r="BS109" s="90" t="e">
        <f t="shared" si="56"/>
        <v>#REF!</v>
      </c>
      <c r="BT109" s="90" t="e">
        <f t="shared" si="56"/>
        <v>#REF!</v>
      </c>
      <c r="BU109" s="90" t="e">
        <f t="shared" si="56"/>
        <v>#REF!</v>
      </c>
      <c r="BV109" s="90" t="e">
        <f t="shared" si="56"/>
        <v>#REF!</v>
      </c>
      <c r="BW109" s="90" t="e">
        <f t="shared" si="56"/>
        <v>#REF!</v>
      </c>
      <c r="BX109" s="90" t="e">
        <f t="shared" si="56"/>
        <v>#REF!</v>
      </c>
      <c r="BY109" s="90" t="e">
        <f t="shared" si="56"/>
        <v>#REF!</v>
      </c>
      <c r="BZ109" s="90" t="e">
        <f t="shared" si="56"/>
        <v>#REF!</v>
      </c>
      <c r="CA109" s="90" t="e">
        <f t="shared" si="56"/>
        <v>#REF!</v>
      </c>
      <c r="CB109" s="90" t="e">
        <f t="shared" si="56"/>
        <v>#REF!</v>
      </c>
      <c r="CC109" s="90" t="e">
        <f t="shared" si="56"/>
        <v>#REF!</v>
      </c>
      <c r="CD109" s="90" t="e">
        <f t="shared" si="56"/>
        <v>#REF!</v>
      </c>
      <c r="CE109" s="90" t="e">
        <f t="shared" si="56"/>
        <v>#REF!</v>
      </c>
      <c r="CF109" s="90" t="e">
        <f t="shared" si="56"/>
        <v>#REF!</v>
      </c>
      <c r="CG109" s="90" t="e">
        <f t="shared" si="56"/>
        <v>#REF!</v>
      </c>
      <c r="CH109" s="90" t="e">
        <f t="shared" si="56"/>
        <v>#REF!</v>
      </c>
      <c r="CI109" s="90" t="e">
        <f t="shared" si="56"/>
        <v>#REF!</v>
      </c>
      <c r="CJ109" s="90" t="e">
        <f t="shared" si="56"/>
        <v>#REF!</v>
      </c>
      <c r="CK109" s="90" t="e">
        <f t="shared" si="56"/>
        <v>#REF!</v>
      </c>
      <c r="CL109" s="90" t="e">
        <f t="shared" si="56"/>
        <v>#REF!</v>
      </c>
      <c r="CM109" s="90" t="e">
        <f t="shared" si="56"/>
        <v>#REF!</v>
      </c>
      <c r="CN109" s="90" t="e">
        <f t="shared" si="56"/>
        <v>#REF!</v>
      </c>
      <c r="CO109" s="90" t="e">
        <f>CO87*(Финансирование!#REF!+Финансирование!$D$5)+(CO83+CO92+CO93)</f>
        <v>#REF!</v>
      </c>
    </row>
    <row r="110" spans="1:93" ht="12.75" customHeight="1">
      <c r="A110" s="90"/>
      <c r="B110" s="102" t="s">
        <v>203</v>
      </c>
      <c r="C110" s="102" t="e">
        <f>CO110</f>
        <v>#REF!</v>
      </c>
      <c r="D110" s="92" t="e">
        <f>D109</f>
        <v>#REF!</v>
      </c>
      <c r="E110" s="90" t="e">
        <f t="shared" ref="E110:CO110" si="57">E109+D110</f>
        <v>#REF!</v>
      </c>
      <c r="F110" s="90" t="e">
        <f t="shared" si="57"/>
        <v>#REF!</v>
      </c>
      <c r="G110" s="90" t="e">
        <f t="shared" si="57"/>
        <v>#REF!</v>
      </c>
      <c r="H110" s="90" t="e">
        <f t="shared" si="57"/>
        <v>#REF!</v>
      </c>
      <c r="I110" s="90" t="e">
        <f t="shared" si="57"/>
        <v>#REF!</v>
      </c>
      <c r="J110" s="90" t="e">
        <f t="shared" si="57"/>
        <v>#REF!</v>
      </c>
      <c r="K110" s="90" t="e">
        <f t="shared" si="57"/>
        <v>#REF!</v>
      </c>
      <c r="L110" s="90" t="e">
        <f t="shared" si="57"/>
        <v>#REF!</v>
      </c>
      <c r="M110" s="90" t="e">
        <f t="shared" si="57"/>
        <v>#REF!</v>
      </c>
      <c r="N110" s="90" t="e">
        <f t="shared" si="57"/>
        <v>#REF!</v>
      </c>
      <c r="O110" s="90" t="e">
        <f t="shared" si="57"/>
        <v>#REF!</v>
      </c>
      <c r="P110" s="90" t="e">
        <f t="shared" si="57"/>
        <v>#REF!</v>
      </c>
      <c r="Q110" s="90" t="e">
        <f t="shared" si="57"/>
        <v>#REF!</v>
      </c>
      <c r="R110" s="90" t="e">
        <f t="shared" si="57"/>
        <v>#REF!</v>
      </c>
      <c r="S110" s="90" t="e">
        <f t="shared" si="57"/>
        <v>#REF!</v>
      </c>
      <c r="T110" s="90" t="e">
        <f t="shared" si="57"/>
        <v>#REF!</v>
      </c>
      <c r="U110" s="90" t="e">
        <f t="shared" si="57"/>
        <v>#REF!</v>
      </c>
      <c r="V110" s="90" t="e">
        <f t="shared" si="57"/>
        <v>#REF!</v>
      </c>
      <c r="W110" s="90" t="e">
        <f t="shared" si="57"/>
        <v>#REF!</v>
      </c>
      <c r="X110" s="90" t="e">
        <f t="shared" si="57"/>
        <v>#REF!</v>
      </c>
      <c r="Y110" s="90" t="e">
        <f t="shared" si="57"/>
        <v>#REF!</v>
      </c>
      <c r="Z110" s="90" t="e">
        <f t="shared" si="57"/>
        <v>#REF!</v>
      </c>
      <c r="AA110" s="90" t="e">
        <f t="shared" si="57"/>
        <v>#REF!</v>
      </c>
      <c r="AB110" s="90" t="e">
        <f t="shared" si="57"/>
        <v>#REF!</v>
      </c>
      <c r="AC110" s="90" t="e">
        <f t="shared" si="57"/>
        <v>#REF!</v>
      </c>
      <c r="AD110" s="90" t="e">
        <f t="shared" si="57"/>
        <v>#REF!</v>
      </c>
      <c r="AE110" s="90" t="e">
        <f t="shared" si="57"/>
        <v>#REF!</v>
      </c>
      <c r="AF110" s="90" t="e">
        <f t="shared" si="57"/>
        <v>#REF!</v>
      </c>
      <c r="AG110" s="90" t="e">
        <f t="shared" si="57"/>
        <v>#REF!</v>
      </c>
      <c r="AH110" s="90" t="e">
        <f t="shared" si="57"/>
        <v>#REF!</v>
      </c>
      <c r="AI110" s="90" t="e">
        <f t="shared" si="57"/>
        <v>#REF!</v>
      </c>
      <c r="AJ110" s="90" t="e">
        <f t="shared" si="57"/>
        <v>#REF!</v>
      </c>
      <c r="AK110" s="90" t="e">
        <f t="shared" si="57"/>
        <v>#REF!</v>
      </c>
      <c r="AL110" s="90" t="e">
        <f t="shared" si="57"/>
        <v>#REF!</v>
      </c>
      <c r="AM110" s="90" t="e">
        <f t="shared" si="57"/>
        <v>#REF!</v>
      </c>
      <c r="AN110" s="90" t="e">
        <f t="shared" si="57"/>
        <v>#REF!</v>
      </c>
      <c r="AO110" s="90" t="e">
        <f t="shared" si="57"/>
        <v>#REF!</v>
      </c>
      <c r="AP110" s="90" t="e">
        <f t="shared" si="57"/>
        <v>#REF!</v>
      </c>
      <c r="AQ110" s="90" t="e">
        <f t="shared" si="57"/>
        <v>#REF!</v>
      </c>
      <c r="AR110" s="90" t="e">
        <f t="shared" si="57"/>
        <v>#REF!</v>
      </c>
      <c r="AS110" s="90" t="e">
        <f t="shared" si="57"/>
        <v>#REF!</v>
      </c>
      <c r="AT110" s="90" t="e">
        <f t="shared" si="57"/>
        <v>#REF!</v>
      </c>
      <c r="AU110" s="90" t="e">
        <f t="shared" si="57"/>
        <v>#REF!</v>
      </c>
      <c r="AV110" s="90" t="e">
        <f t="shared" si="57"/>
        <v>#REF!</v>
      </c>
      <c r="AW110" s="90" t="e">
        <f t="shared" si="57"/>
        <v>#REF!</v>
      </c>
      <c r="AX110" s="90" t="e">
        <f t="shared" si="57"/>
        <v>#REF!</v>
      </c>
      <c r="AY110" s="90" t="e">
        <f t="shared" si="57"/>
        <v>#REF!</v>
      </c>
      <c r="AZ110" s="90" t="e">
        <f t="shared" si="57"/>
        <v>#REF!</v>
      </c>
      <c r="BA110" s="90" t="e">
        <f t="shared" si="57"/>
        <v>#REF!</v>
      </c>
      <c r="BB110" s="90" t="e">
        <f t="shared" si="57"/>
        <v>#REF!</v>
      </c>
      <c r="BC110" s="90" t="e">
        <f t="shared" si="57"/>
        <v>#REF!</v>
      </c>
      <c r="BD110" s="90" t="e">
        <f t="shared" si="57"/>
        <v>#REF!</v>
      </c>
      <c r="BE110" s="90" t="e">
        <f t="shared" si="57"/>
        <v>#REF!</v>
      </c>
      <c r="BF110" s="90" t="e">
        <f t="shared" si="57"/>
        <v>#REF!</v>
      </c>
      <c r="BG110" s="90" t="e">
        <f t="shared" si="57"/>
        <v>#REF!</v>
      </c>
      <c r="BH110" s="90" t="e">
        <f t="shared" si="57"/>
        <v>#REF!</v>
      </c>
      <c r="BI110" s="90" t="e">
        <f t="shared" si="57"/>
        <v>#REF!</v>
      </c>
      <c r="BJ110" s="90" t="e">
        <f t="shared" si="57"/>
        <v>#REF!</v>
      </c>
      <c r="BK110" s="90" t="e">
        <f t="shared" si="57"/>
        <v>#REF!</v>
      </c>
      <c r="BL110" s="90" t="e">
        <f t="shared" si="57"/>
        <v>#REF!</v>
      </c>
      <c r="BM110" s="90" t="e">
        <f t="shared" si="57"/>
        <v>#REF!</v>
      </c>
      <c r="BN110" s="90" t="e">
        <f t="shared" si="57"/>
        <v>#REF!</v>
      </c>
      <c r="BO110" s="90" t="e">
        <f t="shared" si="57"/>
        <v>#REF!</v>
      </c>
      <c r="BP110" s="90" t="e">
        <f t="shared" si="57"/>
        <v>#REF!</v>
      </c>
      <c r="BQ110" s="90" t="e">
        <f t="shared" si="57"/>
        <v>#REF!</v>
      </c>
      <c r="BR110" s="90" t="e">
        <f t="shared" si="57"/>
        <v>#REF!</v>
      </c>
      <c r="BS110" s="90" t="e">
        <f t="shared" si="57"/>
        <v>#REF!</v>
      </c>
      <c r="BT110" s="90" t="e">
        <f t="shared" si="57"/>
        <v>#REF!</v>
      </c>
      <c r="BU110" s="90" t="e">
        <f t="shared" si="57"/>
        <v>#REF!</v>
      </c>
      <c r="BV110" s="90" t="e">
        <f t="shared" si="57"/>
        <v>#REF!</v>
      </c>
      <c r="BW110" s="90" t="e">
        <f t="shared" si="57"/>
        <v>#REF!</v>
      </c>
      <c r="BX110" s="90" t="e">
        <f t="shared" si="57"/>
        <v>#REF!</v>
      </c>
      <c r="BY110" s="90" t="e">
        <f t="shared" si="57"/>
        <v>#REF!</v>
      </c>
      <c r="BZ110" s="90" t="e">
        <f t="shared" si="57"/>
        <v>#REF!</v>
      </c>
      <c r="CA110" s="90" t="e">
        <f t="shared" si="57"/>
        <v>#REF!</v>
      </c>
      <c r="CB110" s="90" t="e">
        <f t="shared" si="57"/>
        <v>#REF!</v>
      </c>
      <c r="CC110" s="90" t="e">
        <f t="shared" si="57"/>
        <v>#REF!</v>
      </c>
      <c r="CD110" s="90" t="e">
        <f t="shared" si="57"/>
        <v>#REF!</v>
      </c>
      <c r="CE110" s="90" t="e">
        <f t="shared" si="57"/>
        <v>#REF!</v>
      </c>
      <c r="CF110" s="90" t="e">
        <f t="shared" si="57"/>
        <v>#REF!</v>
      </c>
      <c r="CG110" s="90" t="e">
        <f t="shared" si="57"/>
        <v>#REF!</v>
      </c>
      <c r="CH110" s="90" t="e">
        <f t="shared" si="57"/>
        <v>#REF!</v>
      </c>
      <c r="CI110" s="90" t="e">
        <f t="shared" si="57"/>
        <v>#REF!</v>
      </c>
      <c r="CJ110" s="90" t="e">
        <f t="shared" si="57"/>
        <v>#REF!</v>
      </c>
      <c r="CK110" s="90" t="e">
        <f t="shared" si="57"/>
        <v>#REF!</v>
      </c>
      <c r="CL110" s="90" t="e">
        <f t="shared" si="57"/>
        <v>#REF!</v>
      </c>
      <c r="CM110" s="90" t="e">
        <f t="shared" si="57"/>
        <v>#REF!</v>
      </c>
      <c r="CN110" s="90" t="e">
        <f t="shared" si="57"/>
        <v>#REF!</v>
      </c>
      <c r="CO110" s="90" t="e">
        <f t="shared" si="57"/>
        <v>#REF!</v>
      </c>
    </row>
    <row r="111" spans="1:93" ht="12.75" customHeight="1">
      <c r="A111" s="90"/>
      <c r="B111" s="102" t="s">
        <v>204</v>
      </c>
      <c r="C111" s="102" t="e">
        <f>SUM(D111:CO111)</f>
        <v>#REF!</v>
      </c>
      <c r="D111" s="92" t="e">
        <f>D109/(1+DiscRate!$G$20)^D$9</f>
        <v>#REF!</v>
      </c>
      <c r="E111" s="90" t="e">
        <f>E109/(1+DiscRate!$G$20)^E$9</f>
        <v>#REF!</v>
      </c>
      <c r="F111" s="90" t="e">
        <f>F109/(1+DiscRate!$G$20)^F$9</f>
        <v>#REF!</v>
      </c>
      <c r="G111" s="90" t="e">
        <f>G109/(1+DiscRate!$G$20)^G$9</f>
        <v>#REF!</v>
      </c>
      <c r="H111" s="90" t="e">
        <f>H109/(1+DiscRate!$G$20)^H$9</f>
        <v>#REF!</v>
      </c>
      <c r="I111" s="90" t="e">
        <f>I109/(1+DiscRate!$G$20)^I$9</f>
        <v>#REF!</v>
      </c>
      <c r="J111" s="90" t="e">
        <f>J109/(1+DiscRate!$G$20)^J$9</f>
        <v>#REF!</v>
      </c>
      <c r="K111" s="90" t="e">
        <f>K109/(1+DiscRate!$G$20)^K$9</f>
        <v>#REF!</v>
      </c>
      <c r="L111" s="90" t="e">
        <f>L109/(1+DiscRate!$G$20)^L$9</f>
        <v>#REF!</v>
      </c>
      <c r="M111" s="90" t="e">
        <f>M109/(1+DiscRate!$G$20)^M$9</f>
        <v>#REF!</v>
      </c>
      <c r="N111" s="90" t="e">
        <f>N109/(1+DiscRate!$G$20)^N$9</f>
        <v>#REF!</v>
      </c>
      <c r="O111" s="90" t="e">
        <f>O109/(1+DiscRate!$G$20)^O$9</f>
        <v>#REF!</v>
      </c>
      <c r="P111" s="90" t="e">
        <f>P109/(1+DiscRate!$G$20)^P$9</f>
        <v>#REF!</v>
      </c>
      <c r="Q111" s="90" t="e">
        <f>Q109/(1+DiscRate!$G$20)^Q$9</f>
        <v>#REF!</v>
      </c>
      <c r="R111" s="90" t="e">
        <f>R109/(1+DiscRate!$G$20)^R$9</f>
        <v>#REF!</v>
      </c>
      <c r="S111" s="90" t="e">
        <f>S109/(1+DiscRate!$G$20)^S$9</f>
        <v>#REF!</v>
      </c>
      <c r="T111" s="90" t="e">
        <f>T109/(1+DiscRate!$G$20)^T$9</f>
        <v>#REF!</v>
      </c>
      <c r="U111" s="90" t="e">
        <f>U109/(1+DiscRate!$G$20)^U$9</f>
        <v>#REF!</v>
      </c>
      <c r="V111" s="90" t="e">
        <f>V109/(1+DiscRate!$G$20)^V$9</f>
        <v>#REF!</v>
      </c>
      <c r="W111" s="90" t="e">
        <f>W109/(1+DiscRate!$G$20)^W$9</f>
        <v>#REF!</v>
      </c>
      <c r="X111" s="90" t="e">
        <f>X109/(1+DiscRate!$G$20)^X$9</f>
        <v>#REF!</v>
      </c>
      <c r="Y111" s="90" t="e">
        <f>Y109/(1+DiscRate!$G$20)^Y$9</f>
        <v>#REF!</v>
      </c>
      <c r="Z111" s="90" t="e">
        <f>Z109/(1+DiscRate!$G$20)^Z$9</f>
        <v>#REF!</v>
      </c>
      <c r="AA111" s="90" t="e">
        <f>AA109/(1+DiscRate!$G$20)^AA$9</f>
        <v>#REF!</v>
      </c>
      <c r="AB111" s="90" t="e">
        <f>AB109/(1+DiscRate!$G$20)^AB$9</f>
        <v>#REF!</v>
      </c>
      <c r="AC111" s="90" t="e">
        <f>AC109/(1+DiscRate!$G$20)^AC$9</f>
        <v>#REF!</v>
      </c>
      <c r="AD111" s="90" t="e">
        <f>AD109/(1+DiscRate!$G$20)^AD$9</f>
        <v>#REF!</v>
      </c>
      <c r="AE111" s="90" t="e">
        <f>AE109/(1+DiscRate!$G$20)^AE$9</f>
        <v>#REF!</v>
      </c>
      <c r="AF111" s="90" t="e">
        <f>AF109/(1+DiscRate!$G$20)^AF$9</f>
        <v>#REF!</v>
      </c>
      <c r="AG111" s="90" t="e">
        <f>AG109/(1+DiscRate!$G$20)^AG$9</f>
        <v>#REF!</v>
      </c>
      <c r="AH111" s="90" t="e">
        <f>AH109/(1+DiscRate!$G$20)^AH$9</f>
        <v>#REF!</v>
      </c>
      <c r="AI111" s="90" t="e">
        <f>AI109/(1+DiscRate!$G$20)^AI$9</f>
        <v>#REF!</v>
      </c>
      <c r="AJ111" s="90" t="e">
        <f>AJ109/(1+DiscRate!$G$20)^AJ$9</f>
        <v>#REF!</v>
      </c>
      <c r="AK111" s="90" t="e">
        <f>AK109/(1+DiscRate!$G$20)^AK$9</f>
        <v>#REF!</v>
      </c>
      <c r="AL111" s="90" t="e">
        <f>AL109/(1+DiscRate!$G$20)^AL$9</f>
        <v>#REF!</v>
      </c>
      <c r="AM111" s="90" t="e">
        <f>AM109/(1+DiscRate!$G$20)^AM$9</f>
        <v>#REF!</v>
      </c>
      <c r="AN111" s="90" t="e">
        <f>AN109/(1+DiscRate!$G$20)^AN$9</f>
        <v>#REF!</v>
      </c>
      <c r="AO111" s="90" t="e">
        <f>AO109/(1+DiscRate!$G$20)^AO$9</f>
        <v>#REF!</v>
      </c>
      <c r="AP111" s="90" t="e">
        <f>AP109/(1+DiscRate!$G$20)^AP$9</f>
        <v>#REF!</v>
      </c>
      <c r="AQ111" s="90" t="e">
        <f>AQ109/(1+DiscRate!$G$20)^AQ$9</f>
        <v>#REF!</v>
      </c>
      <c r="AR111" s="90" t="e">
        <f>AR109/(1+DiscRate!$G$20)^AR$9</f>
        <v>#REF!</v>
      </c>
      <c r="AS111" s="90" t="e">
        <f>AS109/(1+DiscRate!$G$20)^AS$9</f>
        <v>#REF!</v>
      </c>
      <c r="AT111" s="90" t="e">
        <f>AT109/(1+DiscRate!$G$20)^AT$9</f>
        <v>#REF!</v>
      </c>
      <c r="AU111" s="90" t="e">
        <f>AU109/(1+DiscRate!$G$20)^AU$9</f>
        <v>#REF!</v>
      </c>
      <c r="AV111" s="90" t="e">
        <f>AV109/(1+DiscRate!$G$20)^AV$9</f>
        <v>#REF!</v>
      </c>
      <c r="AW111" s="90" t="e">
        <f>AW109/(1+DiscRate!$G$20)^AW$9</f>
        <v>#REF!</v>
      </c>
      <c r="AX111" s="90" t="e">
        <f>AX109/(1+DiscRate!$G$20)^AX$9</f>
        <v>#REF!</v>
      </c>
      <c r="AY111" s="90" t="e">
        <f>AY109/(1+DiscRate!$G$20)^AY$9</f>
        <v>#REF!</v>
      </c>
      <c r="AZ111" s="90" t="e">
        <f>AZ109/(1+DiscRate!$G$20)^AZ$9</f>
        <v>#REF!</v>
      </c>
      <c r="BA111" s="90" t="e">
        <f>BA109/(1+DiscRate!$G$20)^BA$9</f>
        <v>#REF!</v>
      </c>
      <c r="BB111" s="90" t="e">
        <f>BB109/(1+DiscRate!$G$20)^BB$9</f>
        <v>#REF!</v>
      </c>
      <c r="BC111" s="90" t="e">
        <f>BC109/(1+DiscRate!$G$20)^BC$9</f>
        <v>#REF!</v>
      </c>
      <c r="BD111" s="90" t="e">
        <f>BD109/(1+DiscRate!$G$20)^BD$9</f>
        <v>#REF!</v>
      </c>
      <c r="BE111" s="90" t="e">
        <f>BE109/(1+DiscRate!$G$20)^BE$9</f>
        <v>#REF!</v>
      </c>
      <c r="BF111" s="90" t="e">
        <f>BF109/(1+DiscRate!$G$20)^BF$9</f>
        <v>#REF!</v>
      </c>
      <c r="BG111" s="90" t="e">
        <f>BG109/(1+DiscRate!$G$20)^BG$9</f>
        <v>#REF!</v>
      </c>
      <c r="BH111" s="90" t="e">
        <f>BH109/(1+DiscRate!$G$20)^BH$9</f>
        <v>#REF!</v>
      </c>
      <c r="BI111" s="90" t="e">
        <f>BI109/(1+DiscRate!$G$20)^BI$9</f>
        <v>#REF!</v>
      </c>
      <c r="BJ111" s="90" t="e">
        <f>BJ109/(1+DiscRate!$G$20)^BJ$9</f>
        <v>#REF!</v>
      </c>
      <c r="BK111" s="90" t="e">
        <f>BK109/(1+DiscRate!$G$20)^BK$9</f>
        <v>#REF!</v>
      </c>
      <c r="BL111" s="90" t="e">
        <f>BL109/(1+DiscRate!$G$20)^BL$9</f>
        <v>#REF!</v>
      </c>
      <c r="BM111" s="90" t="e">
        <f>BM109/(1+DiscRate!$G$20)^BM$9</f>
        <v>#REF!</v>
      </c>
      <c r="BN111" s="90" t="e">
        <f>BN109/(1+DiscRate!$G$20)^BN$9</f>
        <v>#REF!</v>
      </c>
      <c r="BO111" s="90" t="e">
        <f>BO109/(1+DiscRate!$G$20)^BO$9</f>
        <v>#REF!</v>
      </c>
      <c r="BP111" s="90" t="e">
        <f>BP109/(1+DiscRate!$G$20)^BP$9</f>
        <v>#REF!</v>
      </c>
      <c r="BQ111" s="90" t="e">
        <f>BQ109/(1+DiscRate!$G$20)^BQ$9</f>
        <v>#REF!</v>
      </c>
      <c r="BR111" s="90" t="e">
        <f>BR109/(1+DiscRate!$G$20)^BR$9</f>
        <v>#REF!</v>
      </c>
      <c r="BS111" s="90" t="e">
        <f>BS109/(1+DiscRate!$G$20)^BS$9</f>
        <v>#REF!</v>
      </c>
      <c r="BT111" s="90" t="e">
        <f>BT109/(1+DiscRate!$G$20)^BT$9</f>
        <v>#REF!</v>
      </c>
      <c r="BU111" s="90" t="e">
        <f>BU109/(1+DiscRate!$G$20)^BU$9</f>
        <v>#REF!</v>
      </c>
      <c r="BV111" s="90" t="e">
        <f>BV109/(1+DiscRate!$G$20)^BV$9</f>
        <v>#REF!</v>
      </c>
      <c r="BW111" s="90" t="e">
        <f>BW109/(1+DiscRate!$G$20)^BW$9</f>
        <v>#REF!</v>
      </c>
      <c r="BX111" s="90" t="e">
        <f>BX109/(1+DiscRate!$G$20)^BX$9</f>
        <v>#REF!</v>
      </c>
      <c r="BY111" s="90" t="e">
        <f>BY109/(1+DiscRate!$G$20)^BY$9</f>
        <v>#REF!</v>
      </c>
      <c r="BZ111" s="90" t="e">
        <f>BZ109/(1+DiscRate!$G$20)^BZ$9</f>
        <v>#REF!</v>
      </c>
      <c r="CA111" s="90" t="e">
        <f>CA109/(1+DiscRate!$G$20)^CA$9</f>
        <v>#REF!</v>
      </c>
      <c r="CB111" s="90" t="e">
        <f>CB109/(1+DiscRate!$G$20)^CB$9</f>
        <v>#REF!</v>
      </c>
      <c r="CC111" s="90" t="e">
        <f>CC109/(1+DiscRate!$G$20)^CC$9</f>
        <v>#REF!</v>
      </c>
      <c r="CD111" s="90" t="e">
        <f>CD109/(1+DiscRate!$G$20)^CD$9</f>
        <v>#REF!</v>
      </c>
      <c r="CE111" s="90" t="e">
        <f>CE109/(1+DiscRate!$G$20)^CE$9</f>
        <v>#REF!</v>
      </c>
      <c r="CF111" s="90" t="e">
        <f>CF109/(1+DiscRate!$G$20)^CF$9</f>
        <v>#REF!</v>
      </c>
      <c r="CG111" s="90" t="e">
        <f>CG109/(1+DiscRate!$G$20)^CG$9</f>
        <v>#REF!</v>
      </c>
      <c r="CH111" s="90" t="e">
        <f>CH109/(1+DiscRate!$G$20)^CH$9</f>
        <v>#REF!</v>
      </c>
      <c r="CI111" s="90" t="e">
        <f>CI109/(1+DiscRate!$G$20)^CI$9</f>
        <v>#REF!</v>
      </c>
      <c r="CJ111" s="90" t="e">
        <f>CJ109/(1+DiscRate!$G$20)^CJ$9</f>
        <v>#REF!</v>
      </c>
      <c r="CK111" s="90" t="e">
        <f>CK109/(1+DiscRate!$G$20)^CK$9</f>
        <v>#REF!</v>
      </c>
      <c r="CL111" s="90" t="e">
        <f>CL109/(1+DiscRate!$G$20)^CL$9</f>
        <v>#REF!</v>
      </c>
      <c r="CM111" s="90" t="e">
        <f>CM109/(1+DiscRate!$G$20)^CM$9</f>
        <v>#REF!</v>
      </c>
      <c r="CN111" s="90" t="e">
        <f>CN109/(1+DiscRate!$G$20)^CN$9</f>
        <v>#REF!</v>
      </c>
      <c r="CO111" s="90" t="e">
        <f>CO109/(1+DiscRate!$G$20)^$CO$8</f>
        <v>#REF!</v>
      </c>
    </row>
    <row r="112" spans="1:93" ht="12.75" customHeight="1">
      <c r="A112" s="90"/>
      <c r="B112" s="102" t="s">
        <v>205</v>
      </c>
      <c r="C112" s="102" t="e">
        <f>CO112</f>
        <v>#REF!</v>
      </c>
      <c r="D112" s="92" t="e">
        <f>D111</f>
        <v>#REF!</v>
      </c>
      <c r="E112" s="90" t="e">
        <f t="shared" ref="E112:CO112" si="58">E111+D112</f>
        <v>#REF!</v>
      </c>
      <c r="F112" s="90" t="e">
        <f t="shared" si="58"/>
        <v>#REF!</v>
      </c>
      <c r="G112" s="90" t="e">
        <f t="shared" si="58"/>
        <v>#REF!</v>
      </c>
      <c r="H112" s="90" t="e">
        <f t="shared" si="58"/>
        <v>#REF!</v>
      </c>
      <c r="I112" s="90" t="e">
        <f t="shared" si="58"/>
        <v>#REF!</v>
      </c>
      <c r="J112" s="90" t="e">
        <f t="shared" si="58"/>
        <v>#REF!</v>
      </c>
      <c r="K112" s="90" t="e">
        <f t="shared" si="58"/>
        <v>#REF!</v>
      </c>
      <c r="L112" s="90" t="e">
        <f t="shared" si="58"/>
        <v>#REF!</v>
      </c>
      <c r="M112" s="90" t="e">
        <f t="shared" si="58"/>
        <v>#REF!</v>
      </c>
      <c r="N112" s="90" t="e">
        <f t="shared" si="58"/>
        <v>#REF!</v>
      </c>
      <c r="O112" s="90" t="e">
        <f t="shared" si="58"/>
        <v>#REF!</v>
      </c>
      <c r="P112" s="90" t="e">
        <f t="shared" si="58"/>
        <v>#REF!</v>
      </c>
      <c r="Q112" s="90" t="e">
        <f t="shared" si="58"/>
        <v>#REF!</v>
      </c>
      <c r="R112" s="90" t="e">
        <f t="shared" si="58"/>
        <v>#REF!</v>
      </c>
      <c r="S112" s="90" t="e">
        <f t="shared" si="58"/>
        <v>#REF!</v>
      </c>
      <c r="T112" s="90" t="e">
        <f t="shared" si="58"/>
        <v>#REF!</v>
      </c>
      <c r="U112" s="90" t="e">
        <f t="shared" si="58"/>
        <v>#REF!</v>
      </c>
      <c r="V112" s="90" t="e">
        <f t="shared" si="58"/>
        <v>#REF!</v>
      </c>
      <c r="W112" s="90" t="e">
        <f t="shared" si="58"/>
        <v>#REF!</v>
      </c>
      <c r="X112" s="90" t="e">
        <f t="shared" si="58"/>
        <v>#REF!</v>
      </c>
      <c r="Y112" s="90" t="e">
        <f t="shared" si="58"/>
        <v>#REF!</v>
      </c>
      <c r="Z112" s="90" t="e">
        <f t="shared" si="58"/>
        <v>#REF!</v>
      </c>
      <c r="AA112" s="90" t="e">
        <f t="shared" si="58"/>
        <v>#REF!</v>
      </c>
      <c r="AB112" s="90" t="e">
        <f t="shared" si="58"/>
        <v>#REF!</v>
      </c>
      <c r="AC112" s="90" t="e">
        <f t="shared" si="58"/>
        <v>#REF!</v>
      </c>
      <c r="AD112" s="90" t="e">
        <f t="shared" si="58"/>
        <v>#REF!</v>
      </c>
      <c r="AE112" s="90" t="e">
        <f t="shared" si="58"/>
        <v>#REF!</v>
      </c>
      <c r="AF112" s="90" t="e">
        <f t="shared" si="58"/>
        <v>#REF!</v>
      </c>
      <c r="AG112" s="90" t="e">
        <f t="shared" si="58"/>
        <v>#REF!</v>
      </c>
      <c r="AH112" s="90" t="e">
        <f t="shared" si="58"/>
        <v>#REF!</v>
      </c>
      <c r="AI112" s="90" t="e">
        <f t="shared" si="58"/>
        <v>#REF!</v>
      </c>
      <c r="AJ112" s="90" t="e">
        <f t="shared" si="58"/>
        <v>#REF!</v>
      </c>
      <c r="AK112" s="90" t="e">
        <f t="shared" si="58"/>
        <v>#REF!</v>
      </c>
      <c r="AL112" s="90" t="e">
        <f t="shared" si="58"/>
        <v>#REF!</v>
      </c>
      <c r="AM112" s="90" t="e">
        <f t="shared" si="58"/>
        <v>#REF!</v>
      </c>
      <c r="AN112" s="90" t="e">
        <f t="shared" si="58"/>
        <v>#REF!</v>
      </c>
      <c r="AO112" s="90" t="e">
        <f t="shared" si="58"/>
        <v>#REF!</v>
      </c>
      <c r="AP112" s="90" t="e">
        <f t="shared" si="58"/>
        <v>#REF!</v>
      </c>
      <c r="AQ112" s="90" t="e">
        <f t="shared" si="58"/>
        <v>#REF!</v>
      </c>
      <c r="AR112" s="90" t="e">
        <f t="shared" si="58"/>
        <v>#REF!</v>
      </c>
      <c r="AS112" s="90" t="e">
        <f t="shared" si="58"/>
        <v>#REF!</v>
      </c>
      <c r="AT112" s="90" t="e">
        <f t="shared" si="58"/>
        <v>#REF!</v>
      </c>
      <c r="AU112" s="90" t="e">
        <f t="shared" si="58"/>
        <v>#REF!</v>
      </c>
      <c r="AV112" s="90" t="e">
        <f t="shared" si="58"/>
        <v>#REF!</v>
      </c>
      <c r="AW112" s="90" t="e">
        <f t="shared" si="58"/>
        <v>#REF!</v>
      </c>
      <c r="AX112" s="90" t="e">
        <f t="shared" si="58"/>
        <v>#REF!</v>
      </c>
      <c r="AY112" s="90" t="e">
        <f t="shared" si="58"/>
        <v>#REF!</v>
      </c>
      <c r="AZ112" s="90" t="e">
        <f t="shared" si="58"/>
        <v>#REF!</v>
      </c>
      <c r="BA112" s="90" t="e">
        <f t="shared" si="58"/>
        <v>#REF!</v>
      </c>
      <c r="BB112" s="90" t="e">
        <f t="shared" si="58"/>
        <v>#REF!</v>
      </c>
      <c r="BC112" s="90" t="e">
        <f t="shared" si="58"/>
        <v>#REF!</v>
      </c>
      <c r="BD112" s="90" t="e">
        <f t="shared" si="58"/>
        <v>#REF!</v>
      </c>
      <c r="BE112" s="90" t="e">
        <f t="shared" si="58"/>
        <v>#REF!</v>
      </c>
      <c r="BF112" s="90" t="e">
        <f t="shared" si="58"/>
        <v>#REF!</v>
      </c>
      <c r="BG112" s="90" t="e">
        <f t="shared" si="58"/>
        <v>#REF!</v>
      </c>
      <c r="BH112" s="90" t="e">
        <f t="shared" si="58"/>
        <v>#REF!</v>
      </c>
      <c r="BI112" s="90" t="e">
        <f t="shared" si="58"/>
        <v>#REF!</v>
      </c>
      <c r="BJ112" s="90" t="e">
        <f t="shared" si="58"/>
        <v>#REF!</v>
      </c>
      <c r="BK112" s="90" t="e">
        <f t="shared" si="58"/>
        <v>#REF!</v>
      </c>
      <c r="BL112" s="90" t="e">
        <f t="shared" si="58"/>
        <v>#REF!</v>
      </c>
      <c r="BM112" s="90" t="e">
        <f t="shared" si="58"/>
        <v>#REF!</v>
      </c>
      <c r="BN112" s="90" t="e">
        <f t="shared" si="58"/>
        <v>#REF!</v>
      </c>
      <c r="BO112" s="90" t="e">
        <f t="shared" si="58"/>
        <v>#REF!</v>
      </c>
      <c r="BP112" s="90" t="e">
        <f t="shared" si="58"/>
        <v>#REF!</v>
      </c>
      <c r="BQ112" s="90" t="e">
        <f t="shared" si="58"/>
        <v>#REF!</v>
      </c>
      <c r="BR112" s="90" t="e">
        <f t="shared" si="58"/>
        <v>#REF!</v>
      </c>
      <c r="BS112" s="90" t="e">
        <f t="shared" si="58"/>
        <v>#REF!</v>
      </c>
      <c r="BT112" s="90" t="e">
        <f t="shared" si="58"/>
        <v>#REF!</v>
      </c>
      <c r="BU112" s="90" t="e">
        <f t="shared" si="58"/>
        <v>#REF!</v>
      </c>
      <c r="BV112" s="90" t="e">
        <f t="shared" si="58"/>
        <v>#REF!</v>
      </c>
      <c r="BW112" s="90" t="e">
        <f t="shared" si="58"/>
        <v>#REF!</v>
      </c>
      <c r="BX112" s="90" t="e">
        <f t="shared" si="58"/>
        <v>#REF!</v>
      </c>
      <c r="BY112" s="90" t="e">
        <f t="shared" si="58"/>
        <v>#REF!</v>
      </c>
      <c r="BZ112" s="90" t="e">
        <f t="shared" si="58"/>
        <v>#REF!</v>
      </c>
      <c r="CA112" s="90" t="e">
        <f t="shared" si="58"/>
        <v>#REF!</v>
      </c>
      <c r="CB112" s="90" t="e">
        <f t="shared" si="58"/>
        <v>#REF!</v>
      </c>
      <c r="CC112" s="90" t="e">
        <f t="shared" si="58"/>
        <v>#REF!</v>
      </c>
      <c r="CD112" s="90" t="e">
        <f t="shared" si="58"/>
        <v>#REF!</v>
      </c>
      <c r="CE112" s="90" t="e">
        <f t="shared" si="58"/>
        <v>#REF!</v>
      </c>
      <c r="CF112" s="90" t="e">
        <f t="shared" si="58"/>
        <v>#REF!</v>
      </c>
      <c r="CG112" s="90" t="e">
        <f t="shared" si="58"/>
        <v>#REF!</v>
      </c>
      <c r="CH112" s="90" t="e">
        <f t="shared" si="58"/>
        <v>#REF!</v>
      </c>
      <c r="CI112" s="90" t="e">
        <f t="shared" si="58"/>
        <v>#REF!</v>
      </c>
      <c r="CJ112" s="90" t="e">
        <f t="shared" si="58"/>
        <v>#REF!</v>
      </c>
      <c r="CK112" s="90" t="e">
        <f t="shared" si="58"/>
        <v>#REF!</v>
      </c>
      <c r="CL112" s="90" t="e">
        <f t="shared" si="58"/>
        <v>#REF!</v>
      </c>
      <c r="CM112" s="90" t="e">
        <f t="shared" si="58"/>
        <v>#REF!</v>
      </c>
      <c r="CN112" s="90" t="e">
        <f t="shared" si="58"/>
        <v>#REF!</v>
      </c>
      <c r="CO112" s="90" t="e">
        <f t="shared" si="58"/>
        <v>#REF!</v>
      </c>
    </row>
    <row r="113" spans="1:93" ht="12.75" customHeight="1">
      <c r="A113" s="90"/>
      <c r="B113" s="102" t="s">
        <v>206</v>
      </c>
      <c r="C113" s="102" t="e">
        <f t="array" ref="C113">D109+NPV(DiscRate!G20/4,E109:CN109)+CO111</f>
        <v>#REF!</v>
      </c>
      <c r="D113" s="92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37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</row>
    <row r="114" spans="1:93" ht="12.75" customHeight="1">
      <c r="A114" s="90"/>
      <c r="B114" s="102" t="s">
        <v>207</v>
      </c>
      <c r="C114" s="133" t="e">
        <f>IRR(D109:CO109)</f>
        <v>#VALUE!</v>
      </c>
      <c r="D114" s="98" t="e">
        <f>'sensitivity (years)'!C114</f>
        <v>#VALUE!</v>
      </c>
      <c r="E114" s="99" t="s">
        <v>198</v>
      </c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37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</row>
    <row r="115" spans="1:93" ht="12.75" customHeight="1">
      <c r="A115" s="90"/>
      <c r="B115" s="102" t="s">
        <v>208</v>
      </c>
      <c r="C115" s="102">
        <f>(COUNTIF(D110:CO110,"&lt;0")+1)/4</f>
        <v>0.25</v>
      </c>
      <c r="D115" s="92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37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</row>
    <row r="116" spans="1:93" ht="12.75" customHeight="1">
      <c r="A116" s="90"/>
      <c r="B116" s="102" t="s">
        <v>209</v>
      </c>
      <c r="C116" s="102" t="e">
        <f>IF(C112&lt;0,"выходит за рамки модели",(COUNTIF(D112:CO112,"&lt;0")+1)/4)</f>
        <v>#REF!</v>
      </c>
      <c r="D116" s="92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37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</row>
    <row r="117" spans="1:93" ht="12.75" customHeight="1">
      <c r="A117" s="90"/>
      <c r="B117" s="96" t="s">
        <v>210</v>
      </c>
      <c r="C117" s="96"/>
      <c r="D117" s="104" t="str">
        <f t="shared" ref="D117" si="59">IF(D185=0,"-",D176/D185)</f>
        <v>-</v>
      </c>
      <c r="E117" s="105" t="e">
        <f t="shared" ref="E117:CN117" si="60">IF(E185=0,"-",E176/E185)</f>
        <v>#REF!</v>
      </c>
      <c r="F117" s="105" t="e">
        <f t="shared" si="60"/>
        <v>#REF!</v>
      </c>
      <c r="G117" s="105" t="e">
        <f t="shared" si="60"/>
        <v>#REF!</v>
      </c>
      <c r="H117" s="105" t="e">
        <f t="shared" si="60"/>
        <v>#REF!</v>
      </c>
      <c r="I117" s="105" t="e">
        <f t="shared" si="60"/>
        <v>#REF!</v>
      </c>
      <c r="J117" s="105" t="e">
        <f t="shared" si="60"/>
        <v>#REF!</v>
      </c>
      <c r="K117" s="105" t="e">
        <f t="shared" si="60"/>
        <v>#REF!</v>
      </c>
      <c r="L117" s="105" t="e">
        <f t="shared" si="60"/>
        <v>#REF!</v>
      </c>
      <c r="M117" s="105" t="e">
        <f t="shared" si="60"/>
        <v>#REF!</v>
      </c>
      <c r="N117" s="105" t="e">
        <f t="shared" si="60"/>
        <v>#REF!</v>
      </c>
      <c r="O117" s="105" t="e">
        <f t="shared" si="60"/>
        <v>#REF!</v>
      </c>
      <c r="P117" s="105" t="e">
        <f t="shared" si="60"/>
        <v>#REF!</v>
      </c>
      <c r="Q117" s="105" t="e">
        <f t="shared" si="60"/>
        <v>#REF!</v>
      </c>
      <c r="R117" s="105" t="e">
        <f t="shared" si="60"/>
        <v>#REF!</v>
      </c>
      <c r="S117" s="105" t="e">
        <f t="shared" si="60"/>
        <v>#REF!</v>
      </c>
      <c r="T117" s="105" t="e">
        <f t="shared" si="60"/>
        <v>#REF!</v>
      </c>
      <c r="U117" s="105" t="e">
        <f t="shared" si="60"/>
        <v>#REF!</v>
      </c>
      <c r="V117" s="105" t="e">
        <f t="shared" si="60"/>
        <v>#REF!</v>
      </c>
      <c r="W117" s="105" t="e">
        <f t="shared" si="60"/>
        <v>#REF!</v>
      </c>
      <c r="X117" s="105" t="e">
        <f t="shared" si="60"/>
        <v>#REF!</v>
      </c>
      <c r="Y117" s="105" t="e">
        <f t="shared" si="60"/>
        <v>#REF!</v>
      </c>
      <c r="Z117" s="105" t="e">
        <f t="shared" si="60"/>
        <v>#REF!</v>
      </c>
      <c r="AA117" s="105" t="e">
        <f t="shared" si="60"/>
        <v>#REF!</v>
      </c>
      <c r="AB117" s="105" t="e">
        <f t="shared" si="60"/>
        <v>#REF!</v>
      </c>
      <c r="AC117" s="105" t="e">
        <f t="shared" si="60"/>
        <v>#REF!</v>
      </c>
      <c r="AD117" s="105" t="e">
        <f t="shared" si="60"/>
        <v>#REF!</v>
      </c>
      <c r="AE117" s="105" t="e">
        <f t="shared" si="60"/>
        <v>#REF!</v>
      </c>
      <c r="AF117" s="105" t="e">
        <f t="shared" si="60"/>
        <v>#REF!</v>
      </c>
      <c r="AG117" s="105" t="e">
        <f t="shared" si="60"/>
        <v>#REF!</v>
      </c>
      <c r="AH117" s="105" t="e">
        <f t="shared" si="60"/>
        <v>#REF!</v>
      </c>
      <c r="AI117" s="105" t="e">
        <f t="shared" si="60"/>
        <v>#REF!</v>
      </c>
      <c r="AJ117" s="105" t="e">
        <f t="shared" si="60"/>
        <v>#REF!</v>
      </c>
      <c r="AK117" s="105" t="e">
        <f t="shared" si="60"/>
        <v>#REF!</v>
      </c>
      <c r="AL117" s="105" t="e">
        <f t="shared" si="60"/>
        <v>#REF!</v>
      </c>
      <c r="AM117" s="105" t="e">
        <f t="shared" si="60"/>
        <v>#REF!</v>
      </c>
      <c r="AN117" s="105" t="e">
        <f t="shared" si="60"/>
        <v>#REF!</v>
      </c>
      <c r="AO117" s="105" t="e">
        <f t="shared" si="60"/>
        <v>#REF!</v>
      </c>
      <c r="AP117" s="105" t="e">
        <f t="shared" si="60"/>
        <v>#REF!</v>
      </c>
      <c r="AQ117" s="105" t="e">
        <f t="shared" si="60"/>
        <v>#REF!</v>
      </c>
      <c r="AR117" s="105" t="e">
        <f t="shared" si="60"/>
        <v>#REF!</v>
      </c>
      <c r="AS117" s="105" t="e">
        <f t="shared" si="60"/>
        <v>#REF!</v>
      </c>
      <c r="AT117" s="105" t="e">
        <f t="shared" si="60"/>
        <v>#REF!</v>
      </c>
      <c r="AU117" s="105" t="e">
        <f t="shared" si="60"/>
        <v>#REF!</v>
      </c>
      <c r="AV117" s="105" t="e">
        <f t="shared" si="60"/>
        <v>#REF!</v>
      </c>
      <c r="AW117" s="105" t="e">
        <f t="shared" si="60"/>
        <v>#REF!</v>
      </c>
      <c r="AX117" s="105" t="e">
        <f t="shared" si="60"/>
        <v>#REF!</v>
      </c>
      <c r="AY117" s="105" t="e">
        <f t="shared" si="60"/>
        <v>#REF!</v>
      </c>
      <c r="AZ117" s="105" t="e">
        <f t="shared" si="60"/>
        <v>#REF!</v>
      </c>
      <c r="BA117" s="105" t="e">
        <f t="shared" si="60"/>
        <v>#REF!</v>
      </c>
      <c r="BB117" s="105" t="e">
        <f t="shared" si="60"/>
        <v>#REF!</v>
      </c>
      <c r="BC117" s="105" t="e">
        <f t="shared" si="60"/>
        <v>#REF!</v>
      </c>
      <c r="BD117" s="105" t="e">
        <f t="shared" si="60"/>
        <v>#REF!</v>
      </c>
      <c r="BE117" s="105" t="e">
        <f t="shared" si="60"/>
        <v>#REF!</v>
      </c>
      <c r="BF117" s="105" t="e">
        <f t="shared" si="60"/>
        <v>#REF!</v>
      </c>
      <c r="BG117" s="105" t="e">
        <f t="shared" si="60"/>
        <v>#REF!</v>
      </c>
      <c r="BH117" s="105" t="e">
        <f t="shared" si="60"/>
        <v>#REF!</v>
      </c>
      <c r="BI117" s="105" t="e">
        <f t="shared" si="60"/>
        <v>#REF!</v>
      </c>
      <c r="BJ117" s="105" t="e">
        <f t="shared" si="60"/>
        <v>#REF!</v>
      </c>
      <c r="BK117" s="105" t="e">
        <f t="shared" si="60"/>
        <v>#REF!</v>
      </c>
      <c r="BL117" s="105" t="e">
        <f t="shared" si="60"/>
        <v>#REF!</v>
      </c>
      <c r="BM117" s="105" t="e">
        <f t="shared" si="60"/>
        <v>#REF!</v>
      </c>
      <c r="BN117" s="105" t="e">
        <f t="shared" si="60"/>
        <v>#REF!</v>
      </c>
      <c r="BO117" s="105" t="e">
        <f t="shared" si="60"/>
        <v>#REF!</v>
      </c>
      <c r="BP117" s="105" t="e">
        <f t="shared" si="60"/>
        <v>#REF!</v>
      </c>
      <c r="BQ117" s="105" t="e">
        <f t="shared" si="60"/>
        <v>#REF!</v>
      </c>
      <c r="BR117" s="105" t="e">
        <f t="shared" si="60"/>
        <v>#REF!</v>
      </c>
      <c r="BS117" s="105" t="e">
        <f t="shared" si="60"/>
        <v>#REF!</v>
      </c>
      <c r="BT117" s="105" t="e">
        <f t="shared" si="60"/>
        <v>#REF!</v>
      </c>
      <c r="BU117" s="105" t="e">
        <f t="shared" si="60"/>
        <v>#REF!</v>
      </c>
      <c r="BV117" s="105" t="e">
        <f t="shared" si="60"/>
        <v>#REF!</v>
      </c>
      <c r="BW117" s="105" t="e">
        <f t="shared" si="60"/>
        <v>#REF!</v>
      </c>
      <c r="BX117" s="105" t="e">
        <f t="shared" si="60"/>
        <v>#REF!</v>
      </c>
      <c r="BY117" s="105" t="e">
        <f t="shared" si="60"/>
        <v>#REF!</v>
      </c>
      <c r="BZ117" s="105" t="e">
        <f t="shared" si="60"/>
        <v>#REF!</v>
      </c>
      <c r="CA117" s="105" t="e">
        <f t="shared" si="60"/>
        <v>#REF!</v>
      </c>
      <c r="CB117" s="105" t="e">
        <f t="shared" si="60"/>
        <v>#REF!</v>
      </c>
      <c r="CC117" s="105" t="e">
        <f t="shared" si="60"/>
        <v>#REF!</v>
      </c>
      <c r="CD117" s="105" t="e">
        <f t="shared" si="60"/>
        <v>#REF!</v>
      </c>
      <c r="CE117" s="105" t="e">
        <f t="shared" si="60"/>
        <v>#REF!</v>
      </c>
      <c r="CF117" s="105" t="e">
        <f t="shared" si="60"/>
        <v>#REF!</v>
      </c>
      <c r="CG117" s="105" t="e">
        <f t="shared" si="60"/>
        <v>#REF!</v>
      </c>
      <c r="CH117" s="105" t="e">
        <f t="shared" si="60"/>
        <v>#REF!</v>
      </c>
      <c r="CI117" s="105" t="e">
        <f t="shared" si="60"/>
        <v>#REF!</v>
      </c>
      <c r="CJ117" s="105" t="e">
        <f t="shared" si="60"/>
        <v>#REF!</v>
      </c>
      <c r="CK117" s="105" t="e">
        <f t="shared" si="60"/>
        <v>#REF!</v>
      </c>
      <c r="CL117" s="105" t="e">
        <f t="shared" si="60"/>
        <v>#REF!</v>
      </c>
      <c r="CM117" s="105" t="e">
        <f t="shared" si="60"/>
        <v>#REF!</v>
      </c>
      <c r="CN117" s="105" t="e">
        <f t="shared" si="60"/>
        <v>#REF!</v>
      </c>
      <c r="CO117" s="90"/>
    </row>
    <row r="118" spans="1:93" ht="12.75" customHeight="1">
      <c r="A118" s="90"/>
      <c r="B118" s="96" t="s">
        <v>211</v>
      </c>
      <c r="C118" s="96"/>
      <c r="D118" s="104" t="e">
        <f t="shared" ref="D118" si="61">(D185+D188)/D190</f>
        <v>#REF!</v>
      </c>
      <c r="E118" s="105" t="e">
        <f t="shared" ref="E118:CN118" si="62">(E185+E188)/E190</f>
        <v>#REF!</v>
      </c>
      <c r="F118" s="105" t="e">
        <f t="shared" si="62"/>
        <v>#REF!</v>
      </c>
      <c r="G118" s="105" t="e">
        <f t="shared" si="62"/>
        <v>#REF!</v>
      </c>
      <c r="H118" s="105" t="e">
        <f t="shared" si="62"/>
        <v>#REF!</v>
      </c>
      <c r="I118" s="105" t="e">
        <f t="shared" si="62"/>
        <v>#REF!</v>
      </c>
      <c r="J118" s="105" t="e">
        <f t="shared" si="62"/>
        <v>#REF!</v>
      </c>
      <c r="K118" s="105" t="e">
        <f t="shared" si="62"/>
        <v>#REF!</v>
      </c>
      <c r="L118" s="105" t="e">
        <f t="shared" si="62"/>
        <v>#REF!</v>
      </c>
      <c r="M118" s="105" t="e">
        <f t="shared" si="62"/>
        <v>#REF!</v>
      </c>
      <c r="N118" s="105" t="e">
        <f t="shared" si="62"/>
        <v>#REF!</v>
      </c>
      <c r="O118" s="105" t="e">
        <f t="shared" si="62"/>
        <v>#REF!</v>
      </c>
      <c r="P118" s="105" t="e">
        <f t="shared" si="62"/>
        <v>#REF!</v>
      </c>
      <c r="Q118" s="105" t="e">
        <f t="shared" si="62"/>
        <v>#REF!</v>
      </c>
      <c r="R118" s="105" t="e">
        <f t="shared" si="62"/>
        <v>#REF!</v>
      </c>
      <c r="S118" s="105" t="e">
        <f t="shared" si="62"/>
        <v>#REF!</v>
      </c>
      <c r="T118" s="105" t="e">
        <f t="shared" si="62"/>
        <v>#REF!</v>
      </c>
      <c r="U118" s="105" t="e">
        <f t="shared" si="62"/>
        <v>#REF!</v>
      </c>
      <c r="V118" s="105" t="e">
        <f t="shared" si="62"/>
        <v>#REF!</v>
      </c>
      <c r="W118" s="105" t="e">
        <f t="shared" si="62"/>
        <v>#REF!</v>
      </c>
      <c r="X118" s="105" t="e">
        <f t="shared" si="62"/>
        <v>#REF!</v>
      </c>
      <c r="Y118" s="105" t="e">
        <f t="shared" si="62"/>
        <v>#REF!</v>
      </c>
      <c r="Z118" s="105" t="e">
        <f t="shared" si="62"/>
        <v>#REF!</v>
      </c>
      <c r="AA118" s="105" t="e">
        <f t="shared" si="62"/>
        <v>#REF!</v>
      </c>
      <c r="AB118" s="105" t="e">
        <f t="shared" si="62"/>
        <v>#REF!</v>
      </c>
      <c r="AC118" s="105" t="e">
        <f t="shared" si="62"/>
        <v>#REF!</v>
      </c>
      <c r="AD118" s="105" t="e">
        <f t="shared" si="62"/>
        <v>#REF!</v>
      </c>
      <c r="AE118" s="105" t="e">
        <f t="shared" si="62"/>
        <v>#REF!</v>
      </c>
      <c r="AF118" s="105" t="e">
        <f t="shared" si="62"/>
        <v>#REF!</v>
      </c>
      <c r="AG118" s="105" t="e">
        <f t="shared" si="62"/>
        <v>#REF!</v>
      </c>
      <c r="AH118" s="105" t="e">
        <f t="shared" si="62"/>
        <v>#REF!</v>
      </c>
      <c r="AI118" s="105" t="e">
        <f t="shared" si="62"/>
        <v>#REF!</v>
      </c>
      <c r="AJ118" s="105" t="e">
        <f t="shared" si="62"/>
        <v>#REF!</v>
      </c>
      <c r="AK118" s="105" t="e">
        <f t="shared" si="62"/>
        <v>#REF!</v>
      </c>
      <c r="AL118" s="105" t="e">
        <f t="shared" si="62"/>
        <v>#REF!</v>
      </c>
      <c r="AM118" s="105" t="e">
        <f t="shared" si="62"/>
        <v>#REF!</v>
      </c>
      <c r="AN118" s="105" t="e">
        <f t="shared" si="62"/>
        <v>#REF!</v>
      </c>
      <c r="AO118" s="105" t="e">
        <f t="shared" si="62"/>
        <v>#REF!</v>
      </c>
      <c r="AP118" s="105" t="e">
        <f t="shared" si="62"/>
        <v>#REF!</v>
      </c>
      <c r="AQ118" s="105" t="e">
        <f t="shared" si="62"/>
        <v>#REF!</v>
      </c>
      <c r="AR118" s="105" t="e">
        <f t="shared" si="62"/>
        <v>#REF!</v>
      </c>
      <c r="AS118" s="105" t="e">
        <f t="shared" si="62"/>
        <v>#REF!</v>
      </c>
      <c r="AT118" s="105" t="e">
        <f t="shared" si="62"/>
        <v>#REF!</v>
      </c>
      <c r="AU118" s="105" t="e">
        <f t="shared" si="62"/>
        <v>#REF!</v>
      </c>
      <c r="AV118" s="105" t="e">
        <f t="shared" si="62"/>
        <v>#REF!</v>
      </c>
      <c r="AW118" s="105" t="e">
        <f t="shared" si="62"/>
        <v>#REF!</v>
      </c>
      <c r="AX118" s="105" t="e">
        <f t="shared" si="62"/>
        <v>#REF!</v>
      </c>
      <c r="AY118" s="105" t="e">
        <f t="shared" si="62"/>
        <v>#REF!</v>
      </c>
      <c r="AZ118" s="105" t="e">
        <f t="shared" si="62"/>
        <v>#REF!</v>
      </c>
      <c r="BA118" s="105" t="e">
        <f t="shared" si="62"/>
        <v>#REF!</v>
      </c>
      <c r="BB118" s="105" t="e">
        <f t="shared" si="62"/>
        <v>#REF!</v>
      </c>
      <c r="BC118" s="105" t="e">
        <f t="shared" si="62"/>
        <v>#REF!</v>
      </c>
      <c r="BD118" s="105" t="e">
        <f t="shared" si="62"/>
        <v>#REF!</v>
      </c>
      <c r="BE118" s="105" t="e">
        <f t="shared" si="62"/>
        <v>#REF!</v>
      </c>
      <c r="BF118" s="105" t="e">
        <f t="shared" si="62"/>
        <v>#REF!</v>
      </c>
      <c r="BG118" s="105" t="e">
        <f t="shared" si="62"/>
        <v>#REF!</v>
      </c>
      <c r="BH118" s="105" t="e">
        <f t="shared" si="62"/>
        <v>#REF!</v>
      </c>
      <c r="BI118" s="105" t="e">
        <f t="shared" si="62"/>
        <v>#REF!</v>
      </c>
      <c r="BJ118" s="105" t="e">
        <f t="shared" si="62"/>
        <v>#REF!</v>
      </c>
      <c r="BK118" s="105" t="e">
        <f t="shared" si="62"/>
        <v>#REF!</v>
      </c>
      <c r="BL118" s="105" t="e">
        <f t="shared" si="62"/>
        <v>#REF!</v>
      </c>
      <c r="BM118" s="105" t="e">
        <f t="shared" si="62"/>
        <v>#REF!</v>
      </c>
      <c r="BN118" s="105" t="e">
        <f t="shared" si="62"/>
        <v>#REF!</v>
      </c>
      <c r="BO118" s="105" t="e">
        <f t="shared" si="62"/>
        <v>#REF!</v>
      </c>
      <c r="BP118" s="105" t="e">
        <f t="shared" si="62"/>
        <v>#REF!</v>
      </c>
      <c r="BQ118" s="105" t="e">
        <f t="shared" si="62"/>
        <v>#REF!</v>
      </c>
      <c r="BR118" s="105" t="e">
        <f t="shared" si="62"/>
        <v>#REF!</v>
      </c>
      <c r="BS118" s="105" t="e">
        <f t="shared" si="62"/>
        <v>#REF!</v>
      </c>
      <c r="BT118" s="105" t="e">
        <f t="shared" si="62"/>
        <v>#REF!</v>
      </c>
      <c r="BU118" s="105" t="e">
        <f t="shared" si="62"/>
        <v>#REF!</v>
      </c>
      <c r="BV118" s="105" t="e">
        <f t="shared" si="62"/>
        <v>#REF!</v>
      </c>
      <c r="BW118" s="105" t="e">
        <f t="shared" si="62"/>
        <v>#REF!</v>
      </c>
      <c r="BX118" s="105" t="e">
        <f t="shared" si="62"/>
        <v>#REF!</v>
      </c>
      <c r="BY118" s="105" t="e">
        <f t="shared" si="62"/>
        <v>#REF!</v>
      </c>
      <c r="BZ118" s="105" t="e">
        <f t="shared" si="62"/>
        <v>#REF!</v>
      </c>
      <c r="CA118" s="105" t="e">
        <f t="shared" si="62"/>
        <v>#REF!</v>
      </c>
      <c r="CB118" s="105" t="e">
        <f t="shared" si="62"/>
        <v>#REF!</v>
      </c>
      <c r="CC118" s="105" t="e">
        <f t="shared" si="62"/>
        <v>#REF!</v>
      </c>
      <c r="CD118" s="105" t="e">
        <f t="shared" si="62"/>
        <v>#REF!</v>
      </c>
      <c r="CE118" s="105" t="e">
        <f t="shared" si="62"/>
        <v>#REF!</v>
      </c>
      <c r="CF118" s="105" t="e">
        <f t="shared" si="62"/>
        <v>#REF!</v>
      </c>
      <c r="CG118" s="105" t="e">
        <f t="shared" si="62"/>
        <v>#REF!</v>
      </c>
      <c r="CH118" s="105" t="e">
        <f t="shared" si="62"/>
        <v>#REF!</v>
      </c>
      <c r="CI118" s="105" t="e">
        <f t="shared" si="62"/>
        <v>#REF!</v>
      </c>
      <c r="CJ118" s="105" t="e">
        <f t="shared" si="62"/>
        <v>#REF!</v>
      </c>
      <c r="CK118" s="105" t="e">
        <f t="shared" si="62"/>
        <v>#REF!</v>
      </c>
      <c r="CL118" s="105" t="e">
        <f t="shared" si="62"/>
        <v>#REF!</v>
      </c>
      <c r="CM118" s="105" t="e">
        <f t="shared" si="62"/>
        <v>#REF!</v>
      </c>
      <c r="CN118" s="105" t="e">
        <f t="shared" si="62"/>
        <v>#REF!</v>
      </c>
      <c r="CO118" s="90"/>
    </row>
    <row r="119" spans="1:93" ht="12.75" customHeight="1">
      <c r="A119" s="90"/>
      <c r="B119" s="96" t="s">
        <v>212</v>
      </c>
      <c r="C119" s="96"/>
      <c r="D119" s="104" t="e">
        <f t="shared" ref="D119" si="63">(D185+D188)/D193</f>
        <v>#REF!</v>
      </c>
      <c r="E119" s="105" t="e">
        <f t="shared" ref="E119:CN119" si="64">(E185+E188)/E193</f>
        <v>#REF!</v>
      </c>
      <c r="F119" s="105" t="e">
        <f t="shared" si="64"/>
        <v>#REF!</v>
      </c>
      <c r="G119" s="105" t="e">
        <f t="shared" si="64"/>
        <v>#REF!</v>
      </c>
      <c r="H119" s="105" t="e">
        <f t="shared" si="64"/>
        <v>#REF!</v>
      </c>
      <c r="I119" s="105" t="e">
        <f t="shared" si="64"/>
        <v>#REF!</v>
      </c>
      <c r="J119" s="105" t="e">
        <f t="shared" si="64"/>
        <v>#REF!</v>
      </c>
      <c r="K119" s="105" t="e">
        <f t="shared" si="64"/>
        <v>#REF!</v>
      </c>
      <c r="L119" s="105" t="e">
        <f t="shared" si="64"/>
        <v>#REF!</v>
      </c>
      <c r="M119" s="105" t="e">
        <f t="shared" si="64"/>
        <v>#REF!</v>
      </c>
      <c r="N119" s="105" t="e">
        <f t="shared" si="64"/>
        <v>#REF!</v>
      </c>
      <c r="O119" s="105" t="e">
        <f t="shared" si="64"/>
        <v>#REF!</v>
      </c>
      <c r="P119" s="105" t="e">
        <f t="shared" si="64"/>
        <v>#REF!</v>
      </c>
      <c r="Q119" s="105" t="e">
        <f t="shared" si="64"/>
        <v>#REF!</v>
      </c>
      <c r="R119" s="105" t="e">
        <f t="shared" si="64"/>
        <v>#REF!</v>
      </c>
      <c r="S119" s="105" t="e">
        <f t="shared" si="64"/>
        <v>#REF!</v>
      </c>
      <c r="T119" s="105" t="e">
        <f t="shared" si="64"/>
        <v>#REF!</v>
      </c>
      <c r="U119" s="105" t="e">
        <f t="shared" si="64"/>
        <v>#REF!</v>
      </c>
      <c r="V119" s="105" t="e">
        <f t="shared" si="64"/>
        <v>#REF!</v>
      </c>
      <c r="W119" s="105" t="e">
        <f t="shared" si="64"/>
        <v>#REF!</v>
      </c>
      <c r="X119" s="105" t="e">
        <f t="shared" si="64"/>
        <v>#REF!</v>
      </c>
      <c r="Y119" s="105" t="e">
        <f t="shared" si="64"/>
        <v>#REF!</v>
      </c>
      <c r="Z119" s="105" t="e">
        <f t="shared" si="64"/>
        <v>#REF!</v>
      </c>
      <c r="AA119" s="105" t="e">
        <f t="shared" si="64"/>
        <v>#REF!</v>
      </c>
      <c r="AB119" s="105" t="e">
        <f t="shared" si="64"/>
        <v>#REF!</v>
      </c>
      <c r="AC119" s="105" t="e">
        <f t="shared" si="64"/>
        <v>#REF!</v>
      </c>
      <c r="AD119" s="105" t="e">
        <f t="shared" si="64"/>
        <v>#REF!</v>
      </c>
      <c r="AE119" s="105" t="e">
        <f t="shared" si="64"/>
        <v>#REF!</v>
      </c>
      <c r="AF119" s="105" t="e">
        <f t="shared" si="64"/>
        <v>#REF!</v>
      </c>
      <c r="AG119" s="105" t="e">
        <f t="shared" si="64"/>
        <v>#REF!</v>
      </c>
      <c r="AH119" s="105" t="e">
        <f t="shared" si="64"/>
        <v>#REF!</v>
      </c>
      <c r="AI119" s="105" t="e">
        <f t="shared" si="64"/>
        <v>#REF!</v>
      </c>
      <c r="AJ119" s="105" t="e">
        <f t="shared" si="64"/>
        <v>#REF!</v>
      </c>
      <c r="AK119" s="105" t="e">
        <f t="shared" si="64"/>
        <v>#REF!</v>
      </c>
      <c r="AL119" s="105" t="e">
        <f t="shared" si="64"/>
        <v>#REF!</v>
      </c>
      <c r="AM119" s="105" t="e">
        <f t="shared" si="64"/>
        <v>#REF!</v>
      </c>
      <c r="AN119" s="105" t="e">
        <f t="shared" si="64"/>
        <v>#REF!</v>
      </c>
      <c r="AO119" s="105" t="e">
        <f t="shared" si="64"/>
        <v>#REF!</v>
      </c>
      <c r="AP119" s="105" t="e">
        <f t="shared" si="64"/>
        <v>#REF!</v>
      </c>
      <c r="AQ119" s="105" t="e">
        <f t="shared" si="64"/>
        <v>#REF!</v>
      </c>
      <c r="AR119" s="105" t="e">
        <f t="shared" si="64"/>
        <v>#REF!</v>
      </c>
      <c r="AS119" s="105" t="e">
        <f t="shared" si="64"/>
        <v>#REF!</v>
      </c>
      <c r="AT119" s="105" t="e">
        <f t="shared" si="64"/>
        <v>#REF!</v>
      </c>
      <c r="AU119" s="105" t="e">
        <f t="shared" si="64"/>
        <v>#REF!</v>
      </c>
      <c r="AV119" s="105" t="e">
        <f t="shared" si="64"/>
        <v>#REF!</v>
      </c>
      <c r="AW119" s="105" t="e">
        <f t="shared" si="64"/>
        <v>#REF!</v>
      </c>
      <c r="AX119" s="105" t="e">
        <f t="shared" si="64"/>
        <v>#REF!</v>
      </c>
      <c r="AY119" s="105" t="e">
        <f t="shared" si="64"/>
        <v>#REF!</v>
      </c>
      <c r="AZ119" s="105" t="e">
        <f t="shared" si="64"/>
        <v>#REF!</v>
      </c>
      <c r="BA119" s="105" t="e">
        <f t="shared" si="64"/>
        <v>#REF!</v>
      </c>
      <c r="BB119" s="105" t="e">
        <f t="shared" si="64"/>
        <v>#REF!</v>
      </c>
      <c r="BC119" s="105" t="e">
        <f t="shared" si="64"/>
        <v>#REF!</v>
      </c>
      <c r="BD119" s="105" t="e">
        <f t="shared" si="64"/>
        <v>#REF!</v>
      </c>
      <c r="BE119" s="105" t="e">
        <f t="shared" si="64"/>
        <v>#REF!</v>
      </c>
      <c r="BF119" s="105" t="e">
        <f t="shared" si="64"/>
        <v>#REF!</v>
      </c>
      <c r="BG119" s="105" t="e">
        <f t="shared" si="64"/>
        <v>#REF!</v>
      </c>
      <c r="BH119" s="105" t="e">
        <f t="shared" si="64"/>
        <v>#REF!</v>
      </c>
      <c r="BI119" s="105" t="e">
        <f t="shared" si="64"/>
        <v>#REF!</v>
      </c>
      <c r="BJ119" s="105" t="e">
        <f t="shared" si="64"/>
        <v>#REF!</v>
      </c>
      <c r="BK119" s="105" t="e">
        <f t="shared" si="64"/>
        <v>#REF!</v>
      </c>
      <c r="BL119" s="105" t="e">
        <f t="shared" si="64"/>
        <v>#REF!</v>
      </c>
      <c r="BM119" s="105" t="e">
        <f t="shared" si="64"/>
        <v>#REF!</v>
      </c>
      <c r="BN119" s="105" t="e">
        <f t="shared" si="64"/>
        <v>#REF!</v>
      </c>
      <c r="BO119" s="105" t="e">
        <f t="shared" si="64"/>
        <v>#REF!</v>
      </c>
      <c r="BP119" s="105" t="e">
        <f t="shared" si="64"/>
        <v>#REF!</v>
      </c>
      <c r="BQ119" s="105" t="e">
        <f t="shared" si="64"/>
        <v>#REF!</v>
      </c>
      <c r="BR119" s="105" t="e">
        <f t="shared" si="64"/>
        <v>#REF!</v>
      </c>
      <c r="BS119" s="105" t="e">
        <f t="shared" si="64"/>
        <v>#REF!</v>
      </c>
      <c r="BT119" s="105" t="e">
        <f t="shared" si="64"/>
        <v>#REF!</v>
      </c>
      <c r="BU119" s="105" t="e">
        <f t="shared" si="64"/>
        <v>#REF!</v>
      </c>
      <c r="BV119" s="105" t="e">
        <f t="shared" si="64"/>
        <v>#REF!</v>
      </c>
      <c r="BW119" s="105" t="e">
        <f t="shared" si="64"/>
        <v>#REF!</v>
      </c>
      <c r="BX119" s="105" t="e">
        <f t="shared" si="64"/>
        <v>#REF!</v>
      </c>
      <c r="BY119" s="105" t="e">
        <f t="shared" si="64"/>
        <v>#REF!</v>
      </c>
      <c r="BZ119" s="105" t="e">
        <f t="shared" si="64"/>
        <v>#REF!</v>
      </c>
      <c r="CA119" s="105" t="e">
        <f t="shared" si="64"/>
        <v>#REF!</v>
      </c>
      <c r="CB119" s="105" t="e">
        <f t="shared" si="64"/>
        <v>#REF!</v>
      </c>
      <c r="CC119" s="105" t="e">
        <f t="shared" si="64"/>
        <v>#REF!</v>
      </c>
      <c r="CD119" s="105" t="e">
        <f t="shared" si="64"/>
        <v>#REF!</v>
      </c>
      <c r="CE119" s="105" t="e">
        <f t="shared" si="64"/>
        <v>#REF!</v>
      </c>
      <c r="CF119" s="105" t="e">
        <f t="shared" si="64"/>
        <v>#REF!</v>
      </c>
      <c r="CG119" s="105" t="e">
        <f t="shared" si="64"/>
        <v>#REF!</v>
      </c>
      <c r="CH119" s="105" t="e">
        <f t="shared" si="64"/>
        <v>#REF!</v>
      </c>
      <c r="CI119" s="105" t="e">
        <f t="shared" si="64"/>
        <v>#REF!</v>
      </c>
      <c r="CJ119" s="105" t="e">
        <f t="shared" si="64"/>
        <v>#REF!</v>
      </c>
      <c r="CK119" s="105" t="e">
        <f t="shared" si="64"/>
        <v>#REF!</v>
      </c>
      <c r="CL119" s="105" t="e">
        <f t="shared" si="64"/>
        <v>#REF!</v>
      </c>
      <c r="CM119" s="105" t="e">
        <f t="shared" si="64"/>
        <v>#REF!</v>
      </c>
      <c r="CN119" s="105" t="e">
        <f t="shared" si="64"/>
        <v>#REF!</v>
      </c>
      <c r="CO119" s="90"/>
    </row>
    <row r="120" spans="1:93" ht="12.75" customHeight="1">
      <c r="A120" s="90"/>
      <c r="B120" s="96" t="s">
        <v>213</v>
      </c>
      <c r="C120" s="96"/>
      <c r="D120" s="104" t="str">
        <f t="shared" ref="D120:AI120" si="65">IF(D28=0,"-",(D185+D188)/D61)</f>
        <v>-</v>
      </c>
      <c r="E120" s="105" t="e">
        <f t="shared" si="65"/>
        <v>#REF!</v>
      </c>
      <c r="F120" s="105" t="e">
        <f t="shared" si="65"/>
        <v>#REF!</v>
      </c>
      <c r="G120" s="105" t="e">
        <f t="shared" si="65"/>
        <v>#REF!</v>
      </c>
      <c r="H120" s="105" t="e">
        <f t="shared" si="65"/>
        <v>#REF!</v>
      </c>
      <c r="I120" s="105" t="e">
        <f t="shared" si="65"/>
        <v>#REF!</v>
      </c>
      <c r="J120" s="105" t="e">
        <f t="shared" si="65"/>
        <v>#REF!</v>
      </c>
      <c r="K120" s="105" t="e">
        <f t="shared" si="65"/>
        <v>#REF!</v>
      </c>
      <c r="L120" s="105" t="e">
        <f t="shared" si="65"/>
        <v>#REF!</v>
      </c>
      <c r="M120" s="105" t="e">
        <f t="shared" si="65"/>
        <v>#REF!</v>
      </c>
      <c r="N120" s="105" t="e">
        <f t="shared" si="65"/>
        <v>#REF!</v>
      </c>
      <c r="O120" s="105" t="e">
        <f t="shared" si="65"/>
        <v>#REF!</v>
      </c>
      <c r="P120" s="105" t="e">
        <f t="shared" si="65"/>
        <v>#REF!</v>
      </c>
      <c r="Q120" s="105" t="e">
        <f t="shared" si="65"/>
        <v>#REF!</v>
      </c>
      <c r="R120" s="105" t="e">
        <f t="shared" si="65"/>
        <v>#REF!</v>
      </c>
      <c r="S120" s="105" t="e">
        <f t="shared" si="65"/>
        <v>#REF!</v>
      </c>
      <c r="T120" s="105" t="e">
        <f t="shared" si="65"/>
        <v>#REF!</v>
      </c>
      <c r="U120" s="105" t="e">
        <f t="shared" si="65"/>
        <v>#REF!</v>
      </c>
      <c r="V120" s="105" t="e">
        <f t="shared" si="65"/>
        <v>#REF!</v>
      </c>
      <c r="W120" s="105" t="e">
        <f t="shared" si="65"/>
        <v>#REF!</v>
      </c>
      <c r="X120" s="105" t="e">
        <f t="shared" si="65"/>
        <v>#REF!</v>
      </c>
      <c r="Y120" s="105" t="e">
        <f t="shared" si="65"/>
        <v>#REF!</v>
      </c>
      <c r="Z120" s="105" t="e">
        <f t="shared" si="65"/>
        <v>#REF!</v>
      </c>
      <c r="AA120" s="105" t="e">
        <f t="shared" si="65"/>
        <v>#REF!</v>
      </c>
      <c r="AB120" s="105" t="e">
        <f t="shared" si="65"/>
        <v>#REF!</v>
      </c>
      <c r="AC120" s="105" t="e">
        <f t="shared" si="65"/>
        <v>#REF!</v>
      </c>
      <c r="AD120" s="105" t="e">
        <f t="shared" si="65"/>
        <v>#REF!</v>
      </c>
      <c r="AE120" s="105" t="e">
        <f t="shared" si="65"/>
        <v>#REF!</v>
      </c>
      <c r="AF120" s="105" t="e">
        <f t="shared" si="65"/>
        <v>#REF!</v>
      </c>
      <c r="AG120" s="105" t="e">
        <f t="shared" si="65"/>
        <v>#REF!</v>
      </c>
      <c r="AH120" s="105" t="e">
        <f t="shared" si="65"/>
        <v>#REF!</v>
      </c>
      <c r="AI120" s="105" t="e">
        <f t="shared" si="65"/>
        <v>#REF!</v>
      </c>
      <c r="AJ120" s="105" t="e">
        <f t="shared" ref="AJ120:BO120" si="66">IF(AJ28=0,"-",(AJ185+AJ188)/AJ61)</f>
        <v>#REF!</v>
      </c>
      <c r="AK120" s="105" t="e">
        <f t="shared" si="66"/>
        <v>#REF!</v>
      </c>
      <c r="AL120" s="105" t="e">
        <f t="shared" si="66"/>
        <v>#REF!</v>
      </c>
      <c r="AM120" s="105" t="e">
        <f t="shared" si="66"/>
        <v>#REF!</v>
      </c>
      <c r="AN120" s="105" t="e">
        <f t="shared" si="66"/>
        <v>#REF!</v>
      </c>
      <c r="AO120" s="105" t="e">
        <f t="shared" si="66"/>
        <v>#REF!</v>
      </c>
      <c r="AP120" s="105" t="e">
        <f t="shared" si="66"/>
        <v>#REF!</v>
      </c>
      <c r="AQ120" s="105" t="e">
        <f t="shared" si="66"/>
        <v>#REF!</v>
      </c>
      <c r="AR120" s="105" t="e">
        <f t="shared" si="66"/>
        <v>#REF!</v>
      </c>
      <c r="AS120" s="105" t="e">
        <f t="shared" si="66"/>
        <v>#REF!</v>
      </c>
      <c r="AT120" s="105" t="e">
        <f t="shared" si="66"/>
        <v>#REF!</v>
      </c>
      <c r="AU120" s="105" t="e">
        <f t="shared" si="66"/>
        <v>#REF!</v>
      </c>
      <c r="AV120" s="105" t="e">
        <f t="shared" si="66"/>
        <v>#REF!</v>
      </c>
      <c r="AW120" s="105" t="e">
        <f t="shared" si="66"/>
        <v>#REF!</v>
      </c>
      <c r="AX120" s="105" t="e">
        <f t="shared" si="66"/>
        <v>#REF!</v>
      </c>
      <c r="AY120" s="105" t="e">
        <f t="shared" si="66"/>
        <v>#REF!</v>
      </c>
      <c r="AZ120" s="105" t="e">
        <f t="shared" si="66"/>
        <v>#REF!</v>
      </c>
      <c r="BA120" s="105" t="e">
        <f t="shared" si="66"/>
        <v>#REF!</v>
      </c>
      <c r="BB120" s="105" t="e">
        <f t="shared" si="66"/>
        <v>#REF!</v>
      </c>
      <c r="BC120" s="105" t="e">
        <f t="shared" si="66"/>
        <v>#REF!</v>
      </c>
      <c r="BD120" s="105" t="e">
        <f t="shared" si="66"/>
        <v>#REF!</v>
      </c>
      <c r="BE120" s="105" t="e">
        <f t="shared" si="66"/>
        <v>#REF!</v>
      </c>
      <c r="BF120" s="105" t="e">
        <f t="shared" si="66"/>
        <v>#REF!</v>
      </c>
      <c r="BG120" s="105" t="e">
        <f t="shared" si="66"/>
        <v>#REF!</v>
      </c>
      <c r="BH120" s="105" t="e">
        <f t="shared" si="66"/>
        <v>#REF!</v>
      </c>
      <c r="BI120" s="105" t="e">
        <f t="shared" si="66"/>
        <v>#REF!</v>
      </c>
      <c r="BJ120" s="105" t="e">
        <f t="shared" si="66"/>
        <v>#REF!</v>
      </c>
      <c r="BK120" s="105" t="e">
        <f t="shared" si="66"/>
        <v>#REF!</v>
      </c>
      <c r="BL120" s="105" t="e">
        <f t="shared" si="66"/>
        <v>#REF!</v>
      </c>
      <c r="BM120" s="105" t="e">
        <f t="shared" si="66"/>
        <v>#REF!</v>
      </c>
      <c r="BN120" s="105" t="e">
        <f t="shared" si="66"/>
        <v>#REF!</v>
      </c>
      <c r="BO120" s="105" t="e">
        <f t="shared" si="66"/>
        <v>#REF!</v>
      </c>
      <c r="BP120" s="105" t="e">
        <f t="shared" ref="BP120:CN120" si="67">IF(BP28=0,"-",(BP185+BP188)/BP61)</f>
        <v>#REF!</v>
      </c>
      <c r="BQ120" s="105" t="e">
        <f t="shared" si="67"/>
        <v>#REF!</v>
      </c>
      <c r="BR120" s="105" t="e">
        <f t="shared" si="67"/>
        <v>#REF!</v>
      </c>
      <c r="BS120" s="105" t="e">
        <f t="shared" si="67"/>
        <v>#REF!</v>
      </c>
      <c r="BT120" s="105" t="e">
        <f t="shared" si="67"/>
        <v>#REF!</v>
      </c>
      <c r="BU120" s="105" t="e">
        <f t="shared" si="67"/>
        <v>#REF!</v>
      </c>
      <c r="BV120" s="105" t="e">
        <f t="shared" si="67"/>
        <v>#REF!</v>
      </c>
      <c r="BW120" s="105" t="e">
        <f t="shared" si="67"/>
        <v>#REF!</v>
      </c>
      <c r="BX120" s="105" t="e">
        <f t="shared" si="67"/>
        <v>#REF!</v>
      </c>
      <c r="BY120" s="105" t="e">
        <f t="shared" si="67"/>
        <v>#REF!</v>
      </c>
      <c r="BZ120" s="105" t="e">
        <f t="shared" si="67"/>
        <v>#REF!</v>
      </c>
      <c r="CA120" s="105" t="e">
        <f t="shared" si="67"/>
        <v>#REF!</v>
      </c>
      <c r="CB120" s="105" t="e">
        <f t="shared" si="67"/>
        <v>#REF!</v>
      </c>
      <c r="CC120" s="105" t="e">
        <f t="shared" si="67"/>
        <v>#REF!</v>
      </c>
      <c r="CD120" s="105" t="e">
        <f t="shared" si="67"/>
        <v>#REF!</v>
      </c>
      <c r="CE120" s="105" t="e">
        <f t="shared" si="67"/>
        <v>#REF!</v>
      </c>
      <c r="CF120" s="105" t="e">
        <f t="shared" si="67"/>
        <v>#REF!</v>
      </c>
      <c r="CG120" s="105" t="e">
        <f t="shared" si="67"/>
        <v>#REF!</v>
      </c>
      <c r="CH120" s="105" t="e">
        <f t="shared" si="67"/>
        <v>#REF!</v>
      </c>
      <c r="CI120" s="105" t="e">
        <f t="shared" si="67"/>
        <v>#REF!</v>
      </c>
      <c r="CJ120" s="105" t="e">
        <f t="shared" si="67"/>
        <v>#REF!</v>
      </c>
      <c r="CK120" s="105" t="e">
        <f t="shared" si="67"/>
        <v>#REF!</v>
      </c>
      <c r="CL120" s="105" t="e">
        <f t="shared" si="67"/>
        <v>#REF!</v>
      </c>
      <c r="CM120" s="105" t="e">
        <f t="shared" si="67"/>
        <v>#REF!</v>
      </c>
      <c r="CN120" s="105" t="e">
        <f t="shared" si="67"/>
        <v>#REF!</v>
      </c>
      <c r="CO120" s="90"/>
    </row>
    <row r="121" spans="1:93" ht="12.75" customHeight="1">
      <c r="A121" s="90"/>
      <c r="B121" s="96" t="s">
        <v>214</v>
      </c>
      <c r="C121" s="96"/>
      <c r="D121" s="104" t="e">
        <f t="array" ref="D121">IF(D166=0,"-",(D97+NPV($C$203/4,sensitivity!E$122:$CN122))/D166)</f>
        <v>#REF!</v>
      </c>
      <c r="E121" s="105" t="e">
        <f t="array" ref="E121">IF(E166=0,"-",(E97+NPV($C$203/4,sensitivity!F$122:$CN122))/E166)</f>
        <v>#REF!</v>
      </c>
      <c r="F121" s="105" t="e">
        <f t="array" ref="F121">IF(F166=0,"-",(F97+NPV($C$203/4,sensitivity!G$122:$CN122))/F166)</f>
        <v>#REF!</v>
      </c>
      <c r="G121" s="105" t="e">
        <f t="array" ref="G121">IF(G166=0,"-",(G97+NPV($C$203/4,sensitivity!H$122:$CN122))/G166)</f>
        <v>#REF!</v>
      </c>
      <c r="H121" s="105" t="e">
        <f t="array" ref="H121">IF(H166=0,"-",(H97+NPV($C$203/4,sensitivity!I$122:$CN122))/H166)</f>
        <v>#REF!</v>
      </c>
      <c r="I121" s="105" t="e">
        <f t="array" ref="I121">IF(I166=0,"-",(I97+NPV($C$203/4,sensitivity!J$122:$CN122))/I166)</f>
        <v>#REF!</v>
      </c>
      <c r="J121" s="105" t="e">
        <f t="array" ref="J121">IF(J166=0,"-",(J97+NPV($C$203/4,sensitivity!K$122:$CN122))/J166)</f>
        <v>#REF!</v>
      </c>
      <c r="K121" s="105" t="e">
        <f t="array" ref="K121">IF(K166=0,"-",(K97+NPV($C$203/4,sensitivity!L$122:$CN122))/K166)</f>
        <v>#REF!</v>
      </c>
      <c r="L121" s="105" t="e">
        <f t="array" ref="L121">IF(L166=0,"-",(L97+NPV($C$203/4,sensitivity!M$122:$CN122))/L166)</f>
        <v>#REF!</v>
      </c>
      <c r="M121" s="105" t="e">
        <f t="array" ref="M121">IF(M166=0,"-",(M97+NPV($C$203/4,sensitivity!N$122:$CN122))/M166)</f>
        <v>#REF!</v>
      </c>
      <c r="N121" s="105" t="e">
        <f t="array" ref="N121">IF(N166=0,"-",(N97+NPV($C$203/4,sensitivity!O$122:$CN122))/N166)</f>
        <v>#REF!</v>
      </c>
      <c r="O121" s="105" t="e">
        <f t="array" ref="O121">IF(O166=0,"-",(O97+NPV($C$203/4,sensitivity!P$122:$CN122))/O166)</f>
        <v>#REF!</v>
      </c>
      <c r="P121" s="105" t="e">
        <f t="array" ref="P121">IF(P166=0,"-",(P97+NPV($C$203/4,sensitivity!Q$122:$CN122))/P166)</f>
        <v>#REF!</v>
      </c>
      <c r="Q121" s="105" t="e">
        <f t="array" ref="Q121">IF(Q166=0,"-",(Q97+NPV($C$203/4,sensitivity!R$122:$CN122))/Q166)</f>
        <v>#REF!</v>
      </c>
      <c r="R121" s="105" t="e">
        <f t="array" ref="R121">IF(R166=0,"-",(R97+NPV($C$203/4,sensitivity!S$122:$CN122))/R166)</f>
        <v>#REF!</v>
      </c>
      <c r="S121" s="105" t="e">
        <f t="array" ref="S121">IF(S166=0,"-",(S97+NPV($C$203/4,sensitivity!T$122:$CN122))/S166)</f>
        <v>#REF!</v>
      </c>
      <c r="T121" s="105" t="e">
        <f t="array" ref="T121">IF(T166=0,"-",(T97+NPV($C$203/4,sensitivity!U$122:$CN122))/T166)</f>
        <v>#REF!</v>
      </c>
      <c r="U121" s="105" t="e">
        <f t="array" ref="U121">IF(U166=0,"-",(U97+NPV($C$203/4,sensitivity!V$122:$CN122))/U166)</f>
        <v>#REF!</v>
      </c>
      <c r="V121" s="105" t="e">
        <f t="array" ref="V121">IF(V166=0,"-",(V97+NPV($C$203/4,sensitivity!W$122:$CN122))/V166)</f>
        <v>#REF!</v>
      </c>
      <c r="W121" s="105" t="e">
        <f t="array" ref="W121">IF(W166=0,"-",(W97+NPV($C$203/4,sensitivity!X$122:$CN122))/W166)</f>
        <v>#REF!</v>
      </c>
      <c r="X121" s="105" t="e">
        <f t="array" ref="X121">IF(X166=0,"-",(X97+NPV($C$203/4,sensitivity!Y$122:$CN122))/X166)</f>
        <v>#REF!</v>
      </c>
      <c r="Y121" s="105" t="e">
        <f t="array" ref="Y121">IF(Y166=0,"-",(Y97+NPV($C$203/4,sensitivity!Z$122:$CN122))/Y166)</f>
        <v>#REF!</v>
      </c>
      <c r="Z121" s="105" t="e">
        <f t="array" ref="Z121">IF(Z166=0,"-",(Z97+NPV($C$203/4,sensitivity!AA$122:$CN122))/Z166)</f>
        <v>#REF!</v>
      </c>
      <c r="AA121" s="105" t="e">
        <f t="array" ref="AA121">IF(AA166=0,"-",(AA97+NPV($C$203/4,sensitivity!AB$122:$CN122))/AA166)</f>
        <v>#REF!</v>
      </c>
      <c r="AB121" s="105" t="e">
        <f t="array" ref="AB121">IF(AB166=0,"-",(AB97+NPV($C$203/4,sensitivity!AC$122:$CN122))/AB166)</f>
        <v>#REF!</v>
      </c>
      <c r="AC121" s="105" t="e">
        <f t="array" ref="AC121">IF(AC166=0,"-",(AC97+NPV($C$203/4,sensitivity!AD$122:$CN122))/AC166)</f>
        <v>#REF!</v>
      </c>
      <c r="AD121" s="105" t="e">
        <f t="array" ref="AD121">IF(AD166=0,"-",(AD97+NPV($C$203/4,sensitivity!AE$122:$CN122))/AD166)</f>
        <v>#REF!</v>
      </c>
      <c r="AE121" s="105" t="e">
        <f t="array" ref="AE121">IF(AE166=0,"-",(AE97+NPV($C$203/4,sensitivity!AF$122:$CN122))/AE166)</f>
        <v>#REF!</v>
      </c>
      <c r="AF121" s="105" t="e">
        <f t="array" ref="AF121">IF(AF166=0,"-",(AF97+NPV($C$203/4,sensitivity!AG$122:$CN122))/AF166)</f>
        <v>#REF!</v>
      </c>
      <c r="AG121" s="105" t="e">
        <f t="array" ref="AG121">IF(AG166=0,"-",(AG97+NPV($C$203/4,sensitivity!AH$122:$CN122))/AG166)</f>
        <v>#REF!</v>
      </c>
      <c r="AH121" s="105" t="e">
        <f t="array" ref="AH121">IF(AH166=0,"-",(AH97+NPV($C$203/4,sensitivity!AI$122:$CN122))/AH166)</f>
        <v>#REF!</v>
      </c>
      <c r="AI121" s="105" t="e">
        <f t="array" ref="AI121">IF(AI166=0,"-",(AI97+NPV($C$203/4,sensitivity!AJ$122:$CN122))/AI166)</f>
        <v>#REF!</v>
      </c>
      <c r="AJ121" s="105" t="e">
        <f t="array" ref="AJ121">IF(AJ166=0,"-",(AJ97+NPV($C$203/4,sensitivity!AK$122:$CN122))/AJ166)</f>
        <v>#REF!</v>
      </c>
      <c r="AK121" s="105" t="e">
        <f t="array" ref="AK121">IF(AK166=0,"-",(AK97+NPV($C$203/4,sensitivity!AL$122:$CN122))/AK166)</f>
        <v>#REF!</v>
      </c>
      <c r="AL121" s="105" t="e">
        <f t="array" ref="AL121">IF(AL166=0,"-",(AL97+NPV($C$203/4,sensitivity!AM$122:$CN122))/AL166)</f>
        <v>#REF!</v>
      </c>
      <c r="AM121" s="105" t="e">
        <f t="array" ref="AM121">IF(AM166=0,"-",(AM97+NPV($C$203/4,sensitivity!AN$122:$CN122))/AM166)</f>
        <v>#REF!</v>
      </c>
      <c r="AN121" s="105" t="e">
        <f t="array" ref="AN121">IF(AN166=0,"-",(AN97+NPV($C$203/4,sensitivity!AO$122:$CN122))/AN166)</f>
        <v>#REF!</v>
      </c>
      <c r="AO121" s="105" t="e">
        <f t="array" ref="AO121">IF(AO166=0,"-",(AO97+NPV($C$203/4,sensitivity!AP$122:$CN122))/AO166)</f>
        <v>#REF!</v>
      </c>
      <c r="AP121" s="105" t="e">
        <f t="array" ref="AP121">IF(AP166=0,"-",(AP97+NPV($C$203/4,sensitivity!AQ$122:$CN122))/AP166)</f>
        <v>#REF!</v>
      </c>
      <c r="AQ121" s="105" t="e">
        <f t="array" ref="AQ121">IF(AQ166=0,"-",(AQ97+NPV($C$203/4,sensitivity!AR$122:$CN122))/AQ166)</f>
        <v>#REF!</v>
      </c>
      <c r="AR121" s="105" t="e">
        <f t="array" ref="AR121">IF(AR166=0,"-",(AR97+NPV($C$203/4,sensitivity!AS$122:$CN122))/AR166)</f>
        <v>#REF!</v>
      </c>
      <c r="AS121" s="105" t="e">
        <f t="array" ref="AS121">IF(AS166=0,"-",(AS97+NPV($C$203/4,sensitivity!AT$122:$CN122))/AS166)</f>
        <v>#REF!</v>
      </c>
      <c r="AT121" s="105" t="e">
        <f t="array" ref="AT121">IF(AT166=0,"-",(AT97+NPV($C$203/4,sensitivity!AU$122:$CN122))/AT166)</f>
        <v>#REF!</v>
      </c>
      <c r="AU121" s="105" t="e">
        <f t="array" ref="AU121">IF(AU166=0,"-",(AU97+NPV($C$203/4,sensitivity!AV$122:$CN122))/AU166)</f>
        <v>#REF!</v>
      </c>
      <c r="AV121" s="105" t="e">
        <f t="array" ref="AV121">IF(AV166=0,"-",(AV97+NPV($C$203/4,sensitivity!AW$122:$CN122))/AV166)</f>
        <v>#REF!</v>
      </c>
      <c r="AW121" s="105" t="e">
        <f t="array" ref="AW121">IF(AW166=0,"-",(AW97+NPV($C$203/4,sensitivity!AX$122:$CN122))/AW166)</f>
        <v>#REF!</v>
      </c>
      <c r="AX121" s="105" t="e">
        <f t="array" ref="AX121">IF(AX166=0,"-",(AX97+NPV($C$203/4,sensitivity!AY$122:$CN122))/AX166)</f>
        <v>#REF!</v>
      </c>
      <c r="AY121" s="105" t="e">
        <f t="array" ref="AY121">IF(AY166=0,"-",(AY97+NPV($C$203/4,sensitivity!AZ$122:$CN122))/AY166)</f>
        <v>#REF!</v>
      </c>
      <c r="AZ121" s="105" t="e">
        <f t="array" ref="AZ121">IF(AZ166=0,"-",(AZ97+NPV($C$203/4,sensitivity!BA$122:$CN122))/AZ166)</f>
        <v>#REF!</v>
      </c>
      <c r="BA121" s="105" t="e">
        <f t="array" ref="BA121">IF(BA166=0,"-",(BA97+NPV($C$203/4,sensitivity!BB$122:$CN122))/BA166)</f>
        <v>#REF!</v>
      </c>
      <c r="BB121" s="105" t="e">
        <f t="array" ref="BB121">IF(BB166=0,"-",(BB97+NPV($C$203/4,sensitivity!BC$122:$CN122))/BB166)</f>
        <v>#REF!</v>
      </c>
      <c r="BC121" s="105" t="e">
        <f t="array" ref="BC121">IF(BC166=0,"-",(BC97+NPV($C$203/4,sensitivity!BD$122:$CN122))/BC166)</f>
        <v>#REF!</v>
      </c>
      <c r="BD121" s="105" t="e">
        <f t="array" ref="BD121">IF(BD166=0,"-",(BD97+NPV($C$203/4,sensitivity!BE$122:$CN122))/BD166)</f>
        <v>#REF!</v>
      </c>
      <c r="BE121" s="105" t="e">
        <f t="array" ref="BE121">IF(BE166=0,"-",(BE97+NPV($C$203/4,sensitivity!BF$122:$CN122))/BE166)</f>
        <v>#REF!</v>
      </c>
      <c r="BF121" s="105" t="e">
        <f t="array" ref="BF121">IF(BF166=0,"-",(BF97+NPV($C$203/4,sensitivity!BG$122:$CN122))/BF166)</f>
        <v>#REF!</v>
      </c>
      <c r="BG121" s="105" t="e">
        <f t="array" ref="BG121">IF(BG166=0,"-",(BG97+NPV($C$203/4,sensitivity!BH$122:$CN122))/BG166)</f>
        <v>#REF!</v>
      </c>
      <c r="BH121" s="105" t="e">
        <f t="array" ref="BH121">IF(BH166=0,"-",(BH97+NPV($C$203/4,sensitivity!BI$122:$CN122))/BH166)</f>
        <v>#REF!</v>
      </c>
      <c r="BI121" s="105" t="e">
        <f t="array" ref="BI121">IF(BI166=0,"-",(BI97+NPV($C$203/4,sensitivity!BJ$122:$CN122))/BI166)</f>
        <v>#REF!</v>
      </c>
      <c r="BJ121" s="105" t="e">
        <f t="array" ref="BJ121">IF(BJ166=0,"-",(BJ97+NPV($C$203/4,sensitivity!BK$122:$CN122))/BJ166)</f>
        <v>#REF!</v>
      </c>
      <c r="BK121" s="105" t="e">
        <f t="array" ref="BK121">IF(BK166=0,"-",(BK97+NPV($C$203/4,sensitivity!BL$122:$CN122))/BK166)</f>
        <v>#REF!</v>
      </c>
      <c r="BL121" s="105" t="e">
        <f t="array" ref="BL121">IF(BL166=0,"-",(BL97+NPV($C$203/4,sensitivity!BM$122:$CN122))/BL166)</f>
        <v>#REF!</v>
      </c>
      <c r="BM121" s="105" t="e">
        <f t="array" ref="BM121">IF(BM166=0,"-",(BM97+NPV($C$203/4,sensitivity!BN$122:$CN122))/BM166)</f>
        <v>#REF!</v>
      </c>
      <c r="BN121" s="105" t="e">
        <f t="array" ref="BN121">IF(BN166=0,"-",(BN97+NPV($C$203/4,sensitivity!BO$122:$CN122))/BN166)</f>
        <v>#REF!</v>
      </c>
      <c r="BO121" s="105" t="e">
        <f t="array" ref="BO121">IF(BO166=0,"-",(BO97+NPV($C$203/4,sensitivity!BP$122:$CN122))/BO166)</f>
        <v>#REF!</v>
      </c>
      <c r="BP121" s="105" t="e">
        <f t="array" ref="BP121">IF(BP166=0,"-",(BP97+NPV($C$203/4,sensitivity!BQ$122:$CN122))/BP166)</f>
        <v>#REF!</v>
      </c>
      <c r="BQ121" s="105" t="e">
        <f t="array" ref="BQ121">IF(BQ166=0,"-",(BQ97+NPV($C$203/4,sensitivity!BR$122:$CN122))/BQ166)</f>
        <v>#REF!</v>
      </c>
      <c r="BR121" s="105" t="e">
        <f t="array" ref="BR121">IF(BR166=0,"-",(BR97+NPV($C$203/4,sensitivity!BS$122:$CN122))/BR166)</f>
        <v>#REF!</v>
      </c>
      <c r="BS121" s="105" t="e">
        <f t="array" ref="BS121">IF(BS166=0,"-",(BS97+NPV($C$203/4,sensitivity!BT$122:$CN122))/BS166)</f>
        <v>#REF!</v>
      </c>
      <c r="BT121" s="105" t="e">
        <f t="array" ref="BT121">IF(BT166=0,"-",(BT97+NPV($C$203/4,sensitivity!BU$122:$CN122))/BT166)</f>
        <v>#REF!</v>
      </c>
      <c r="BU121" s="105" t="e">
        <f t="array" ref="BU121">IF(BU166=0,"-",(BU97+NPV($C$203/4,sensitivity!BV$122:$CN122))/BU166)</f>
        <v>#REF!</v>
      </c>
      <c r="BV121" s="105" t="e">
        <f t="array" ref="BV121">IF(BV166=0,"-",(BV97+NPV($C$203/4,sensitivity!BW$122:$CN122))/BV166)</f>
        <v>#REF!</v>
      </c>
      <c r="BW121" s="105" t="e">
        <f t="array" ref="BW121">IF(BW166=0,"-",(BW97+NPV($C$203/4,sensitivity!BX$122:$CN122))/BW166)</f>
        <v>#REF!</v>
      </c>
      <c r="BX121" s="105" t="e">
        <f t="array" ref="BX121">IF(BX166=0,"-",(BX97+NPV($C$203/4,sensitivity!BY$122:$CN122))/BX166)</f>
        <v>#REF!</v>
      </c>
      <c r="BY121" s="105" t="e">
        <f t="array" ref="BY121">IF(BY166=0,"-",(BY97+NPV($C$203/4,sensitivity!BZ$122:$CN122))/BY166)</f>
        <v>#REF!</v>
      </c>
      <c r="BZ121" s="105" t="e">
        <f t="array" ref="BZ121">IF(BZ166=0,"-",(BZ97+NPV($C$203/4,sensitivity!CA$122:$CN122))/BZ166)</f>
        <v>#REF!</v>
      </c>
      <c r="CA121" s="105" t="e">
        <f t="array" ref="CA121">IF(CA166=0,"-",(CA97+NPV($C$203/4,sensitivity!CB$122:$CN122))/CA166)</f>
        <v>#REF!</v>
      </c>
      <c r="CB121" s="105" t="e">
        <f t="array" ref="CB121">IF(CB166=0,"-",(CB97+NPV($C$203/4,sensitivity!CC$122:$CN122))/CB166)</f>
        <v>#REF!</v>
      </c>
      <c r="CC121" s="105" t="e">
        <f t="array" ref="CC121">IF(CC166=0,"-",(CC97+NPV($C$203/4,sensitivity!CD$122:$CN122))/CC166)</f>
        <v>#REF!</v>
      </c>
      <c r="CD121" s="105" t="e">
        <f t="array" ref="CD121">IF(CD166=0,"-",(CD97+NPV($C$203/4,sensitivity!CE$122:$CN122))/CD166)</f>
        <v>#REF!</v>
      </c>
      <c r="CE121" s="105" t="e">
        <f t="array" ref="CE121">IF(CE166=0,"-",(CE97+NPV($C$203/4,sensitivity!CF$122:$CN122))/CE166)</f>
        <v>#REF!</v>
      </c>
      <c r="CF121" s="105" t="e">
        <f t="array" ref="CF121">IF(CF166=0,"-",(CF97+NPV($C$203/4,sensitivity!CG$122:$CN122))/CF166)</f>
        <v>#REF!</v>
      </c>
      <c r="CG121" s="105" t="e">
        <f t="array" ref="CG121">IF(CG166=0,"-",(CG97+NPV($C$203/4,sensitivity!CH$122:$CN122))/CG166)</f>
        <v>#REF!</v>
      </c>
      <c r="CH121" s="105" t="e">
        <f t="array" ref="CH121">IF(CH166=0,"-",(CH97+NPV($C$203/4,sensitivity!CI$122:$CN122))/CH166)</f>
        <v>#REF!</v>
      </c>
      <c r="CI121" s="105" t="e">
        <f t="array" ref="CI121">IF(CI166=0,"-",(CI97+NPV($C$203/4,sensitivity!CJ$122:$CN122))/CI166)</f>
        <v>#REF!</v>
      </c>
      <c r="CJ121" s="105" t="e">
        <f t="array" ref="CJ121">IF(CJ166=0,"-",(CJ97+NPV($C$203/4,sensitivity!CK$122:$CN122))/CJ166)</f>
        <v>#REF!</v>
      </c>
      <c r="CK121" s="105" t="e">
        <f t="array" ref="CK121">IF(CK166=0,"-",(CK97+NPV($C$203/4,sensitivity!CL$122:$CN122))/CK166)</f>
        <v>#REF!</v>
      </c>
      <c r="CL121" s="105" t="e">
        <f t="array" ref="CL121">IF(CL166=0,"-",(CL97+NPV($C$203/4,sensitivity!CM$122:$CN122))/CL166)</f>
        <v>#REF!</v>
      </c>
      <c r="CM121" s="105" t="e">
        <f t="array" ref="CM121">IF(CM166=0,"-",(CM97+NPV($C$203/4,sensitivity!CN$122:$CN122))/CM166)</f>
        <v>#REF!</v>
      </c>
      <c r="CN121" s="105" t="e">
        <f t="array" ref="CN121">IF(CN166=0,"-",(CN97+NPV($C$203/4,sensitivity!$CN$122:CO122))/CN166)</f>
        <v>#REF!</v>
      </c>
      <c r="CO121" s="90"/>
    </row>
    <row r="122" spans="1:93" ht="12.75" customHeight="1">
      <c r="A122" s="90"/>
      <c r="B122" s="96" t="s">
        <v>215</v>
      </c>
      <c r="C122" s="96" t="e">
        <f t="shared" ref="C122" si="68">SUM(D122:CN122)</f>
        <v>#REF!</v>
      </c>
      <c r="D122" s="106" t="e">
        <f t="shared" ref="D122:AI122" si="69">SUM(D72:D78)+D80+D89+D91+D87</f>
        <v>#REF!</v>
      </c>
      <c r="E122" s="96" t="e">
        <f t="shared" si="69"/>
        <v>#REF!</v>
      </c>
      <c r="F122" s="96" t="e">
        <f t="shared" si="69"/>
        <v>#REF!</v>
      </c>
      <c r="G122" s="96" t="e">
        <f t="shared" si="69"/>
        <v>#REF!</v>
      </c>
      <c r="H122" s="96" t="e">
        <f t="shared" si="69"/>
        <v>#REF!</v>
      </c>
      <c r="I122" s="96" t="e">
        <f t="shared" si="69"/>
        <v>#REF!</v>
      </c>
      <c r="J122" s="96" t="e">
        <f t="shared" si="69"/>
        <v>#REF!</v>
      </c>
      <c r="K122" s="96" t="e">
        <f t="shared" si="69"/>
        <v>#REF!</v>
      </c>
      <c r="L122" s="96" t="e">
        <f t="shared" si="69"/>
        <v>#REF!</v>
      </c>
      <c r="M122" s="96" t="e">
        <f t="shared" si="69"/>
        <v>#REF!</v>
      </c>
      <c r="N122" s="96" t="e">
        <f t="shared" si="69"/>
        <v>#REF!</v>
      </c>
      <c r="O122" s="96" t="e">
        <f t="shared" si="69"/>
        <v>#REF!</v>
      </c>
      <c r="P122" s="96" t="e">
        <f t="shared" si="69"/>
        <v>#REF!</v>
      </c>
      <c r="Q122" s="96" t="e">
        <f t="shared" si="69"/>
        <v>#REF!</v>
      </c>
      <c r="R122" s="96" t="e">
        <f t="shared" si="69"/>
        <v>#REF!</v>
      </c>
      <c r="S122" s="96" t="e">
        <f t="shared" si="69"/>
        <v>#REF!</v>
      </c>
      <c r="T122" s="96" t="e">
        <f t="shared" si="69"/>
        <v>#REF!</v>
      </c>
      <c r="U122" s="96" t="e">
        <f t="shared" si="69"/>
        <v>#REF!</v>
      </c>
      <c r="V122" s="96" t="e">
        <f t="shared" si="69"/>
        <v>#REF!</v>
      </c>
      <c r="W122" s="96" t="e">
        <f t="shared" si="69"/>
        <v>#REF!</v>
      </c>
      <c r="X122" s="96" t="e">
        <f t="shared" si="69"/>
        <v>#REF!</v>
      </c>
      <c r="Y122" s="96" t="e">
        <f t="shared" si="69"/>
        <v>#REF!</v>
      </c>
      <c r="Z122" s="96" t="e">
        <f t="shared" si="69"/>
        <v>#REF!</v>
      </c>
      <c r="AA122" s="96" t="e">
        <f t="shared" si="69"/>
        <v>#REF!</v>
      </c>
      <c r="AB122" s="96" t="e">
        <f t="shared" si="69"/>
        <v>#REF!</v>
      </c>
      <c r="AC122" s="96" t="e">
        <f t="shared" si="69"/>
        <v>#REF!</v>
      </c>
      <c r="AD122" s="96" t="e">
        <f t="shared" si="69"/>
        <v>#REF!</v>
      </c>
      <c r="AE122" s="96" t="e">
        <f t="shared" si="69"/>
        <v>#REF!</v>
      </c>
      <c r="AF122" s="96" t="e">
        <f t="shared" si="69"/>
        <v>#REF!</v>
      </c>
      <c r="AG122" s="96" t="e">
        <f t="shared" si="69"/>
        <v>#REF!</v>
      </c>
      <c r="AH122" s="96" t="e">
        <f t="shared" si="69"/>
        <v>#REF!</v>
      </c>
      <c r="AI122" s="96" t="e">
        <f t="shared" si="69"/>
        <v>#REF!</v>
      </c>
      <c r="AJ122" s="96" t="e">
        <f t="shared" ref="AJ122:BO122" si="70">SUM(AJ72:AJ78)+AJ80+AJ89+AJ91+AJ87</f>
        <v>#REF!</v>
      </c>
      <c r="AK122" s="96" t="e">
        <f t="shared" si="70"/>
        <v>#REF!</v>
      </c>
      <c r="AL122" s="96" t="e">
        <f t="shared" si="70"/>
        <v>#REF!</v>
      </c>
      <c r="AM122" s="96" t="e">
        <f t="shared" si="70"/>
        <v>#REF!</v>
      </c>
      <c r="AN122" s="96" t="e">
        <f t="shared" si="70"/>
        <v>#REF!</v>
      </c>
      <c r="AO122" s="96" t="e">
        <f t="shared" si="70"/>
        <v>#REF!</v>
      </c>
      <c r="AP122" s="96" t="e">
        <f t="shared" si="70"/>
        <v>#REF!</v>
      </c>
      <c r="AQ122" s="96" t="e">
        <f t="shared" si="70"/>
        <v>#REF!</v>
      </c>
      <c r="AR122" s="96" t="e">
        <f t="shared" si="70"/>
        <v>#REF!</v>
      </c>
      <c r="AS122" s="96" t="e">
        <f t="shared" si="70"/>
        <v>#REF!</v>
      </c>
      <c r="AT122" s="96" t="e">
        <f t="shared" si="70"/>
        <v>#REF!</v>
      </c>
      <c r="AU122" s="96" t="e">
        <f t="shared" si="70"/>
        <v>#REF!</v>
      </c>
      <c r="AV122" s="96" t="e">
        <f t="shared" si="70"/>
        <v>#REF!</v>
      </c>
      <c r="AW122" s="96" t="e">
        <f t="shared" si="70"/>
        <v>#REF!</v>
      </c>
      <c r="AX122" s="96" t="e">
        <f t="shared" si="70"/>
        <v>#REF!</v>
      </c>
      <c r="AY122" s="96" t="e">
        <f t="shared" si="70"/>
        <v>#REF!</v>
      </c>
      <c r="AZ122" s="96" t="e">
        <f t="shared" si="70"/>
        <v>#REF!</v>
      </c>
      <c r="BA122" s="96" t="e">
        <f t="shared" si="70"/>
        <v>#REF!</v>
      </c>
      <c r="BB122" s="96" t="e">
        <f t="shared" si="70"/>
        <v>#REF!</v>
      </c>
      <c r="BC122" s="96" t="e">
        <f t="shared" si="70"/>
        <v>#REF!</v>
      </c>
      <c r="BD122" s="96" t="e">
        <f t="shared" si="70"/>
        <v>#REF!</v>
      </c>
      <c r="BE122" s="96" t="e">
        <f t="shared" si="70"/>
        <v>#REF!</v>
      </c>
      <c r="BF122" s="96" t="e">
        <f t="shared" si="70"/>
        <v>#REF!</v>
      </c>
      <c r="BG122" s="96" t="e">
        <f t="shared" si="70"/>
        <v>#REF!</v>
      </c>
      <c r="BH122" s="96" t="e">
        <f t="shared" si="70"/>
        <v>#REF!</v>
      </c>
      <c r="BI122" s="96" t="e">
        <f t="shared" si="70"/>
        <v>#REF!</v>
      </c>
      <c r="BJ122" s="96" t="e">
        <f t="shared" si="70"/>
        <v>#REF!</v>
      </c>
      <c r="BK122" s="96" t="e">
        <f t="shared" si="70"/>
        <v>#REF!</v>
      </c>
      <c r="BL122" s="96" t="e">
        <f t="shared" si="70"/>
        <v>#REF!</v>
      </c>
      <c r="BM122" s="96" t="e">
        <f t="shared" si="70"/>
        <v>#REF!</v>
      </c>
      <c r="BN122" s="96" t="e">
        <f t="shared" si="70"/>
        <v>#REF!</v>
      </c>
      <c r="BO122" s="96" t="e">
        <f t="shared" si="70"/>
        <v>#REF!</v>
      </c>
      <c r="BP122" s="96" t="e">
        <f t="shared" ref="BP122:CN122" si="71">SUM(BP72:BP78)+BP80+BP89+BP91+BP87</f>
        <v>#REF!</v>
      </c>
      <c r="BQ122" s="96" t="e">
        <f t="shared" si="71"/>
        <v>#REF!</v>
      </c>
      <c r="BR122" s="96" t="e">
        <f t="shared" si="71"/>
        <v>#REF!</v>
      </c>
      <c r="BS122" s="96" t="e">
        <f t="shared" si="71"/>
        <v>#REF!</v>
      </c>
      <c r="BT122" s="96" t="e">
        <f t="shared" si="71"/>
        <v>#REF!</v>
      </c>
      <c r="BU122" s="96" t="e">
        <f t="shared" si="71"/>
        <v>#REF!</v>
      </c>
      <c r="BV122" s="96" t="e">
        <f t="shared" si="71"/>
        <v>#REF!</v>
      </c>
      <c r="BW122" s="96" t="e">
        <f t="shared" si="71"/>
        <v>#REF!</v>
      </c>
      <c r="BX122" s="96" t="e">
        <f t="shared" si="71"/>
        <v>#REF!</v>
      </c>
      <c r="BY122" s="96" t="e">
        <f t="shared" si="71"/>
        <v>#REF!</v>
      </c>
      <c r="BZ122" s="96" t="e">
        <f t="shared" si="71"/>
        <v>#REF!</v>
      </c>
      <c r="CA122" s="96" t="e">
        <f t="shared" si="71"/>
        <v>#REF!</v>
      </c>
      <c r="CB122" s="96" t="e">
        <f t="shared" si="71"/>
        <v>#REF!</v>
      </c>
      <c r="CC122" s="96" t="e">
        <f t="shared" si="71"/>
        <v>#REF!</v>
      </c>
      <c r="CD122" s="96" t="e">
        <f t="shared" si="71"/>
        <v>#REF!</v>
      </c>
      <c r="CE122" s="96" t="e">
        <f t="shared" si="71"/>
        <v>#REF!</v>
      </c>
      <c r="CF122" s="96" t="e">
        <f t="shared" si="71"/>
        <v>#REF!</v>
      </c>
      <c r="CG122" s="96" t="e">
        <f t="shared" si="71"/>
        <v>#REF!</v>
      </c>
      <c r="CH122" s="96" t="e">
        <f t="shared" si="71"/>
        <v>#REF!</v>
      </c>
      <c r="CI122" s="96" t="e">
        <f t="shared" si="71"/>
        <v>#REF!</v>
      </c>
      <c r="CJ122" s="96" t="e">
        <f t="shared" si="71"/>
        <v>#REF!</v>
      </c>
      <c r="CK122" s="96" t="e">
        <f t="shared" si="71"/>
        <v>#REF!</v>
      </c>
      <c r="CL122" s="96" t="e">
        <f t="shared" si="71"/>
        <v>#REF!</v>
      </c>
      <c r="CM122" s="96" t="e">
        <f t="shared" si="71"/>
        <v>#REF!</v>
      </c>
      <c r="CN122" s="96" t="e">
        <f t="shared" si="71"/>
        <v>#REF!</v>
      </c>
      <c r="CO122" s="90"/>
    </row>
    <row r="123" spans="1:93" ht="12.75" customHeight="1">
      <c r="A123" s="90"/>
      <c r="B123" s="96" t="s">
        <v>216</v>
      </c>
      <c r="C123" s="96"/>
      <c r="D123" s="104" t="str">
        <f t="shared" ref="D123:AI123" si="72">IF(D28=0,"-",(IF((-D165-D167)=0,"-",D122/(-D165-D167))))</f>
        <v>-</v>
      </c>
      <c r="E123" s="105" t="e">
        <f t="shared" si="72"/>
        <v>#REF!</v>
      </c>
      <c r="F123" s="105" t="e">
        <f t="shared" si="72"/>
        <v>#REF!</v>
      </c>
      <c r="G123" s="105" t="e">
        <f t="shared" si="72"/>
        <v>#REF!</v>
      </c>
      <c r="H123" s="105" t="e">
        <f t="shared" si="72"/>
        <v>#REF!</v>
      </c>
      <c r="I123" s="105" t="e">
        <f t="shared" si="72"/>
        <v>#REF!</v>
      </c>
      <c r="J123" s="105" t="e">
        <f t="shared" si="72"/>
        <v>#REF!</v>
      </c>
      <c r="K123" s="105" t="e">
        <f t="shared" si="72"/>
        <v>#REF!</v>
      </c>
      <c r="L123" s="105" t="e">
        <f t="shared" si="72"/>
        <v>#REF!</v>
      </c>
      <c r="M123" s="105" t="e">
        <f t="shared" si="72"/>
        <v>#REF!</v>
      </c>
      <c r="N123" s="105" t="e">
        <f t="shared" si="72"/>
        <v>#REF!</v>
      </c>
      <c r="O123" s="105" t="e">
        <f t="shared" si="72"/>
        <v>#REF!</v>
      </c>
      <c r="P123" s="105" t="e">
        <f t="shared" si="72"/>
        <v>#REF!</v>
      </c>
      <c r="Q123" s="105" t="e">
        <f t="shared" si="72"/>
        <v>#REF!</v>
      </c>
      <c r="R123" s="105" t="e">
        <f t="shared" si="72"/>
        <v>#REF!</v>
      </c>
      <c r="S123" s="105" t="e">
        <f t="shared" si="72"/>
        <v>#REF!</v>
      </c>
      <c r="T123" s="105" t="e">
        <f t="shared" si="72"/>
        <v>#REF!</v>
      </c>
      <c r="U123" s="105" t="e">
        <f t="shared" si="72"/>
        <v>#REF!</v>
      </c>
      <c r="V123" s="105" t="e">
        <f t="shared" si="72"/>
        <v>#REF!</v>
      </c>
      <c r="W123" s="105" t="e">
        <f t="shared" si="72"/>
        <v>#REF!</v>
      </c>
      <c r="X123" s="105" t="e">
        <f t="shared" si="72"/>
        <v>#REF!</v>
      </c>
      <c r="Y123" s="105" t="e">
        <f t="shared" si="72"/>
        <v>#REF!</v>
      </c>
      <c r="Z123" s="105" t="e">
        <f t="shared" si="72"/>
        <v>#REF!</v>
      </c>
      <c r="AA123" s="105" t="e">
        <f t="shared" si="72"/>
        <v>#REF!</v>
      </c>
      <c r="AB123" s="105" t="e">
        <f t="shared" si="72"/>
        <v>#REF!</v>
      </c>
      <c r="AC123" s="105" t="e">
        <f t="shared" si="72"/>
        <v>#REF!</v>
      </c>
      <c r="AD123" s="105" t="e">
        <f t="shared" si="72"/>
        <v>#REF!</v>
      </c>
      <c r="AE123" s="105" t="e">
        <f t="shared" si="72"/>
        <v>#REF!</v>
      </c>
      <c r="AF123" s="105" t="e">
        <f t="shared" si="72"/>
        <v>#REF!</v>
      </c>
      <c r="AG123" s="105" t="e">
        <f t="shared" si="72"/>
        <v>#REF!</v>
      </c>
      <c r="AH123" s="105" t="e">
        <f t="shared" si="72"/>
        <v>#REF!</v>
      </c>
      <c r="AI123" s="105" t="e">
        <f t="shared" si="72"/>
        <v>#REF!</v>
      </c>
      <c r="AJ123" s="105" t="e">
        <f t="shared" ref="AJ123:BO123" si="73">IF(AJ28=0,"-",(IF((-AJ165-AJ167)=0,"-",AJ122/(-AJ165-AJ167))))</f>
        <v>#REF!</v>
      </c>
      <c r="AK123" s="105" t="e">
        <f t="shared" si="73"/>
        <v>#REF!</v>
      </c>
      <c r="AL123" s="105" t="e">
        <f t="shared" si="73"/>
        <v>#REF!</v>
      </c>
      <c r="AM123" s="105" t="e">
        <f t="shared" si="73"/>
        <v>#REF!</v>
      </c>
      <c r="AN123" s="105" t="e">
        <f t="shared" si="73"/>
        <v>#REF!</v>
      </c>
      <c r="AO123" s="105" t="e">
        <f t="shared" si="73"/>
        <v>#REF!</v>
      </c>
      <c r="AP123" s="105" t="e">
        <f t="shared" si="73"/>
        <v>#REF!</v>
      </c>
      <c r="AQ123" s="105" t="e">
        <f t="shared" si="73"/>
        <v>#REF!</v>
      </c>
      <c r="AR123" s="105" t="e">
        <f t="shared" si="73"/>
        <v>#REF!</v>
      </c>
      <c r="AS123" s="105" t="e">
        <f t="shared" si="73"/>
        <v>#REF!</v>
      </c>
      <c r="AT123" s="105" t="e">
        <f t="shared" si="73"/>
        <v>#REF!</v>
      </c>
      <c r="AU123" s="105" t="e">
        <f t="shared" si="73"/>
        <v>#REF!</v>
      </c>
      <c r="AV123" s="105" t="e">
        <f t="shared" si="73"/>
        <v>#REF!</v>
      </c>
      <c r="AW123" s="105" t="e">
        <f t="shared" si="73"/>
        <v>#REF!</v>
      </c>
      <c r="AX123" s="105" t="e">
        <f t="shared" si="73"/>
        <v>#REF!</v>
      </c>
      <c r="AY123" s="105" t="e">
        <f t="shared" si="73"/>
        <v>#REF!</v>
      </c>
      <c r="AZ123" s="105" t="e">
        <f t="shared" si="73"/>
        <v>#REF!</v>
      </c>
      <c r="BA123" s="105" t="e">
        <f t="shared" si="73"/>
        <v>#REF!</v>
      </c>
      <c r="BB123" s="105" t="e">
        <f t="shared" si="73"/>
        <v>#REF!</v>
      </c>
      <c r="BC123" s="105" t="e">
        <f t="shared" si="73"/>
        <v>#REF!</v>
      </c>
      <c r="BD123" s="105" t="e">
        <f t="shared" si="73"/>
        <v>#REF!</v>
      </c>
      <c r="BE123" s="105" t="e">
        <f t="shared" si="73"/>
        <v>#REF!</v>
      </c>
      <c r="BF123" s="105" t="e">
        <f t="shared" si="73"/>
        <v>#REF!</v>
      </c>
      <c r="BG123" s="105" t="e">
        <f t="shared" si="73"/>
        <v>#REF!</v>
      </c>
      <c r="BH123" s="105" t="e">
        <f t="shared" si="73"/>
        <v>#REF!</v>
      </c>
      <c r="BI123" s="105" t="e">
        <f t="shared" si="73"/>
        <v>#REF!</v>
      </c>
      <c r="BJ123" s="105" t="e">
        <f t="shared" si="73"/>
        <v>#REF!</v>
      </c>
      <c r="BK123" s="105" t="e">
        <f t="shared" si="73"/>
        <v>#REF!</v>
      </c>
      <c r="BL123" s="105" t="e">
        <f t="shared" si="73"/>
        <v>#REF!</v>
      </c>
      <c r="BM123" s="105" t="e">
        <f t="shared" si="73"/>
        <v>#REF!</v>
      </c>
      <c r="BN123" s="105" t="e">
        <f t="shared" si="73"/>
        <v>#REF!</v>
      </c>
      <c r="BO123" s="105" t="e">
        <f t="shared" si="73"/>
        <v>#REF!</v>
      </c>
      <c r="BP123" s="105" t="e">
        <f t="shared" ref="BP123:CN123" si="74">IF(BP28=0,"-",(IF((-BP165-BP167)=0,"-",BP122/(-BP165-BP167))))</f>
        <v>#REF!</v>
      </c>
      <c r="BQ123" s="105" t="e">
        <f t="shared" si="74"/>
        <v>#REF!</v>
      </c>
      <c r="BR123" s="105" t="e">
        <f t="shared" si="74"/>
        <v>#REF!</v>
      </c>
      <c r="BS123" s="105" t="e">
        <f t="shared" si="74"/>
        <v>#REF!</v>
      </c>
      <c r="BT123" s="105" t="e">
        <f t="shared" si="74"/>
        <v>#REF!</v>
      </c>
      <c r="BU123" s="105" t="e">
        <f t="shared" si="74"/>
        <v>#REF!</v>
      </c>
      <c r="BV123" s="105" t="e">
        <f t="shared" si="74"/>
        <v>#REF!</v>
      </c>
      <c r="BW123" s="105" t="e">
        <f t="shared" si="74"/>
        <v>#REF!</v>
      </c>
      <c r="BX123" s="105" t="e">
        <f t="shared" si="74"/>
        <v>#REF!</v>
      </c>
      <c r="BY123" s="105" t="e">
        <f t="shared" si="74"/>
        <v>#REF!</v>
      </c>
      <c r="BZ123" s="105" t="e">
        <f t="shared" si="74"/>
        <v>#REF!</v>
      </c>
      <c r="CA123" s="105" t="e">
        <f t="shared" si="74"/>
        <v>#REF!</v>
      </c>
      <c r="CB123" s="105" t="e">
        <f t="shared" si="74"/>
        <v>#REF!</v>
      </c>
      <c r="CC123" s="105" t="e">
        <f t="shared" si="74"/>
        <v>#REF!</v>
      </c>
      <c r="CD123" s="105" t="e">
        <f t="shared" si="74"/>
        <v>#REF!</v>
      </c>
      <c r="CE123" s="105" t="e">
        <f t="shared" si="74"/>
        <v>#REF!</v>
      </c>
      <c r="CF123" s="105" t="e">
        <f t="shared" si="74"/>
        <v>#REF!</v>
      </c>
      <c r="CG123" s="105" t="e">
        <f t="shared" si="74"/>
        <v>#REF!</v>
      </c>
      <c r="CH123" s="105" t="e">
        <f t="shared" si="74"/>
        <v>#REF!</v>
      </c>
      <c r="CI123" s="105" t="e">
        <f t="shared" si="74"/>
        <v>#REF!</v>
      </c>
      <c r="CJ123" s="105" t="e">
        <f t="shared" si="74"/>
        <v>#REF!</v>
      </c>
      <c r="CK123" s="105" t="e">
        <f t="shared" si="74"/>
        <v>#REF!</v>
      </c>
      <c r="CL123" s="105" t="e">
        <f t="shared" si="74"/>
        <v>#REF!</v>
      </c>
      <c r="CM123" s="105" t="e">
        <f t="shared" si="74"/>
        <v>#REF!</v>
      </c>
      <c r="CN123" s="105" t="e">
        <f t="shared" si="74"/>
        <v>#REF!</v>
      </c>
      <c r="CO123" s="90"/>
    </row>
    <row r="124" spans="1:93" ht="12.75" customHeight="1">
      <c r="A124" s="90"/>
      <c r="B124" s="96" t="s">
        <v>217</v>
      </c>
      <c r="C124" s="96" t="e">
        <f>SUM(D124:CN124)</f>
        <v>#REF!</v>
      </c>
      <c r="D124" s="106" t="e">
        <f>-(D82+D80+D58+D59+D31+D32/(1+Assump!$D$24)*Assump!$D$24+D43*#REF!)</f>
        <v>#REF!</v>
      </c>
      <c r="E124" s="96" t="e">
        <f>-(E82+E80+E58+E59+E31+E32/(1+Assump!$D$24)*Assump!$D$24+E43*#REF!)</f>
        <v>#REF!</v>
      </c>
      <c r="F124" s="96" t="e">
        <f>-(F82+F80+F58+F59+F31+F32/(1+Assump!$D$24)*Assump!$D$24+F43*#REF!)</f>
        <v>#REF!</v>
      </c>
      <c r="G124" s="96" t="e">
        <f>-(G82+G80+G58+G59+G31+G32/(1+Assump!$D$24)*Assump!$D$24+G43*#REF!)</f>
        <v>#REF!</v>
      </c>
      <c r="H124" s="96" t="e">
        <f>-(H82+H80+H58+H59+H31+H32/(1+Assump!$D$24)*Assump!$D$24+H43*#REF!)</f>
        <v>#REF!</v>
      </c>
      <c r="I124" s="96" t="e">
        <f>-(I82+I80+I58+I59+I31+I32/(1+Assump!$D$24)*Assump!$D$24+I43*#REF!)</f>
        <v>#REF!</v>
      </c>
      <c r="J124" s="96" t="e">
        <f>-(J82+J80+J58+J59+J31+J32/(1+Assump!$D$24)*Assump!$D$24+J43*#REF!)</f>
        <v>#REF!</v>
      </c>
      <c r="K124" s="96" t="e">
        <f>-(K82+K80+K58+K59+K31+K32/(1+Assump!$D$24)*Assump!$D$24+K43*#REF!)</f>
        <v>#REF!</v>
      </c>
      <c r="L124" s="96" t="e">
        <f>-(L82+L80+L58+L59+L31+L32/(1+Assump!$D$24)*Assump!$D$24+L43*#REF!)</f>
        <v>#REF!</v>
      </c>
      <c r="M124" s="96" t="e">
        <f>-(M82+M80+M58+M59+M31+M32/(1+Assump!$D$24)*Assump!$D$24+M43*#REF!)</f>
        <v>#REF!</v>
      </c>
      <c r="N124" s="96" t="e">
        <f>-(N82+N80+N58+N59+N31+N32/(1+Assump!$D$24)*Assump!$D$24+N43*#REF!)</f>
        <v>#REF!</v>
      </c>
      <c r="O124" s="96" t="e">
        <f>-(O82+O80+O58+O59+O31+O32/(1+Assump!$D$24)*Assump!$D$24+O43*#REF!)</f>
        <v>#REF!</v>
      </c>
      <c r="P124" s="96" t="e">
        <f>-(P82+P80+P58+P59+P31+P32/(1+Assump!$D$24)*Assump!$D$24+P43*#REF!)</f>
        <v>#REF!</v>
      </c>
      <c r="Q124" s="96" t="e">
        <f>-(Q82+Q80+Q58+Q59+Q31+Q32/(1+Assump!$D$24)*Assump!$D$24+Q43*#REF!)</f>
        <v>#REF!</v>
      </c>
      <c r="R124" s="96" t="e">
        <f>-(R82+R80+R58+R59+R31+R32/(1+Assump!$D$24)*Assump!$D$24+R43*#REF!)</f>
        <v>#REF!</v>
      </c>
      <c r="S124" s="96" t="e">
        <f>-(S82+S80+S58+S59+S31+S32/(1+Assump!$D$24)*Assump!$D$24+S43*#REF!)</f>
        <v>#REF!</v>
      </c>
      <c r="T124" s="96" t="e">
        <f>-(T82+T80+T58+T59+T31+T32/(1+Assump!$D$24)*Assump!$D$24+T43*#REF!)</f>
        <v>#REF!</v>
      </c>
      <c r="U124" s="96" t="e">
        <f>-(U82+U80+U58+U59+U31+U32/(1+Assump!$D$24)*Assump!$D$24+U43*#REF!)</f>
        <v>#REF!</v>
      </c>
      <c r="V124" s="96" t="e">
        <f>-(V82+V80+V58+V59+V31+V32/(1+Assump!$D$24)*Assump!$D$24+V43*#REF!)</f>
        <v>#REF!</v>
      </c>
      <c r="W124" s="96" t="e">
        <f>-(W82+W80+W58+W59+W31+W32/(1+Assump!$D$24)*Assump!$D$24+W43*#REF!)</f>
        <v>#REF!</v>
      </c>
      <c r="X124" s="96" t="e">
        <f>-(X82+X80+X58+X59+X31+X32/(1+Assump!$D$24)*Assump!$D$24+X43*#REF!)</f>
        <v>#REF!</v>
      </c>
      <c r="Y124" s="96" t="e">
        <f>-(Y82+Y80+Y58+Y59+Y31+Y32/(1+Assump!$D$24)*Assump!$D$24+Y43*#REF!)</f>
        <v>#REF!</v>
      </c>
      <c r="Z124" s="96" t="e">
        <f>-(Z82+Z80+Z58+Z59+Z31+Z32/(1+Assump!$D$24)*Assump!$D$24+Z43*#REF!)</f>
        <v>#REF!</v>
      </c>
      <c r="AA124" s="96" t="e">
        <f>-(AA82+AA80+AA58+AA59+AA31+AA32/(1+Assump!$D$24)*Assump!$D$24+AA43*#REF!)</f>
        <v>#REF!</v>
      </c>
      <c r="AB124" s="96" t="e">
        <f>-(AB82+AB80+AB58+AB59+AB31+AB32/(1+Assump!$D$24)*Assump!$D$24+AB43*#REF!)</f>
        <v>#REF!</v>
      </c>
      <c r="AC124" s="96" t="e">
        <f>-(AC82+AC80+AC58+AC59+AC31+AC32/(1+Assump!$D$24)*Assump!$D$24+AC43*#REF!)</f>
        <v>#REF!</v>
      </c>
      <c r="AD124" s="96" t="e">
        <f>-(AD82+AD80+AD58+AD59+AD31+AD32/(1+Assump!$D$24)*Assump!$D$24+AD43*#REF!)</f>
        <v>#REF!</v>
      </c>
      <c r="AE124" s="96" t="e">
        <f>-(AE82+AE80+AE58+AE59+AE31+AE32/(1+Assump!$D$24)*Assump!$D$24+AE43*#REF!)</f>
        <v>#REF!</v>
      </c>
      <c r="AF124" s="96" t="e">
        <f>-(AF82+AF80+AF58+AF59+AF31+AF32/(1+Assump!$D$24)*Assump!$D$24+AF43*#REF!)</f>
        <v>#REF!</v>
      </c>
      <c r="AG124" s="96" t="e">
        <f>-(AG82+AG80+AG58+AG59+AG31+AG32/(1+Assump!$D$24)*Assump!$D$24+AG43*#REF!)</f>
        <v>#REF!</v>
      </c>
      <c r="AH124" s="96" t="e">
        <f>-(AH82+AH80+AH58+AH59+AH31+AH32/(1+Assump!$D$24)*Assump!$D$24+AH43*#REF!)</f>
        <v>#REF!</v>
      </c>
      <c r="AI124" s="96" t="e">
        <f>-(AI82+AI80+AI58+AI59+AI31+AI32/(1+Assump!$D$24)*Assump!$D$24+AI43*#REF!)</f>
        <v>#REF!</v>
      </c>
      <c r="AJ124" s="96" t="e">
        <f>-(AJ82+AJ80+AJ58+AJ59+AJ31+AJ32/(1+Assump!$D$24)*Assump!$D$24+AJ43*#REF!)</f>
        <v>#REF!</v>
      </c>
      <c r="AK124" s="96" t="e">
        <f>-(AK82+AK80+AK58+AK59+AK31+AK32/(1+Assump!$D$24)*Assump!$D$24+AK43*#REF!)</f>
        <v>#REF!</v>
      </c>
      <c r="AL124" s="96" t="e">
        <f>-(AL82+AL80+AL58+AL59+AL31+AL32/(1+Assump!$D$24)*Assump!$D$24+AL43*#REF!)</f>
        <v>#REF!</v>
      </c>
      <c r="AM124" s="96" t="e">
        <f>-(AM82+AM80+AM58+AM59+AM31+AM32/(1+Assump!$D$24)*Assump!$D$24+AM43*#REF!)</f>
        <v>#REF!</v>
      </c>
      <c r="AN124" s="96" t="e">
        <f>-(AN82+AN80+AN58+AN59+AN31+AN32/(1+Assump!$D$24)*Assump!$D$24+AN43*#REF!)</f>
        <v>#REF!</v>
      </c>
      <c r="AO124" s="96" t="e">
        <f>-(AO82+AO80+AO58+AO59+AO31+AO32/(1+Assump!$D$24)*Assump!$D$24+AO43*#REF!)</f>
        <v>#REF!</v>
      </c>
      <c r="AP124" s="96" t="e">
        <f>-(AP82+AP80+AP58+AP59+AP31+AP32/(1+Assump!$D$24)*Assump!$D$24+AP43*#REF!)</f>
        <v>#REF!</v>
      </c>
      <c r="AQ124" s="96" t="e">
        <f>-(AQ82+AQ80+AQ58+AQ59+AQ31+AQ32/(1+Assump!$D$24)*Assump!$D$24+AQ43*#REF!)</f>
        <v>#REF!</v>
      </c>
      <c r="AR124" s="96" t="e">
        <f>-(AR82+AR80+AR58+AR59+AR31+AR32/(1+Assump!$D$24)*Assump!$D$24+AR43*#REF!)</f>
        <v>#REF!</v>
      </c>
      <c r="AS124" s="96" t="e">
        <f>-(AS82+AS80+AS58+AS59+AS31+AS32/(1+Assump!$D$24)*Assump!$D$24+AS43*#REF!)</f>
        <v>#REF!</v>
      </c>
      <c r="AT124" s="96" t="e">
        <f>-(AT82+AT80+AT58+AT59+AT31+AT32/(1+Assump!$D$24)*Assump!$D$24+AT43*#REF!)</f>
        <v>#REF!</v>
      </c>
      <c r="AU124" s="96" t="e">
        <f>-(AU82+AU80+AU58+AU59+AU31+AU32/(1+Assump!$D$24)*Assump!$D$24+AU43*#REF!)</f>
        <v>#REF!</v>
      </c>
      <c r="AV124" s="96" t="e">
        <f>-(AV82+AV80+AV58+AV59+AV31+AV32/(1+Assump!$D$24)*Assump!$D$24+AV43*#REF!)</f>
        <v>#REF!</v>
      </c>
      <c r="AW124" s="96" t="e">
        <f>-(AW82+AW80+AW58+AW59+AW31+AW32/(1+Assump!$D$24)*Assump!$D$24+AW43*#REF!)</f>
        <v>#REF!</v>
      </c>
      <c r="AX124" s="96" t="e">
        <f>-(AX82+AX80+AX58+AX59+AX31+AX32/(1+Assump!$D$24)*Assump!$D$24+AX43*#REF!)</f>
        <v>#REF!</v>
      </c>
      <c r="AY124" s="96" t="e">
        <f>-(AY82+AY80+AY58+AY59+AY31+AY32/(1+Assump!$D$24)*Assump!$D$24+AY43*#REF!)</f>
        <v>#REF!</v>
      </c>
      <c r="AZ124" s="96" t="e">
        <f>-(AZ82+AZ80+AZ58+AZ59+AZ31+AZ32/(1+Assump!$D$24)*Assump!$D$24+AZ43*#REF!)</f>
        <v>#REF!</v>
      </c>
      <c r="BA124" s="96" t="e">
        <f>-(BA82+BA80+BA58+BA59+BA31+BA32/(1+Assump!$D$24)*Assump!$D$24+BA43*#REF!)</f>
        <v>#REF!</v>
      </c>
      <c r="BB124" s="96" t="e">
        <f>-(BB82+BB80+BB58+BB59+BB31+BB32/(1+Assump!$D$24)*Assump!$D$24+BB43*#REF!)</f>
        <v>#REF!</v>
      </c>
      <c r="BC124" s="96" t="e">
        <f>-(BC82+BC80+BC58+BC59+BC31+BC32/(1+Assump!$D$24)*Assump!$D$24+BC43*#REF!)</f>
        <v>#REF!</v>
      </c>
      <c r="BD124" s="96" t="e">
        <f>-(BD82+BD80+BD58+BD59+BD31+BD32/(1+Assump!$D$24)*Assump!$D$24+BD43*#REF!)</f>
        <v>#REF!</v>
      </c>
      <c r="BE124" s="96" t="e">
        <f>-(BE82+BE80+BE58+BE59+BE31+BE32/(1+Assump!$D$24)*Assump!$D$24+BE43*#REF!)</f>
        <v>#REF!</v>
      </c>
      <c r="BF124" s="96" t="e">
        <f>-(BF82+BF80+BF58+BF59+BF31+BF32/(1+Assump!$D$24)*Assump!$D$24+BF43*#REF!)</f>
        <v>#REF!</v>
      </c>
      <c r="BG124" s="96" t="e">
        <f>-(BG82+BG80+BG58+BG59+BG31+BG32/(1+Assump!$D$24)*Assump!$D$24+BG43*#REF!)</f>
        <v>#REF!</v>
      </c>
      <c r="BH124" s="96" t="e">
        <f>-(BH82+BH80+BH58+BH59+BH31+BH32/(1+Assump!$D$24)*Assump!$D$24+BH43*#REF!)</f>
        <v>#REF!</v>
      </c>
      <c r="BI124" s="96" t="e">
        <f>-(BI82+BI80+BI58+BI59+BI31+BI32/(1+Assump!$D$24)*Assump!$D$24+BI43*#REF!)</f>
        <v>#REF!</v>
      </c>
      <c r="BJ124" s="96" t="e">
        <f>-(BJ82+BJ80+BJ58+BJ59+BJ31+BJ32/(1+Assump!$D$24)*Assump!$D$24+BJ43*#REF!)</f>
        <v>#REF!</v>
      </c>
      <c r="BK124" s="96" t="e">
        <f>-(BK82+BK80+BK58+BK59+BK31+BK32/(1+Assump!$D$24)*Assump!$D$24+BK43*#REF!)</f>
        <v>#REF!</v>
      </c>
      <c r="BL124" s="96" t="e">
        <f>-(BL82+BL80+BL58+BL59+BL31+BL32/(1+Assump!$D$24)*Assump!$D$24+BL43*#REF!)</f>
        <v>#REF!</v>
      </c>
      <c r="BM124" s="96" t="e">
        <f>-(BM82+BM80+BM58+BM59+BM31+BM32/(1+Assump!$D$24)*Assump!$D$24+BM43*#REF!)</f>
        <v>#REF!</v>
      </c>
      <c r="BN124" s="96" t="e">
        <f>-(BN82+BN80+BN58+BN59+BN31+BN32/(1+Assump!$D$24)*Assump!$D$24+BN43*#REF!)</f>
        <v>#REF!</v>
      </c>
      <c r="BO124" s="96" t="e">
        <f>-(BO82+BO80+BO58+BO59+BO31+BO32/(1+Assump!$D$24)*Assump!$D$24+BO43*#REF!)</f>
        <v>#REF!</v>
      </c>
      <c r="BP124" s="96" t="e">
        <f>-(BP82+BP80+BP58+BP59+BP31+BP32/(1+Assump!$D$24)*Assump!$D$24+BP43*#REF!)</f>
        <v>#REF!</v>
      </c>
      <c r="BQ124" s="96" t="e">
        <f>-(BQ82+BQ80+BQ58+BQ59+BQ31+BQ32/(1+Assump!$D$24)*Assump!$D$24+BQ43*#REF!)</f>
        <v>#REF!</v>
      </c>
      <c r="BR124" s="96" t="e">
        <f>-(BR82+BR80+BR58+BR59+BR31+BR32/(1+Assump!$D$24)*Assump!$D$24+BR43*#REF!)</f>
        <v>#REF!</v>
      </c>
      <c r="BS124" s="96" t="e">
        <f>-(BS82+BS80+BS58+BS59+BS31+BS32/(1+Assump!$D$24)*Assump!$D$24+BS43*#REF!)</f>
        <v>#REF!</v>
      </c>
      <c r="BT124" s="96" t="e">
        <f>-(BT82+BT80+BT58+BT59+BT31+BT32/(1+Assump!$D$24)*Assump!$D$24+BT43*#REF!)</f>
        <v>#REF!</v>
      </c>
      <c r="BU124" s="96" t="e">
        <f>-(BU82+BU80+BU58+BU59+BU31+BU32/(1+Assump!$D$24)*Assump!$D$24+BU43*#REF!)</f>
        <v>#REF!</v>
      </c>
      <c r="BV124" s="96" t="e">
        <f>-(BV82+BV80+BV58+BV59+BV31+BV32/(1+Assump!$D$24)*Assump!$D$24+BV43*#REF!)</f>
        <v>#REF!</v>
      </c>
      <c r="BW124" s="96" t="e">
        <f>-(BW82+BW80+BW58+BW59+BW31+BW32/(1+Assump!$D$24)*Assump!$D$24+BW43*#REF!)</f>
        <v>#REF!</v>
      </c>
      <c r="BX124" s="96" t="e">
        <f>-(BX82+BX80+BX58+BX59+BX31+BX32/(1+Assump!$D$24)*Assump!$D$24+BX43*#REF!)</f>
        <v>#REF!</v>
      </c>
      <c r="BY124" s="96" t="e">
        <f>-(BY82+BY80+BY58+BY59+BY31+BY32/(1+Assump!$D$24)*Assump!$D$24+BY43*#REF!)</f>
        <v>#REF!</v>
      </c>
      <c r="BZ124" s="96" t="e">
        <f>-(BZ82+BZ80+BZ58+BZ59+BZ31+BZ32/(1+Assump!$D$24)*Assump!$D$24+BZ43*#REF!)</f>
        <v>#REF!</v>
      </c>
      <c r="CA124" s="96" t="e">
        <f>-(CA82+CA80+CA58+CA59+CA31+CA32/(1+Assump!$D$24)*Assump!$D$24+CA43*#REF!)</f>
        <v>#REF!</v>
      </c>
      <c r="CB124" s="96" t="e">
        <f>-(CB82+CB80+CB58+CB59+CB31+CB32/(1+Assump!$D$24)*Assump!$D$24+CB43*#REF!)</f>
        <v>#REF!</v>
      </c>
      <c r="CC124" s="96" t="e">
        <f>-(CC82+CC80+CC58+CC59+CC31+CC32/(1+Assump!$D$24)*Assump!$D$24+CC43*#REF!)</f>
        <v>#REF!</v>
      </c>
      <c r="CD124" s="96" t="e">
        <f>-(CD82+CD80+CD58+CD59+CD31+CD32/(1+Assump!$D$24)*Assump!$D$24+CD43*#REF!)</f>
        <v>#REF!</v>
      </c>
      <c r="CE124" s="96" t="e">
        <f>-(CE82+CE80+CE58+CE59+CE31+CE32/(1+Assump!$D$24)*Assump!$D$24+CE43*#REF!)</f>
        <v>#REF!</v>
      </c>
      <c r="CF124" s="96" t="e">
        <f>-(CF82+CF80+CF58+CF59+CF31+CF32/(1+Assump!$D$24)*Assump!$D$24+CF43*#REF!)</f>
        <v>#REF!</v>
      </c>
      <c r="CG124" s="96" t="e">
        <f>-(CG82+CG80+CG58+CG59+CG31+CG32/(1+Assump!$D$24)*Assump!$D$24+CG43*#REF!)</f>
        <v>#REF!</v>
      </c>
      <c r="CH124" s="96" t="e">
        <f>-(CH82+CH80+CH58+CH59+CH31+CH32/(1+Assump!$D$24)*Assump!$D$24+CH43*#REF!)</f>
        <v>#REF!</v>
      </c>
      <c r="CI124" s="96" t="e">
        <f>-(CI82+CI80+CI58+CI59+CI31+CI32/(1+Assump!$D$24)*Assump!$D$24+CI43*#REF!)</f>
        <v>#REF!</v>
      </c>
      <c r="CJ124" s="96" t="e">
        <f>-(CJ82+CJ80+CJ58+CJ59+CJ31+CJ32/(1+Assump!$D$24)*Assump!$D$24+CJ43*#REF!)</f>
        <v>#REF!</v>
      </c>
      <c r="CK124" s="96" t="e">
        <f>-(CK82+CK80+CK58+CK59+CK31+CK32/(1+Assump!$D$24)*Assump!$D$24+CK43*#REF!)</f>
        <v>#REF!</v>
      </c>
      <c r="CL124" s="96" t="e">
        <f>-(CL82+CL80+CL58+CL59+CL31+CL32/(1+Assump!$D$24)*Assump!$D$24+CL43*#REF!)</f>
        <v>#REF!</v>
      </c>
      <c r="CM124" s="96" t="e">
        <f>-(CM82+CM80+CM58+CM59+CM31+CM32/(1+Assump!$D$24)*Assump!$D$24+CM43*#REF!)</f>
        <v>#REF!</v>
      </c>
      <c r="CN124" s="96" t="e">
        <f>-(CN82+CN80+CN58+CN59+CN31+CN32/(1+Assump!$D$24)*Assump!$D$24+CN43*#REF!)</f>
        <v>#REF!</v>
      </c>
      <c r="CO124" s="90"/>
    </row>
    <row r="125" spans="1:93" ht="12.75" customHeight="1">
      <c r="A125" s="90"/>
      <c r="B125" s="96" t="s">
        <v>218</v>
      </c>
      <c r="C125" s="96" t="e">
        <f t="array" ref="C125">D124+NPV(Assump!D12,E124:CN124)</f>
        <v>#REF!</v>
      </c>
      <c r="D125" s="92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</row>
    <row r="126" spans="1:93" ht="12.75" customHeight="1">
      <c r="A126" s="90"/>
      <c r="B126" s="96" t="s">
        <v>219</v>
      </c>
      <c r="C126" s="96" t="e">
        <f>SUM(D126:CN126)</f>
        <v>#REF!</v>
      </c>
      <c r="D126" s="106">
        <f t="shared" ref="D126:CN126" si="75">D86</f>
        <v>0</v>
      </c>
      <c r="E126" s="96">
        <f t="shared" si="75"/>
        <v>0</v>
      </c>
      <c r="F126" s="96" t="e">
        <f t="shared" si="75"/>
        <v>#REF!</v>
      </c>
      <c r="G126" s="96" t="e">
        <f t="shared" si="75"/>
        <v>#REF!</v>
      </c>
      <c r="H126" s="96" t="e">
        <f t="shared" si="75"/>
        <v>#REF!</v>
      </c>
      <c r="I126" s="96" t="e">
        <f t="shared" si="75"/>
        <v>#REF!</v>
      </c>
      <c r="J126" s="96" t="e">
        <f t="shared" si="75"/>
        <v>#REF!</v>
      </c>
      <c r="K126" s="96" t="e">
        <f t="shared" si="75"/>
        <v>#REF!</v>
      </c>
      <c r="L126" s="96" t="e">
        <f t="shared" si="75"/>
        <v>#REF!</v>
      </c>
      <c r="M126" s="96" t="e">
        <f t="shared" si="75"/>
        <v>#REF!</v>
      </c>
      <c r="N126" s="96" t="e">
        <f t="shared" si="75"/>
        <v>#REF!</v>
      </c>
      <c r="O126" s="96" t="e">
        <f t="shared" si="75"/>
        <v>#REF!</v>
      </c>
      <c r="P126" s="96" t="e">
        <f t="shared" si="75"/>
        <v>#REF!</v>
      </c>
      <c r="Q126" s="96" t="e">
        <f t="shared" si="75"/>
        <v>#REF!</v>
      </c>
      <c r="R126" s="96" t="e">
        <f t="shared" si="75"/>
        <v>#REF!</v>
      </c>
      <c r="S126" s="96" t="e">
        <f t="shared" si="75"/>
        <v>#REF!</v>
      </c>
      <c r="T126" s="96" t="e">
        <f t="shared" si="75"/>
        <v>#REF!</v>
      </c>
      <c r="U126" s="96" t="e">
        <f t="shared" si="75"/>
        <v>#REF!</v>
      </c>
      <c r="V126" s="96" t="e">
        <f t="shared" si="75"/>
        <v>#REF!</v>
      </c>
      <c r="W126" s="96" t="e">
        <f t="shared" si="75"/>
        <v>#REF!</v>
      </c>
      <c r="X126" s="96" t="e">
        <f t="shared" si="75"/>
        <v>#REF!</v>
      </c>
      <c r="Y126" s="96" t="e">
        <f t="shared" si="75"/>
        <v>#REF!</v>
      </c>
      <c r="Z126" s="96" t="e">
        <f t="shared" si="75"/>
        <v>#REF!</v>
      </c>
      <c r="AA126" s="96" t="e">
        <f t="shared" si="75"/>
        <v>#REF!</v>
      </c>
      <c r="AB126" s="96" t="e">
        <f t="shared" si="75"/>
        <v>#REF!</v>
      </c>
      <c r="AC126" s="96" t="e">
        <f t="shared" si="75"/>
        <v>#REF!</v>
      </c>
      <c r="AD126" s="96" t="e">
        <f t="shared" si="75"/>
        <v>#REF!</v>
      </c>
      <c r="AE126" s="96" t="e">
        <f t="shared" si="75"/>
        <v>#REF!</v>
      </c>
      <c r="AF126" s="96" t="e">
        <f t="shared" si="75"/>
        <v>#REF!</v>
      </c>
      <c r="AG126" s="96" t="e">
        <f t="shared" si="75"/>
        <v>#REF!</v>
      </c>
      <c r="AH126" s="96" t="e">
        <f t="shared" si="75"/>
        <v>#REF!</v>
      </c>
      <c r="AI126" s="96" t="e">
        <f t="shared" si="75"/>
        <v>#REF!</v>
      </c>
      <c r="AJ126" s="96" t="e">
        <f t="shared" si="75"/>
        <v>#REF!</v>
      </c>
      <c r="AK126" s="96" t="e">
        <f t="shared" si="75"/>
        <v>#REF!</v>
      </c>
      <c r="AL126" s="96" t="e">
        <f t="shared" si="75"/>
        <v>#REF!</v>
      </c>
      <c r="AM126" s="96" t="e">
        <f t="shared" si="75"/>
        <v>#REF!</v>
      </c>
      <c r="AN126" s="96" t="e">
        <f t="shared" si="75"/>
        <v>#REF!</v>
      </c>
      <c r="AO126" s="96" t="e">
        <f t="shared" si="75"/>
        <v>#REF!</v>
      </c>
      <c r="AP126" s="96" t="e">
        <f t="shared" si="75"/>
        <v>#REF!</v>
      </c>
      <c r="AQ126" s="96" t="e">
        <f t="shared" si="75"/>
        <v>#REF!</v>
      </c>
      <c r="AR126" s="96" t="e">
        <f t="shared" si="75"/>
        <v>#REF!</v>
      </c>
      <c r="AS126" s="96" t="e">
        <f t="shared" si="75"/>
        <v>#REF!</v>
      </c>
      <c r="AT126" s="96" t="e">
        <f t="shared" si="75"/>
        <v>#REF!</v>
      </c>
      <c r="AU126" s="96" t="e">
        <f t="shared" si="75"/>
        <v>#REF!</v>
      </c>
      <c r="AV126" s="96" t="e">
        <f t="shared" si="75"/>
        <v>#REF!</v>
      </c>
      <c r="AW126" s="96" t="e">
        <f t="shared" si="75"/>
        <v>#REF!</v>
      </c>
      <c r="AX126" s="96" t="e">
        <f t="shared" si="75"/>
        <v>#REF!</v>
      </c>
      <c r="AY126" s="96" t="e">
        <f t="shared" si="75"/>
        <v>#REF!</v>
      </c>
      <c r="AZ126" s="96" t="e">
        <f t="shared" si="75"/>
        <v>#REF!</v>
      </c>
      <c r="BA126" s="96" t="e">
        <f t="shared" si="75"/>
        <v>#REF!</v>
      </c>
      <c r="BB126" s="96" t="e">
        <f t="shared" si="75"/>
        <v>#REF!</v>
      </c>
      <c r="BC126" s="96" t="e">
        <f t="shared" si="75"/>
        <v>#REF!</v>
      </c>
      <c r="BD126" s="96" t="e">
        <f t="shared" si="75"/>
        <v>#REF!</v>
      </c>
      <c r="BE126" s="96" t="e">
        <f t="shared" si="75"/>
        <v>#REF!</v>
      </c>
      <c r="BF126" s="96" t="e">
        <f t="shared" si="75"/>
        <v>#REF!</v>
      </c>
      <c r="BG126" s="96" t="e">
        <f t="shared" si="75"/>
        <v>#REF!</v>
      </c>
      <c r="BH126" s="96" t="e">
        <f t="shared" si="75"/>
        <v>#REF!</v>
      </c>
      <c r="BI126" s="96" t="e">
        <f t="shared" si="75"/>
        <v>#REF!</v>
      </c>
      <c r="BJ126" s="96" t="e">
        <f t="shared" si="75"/>
        <v>#REF!</v>
      </c>
      <c r="BK126" s="96" t="e">
        <f t="shared" si="75"/>
        <v>#REF!</v>
      </c>
      <c r="BL126" s="96" t="e">
        <f t="shared" si="75"/>
        <v>#REF!</v>
      </c>
      <c r="BM126" s="96" t="e">
        <f t="shared" si="75"/>
        <v>#REF!</v>
      </c>
      <c r="BN126" s="96" t="e">
        <f t="shared" si="75"/>
        <v>#REF!</v>
      </c>
      <c r="BO126" s="96" t="e">
        <f t="shared" si="75"/>
        <v>#REF!</v>
      </c>
      <c r="BP126" s="96" t="e">
        <f t="shared" si="75"/>
        <v>#REF!</v>
      </c>
      <c r="BQ126" s="96" t="e">
        <f t="shared" si="75"/>
        <v>#REF!</v>
      </c>
      <c r="BR126" s="96" t="e">
        <f t="shared" si="75"/>
        <v>#REF!</v>
      </c>
      <c r="BS126" s="96" t="e">
        <f t="shared" si="75"/>
        <v>#REF!</v>
      </c>
      <c r="BT126" s="96" t="e">
        <f t="shared" si="75"/>
        <v>#REF!</v>
      </c>
      <c r="BU126" s="96" t="e">
        <f t="shared" si="75"/>
        <v>#REF!</v>
      </c>
      <c r="BV126" s="96" t="e">
        <f t="shared" si="75"/>
        <v>#REF!</v>
      </c>
      <c r="BW126" s="96" t="e">
        <f t="shared" si="75"/>
        <v>#REF!</v>
      </c>
      <c r="BX126" s="96" t="e">
        <f t="shared" si="75"/>
        <v>#REF!</v>
      </c>
      <c r="BY126" s="96" t="e">
        <f t="shared" si="75"/>
        <v>#REF!</v>
      </c>
      <c r="BZ126" s="96" t="e">
        <f t="shared" si="75"/>
        <v>#REF!</v>
      </c>
      <c r="CA126" s="96" t="e">
        <f t="shared" si="75"/>
        <v>#REF!</v>
      </c>
      <c r="CB126" s="96" t="e">
        <f t="shared" si="75"/>
        <v>#REF!</v>
      </c>
      <c r="CC126" s="96" t="e">
        <f t="shared" si="75"/>
        <v>#REF!</v>
      </c>
      <c r="CD126" s="96" t="e">
        <f t="shared" si="75"/>
        <v>#REF!</v>
      </c>
      <c r="CE126" s="96" t="e">
        <f t="shared" si="75"/>
        <v>#REF!</v>
      </c>
      <c r="CF126" s="96" t="e">
        <f t="shared" si="75"/>
        <v>#REF!</v>
      </c>
      <c r="CG126" s="96" t="e">
        <f t="shared" si="75"/>
        <v>#REF!</v>
      </c>
      <c r="CH126" s="96" t="e">
        <f t="shared" si="75"/>
        <v>#REF!</v>
      </c>
      <c r="CI126" s="96" t="e">
        <f t="shared" si="75"/>
        <v>#REF!</v>
      </c>
      <c r="CJ126" s="96" t="e">
        <f t="shared" si="75"/>
        <v>#REF!</v>
      </c>
      <c r="CK126" s="96" t="e">
        <f t="shared" si="75"/>
        <v>#REF!</v>
      </c>
      <c r="CL126" s="96" t="e">
        <f t="shared" si="75"/>
        <v>#REF!</v>
      </c>
      <c r="CM126" s="96" t="e">
        <f t="shared" si="75"/>
        <v>#REF!</v>
      </c>
      <c r="CN126" s="96" t="e">
        <f t="shared" si="75"/>
        <v>#REF!</v>
      </c>
      <c r="CO126" s="90"/>
    </row>
    <row r="127" spans="1:93" ht="12.75" customHeight="1">
      <c r="A127" s="90"/>
      <c r="B127" s="96" t="s">
        <v>220</v>
      </c>
      <c r="C127" s="96" t="e">
        <f t="array" ref="C127">D126+NPV(Assump!D12,E126:CN126)</f>
        <v>#REF!</v>
      </c>
      <c r="D127" s="92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</row>
    <row r="128" spans="1:93" ht="12.75" customHeight="1">
      <c r="A128" s="90"/>
      <c r="B128" s="96" t="s">
        <v>221</v>
      </c>
      <c r="C128" s="96" t="e">
        <f>C125-C126</f>
        <v>#REF!</v>
      </c>
      <c r="D128" s="92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</row>
    <row r="129" spans="1:93" ht="12.75" customHeight="1">
      <c r="A129" s="35"/>
      <c r="B129" s="96" t="s">
        <v>222</v>
      </c>
      <c r="C129" s="107" t="e">
        <f>C125/C127</f>
        <v>#REF!</v>
      </c>
      <c r="D129" s="60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</row>
    <row r="130" spans="1:93" ht="12.75" customHeight="1">
      <c r="A130" s="35"/>
      <c r="B130" s="35"/>
      <c r="C130" s="35"/>
      <c r="D130" s="60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</row>
    <row r="131" spans="1:93" ht="12.75" customHeight="1" outlineLevel="1">
      <c r="A131" s="35"/>
      <c r="B131" s="35" t="s">
        <v>223</v>
      </c>
      <c r="C131" s="35"/>
      <c r="D131" s="60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</row>
    <row r="132" spans="1:93" ht="12.75" customHeight="1" outlineLevel="1">
      <c r="A132" s="35"/>
      <c r="B132" s="37" t="s">
        <v>224</v>
      </c>
      <c r="C132" s="37"/>
      <c r="D132" s="92" t="e">
        <f>-SUM(Y82:BL82)-SUM(Y80:BL80)-SUM(Y58:BL58)-SUM(Y59:BL59)-SUM(Y31:BL31)-SUM(Y32:BL32)/(1+Assump!D24)*Assump!D24-SUM(Y43:BL43)*#REF!</f>
        <v>#REF!</v>
      </c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</row>
    <row r="133" spans="1:93" ht="12.75" customHeight="1" outlineLevel="1">
      <c r="A133" s="35"/>
      <c r="B133" s="35"/>
      <c r="C133" s="35"/>
      <c r="D133" s="60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</row>
    <row r="134" spans="1:93" ht="12.75" customHeight="1" outlineLevel="1">
      <c r="A134" s="35"/>
      <c r="B134" s="35" t="s">
        <v>164</v>
      </c>
      <c r="C134" s="35"/>
      <c r="D134" s="60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</row>
    <row r="135" spans="1:93" ht="12.75" customHeight="1" outlineLevel="1">
      <c r="A135" s="35"/>
      <c r="B135" s="49" t="s">
        <v>160</v>
      </c>
      <c r="C135" s="50" t="e">
        <f t="shared" ref="C135:C141" si="76">SUM(D135:CN135)</f>
        <v>#REF!</v>
      </c>
      <c r="D135" s="53">
        <f t="shared" ref="D135:AI135" si="77">D61</f>
        <v>0</v>
      </c>
      <c r="E135" s="50" t="e">
        <f t="shared" si="77"/>
        <v>#REF!</v>
      </c>
      <c r="F135" s="50" t="e">
        <f t="shared" si="77"/>
        <v>#REF!</v>
      </c>
      <c r="G135" s="50" t="e">
        <f t="shared" si="77"/>
        <v>#REF!</v>
      </c>
      <c r="H135" s="50" t="e">
        <f t="shared" si="77"/>
        <v>#REF!</v>
      </c>
      <c r="I135" s="50" t="e">
        <f t="shared" si="77"/>
        <v>#REF!</v>
      </c>
      <c r="J135" s="50" t="e">
        <f t="shared" si="77"/>
        <v>#REF!</v>
      </c>
      <c r="K135" s="50" t="e">
        <f t="shared" si="77"/>
        <v>#REF!</v>
      </c>
      <c r="L135" s="50" t="e">
        <f t="shared" si="77"/>
        <v>#REF!</v>
      </c>
      <c r="M135" s="50" t="e">
        <f t="shared" si="77"/>
        <v>#REF!</v>
      </c>
      <c r="N135" s="50" t="e">
        <f t="shared" si="77"/>
        <v>#REF!</v>
      </c>
      <c r="O135" s="50" t="e">
        <f t="shared" si="77"/>
        <v>#REF!</v>
      </c>
      <c r="P135" s="50" t="e">
        <f t="shared" si="77"/>
        <v>#REF!</v>
      </c>
      <c r="Q135" s="50" t="e">
        <f t="shared" si="77"/>
        <v>#REF!</v>
      </c>
      <c r="R135" s="50" t="e">
        <f t="shared" si="77"/>
        <v>#REF!</v>
      </c>
      <c r="S135" s="50" t="e">
        <f t="shared" si="77"/>
        <v>#REF!</v>
      </c>
      <c r="T135" s="50" t="e">
        <f t="shared" si="77"/>
        <v>#REF!</v>
      </c>
      <c r="U135" s="50" t="e">
        <f t="shared" si="77"/>
        <v>#REF!</v>
      </c>
      <c r="V135" s="50" t="e">
        <f t="shared" si="77"/>
        <v>#REF!</v>
      </c>
      <c r="W135" s="50" t="e">
        <f t="shared" si="77"/>
        <v>#REF!</v>
      </c>
      <c r="X135" s="50" t="e">
        <f t="shared" si="77"/>
        <v>#REF!</v>
      </c>
      <c r="Y135" s="50" t="e">
        <f t="shared" si="77"/>
        <v>#REF!</v>
      </c>
      <c r="Z135" s="50" t="e">
        <f t="shared" si="77"/>
        <v>#REF!</v>
      </c>
      <c r="AA135" s="50" t="e">
        <f t="shared" si="77"/>
        <v>#REF!</v>
      </c>
      <c r="AB135" s="50" t="e">
        <f t="shared" si="77"/>
        <v>#REF!</v>
      </c>
      <c r="AC135" s="50" t="e">
        <f t="shared" si="77"/>
        <v>#REF!</v>
      </c>
      <c r="AD135" s="50" t="e">
        <f t="shared" si="77"/>
        <v>#REF!</v>
      </c>
      <c r="AE135" s="50" t="e">
        <f t="shared" si="77"/>
        <v>#REF!</v>
      </c>
      <c r="AF135" s="50" t="e">
        <f t="shared" si="77"/>
        <v>#REF!</v>
      </c>
      <c r="AG135" s="50" t="e">
        <f t="shared" si="77"/>
        <v>#REF!</v>
      </c>
      <c r="AH135" s="50" t="e">
        <f t="shared" si="77"/>
        <v>#REF!</v>
      </c>
      <c r="AI135" s="50" t="e">
        <f t="shared" si="77"/>
        <v>#REF!</v>
      </c>
      <c r="AJ135" s="50" t="e">
        <f t="shared" ref="AJ135:BO135" si="78">AJ61</f>
        <v>#REF!</v>
      </c>
      <c r="AK135" s="50" t="e">
        <f t="shared" si="78"/>
        <v>#REF!</v>
      </c>
      <c r="AL135" s="50" t="e">
        <f t="shared" si="78"/>
        <v>#REF!</v>
      </c>
      <c r="AM135" s="50" t="e">
        <f t="shared" si="78"/>
        <v>#REF!</v>
      </c>
      <c r="AN135" s="50" t="e">
        <f t="shared" si="78"/>
        <v>#REF!</v>
      </c>
      <c r="AO135" s="50" t="e">
        <f t="shared" si="78"/>
        <v>#REF!</v>
      </c>
      <c r="AP135" s="50" t="e">
        <f t="shared" si="78"/>
        <v>#REF!</v>
      </c>
      <c r="AQ135" s="50" t="e">
        <f t="shared" si="78"/>
        <v>#REF!</v>
      </c>
      <c r="AR135" s="50" t="e">
        <f t="shared" si="78"/>
        <v>#REF!</v>
      </c>
      <c r="AS135" s="50" t="e">
        <f t="shared" si="78"/>
        <v>#REF!</v>
      </c>
      <c r="AT135" s="50" t="e">
        <f t="shared" si="78"/>
        <v>#REF!</v>
      </c>
      <c r="AU135" s="50" t="e">
        <f t="shared" si="78"/>
        <v>#REF!</v>
      </c>
      <c r="AV135" s="50" t="e">
        <f t="shared" si="78"/>
        <v>#REF!</v>
      </c>
      <c r="AW135" s="50" t="e">
        <f t="shared" si="78"/>
        <v>#REF!</v>
      </c>
      <c r="AX135" s="50" t="e">
        <f t="shared" si="78"/>
        <v>#REF!</v>
      </c>
      <c r="AY135" s="50" t="e">
        <f t="shared" si="78"/>
        <v>#REF!</v>
      </c>
      <c r="AZ135" s="50" t="e">
        <f t="shared" si="78"/>
        <v>#REF!</v>
      </c>
      <c r="BA135" s="50" t="e">
        <f t="shared" si="78"/>
        <v>#REF!</v>
      </c>
      <c r="BB135" s="50" t="e">
        <f t="shared" si="78"/>
        <v>#REF!</v>
      </c>
      <c r="BC135" s="50" t="e">
        <f t="shared" si="78"/>
        <v>#REF!</v>
      </c>
      <c r="BD135" s="50" t="e">
        <f t="shared" si="78"/>
        <v>#REF!</v>
      </c>
      <c r="BE135" s="50" t="e">
        <f t="shared" si="78"/>
        <v>#REF!</v>
      </c>
      <c r="BF135" s="50" t="e">
        <f t="shared" si="78"/>
        <v>#REF!</v>
      </c>
      <c r="BG135" s="50" t="e">
        <f t="shared" si="78"/>
        <v>#REF!</v>
      </c>
      <c r="BH135" s="50" t="e">
        <f t="shared" si="78"/>
        <v>#REF!</v>
      </c>
      <c r="BI135" s="50" t="e">
        <f t="shared" si="78"/>
        <v>#REF!</v>
      </c>
      <c r="BJ135" s="50" t="e">
        <f t="shared" si="78"/>
        <v>#REF!</v>
      </c>
      <c r="BK135" s="50" t="e">
        <f t="shared" si="78"/>
        <v>#REF!</v>
      </c>
      <c r="BL135" s="50" t="e">
        <f t="shared" si="78"/>
        <v>#REF!</v>
      </c>
      <c r="BM135" s="50" t="e">
        <f t="shared" si="78"/>
        <v>#REF!</v>
      </c>
      <c r="BN135" s="50" t="e">
        <f t="shared" si="78"/>
        <v>#REF!</v>
      </c>
      <c r="BO135" s="50" t="e">
        <f t="shared" si="78"/>
        <v>#REF!</v>
      </c>
      <c r="BP135" s="50" t="e">
        <f t="shared" ref="BP135:CN135" si="79">BP61</f>
        <v>#REF!</v>
      </c>
      <c r="BQ135" s="50" t="e">
        <f t="shared" si="79"/>
        <v>#REF!</v>
      </c>
      <c r="BR135" s="50" t="e">
        <f t="shared" si="79"/>
        <v>#REF!</v>
      </c>
      <c r="BS135" s="50" t="e">
        <f t="shared" si="79"/>
        <v>#REF!</v>
      </c>
      <c r="BT135" s="50" t="e">
        <f t="shared" si="79"/>
        <v>#REF!</v>
      </c>
      <c r="BU135" s="50" t="e">
        <f t="shared" si="79"/>
        <v>#REF!</v>
      </c>
      <c r="BV135" s="50" t="e">
        <f t="shared" si="79"/>
        <v>#REF!</v>
      </c>
      <c r="BW135" s="50" t="e">
        <f t="shared" si="79"/>
        <v>#REF!</v>
      </c>
      <c r="BX135" s="50" t="e">
        <f t="shared" si="79"/>
        <v>#REF!</v>
      </c>
      <c r="BY135" s="50" t="e">
        <f t="shared" si="79"/>
        <v>#REF!</v>
      </c>
      <c r="BZ135" s="50" t="e">
        <f t="shared" si="79"/>
        <v>#REF!</v>
      </c>
      <c r="CA135" s="50" t="e">
        <f t="shared" si="79"/>
        <v>#REF!</v>
      </c>
      <c r="CB135" s="50" t="e">
        <f t="shared" si="79"/>
        <v>#REF!</v>
      </c>
      <c r="CC135" s="50" t="e">
        <f t="shared" si="79"/>
        <v>#REF!</v>
      </c>
      <c r="CD135" s="50" t="e">
        <f t="shared" si="79"/>
        <v>#REF!</v>
      </c>
      <c r="CE135" s="50" t="e">
        <f t="shared" si="79"/>
        <v>#REF!</v>
      </c>
      <c r="CF135" s="50" t="e">
        <f t="shared" si="79"/>
        <v>#REF!</v>
      </c>
      <c r="CG135" s="50" t="e">
        <f t="shared" si="79"/>
        <v>#REF!</v>
      </c>
      <c r="CH135" s="50" t="e">
        <f t="shared" si="79"/>
        <v>#REF!</v>
      </c>
      <c r="CI135" s="50" t="e">
        <f t="shared" si="79"/>
        <v>#REF!</v>
      </c>
      <c r="CJ135" s="50" t="e">
        <f t="shared" si="79"/>
        <v>#REF!</v>
      </c>
      <c r="CK135" s="50" t="e">
        <f t="shared" si="79"/>
        <v>#REF!</v>
      </c>
      <c r="CL135" s="50" t="e">
        <f t="shared" si="79"/>
        <v>#REF!</v>
      </c>
      <c r="CM135" s="50" t="e">
        <f t="shared" si="79"/>
        <v>#REF!</v>
      </c>
      <c r="CN135" s="50" t="e">
        <f t="shared" si="79"/>
        <v>#REF!</v>
      </c>
      <c r="CO135" s="35"/>
    </row>
    <row r="136" spans="1:93" ht="12.75" customHeight="1" outlineLevel="1">
      <c r="A136" s="35"/>
      <c r="B136" s="63" t="s">
        <v>55</v>
      </c>
      <c r="C136" s="35" t="e">
        <f t="shared" si="76"/>
        <v>#REF!</v>
      </c>
      <c r="D136" s="60">
        <f t="shared" ref="D136:AI136" si="80">D63</f>
        <v>0</v>
      </c>
      <c r="E136" s="35" t="e">
        <f t="shared" si="80"/>
        <v>#REF!</v>
      </c>
      <c r="F136" s="35" t="e">
        <f t="shared" si="80"/>
        <v>#REF!</v>
      </c>
      <c r="G136" s="35" t="e">
        <f t="shared" si="80"/>
        <v>#REF!</v>
      </c>
      <c r="H136" s="35" t="e">
        <f t="shared" si="80"/>
        <v>#REF!</v>
      </c>
      <c r="I136" s="35" t="e">
        <f t="shared" si="80"/>
        <v>#REF!</v>
      </c>
      <c r="J136" s="35" t="e">
        <f t="shared" si="80"/>
        <v>#REF!</v>
      </c>
      <c r="K136" s="35" t="e">
        <f t="shared" si="80"/>
        <v>#REF!</v>
      </c>
      <c r="L136" s="35" t="e">
        <f t="shared" si="80"/>
        <v>#REF!</v>
      </c>
      <c r="M136" s="35" t="e">
        <f t="shared" si="80"/>
        <v>#REF!</v>
      </c>
      <c r="N136" s="35" t="e">
        <f t="shared" si="80"/>
        <v>#REF!</v>
      </c>
      <c r="O136" s="35" t="e">
        <f t="shared" si="80"/>
        <v>#REF!</v>
      </c>
      <c r="P136" s="35" t="e">
        <f t="shared" si="80"/>
        <v>#REF!</v>
      </c>
      <c r="Q136" s="35" t="e">
        <f t="shared" si="80"/>
        <v>#REF!</v>
      </c>
      <c r="R136" s="35" t="e">
        <f t="shared" si="80"/>
        <v>#REF!</v>
      </c>
      <c r="S136" s="35" t="e">
        <f t="shared" si="80"/>
        <v>#REF!</v>
      </c>
      <c r="T136" s="35" t="e">
        <f t="shared" si="80"/>
        <v>#REF!</v>
      </c>
      <c r="U136" s="35" t="e">
        <f t="shared" si="80"/>
        <v>#REF!</v>
      </c>
      <c r="V136" s="35" t="e">
        <f t="shared" si="80"/>
        <v>#REF!</v>
      </c>
      <c r="W136" s="35" t="e">
        <f t="shared" si="80"/>
        <v>#REF!</v>
      </c>
      <c r="X136" s="35" t="e">
        <f t="shared" si="80"/>
        <v>#REF!</v>
      </c>
      <c r="Y136" s="35" t="e">
        <f t="shared" si="80"/>
        <v>#REF!</v>
      </c>
      <c r="Z136" s="35" t="e">
        <f t="shared" si="80"/>
        <v>#REF!</v>
      </c>
      <c r="AA136" s="35" t="e">
        <f t="shared" si="80"/>
        <v>#REF!</v>
      </c>
      <c r="AB136" s="35" t="e">
        <f t="shared" si="80"/>
        <v>#REF!</v>
      </c>
      <c r="AC136" s="35" t="e">
        <f t="shared" si="80"/>
        <v>#REF!</v>
      </c>
      <c r="AD136" s="35" t="e">
        <f t="shared" si="80"/>
        <v>#REF!</v>
      </c>
      <c r="AE136" s="35" t="e">
        <f t="shared" si="80"/>
        <v>#REF!</v>
      </c>
      <c r="AF136" s="35" t="e">
        <f t="shared" si="80"/>
        <v>#REF!</v>
      </c>
      <c r="AG136" s="35" t="e">
        <f t="shared" si="80"/>
        <v>#REF!</v>
      </c>
      <c r="AH136" s="35" t="e">
        <f t="shared" si="80"/>
        <v>#REF!</v>
      </c>
      <c r="AI136" s="35" t="e">
        <f t="shared" si="80"/>
        <v>#REF!</v>
      </c>
      <c r="AJ136" s="35" t="e">
        <f t="shared" ref="AJ136:BO136" si="81">AJ63</f>
        <v>#REF!</v>
      </c>
      <c r="AK136" s="35" t="e">
        <f t="shared" si="81"/>
        <v>#REF!</v>
      </c>
      <c r="AL136" s="35" t="e">
        <f t="shared" si="81"/>
        <v>#REF!</v>
      </c>
      <c r="AM136" s="35" t="e">
        <f t="shared" si="81"/>
        <v>#REF!</v>
      </c>
      <c r="AN136" s="35" t="e">
        <f t="shared" si="81"/>
        <v>#REF!</v>
      </c>
      <c r="AO136" s="35" t="e">
        <f t="shared" si="81"/>
        <v>#REF!</v>
      </c>
      <c r="AP136" s="35" t="e">
        <f t="shared" si="81"/>
        <v>#REF!</v>
      </c>
      <c r="AQ136" s="35" t="e">
        <f t="shared" si="81"/>
        <v>#REF!</v>
      </c>
      <c r="AR136" s="35" t="e">
        <f t="shared" si="81"/>
        <v>#REF!</v>
      </c>
      <c r="AS136" s="35" t="e">
        <f t="shared" si="81"/>
        <v>#REF!</v>
      </c>
      <c r="AT136" s="35" t="e">
        <f t="shared" si="81"/>
        <v>#REF!</v>
      </c>
      <c r="AU136" s="35" t="e">
        <f t="shared" si="81"/>
        <v>#REF!</v>
      </c>
      <c r="AV136" s="35" t="e">
        <f t="shared" si="81"/>
        <v>#REF!</v>
      </c>
      <c r="AW136" s="35" t="e">
        <f t="shared" si="81"/>
        <v>#REF!</v>
      </c>
      <c r="AX136" s="35" t="e">
        <f t="shared" si="81"/>
        <v>#REF!</v>
      </c>
      <c r="AY136" s="35" t="e">
        <f t="shared" si="81"/>
        <v>#REF!</v>
      </c>
      <c r="AZ136" s="35" t="e">
        <f t="shared" si="81"/>
        <v>#REF!</v>
      </c>
      <c r="BA136" s="35" t="e">
        <f t="shared" si="81"/>
        <v>#REF!</v>
      </c>
      <c r="BB136" s="35" t="e">
        <f t="shared" si="81"/>
        <v>#REF!</v>
      </c>
      <c r="BC136" s="35" t="e">
        <f t="shared" si="81"/>
        <v>#REF!</v>
      </c>
      <c r="BD136" s="35" t="e">
        <f t="shared" si="81"/>
        <v>#REF!</v>
      </c>
      <c r="BE136" s="35" t="e">
        <f t="shared" si="81"/>
        <v>#REF!</v>
      </c>
      <c r="BF136" s="35" t="e">
        <f t="shared" si="81"/>
        <v>#REF!</v>
      </c>
      <c r="BG136" s="35" t="e">
        <f t="shared" si="81"/>
        <v>#REF!</v>
      </c>
      <c r="BH136" s="35" t="e">
        <f t="shared" si="81"/>
        <v>#REF!</v>
      </c>
      <c r="BI136" s="35" t="e">
        <f t="shared" si="81"/>
        <v>#REF!</v>
      </c>
      <c r="BJ136" s="35" t="e">
        <f t="shared" si="81"/>
        <v>#REF!</v>
      </c>
      <c r="BK136" s="35" t="e">
        <f t="shared" si="81"/>
        <v>#REF!</v>
      </c>
      <c r="BL136" s="35" t="e">
        <f t="shared" si="81"/>
        <v>#REF!</v>
      </c>
      <c r="BM136" s="35" t="e">
        <f t="shared" si="81"/>
        <v>#REF!</v>
      </c>
      <c r="BN136" s="35" t="e">
        <f t="shared" si="81"/>
        <v>#REF!</v>
      </c>
      <c r="BO136" s="35" t="e">
        <f t="shared" si="81"/>
        <v>#REF!</v>
      </c>
      <c r="BP136" s="35" t="e">
        <f t="shared" ref="BP136:CN136" si="82">BP63</f>
        <v>#REF!</v>
      </c>
      <c r="BQ136" s="35" t="e">
        <f t="shared" si="82"/>
        <v>#REF!</v>
      </c>
      <c r="BR136" s="35" t="e">
        <f t="shared" si="82"/>
        <v>#REF!</v>
      </c>
      <c r="BS136" s="35" t="e">
        <f t="shared" si="82"/>
        <v>#REF!</v>
      </c>
      <c r="BT136" s="35" t="e">
        <f t="shared" si="82"/>
        <v>#REF!</v>
      </c>
      <c r="BU136" s="35" t="e">
        <f t="shared" si="82"/>
        <v>#REF!</v>
      </c>
      <c r="BV136" s="35" t="e">
        <f t="shared" si="82"/>
        <v>#REF!</v>
      </c>
      <c r="BW136" s="35" t="e">
        <f t="shared" si="82"/>
        <v>#REF!</v>
      </c>
      <c r="BX136" s="35" t="e">
        <f t="shared" si="82"/>
        <v>#REF!</v>
      </c>
      <c r="BY136" s="35" t="e">
        <f t="shared" si="82"/>
        <v>#REF!</v>
      </c>
      <c r="BZ136" s="35" t="e">
        <f t="shared" si="82"/>
        <v>#REF!</v>
      </c>
      <c r="CA136" s="35" t="e">
        <f t="shared" si="82"/>
        <v>#REF!</v>
      </c>
      <c r="CB136" s="35" t="e">
        <f t="shared" si="82"/>
        <v>#REF!</v>
      </c>
      <c r="CC136" s="35" t="e">
        <f t="shared" si="82"/>
        <v>#REF!</v>
      </c>
      <c r="CD136" s="35" t="e">
        <f t="shared" si="82"/>
        <v>#REF!</v>
      </c>
      <c r="CE136" s="35" t="e">
        <f t="shared" si="82"/>
        <v>#REF!</v>
      </c>
      <c r="CF136" s="35" t="e">
        <f t="shared" si="82"/>
        <v>#REF!</v>
      </c>
      <c r="CG136" s="35" t="e">
        <f t="shared" si="82"/>
        <v>#REF!</v>
      </c>
      <c r="CH136" s="35" t="e">
        <f t="shared" si="82"/>
        <v>#REF!</v>
      </c>
      <c r="CI136" s="35" t="e">
        <f t="shared" si="82"/>
        <v>#REF!</v>
      </c>
      <c r="CJ136" s="35" t="e">
        <f t="shared" si="82"/>
        <v>#REF!</v>
      </c>
      <c r="CK136" s="35" t="e">
        <f t="shared" si="82"/>
        <v>#REF!</v>
      </c>
      <c r="CL136" s="35" t="e">
        <f t="shared" si="82"/>
        <v>#REF!</v>
      </c>
      <c r="CM136" s="35" t="e">
        <f t="shared" si="82"/>
        <v>#REF!</v>
      </c>
      <c r="CN136" s="35" t="e">
        <f t="shared" si="82"/>
        <v>#REF!</v>
      </c>
      <c r="CO136" s="35"/>
    </row>
    <row r="137" spans="1:93" ht="12.75" customHeight="1" outlineLevel="1">
      <c r="A137" s="35"/>
      <c r="B137" s="63" t="s">
        <v>162</v>
      </c>
      <c r="C137" s="35" t="e">
        <f t="shared" si="76"/>
        <v>#REF!</v>
      </c>
      <c r="D137" s="60">
        <f t="shared" ref="D137:CN137" si="83">D167</f>
        <v>0</v>
      </c>
      <c r="E137" s="35" t="e">
        <f t="shared" si="83"/>
        <v>#REF!</v>
      </c>
      <c r="F137" s="35" t="e">
        <f t="shared" si="83"/>
        <v>#REF!</v>
      </c>
      <c r="G137" s="35" t="e">
        <f t="shared" si="83"/>
        <v>#REF!</v>
      </c>
      <c r="H137" s="35" t="e">
        <f t="shared" si="83"/>
        <v>#REF!</v>
      </c>
      <c r="I137" s="35" t="e">
        <f t="shared" si="83"/>
        <v>#REF!</v>
      </c>
      <c r="J137" s="35" t="e">
        <f t="shared" si="83"/>
        <v>#REF!</v>
      </c>
      <c r="K137" s="35" t="e">
        <f t="shared" si="83"/>
        <v>#REF!</v>
      </c>
      <c r="L137" s="35" t="e">
        <f t="shared" si="83"/>
        <v>#REF!</v>
      </c>
      <c r="M137" s="35" t="e">
        <f t="shared" si="83"/>
        <v>#REF!</v>
      </c>
      <c r="N137" s="35" t="e">
        <f t="shared" si="83"/>
        <v>#REF!</v>
      </c>
      <c r="O137" s="35" t="e">
        <f t="shared" si="83"/>
        <v>#REF!</v>
      </c>
      <c r="P137" s="35" t="e">
        <f t="shared" si="83"/>
        <v>#REF!</v>
      </c>
      <c r="Q137" s="35" t="e">
        <f t="shared" si="83"/>
        <v>#REF!</v>
      </c>
      <c r="R137" s="35" t="e">
        <f t="shared" si="83"/>
        <v>#REF!</v>
      </c>
      <c r="S137" s="35" t="e">
        <f t="shared" si="83"/>
        <v>#REF!</v>
      </c>
      <c r="T137" s="35" t="e">
        <f t="shared" si="83"/>
        <v>#REF!</v>
      </c>
      <c r="U137" s="35" t="e">
        <f t="shared" si="83"/>
        <v>#REF!</v>
      </c>
      <c r="V137" s="35" t="e">
        <f t="shared" si="83"/>
        <v>#REF!</v>
      </c>
      <c r="W137" s="35" t="e">
        <f t="shared" si="83"/>
        <v>#REF!</v>
      </c>
      <c r="X137" s="35" t="e">
        <f t="shared" si="83"/>
        <v>#REF!</v>
      </c>
      <c r="Y137" s="35" t="e">
        <f t="shared" si="83"/>
        <v>#REF!</v>
      </c>
      <c r="Z137" s="35" t="e">
        <f t="shared" si="83"/>
        <v>#REF!</v>
      </c>
      <c r="AA137" s="35" t="e">
        <f t="shared" si="83"/>
        <v>#REF!</v>
      </c>
      <c r="AB137" s="35" t="e">
        <f t="shared" si="83"/>
        <v>#REF!</v>
      </c>
      <c r="AC137" s="35" t="e">
        <f t="shared" si="83"/>
        <v>#REF!</v>
      </c>
      <c r="AD137" s="35" t="e">
        <f t="shared" si="83"/>
        <v>#REF!</v>
      </c>
      <c r="AE137" s="35" t="e">
        <f t="shared" si="83"/>
        <v>#REF!</v>
      </c>
      <c r="AF137" s="35" t="e">
        <f t="shared" si="83"/>
        <v>#REF!</v>
      </c>
      <c r="AG137" s="35" t="e">
        <f t="shared" si="83"/>
        <v>#REF!</v>
      </c>
      <c r="AH137" s="35" t="e">
        <f t="shared" si="83"/>
        <v>#REF!</v>
      </c>
      <c r="AI137" s="35" t="e">
        <f t="shared" si="83"/>
        <v>#REF!</v>
      </c>
      <c r="AJ137" s="35" t="e">
        <f t="shared" si="83"/>
        <v>#REF!</v>
      </c>
      <c r="AK137" s="35" t="e">
        <f t="shared" si="83"/>
        <v>#REF!</v>
      </c>
      <c r="AL137" s="35" t="e">
        <f t="shared" si="83"/>
        <v>#REF!</v>
      </c>
      <c r="AM137" s="35" t="e">
        <f t="shared" si="83"/>
        <v>#REF!</v>
      </c>
      <c r="AN137" s="35" t="e">
        <f t="shared" si="83"/>
        <v>#REF!</v>
      </c>
      <c r="AO137" s="35" t="e">
        <f t="shared" si="83"/>
        <v>#REF!</v>
      </c>
      <c r="AP137" s="35" t="e">
        <f t="shared" si="83"/>
        <v>#REF!</v>
      </c>
      <c r="AQ137" s="35" t="e">
        <f t="shared" si="83"/>
        <v>#REF!</v>
      </c>
      <c r="AR137" s="35" t="e">
        <f t="shared" si="83"/>
        <v>#REF!</v>
      </c>
      <c r="AS137" s="35" t="e">
        <f t="shared" si="83"/>
        <v>#REF!</v>
      </c>
      <c r="AT137" s="35" t="e">
        <f t="shared" si="83"/>
        <v>#REF!</v>
      </c>
      <c r="AU137" s="35" t="e">
        <f t="shared" si="83"/>
        <v>#REF!</v>
      </c>
      <c r="AV137" s="35" t="e">
        <f t="shared" si="83"/>
        <v>#REF!</v>
      </c>
      <c r="AW137" s="35" t="e">
        <f t="shared" si="83"/>
        <v>#REF!</v>
      </c>
      <c r="AX137" s="35" t="e">
        <f t="shared" si="83"/>
        <v>#REF!</v>
      </c>
      <c r="AY137" s="35" t="e">
        <f t="shared" si="83"/>
        <v>#REF!</v>
      </c>
      <c r="AZ137" s="35" t="e">
        <f t="shared" si="83"/>
        <v>#REF!</v>
      </c>
      <c r="BA137" s="35" t="e">
        <f t="shared" si="83"/>
        <v>#REF!</v>
      </c>
      <c r="BB137" s="35" t="e">
        <f t="shared" si="83"/>
        <v>#REF!</v>
      </c>
      <c r="BC137" s="35" t="e">
        <f t="shared" si="83"/>
        <v>#REF!</v>
      </c>
      <c r="BD137" s="35" t="e">
        <f t="shared" si="83"/>
        <v>#REF!</v>
      </c>
      <c r="BE137" s="35" t="e">
        <f t="shared" si="83"/>
        <v>#REF!</v>
      </c>
      <c r="BF137" s="35" t="e">
        <f t="shared" si="83"/>
        <v>#REF!</v>
      </c>
      <c r="BG137" s="35" t="e">
        <f t="shared" si="83"/>
        <v>#REF!</v>
      </c>
      <c r="BH137" s="35" t="e">
        <f t="shared" si="83"/>
        <v>#REF!</v>
      </c>
      <c r="BI137" s="35" t="e">
        <f t="shared" si="83"/>
        <v>#REF!</v>
      </c>
      <c r="BJ137" s="35" t="e">
        <f t="shared" si="83"/>
        <v>#REF!</v>
      </c>
      <c r="BK137" s="35" t="e">
        <f t="shared" si="83"/>
        <v>#REF!</v>
      </c>
      <c r="BL137" s="35" t="e">
        <f t="shared" si="83"/>
        <v>#REF!</v>
      </c>
      <c r="BM137" s="35" t="e">
        <f t="shared" si="83"/>
        <v>#REF!</v>
      </c>
      <c r="BN137" s="35" t="e">
        <f t="shared" si="83"/>
        <v>#REF!</v>
      </c>
      <c r="BO137" s="35" t="e">
        <f t="shared" si="83"/>
        <v>#REF!</v>
      </c>
      <c r="BP137" s="35" t="e">
        <f t="shared" si="83"/>
        <v>#REF!</v>
      </c>
      <c r="BQ137" s="35" t="e">
        <f t="shared" si="83"/>
        <v>#REF!</v>
      </c>
      <c r="BR137" s="35" t="e">
        <f t="shared" si="83"/>
        <v>#REF!</v>
      </c>
      <c r="BS137" s="35" t="e">
        <f t="shared" si="83"/>
        <v>#REF!</v>
      </c>
      <c r="BT137" s="35" t="e">
        <f t="shared" si="83"/>
        <v>#REF!</v>
      </c>
      <c r="BU137" s="35" t="e">
        <f t="shared" si="83"/>
        <v>#REF!</v>
      </c>
      <c r="BV137" s="35" t="e">
        <f t="shared" si="83"/>
        <v>#REF!</v>
      </c>
      <c r="BW137" s="35" t="e">
        <f t="shared" si="83"/>
        <v>#REF!</v>
      </c>
      <c r="BX137" s="35" t="e">
        <f t="shared" si="83"/>
        <v>#REF!</v>
      </c>
      <c r="BY137" s="35" t="e">
        <f t="shared" si="83"/>
        <v>#REF!</v>
      </c>
      <c r="BZ137" s="35" t="e">
        <f t="shared" si="83"/>
        <v>#REF!</v>
      </c>
      <c r="CA137" s="35" t="e">
        <f t="shared" si="83"/>
        <v>#REF!</v>
      </c>
      <c r="CB137" s="35" t="e">
        <f t="shared" si="83"/>
        <v>#REF!</v>
      </c>
      <c r="CC137" s="35" t="e">
        <f t="shared" si="83"/>
        <v>#REF!</v>
      </c>
      <c r="CD137" s="35" t="e">
        <f t="shared" si="83"/>
        <v>#REF!</v>
      </c>
      <c r="CE137" s="35" t="e">
        <f t="shared" si="83"/>
        <v>#REF!</v>
      </c>
      <c r="CF137" s="35" t="e">
        <f t="shared" si="83"/>
        <v>#REF!</v>
      </c>
      <c r="CG137" s="35" t="e">
        <f t="shared" si="83"/>
        <v>#REF!</v>
      </c>
      <c r="CH137" s="35" t="e">
        <f t="shared" si="83"/>
        <v>#REF!</v>
      </c>
      <c r="CI137" s="35" t="e">
        <f t="shared" si="83"/>
        <v>#REF!</v>
      </c>
      <c r="CJ137" s="35" t="e">
        <f t="shared" si="83"/>
        <v>#REF!</v>
      </c>
      <c r="CK137" s="35" t="e">
        <f t="shared" si="83"/>
        <v>#REF!</v>
      </c>
      <c r="CL137" s="35" t="e">
        <f t="shared" si="83"/>
        <v>#REF!</v>
      </c>
      <c r="CM137" s="35" t="e">
        <f t="shared" si="83"/>
        <v>#REF!</v>
      </c>
      <c r="CN137" s="35" t="e">
        <f t="shared" si="83"/>
        <v>#REF!</v>
      </c>
      <c r="CO137" s="35"/>
    </row>
    <row r="138" spans="1:93" ht="12.75" customHeight="1" outlineLevel="1">
      <c r="A138" s="35"/>
      <c r="B138" s="70" t="s">
        <v>225</v>
      </c>
      <c r="C138" s="70" t="e">
        <f t="shared" si="76"/>
        <v>#REF!</v>
      </c>
      <c r="D138" s="71">
        <f t="shared" ref="D138:CN138" si="84">SUM(D135:D137)</f>
        <v>0</v>
      </c>
      <c r="E138" s="70" t="e">
        <f t="shared" si="84"/>
        <v>#REF!</v>
      </c>
      <c r="F138" s="70" t="e">
        <f t="shared" si="84"/>
        <v>#REF!</v>
      </c>
      <c r="G138" s="70" t="e">
        <f t="shared" si="84"/>
        <v>#REF!</v>
      </c>
      <c r="H138" s="70" t="e">
        <f t="shared" si="84"/>
        <v>#REF!</v>
      </c>
      <c r="I138" s="70" t="e">
        <f t="shared" si="84"/>
        <v>#REF!</v>
      </c>
      <c r="J138" s="70" t="e">
        <f t="shared" si="84"/>
        <v>#REF!</v>
      </c>
      <c r="K138" s="70" t="e">
        <f t="shared" si="84"/>
        <v>#REF!</v>
      </c>
      <c r="L138" s="70" t="e">
        <f t="shared" si="84"/>
        <v>#REF!</v>
      </c>
      <c r="M138" s="70" t="e">
        <f t="shared" si="84"/>
        <v>#REF!</v>
      </c>
      <c r="N138" s="70" t="e">
        <f t="shared" si="84"/>
        <v>#REF!</v>
      </c>
      <c r="O138" s="70" t="e">
        <f t="shared" si="84"/>
        <v>#REF!</v>
      </c>
      <c r="P138" s="70" t="e">
        <f t="shared" si="84"/>
        <v>#REF!</v>
      </c>
      <c r="Q138" s="70" t="e">
        <f t="shared" si="84"/>
        <v>#REF!</v>
      </c>
      <c r="R138" s="70" t="e">
        <f t="shared" si="84"/>
        <v>#REF!</v>
      </c>
      <c r="S138" s="70" t="e">
        <f t="shared" si="84"/>
        <v>#REF!</v>
      </c>
      <c r="T138" s="70" t="e">
        <f t="shared" si="84"/>
        <v>#REF!</v>
      </c>
      <c r="U138" s="70" t="e">
        <f t="shared" si="84"/>
        <v>#REF!</v>
      </c>
      <c r="V138" s="70" t="e">
        <f t="shared" si="84"/>
        <v>#REF!</v>
      </c>
      <c r="W138" s="70" t="e">
        <f t="shared" si="84"/>
        <v>#REF!</v>
      </c>
      <c r="X138" s="70" t="e">
        <f t="shared" si="84"/>
        <v>#REF!</v>
      </c>
      <c r="Y138" s="70" t="e">
        <f t="shared" si="84"/>
        <v>#REF!</v>
      </c>
      <c r="Z138" s="70" t="e">
        <f t="shared" si="84"/>
        <v>#REF!</v>
      </c>
      <c r="AA138" s="70" t="e">
        <f t="shared" si="84"/>
        <v>#REF!</v>
      </c>
      <c r="AB138" s="70" t="e">
        <f t="shared" si="84"/>
        <v>#REF!</v>
      </c>
      <c r="AC138" s="70" t="e">
        <f t="shared" si="84"/>
        <v>#REF!</v>
      </c>
      <c r="AD138" s="70" t="e">
        <f t="shared" si="84"/>
        <v>#REF!</v>
      </c>
      <c r="AE138" s="70" t="e">
        <f t="shared" si="84"/>
        <v>#REF!</v>
      </c>
      <c r="AF138" s="70" t="e">
        <f t="shared" si="84"/>
        <v>#REF!</v>
      </c>
      <c r="AG138" s="70" t="e">
        <f t="shared" si="84"/>
        <v>#REF!</v>
      </c>
      <c r="AH138" s="70" t="e">
        <f t="shared" si="84"/>
        <v>#REF!</v>
      </c>
      <c r="AI138" s="70" t="e">
        <f t="shared" si="84"/>
        <v>#REF!</v>
      </c>
      <c r="AJ138" s="70" t="e">
        <f t="shared" si="84"/>
        <v>#REF!</v>
      </c>
      <c r="AK138" s="70" t="e">
        <f t="shared" si="84"/>
        <v>#REF!</v>
      </c>
      <c r="AL138" s="70" t="e">
        <f t="shared" si="84"/>
        <v>#REF!</v>
      </c>
      <c r="AM138" s="70" t="e">
        <f t="shared" si="84"/>
        <v>#REF!</v>
      </c>
      <c r="AN138" s="70" t="e">
        <f t="shared" si="84"/>
        <v>#REF!</v>
      </c>
      <c r="AO138" s="70" t="e">
        <f t="shared" si="84"/>
        <v>#REF!</v>
      </c>
      <c r="AP138" s="70" t="e">
        <f t="shared" si="84"/>
        <v>#REF!</v>
      </c>
      <c r="AQ138" s="70" t="e">
        <f t="shared" si="84"/>
        <v>#REF!</v>
      </c>
      <c r="AR138" s="70" t="e">
        <f t="shared" si="84"/>
        <v>#REF!</v>
      </c>
      <c r="AS138" s="70" t="e">
        <f t="shared" si="84"/>
        <v>#REF!</v>
      </c>
      <c r="AT138" s="70" t="e">
        <f t="shared" si="84"/>
        <v>#REF!</v>
      </c>
      <c r="AU138" s="70" t="e">
        <f t="shared" si="84"/>
        <v>#REF!</v>
      </c>
      <c r="AV138" s="70" t="e">
        <f t="shared" si="84"/>
        <v>#REF!</v>
      </c>
      <c r="AW138" s="70" t="e">
        <f t="shared" si="84"/>
        <v>#REF!</v>
      </c>
      <c r="AX138" s="70" t="e">
        <f t="shared" si="84"/>
        <v>#REF!</v>
      </c>
      <c r="AY138" s="70" t="e">
        <f t="shared" si="84"/>
        <v>#REF!</v>
      </c>
      <c r="AZ138" s="70" t="e">
        <f t="shared" si="84"/>
        <v>#REF!</v>
      </c>
      <c r="BA138" s="70" t="e">
        <f t="shared" si="84"/>
        <v>#REF!</v>
      </c>
      <c r="BB138" s="70" t="e">
        <f t="shared" si="84"/>
        <v>#REF!</v>
      </c>
      <c r="BC138" s="70" t="e">
        <f t="shared" si="84"/>
        <v>#REF!</v>
      </c>
      <c r="BD138" s="70" t="e">
        <f t="shared" si="84"/>
        <v>#REF!</v>
      </c>
      <c r="BE138" s="70" t="e">
        <f t="shared" si="84"/>
        <v>#REF!</v>
      </c>
      <c r="BF138" s="70" t="e">
        <f t="shared" si="84"/>
        <v>#REF!</v>
      </c>
      <c r="BG138" s="70" t="e">
        <f t="shared" si="84"/>
        <v>#REF!</v>
      </c>
      <c r="BH138" s="70" t="e">
        <f t="shared" si="84"/>
        <v>#REF!</v>
      </c>
      <c r="BI138" s="70" t="e">
        <f t="shared" si="84"/>
        <v>#REF!</v>
      </c>
      <c r="BJ138" s="70" t="e">
        <f t="shared" si="84"/>
        <v>#REF!</v>
      </c>
      <c r="BK138" s="70" t="e">
        <f t="shared" si="84"/>
        <v>#REF!</v>
      </c>
      <c r="BL138" s="70" t="e">
        <f t="shared" si="84"/>
        <v>#REF!</v>
      </c>
      <c r="BM138" s="70" t="e">
        <f t="shared" si="84"/>
        <v>#REF!</v>
      </c>
      <c r="BN138" s="70" t="e">
        <f t="shared" si="84"/>
        <v>#REF!</v>
      </c>
      <c r="BO138" s="70" t="e">
        <f t="shared" si="84"/>
        <v>#REF!</v>
      </c>
      <c r="BP138" s="70" t="e">
        <f t="shared" si="84"/>
        <v>#REF!</v>
      </c>
      <c r="BQ138" s="70" t="e">
        <f t="shared" si="84"/>
        <v>#REF!</v>
      </c>
      <c r="BR138" s="70" t="e">
        <f t="shared" si="84"/>
        <v>#REF!</v>
      </c>
      <c r="BS138" s="70" t="e">
        <f t="shared" si="84"/>
        <v>#REF!</v>
      </c>
      <c r="BT138" s="70" t="e">
        <f t="shared" si="84"/>
        <v>#REF!</v>
      </c>
      <c r="BU138" s="70" t="e">
        <f t="shared" si="84"/>
        <v>#REF!</v>
      </c>
      <c r="BV138" s="70" t="e">
        <f t="shared" si="84"/>
        <v>#REF!</v>
      </c>
      <c r="BW138" s="70" t="e">
        <f t="shared" si="84"/>
        <v>#REF!</v>
      </c>
      <c r="BX138" s="70" t="e">
        <f t="shared" si="84"/>
        <v>#REF!</v>
      </c>
      <c r="BY138" s="70" t="e">
        <f t="shared" si="84"/>
        <v>#REF!</v>
      </c>
      <c r="BZ138" s="70" t="e">
        <f t="shared" si="84"/>
        <v>#REF!</v>
      </c>
      <c r="CA138" s="70" t="e">
        <f t="shared" si="84"/>
        <v>#REF!</v>
      </c>
      <c r="CB138" s="70" t="e">
        <f t="shared" si="84"/>
        <v>#REF!</v>
      </c>
      <c r="CC138" s="70" t="e">
        <f t="shared" si="84"/>
        <v>#REF!</v>
      </c>
      <c r="CD138" s="70" t="e">
        <f t="shared" si="84"/>
        <v>#REF!</v>
      </c>
      <c r="CE138" s="70" t="e">
        <f t="shared" si="84"/>
        <v>#REF!</v>
      </c>
      <c r="CF138" s="70" t="e">
        <f t="shared" si="84"/>
        <v>#REF!</v>
      </c>
      <c r="CG138" s="70" t="e">
        <f t="shared" si="84"/>
        <v>#REF!</v>
      </c>
      <c r="CH138" s="70" t="e">
        <f t="shared" si="84"/>
        <v>#REF!</v>
      </c>
      <c r="CI138" s="70" t="e">
        <f t="shared" si="84"/>
        <v>#REF!</v>
      </c>
      <c r="CJ138" s="70" t="e">
        <f t="shared" si="84"/>
        <v>#REF!</v>
      </c>
      <c r="CK138" s="70" t="e">
        <f t="shared" si="84"/>
        <v>#REF!</v>
      </c>
      <c r="CL138" s="70" t="e">
        <f t="shared" si="84"/>
        <v>#REF!</v>
      </c>
      <c r="CM138" s="70" t="e">
        <f t="shared" si="84"/>
        <v>#REF!</v>
      </c>
      <c r="CN138" s="70" t="e">
        <f t="shared" si="84"/>
        <v>#REF!</v>
      </c>
      <c r="CO138" s="35"/>
    </row>
    <row r="139" spans="1:93" ht="12.75" customHeight="1" outlineLevel="1">
      <c r="A139" s="35"/>
      <c r="B139" s="63" t="s">
        <v>226</v>
      </c>
      <c r="C139" s="35" t="e">
        <f t="shared" si="76"/>
        <v>#REF!</v>
      </c>
      <c r="D139" s="60">
        <f t="shared" ref="D139:CN139" si="85">D147</f>
        <v>0</v>
      </c>
      <c r="E139" s="35" t="e">
        <f t="shared" si="85"/>
        <v>#REF!</v>
      </c>
      <c r="F139" s="35" t="e">
        <f t="shared" si="85"/>
        <v>#REF!</v>
      </c>
      <c r="G139" s="35" t="e">
        <f t="shared" si="85"/>
        <v>#REF!</v>
      </c>
      <c r="H139" s="35" t="e">
        <f t="shared" si="85"/>
        <v>#REF!</v>
      </c>
      <c r="I139" s="35" t="e">
        <f t="shared" si="85"/>
        <v>#REF!</v>
      </c>
      <c r="J139" s="35" t="e">
        <f t="shared" si="85"/>
        <v>#REF!</v>
      </c>
      <c r="K139" s="35" t="e">
        <f t="shared" si="85"/>
        <v>#REF!</v>
      </c>
      <c r="L139" s="35" t="e">
        <f t="shared" si="85"/>
        <v>#REF!</v>
      </c>
      <c r="M139" s="35" t="e">
        <f t="shared" si="85"/>
        <v>#REF!</v>
      </c>
      <c r="N139" s="35" t="e">
        <f t="shared" si="85"/>
        <v>#REF!</v>
      </c>
      <c r="O139" s="35" t="e">
        <f t="shared" si="85"/>
        <v>#REF!</v>
      </c>
      <c r="P139" s="35" t="e">
        <f t="shared" si="85"/>
        <v>#REF!</v>
      </c>
      <c r="Q139" s="35" t="e">
        <f t="shared" si="85"/>
        <v>#REF!</v>
      </c>
      <c r="R139" s="35" t="e">
        <f t="shared" si="85"/>
        <v>#REF!</v>
      </c>
      <c r="S139" s="35" t="e">
        <f t="shared" si="85"/>
        <v>#REF!</v>
      </c>
      <c r="T139" s="35" t="e">
        <f t="shared" si="85"/>
        <v>#REF!</v>
      </c>
      <c r="U139" s="35" t="e">
        <f t="shared" si="85"/>
        <v>#REF!</v>
      </c>
      <c r="V139" s="35" t="e">
        <f t="shared" si="85"/>
        <v>#REF!</v>
      </c>
      <c r="W139" s="35" t="e">
        <f t="shared" si="85"/>
        <v>#REF!</v>
      </c>
      <c r="X139" s="35" t="e">
        <f t="shared" si="85"/>
        <v>#REF!</v>
      </c>
      <c r="Y139" s="35" t="e">
        <f t="shared" si="85"/>
        <v>#REF!</v>
      </c>
      <c r="Z139" s="35" t="e">
        <f t="shared" si="85"/>
        <v>#REF!</v>
      </c>
      <c r="AA139" s="35" t="e">
        <f t="shared" si="85"/>
        <v>#REF!</v>
      </c>
      <c r="AB139" s="35" t="e">
        <f t="shared" si="85"/>
        <v>#REF!</v>
      </c>
      <c r="AC139" s="35" t="e">
        <f t="shared" si="85"/>
        <v>#REF!</v>
      </c>
      <c r="AD139" s="35" t="e">
        <f t="shared" si="85"/>
        <v>#REF!</v>
      </c>
      <c r="AE139" s="35" t="e">
        <f t="shared" si="85"/>
        <v>#REF!</v>
      </c>
      <c r="AF139" s="35" t="e">
        <f t="shared" si="85"/>
        <v>#REF!</v>
      </c>
      <c r="AG139" s="35" t="e">
        <f t="shared" si="85"/>
        <v>#REF!</v>
      </c>
      <c r="AH139" s="35" t="e">
        <f t="shared" si="85"/>
        <v>#REF!</v>
      </c>
      <c r="AI139" s="35" t="e">
        <f t="shared" si="85"/>
        <v>#REF!</v>
      </c>
      <c r="AJ139" s="35" t="e">
        <f t="shared" si="85"/>
        <v>#REF!</v>
      </c>
      <c r="AK139" s="35" t="e">
        <f t="shared" si="85"/>
        <v>#REF!</v>
      </c>
      <c r="AL139" s="35" t="e">
        <f t="shared" si="85"/>
        <v>#REF!</v>
      </c>
      <c r="AM139" s="35" t="e">
        <f t="shared" si="85"/>
        <v>#REF!</v>
      </c>
      <c r="AN139" s="35" t="e">
        <f t="shared" si="85"/>
        <v>#REF!</v>
      </c>
      <c r="AO139" s="35" t="e">
        <f t="shared" si="85"/>
        <v>#REF!</v>
      </c>
      <c r="AP139" s="35" t="e">
        <f t="shared" si="85"/>
        <v>#REF!</v>
      </c>
      <c r="AQ139" s="35" t="e">
        <f t="shared" si="85"/>
        <v>#REF!</v>
      </c>
      <c r="AR139" s="35" t="e">
        <f t="shared" si="85"/>
        <v>#REF!</v>
      </c>
      <c r="AS139" s="35" t="e">
        <f t="shared" si="85"/>
        <v>#REF!</v>
      </c>
      <c r="AT139" s="35" t="e">
        <f t="shared" si="85"/>
        <v>#REF!</v>
      </c>
      <c r="AU139" s="35" t="e">
        <f t="shared" si="85"/>
        <v>#REF!</v>
      </c>
      <c r="AV139" s="35" t="e">
        <f t="shared" si="85"/>
        <v>#REF!</v>
      </c>
      <c r="AW139" s="35" t="e">
        <f t="shared" si="85"/>
        <v>#REF!</v>
      </c>
      <c r="AX139" s="35" t="e">
        <f t="shared" si="85"/>
        <v>#REF!</v>
      </c>
      <c r="AY139" s="35" t="e">
        <f t="shared" si="85"/>
        <v>#REF!</v>
      </c>
      <c r="AZ139" s="35" t="e">
        <f t="shared" si="85"/>
        <v>#REF!</v>
      </c>
      <c r="BA139" s="35" t="e">
        <f t="shared" si="85"/>
        <v>#REF!</v>
      </c>
      <c r="BB139" s="35" t="e">
        <f t="shared" si="85"/>
        <v>#REF!</v>
      </c>
      <c r="BC139" s="35" t="e">
        <f t="shared" si="85"/>
        <v>#REF!</v>
      </c>
      <c r="BD139" s="35" t="e">
        <f t="shared" si="85"/>
        <v>#REF!</v>
      </c>
      <c r="BE139" s="35" t="e">
        <f t="shared" si="85"/>
        <v>#REF!</v>
      </c>
      <c r="BF139" s="35" t="e">
        <f t="shared" si="85"/>
        <v>#REF!</v>
      </c>
      <c r="BG139" s="35" t="e">
        <f t="shared" si="85"/>
        <v>#REF!</v>
      </c>
      <c r="BH139" s="35" t="e">
        <f t="shared" si="85"/>
        <v>#REF!</v>
      </c>
      <c r="BI139" s="35" t="e">
        <f t="shared" si="85"/>
        <v>#REF!</v>
      </c>
      <c r="BJ139" s="35" t="e">
        <f t="shared" si="85"/>
        <v>#REF!</v>
      </c>
      <c r="BK139" s="35" t="e">
        <f t="shared" si="85"/>
        <v>#REF!</v>
      </c>
      <c r="BL139" s="35" t="e">
        <f t="shared" si="85"/>
        <v>#REF!</v>
      </c>
      <c r="BM139" s="35" t="e">
        <f t="shared" si="85"/>
        <v>#REF!</v>
      </c>
      <c r="BN139" s="35" t="e">
        <f t="shared" si="85"/>
        <v>#REF!</v>
      </c>
      <c r="BO139" s="35" t="e">
        <f t="shared" si="85"/>
        <v>#REF!</v>
      </c>
      <c r="BP139" s="35" t="e">
        <f t="shared" si="85"/>
        <v>#REF!</v>
      </c>
      <c r="BQ139" s="35" t="e">
        <f t="shared" si="85"/>
        <v>#REF!</v>
      </c>
      <c r="BR139" s="35" t="e">
        <f t="shared" si="85"/>
        <v>#REF!</v>
      </c>
      <c r="BS139" s="35" t="e">
        <f t="shared" si="85"/>
        <v>#REF!</v>
      </c>
      <c r="BT139" s="35" t="e">
        <f t="shared" si="85"/>
        <v>#REF!</v>
      </c>
      <c r="BU139" s="35" t="e">
        <f t="shared" si="85"/>
        <v>#REF!</v>
      </c>
      <c r="BV139" s="35" t="e">
        <f t="shared" si="85"/>
        <v>#REF!</v>
      </c>
      <c r="BW139" s="35" t="e">
        <f t="shared" si="85"/>
        <v>#REF!</v>
      </c>
      <c r="BX139" s="35" t="e">
        <f t="shared" si="85"/>
        <v>#REF!</v>
      </c>
      <c r="BY139" s="35" t="e">
        <f t="shared" si="85"/>
        <v>#REF!</v>
      </c>
      <c r="BZ139" s="35" t="e">
        <f t="shared" si="85"/>
        <v>#REF!</v>
      </c>
      <c r="CA139" s="35" t="e">
        <f t="shared" si="85"/>
        <v>#REF!</v>
      </c>
      <c r="CB139" s="35" t="e">
        <f t="shared" si="85"/>
        <v>#REF!</v>
      </c>
      <c r="CC139" s="35" t="e">
        <f t="shared" si="85"/>
        <v>#REF!</v>
      </c>
      <c r="CD139" s="35" t="e">
        <f t="shared" si="85"/>
        <v>#REF!</v>
      </c>
      <c r="CE139" s="35" t="e">
        <f t="shared" si="85"/>
        <v>#REF!</v>
      </c>
      <c r="CF139" s="35" t="e">
        <f t="shared" si="85"/>
        <v>#REF!</v>
      </c>
      <c r="CG139" s="35" t="e">
        <f t="shared" si="85"/>
        <v>#REF!</v>
      </c>
      <c r="CH139" s="35" t="e">
        <f t="shared" si="85"/>
        <v>#REF!</v>
      </c>
      <c r="CI139" s="35" t="e">
        <f t="shared" si="85"/>
        <v>#REF!</v>
      </c>
      <c r="CJ139" s="35" t="e">
        <f t="shared" si="85"/>
        <v>#REF!</v>
      </c>
      <c r="CK139" s="35" t="e">
        <f t="shared" si="85"/>
        <v>#REF!</v>
      </c>
      <c r="CL139" s="35" t="e">
        <f t="shared" si="85"/>
        <v>#REF!</v>
      </c>
      <c r="CM139" s="35" t="e">
        <f t="shared" si="85"/>
        <v>#REF!</v>
      </c>
      <c r="CN139" s="35" t="e">
        <f t="shared" si="85"/>
        <v>#REF!</v>
      </c>
      <c r="CO139" s="35"/>
    </row>
    <row r="140" spans="1:93" ht="12.75" customHeight="1" outlineLevel="1">
      <c r="A140" s="35"/>
      <c r="B140" s="70" t="s">
        <v>227</v>
      </c>
      <c r="C140" s="70" t="e">
        <f t="shared" si="76"/>
        <v>#REF!</v>
      </c>
      <c r="D140" s="71">
        <f t="shared" ref="D140:CN140" si="86">SUM(D138:D139)</f>
        <v>0</v>
      </c>
      <c r="E140" s="70" t="e">
        <f t="shared" si="86"/>
        <v>#REF!</v>
      </c>
      <c r="F140" s="70" t="e">
        <f t="shared" si="86"/>
        <v>#REF!</v>
      </c>
      <c r="G140" s="70" t="e">
        <f t="shared" si="86"/>
        <v>#REF!</v>
      </c>
      <c r="H140" s="70" t="e">
        <f t="shared" si="86"/>
        <v>#REF!</v>
      </c>
      <c r="I140" s="70" t="e">
        <f t="shared" si="86"/>
        <v>#REF!</v>
      </c>
      <c r="J140" s="70" t="e">
        <f t="shared" si="86"/>
        <v>#REF!</v>
      </c>
      <c r="K140" s="70" t="e">
        <f t="shared" si="86"/>
        <v>#REF!</v>
      </c>
      <c r="L140" s="70" t="e">
        <f t="shared" si="86"/>
        <v>#REF!</v>
      </c>
      <c r="M140" s="70" t="e">
        <f t="shared" si="86"/>
        <v>#REF!</v>
      </c>
      <c r="N140" s="70" t="e">
        <f t="shared" si="86"/>
        <v>#REF!</v>
      </c>
      <c r="O140" s="70" t="e">
        <f t="shared" si="86"/>
        <v>#REF!</v>
      </c>
      <c r="P140" s="70" t="e">
        <f t="shared" si="86"/>
        <v>#REF!</v>
      </c>
      <c r="Q140" s="70" t="e">
        <f t="shared" si="86"/>
        <v>#REF!</v>
      </c>
      <c r="R140" s="70" t="e">
        <f t="shared" si="86"/>
        <v>#REF!</v>
      </c>
      <c r="S140" s="70" t="e">
        <f t="shared" si="86"/>
        <v>#REF!</v>
      </c>
      <c r="T140" s="70" t="e">
        <f t="shared" si="86"/>
        <v>#REF!</v>
      </c>
      <c r="U140" s="70" t="e">
        <f t="shared" si="86"/>
        <v>#REF!</v>
      </c>
      <c r="V140" s="70" t="e">
        <f t="shared" si="86"/>
        <v>#REF!</v>
      </c>
      <c r="W140" s="70" t="e">
        <f t="shared" si="86"/>
        <v>#REF!</v>
      </c>
      <c r="X140" s="70" t="e">
        <f t="shared" si="86"/>
        <v>#REF!</v>
      </c>
      <c r="Y140" s="70" t="e">
        <f t="shared" si="86"/>
        <v>#REF!</v>
      </c>
      <c r="Z140" s="70" t="e">
        <f t="shared" si="86"/>
        <v>#REF!</v>
      </c>
      <c r="AA140" s="70" t="e">
        <f t="shared" si="86"/>
        <v>#REF!</v>
      </c>
      <c r="AB140" s="70" t="e">
        <f t="shared" si="86"/>
        <v>#REF!</v>
      </c>
      <c r="AC140" s="70" t="e">
        <f t="shared" si="86"/>
        <v>#REF!</v>
      </c>
      <c r="AD140" s="70" t="e">
        <f t="shared" si="86"/>
        <v>#REF!</v>
      </c>
      <c r="AE140" s="70" t="e">
        <f t="shared" si="86"/>
        <v>#REF!</v>
      </c>
      <c r="AF140" s="70" t="e">
        <f t="shared" si="86"/>
        <v>#REF!</v>
      </c>
      <c r="AG140" s="70" t="e">
        <f t="shared" si="86"/>
        <v>#REF!</v>
      </c>
      <c r="AH140" s="70" t="e">
        <f t="shared" si="86"/>
        <v>#REF!</v>
      </c>
      <c r="AI140" s="70" t="e">
        <f t="shared" si="86"/>
        <v>#REF!</v>
      </c>
      <c r="AJ140" s="70" t="e">
        <f t="shared" si="86"/>
        <v>#REF!</v>
      </c>
      <c r="AK140" s="70" t="e">
        <f t="shared" si="86"/>
        <v>#REF!</v>
      </c>
      <c r="AL140" s="70" t="e">
        <f t="shared" si="86"/>
        <v>#REF!</v>
      </c>
      <c r="AM140" s="70" t="e">
        <f t="shared" si="86"/>
        <v>#REF!</v>
      </c>
      <c r="AN140" s="70" t="e">
        <f t="shared" si="86"/>
        <v>#REF!</v>
      </c>
      <c r="AO140" s="70" t="e">
        <f t="shared" si="86"/>
        <v>#REF!</v>
      </c>
      <c r="AP140" s="70" t="e">
        <f t="shared" si="86"/>
        <v>#REF!</v>
      </c>
      <c r="AQ140" s="70" t="e">
        <f t="shared" si="86"/>
        <v>#REF!</v>
      </c>
      <c r="AR140" s="70" t="e">
        <f t="shared" si="86"/>
        <v>#REF!</v>
      </c>
      <c r="AS140" s="70" t="e">
        <f t="shared" si="86"/>
        <v>#REF!</v>
      </c>
      <c r="AT140" s="70" t="e">
        <f t="shared" si="86"/>
        <v>#REF!</v>
      </c>
      <c r="AU140" s="70" t="e">
        <f t="shared" si="86"/>
        <v>#REF!</v>
      </c>
      <c r="AV140" s="70" t="e">
        <f t="shared" si="86"/>
        <v>#REF!</v>
      </c>
      <c r="AW140" s="70" t="e">
        <f t="shared" si="86"/>
        <v>#REF!</v>
      </c>
      <c r="AX140" s="70" t="e">
        <f t="shared" si="86"/>
        <v>#REF!</v>
      </c>
      <c r="AY140" s="70" t="e">
        <f t="shared" si="86"/>
        <v>#REF!</v>
      </c>
      <c r="AZ140" s="70" t="e">
        <f t="shared" si="86"/>
        <v>#REF!</v>
      </c>
      <c r="BA140" s="70" t="e">
        <f t="shared" si="86"/>
        <v>#REF!</v>
      </c>
      <c r="BB140" s="70" t="e">
        <f t="shared" si="86"/>
        <v>#REF!</v>
      </c>
      <c r="BC140" s="70" t="e">
        <f t="shared" si="86"/>
        <v>#REF!</v>
      </c>
      <c r="BD140" s="70" t="e">
        <f t="shared" si="86"/>
        <v>#REF!</v>
      </c>
      <c r="BE140" s="70" t="e">
        <f t="shared" si="86"/>
        <v>#REF!</v>
      </c>
      <c r="BF140" s="70" t="e">
        <f t="shared" si="86"/>
        <v>#REF!</v>
      </c>
      <c r="BG140" s="70" t="e">
        <f t="shared" si="86"/>
        <v>#REF!</v>
      </c>
      <c r="BH140" s="70" t="e">
        <f t="shared" si="86"/>
        <v>#REF!</v>
      </c>
      <c r="BI140" s="70" t="e">
        <f t="shared" si="86"/>
        <v>#REF!</v>
      </c>
      <c r="BJ140" s="70" t="e">
        <f t="shared" si="86"/>
        <v>#REF!</v>
      </c>
      <c r="BK140" s="70" t="e">
        <f t="shared" si="86"/>
        <v>#REF!</v>
      </c>
      <c r="BL140" s="70" t="e">
        <f t="shared" si="86"/>
        <v>#REF!</v>
      </c>
      <c r="BM140" s="70" t="e">
        <f t="shared" si="86"/>
        <v>#REF!</v>
      </c>
      <c r="BN140" s="70" t="e">
        <f t="shared" si="86"/>
        <v>#REF!</v>
      </c>
      <c r="BO140" s="70" t="e">
        <f t="shared" si="86"/>
        <v>#REF!</v>
      </c>
      <c r="BP140" s="70" t="e">
        <f t="shared" si="86"/>
        <v>#REF!</v>
      </c>
      <c r="BQ140" s="70" t="e">
        <f t="shared" si="86"/>
        <v>#REF!</v>
      </c>
      <c r="BR140" s="70" t="e">
        <f t="shared" si="86"/>
        <v>#REF!</v>
      </c>
      <c r="BS140" s="70" t="e">
        <f t="shared" si="86"/>
        <v>#REF!</v>
      </c>
      <c r="BT140" s="70" t="e">
        <f t="shared" si="86"/>
        <v>#REF!</v>
      </c>
      <c r="BU140" s="70" t="e">
        <f t="shared" si="86"/>
        <v>#REF!</v>
      </c>
      <c r="BV140" s="70" t="e">
        <f t="shared" si="86"/>
        <v>#REF!</v>
      </c>
      <c r="BW140" s="70" t="e">
        <f t="shared" si="86"/>
        <v>#REF!</v>
      </c>
      <c r="BX140" s="70" t="e">
        <f t="shared" si="86"/>
        <v>#REF!</v>
      </c>
      <c r="BY140" s="70" t="e">
        <f t="shared" si="86"/>
        <v>#REF!</v>
      </c>
      <c r="BZ140" s="70" t="e">
        <f t="shared" si="86"/>
        <v>#REF!</v>
      </c>
      <c r="CA140" s="70" t="e">
        <f t="shared" si="86"/>
        <v>#REF!</v>
      </c>
      <c r="CB140" s="70" t="e">
        <f t="shared" si="86"/>
        <v>#REF!</v>
      </c>
      <c r="CC140" s="70" t="e">
        <f t="shared" si="86"/>
        <v>#REF!</v>
      </c>
      <c r="CD140" s="70" t="e">
        <f t="shared" si="86"/>
        <v>#REF!</v>
      </c>
      <c r="CE140" s="70" t="e">
        <f t="shared" si="86"/>
        <v>#REF!</v>
      </c>
      <c r="CF140" s="70" t="e">
        <f t="shared" si="86"/>
        <v>#REF!</v>
      </c>
      <c r="CG140" s="70" t="e">
        <f t="shared" si="86"/>
        <v>#REF!</v>
      </c>
      <c r="CH140" s="70" t="e">
        <f t="shared" si="86"/>
        <v>#REF!</v>
      </c>
      <c r="CI140" s="70" t="e">
        <f t="shared" si="86"/>
        <v>#REF!</v>
      </c>
      <c r="CJ140" s="70" t="e">
        <f t="shared" si="86"/>
        <v>#REF!</v>
      </c>
      <c r="CK140" s="70" t="e">
        <f t="shared" si="86"/>
        <v>#REF!</v>
      </c>
      <c r="CL140" s="70" t="e">
        <f t="shared" si="86"/>
        <v>#REF!</v>
      </c>
      <c r="CM140" s="70" t="e">
        <f t="shared" si="86"/>
        <v>#REF!</v>
      </c>
      <c r="CN140" s="70" t="e">
        <f t="shared" si="86"/>
        <v>#REF!</v>
      </c>
      <c r="CO140" s="35"/>
    </row>
    <row r="141" spans="1:93" ht="12.75" customHeight="1" outlineLevel="1">
      <c r="A141" s="35"/>
      <c r="B141" s="108" t="s">
        <v>164</v>
      </c>
      <c r="C141" s="74" t="e">
        <f t="shared" si="76"/>
        <v>#REF!</v>
      </c>
      <c r="D141" s="109">
        <f>-MAX(D140,0)*Assump!$D$27</f>
        <v>0</v>
      </c>
      <c r="E141" s="74" t="e">
        <f>-MAX(E140,0)*Assump!$D$27</f>
        <v>#REF!</v>
      </c>
      <c r="F141" s="74" t="e">
        <f>-MAX(F140,0)*Assump!$D$27</f>
        <v>#REF!</v>
      </c>
      <c r="G141" s="74" t="e">
        <f>-MAX(G140,0)*Assump!$D$27</f>
        <v>#REF!</v>
      </c>
      <c r="H141" s="74" t="e">
        <f>-MAX(H140,0)*Assump!$D$27</f>
        <v>#REF!</v>
      </c>
      <c r="I141" s="74" t="e">
        <f>-MAX(I140,0)*Assump!$D$27</f>
        <v>#REF!</v>
      </c>
      <c r="J141" s="74" t="e">
        <f>-MAX(J140,0)*Assump!$D$27</f>
        <v>#REF!</v>
      </c>
      <c r="K141" s="74" t="e">
        <f>-MAX(K140,0)*Assump!$D$27</f>
        <v>#REF!</v>
      </c>
      <c r="L141" s="74" t="e">
        <f>-MAX(L140,0)*Assump!$D$27</f>
        <v>#REF!</v>
      </c>
      <c r="M141" s="74" t="e">
        <f>-MAX(M140,0)*Assump!$D$27</f>
        <v>#REF!</v>
      </c>
      <c r="N141" s="74" t="e">
        <f>-MAX(N140,0)*Assump!$D$27</f>
        <v>#REF!</v>
      </c>
      <c r="O141" s="74" t="e">
        <f>-MAX(O140,0)*Assump!$D$27</f>
        <v>#REF!</v>
      </c>
      <c r="P141" s="74" t="e">
        <f>-MAX(P140,0)*Assump!$D$27</f>
        <v>#REF!</v>
      </c>
      <c r="Q141" s="74" t="e">
        <f>-MAX(Q140,0)*Assump!$D$27</f>
        <v>#REF!</v>
      </c>
      <c r="R141" s="74" t="e">
        <f>-MAX(R140,0)*Assump!$D$27</f>
        <v>#REF!</v>
      </c>
      <c r="S141" s="74" t="e">
        <f>-MAX(S140,0)*Assump!$D$27</f>
        <v>#REF!</v>
      </c>
      <c r="T141" s="74" t="e">
        <f>-MAX(T140,0)*Assump!$D$27</f>
        <v>#REF!</v>
      </c>
      <c r="U141" s="74" t="e">
        <f>-MAX(U140,0)*Assump!$D$27</f>
        <v>#REF!</v>
      </c>
      <c r="V141" s="74" t="e">
        <f>-MAX(V140,0)*Assump!$D$27</f>
        <v>#REF!</v>
      </c>
      <c r="W141" s="74" t="e">
        <f>-MAX(W140,0)*Assump!$D$27</f>
        <v>#REF!</v>
      </c>
      <c r="X141" s="74" t="e">
        <f>-MAX(X140,0)*Assump!$D$27</f>
        <v>#REF!</v>
      </c>
      <c r="Y141" s="74" t="e">
        <f>-MAX(Y140,0)*Assump!$D$27</f>
        <v>#REF!</v>
      </c>
      <c r="Z141" s="74" t="e">
        <f>-MAX(Z140,0)*Assump!$D$27</f>
        <v>#REF!</v>
      </c>
      <c r="AA141" s="74" t="e">
        <f>-MAX(AA140,0)*Assump!$D$27</f>
        <v>#REF!</v>
      </c>
      <c r="AB141" s="74" t="e">
        <f>-MAX(AB140,0)*Assump!$D$27</f>
        <v>#REF!</v>
      </c>
      <c r="AC141" s="74" t="e">
        <f>-MAX(AC140,0)*Assump!$D$27</f>
        <v>#REF!</v>
      </c>
      <c r="AD141" s="74" t="e">
        <f>-MAX(AD140,0)*Assump!$D$27</f>
        <v>#REF!</v>
      </c>
      <c r="AE141" s="74" t="e">
        <f>-MAX(AE140,0)*Assump!$D$27</f>
        <v>#REF!</v>
      </c>
      <c r="AF141" s="74" t="e">
        <f>-MAX(AF140,0)*Assump!$D$27</f>
        <v>#REF!</v>
      </c>
      <c r="AG141" s="74" t="e">
        <f>-MAX(AG140,0)*Assump!$D$27</f>
        <v>#REF!</v>
      </c>
      <c r="AH141" s="74" t="e">
        <f>-MAX(AH140,0)*Assump!$D$27</f>
        <v>#REF!</v>
      </c>
      <c r="AI141" s="74" t="e">
        <f>-MAX(AI140,0)*Assump!$D$27</f>
        <v>#REF!</v>
      </c>
      <c r="AJ141" s="74" t="e">
        <f>-MAX(AJ140,0)*Assump!$D$27</f>
        <v>#REF!</v>
      </c>
      <c r="AK141" s="74" t="e">
        <f>-MAX(AK140,0)*Assump!$D$27</f>
        <v>#REF!</v>
      </c>
      <c r="AL141" s="74" t="e">
        <f>-MAX(AL140,0)*Assump!$D$27</f>
        <v>#REF!</v>
      </c>
      <c r="AM141" s="74" t="e">
        <f>-MAX(AM140,0)*Assump!$D$27</f>
        <v>#REF!</v>
      </c>
      <c r="AN141" s="74" t="e">
        <f>-MAX(AN140,0)*Assump!$D$27</f>
        <v>#REF!</v>
      </c>
      <c r="AO141" s="74" t="e">
        <f>-MAX(AO140,0)*Assump!$D$27</f>
        <v>#REF!</v>
      </c>
      <c r="AP141" s="74" t="e">
        <f>-MAX(AP140,0)*Assump!$D$27</f>
        <v>#REF!</v>
      </c>
      <c r="AQ141" s="74" t="e">
        <f>-MAX(AQ140,0)*Assump!$D$27</f>
        <v>#REF!</v>
      </c>
      <c r="AR141" s="74" t="e">
        <f>-MAX(AR140,0)*Assump!$D$27</f>
        <v>#REF!</v>
      </c>
      <c r="AS141" s="74" t="e">
        <f>-MAX(AS140,0)*Assump!$D$27</f>
        <v>#REF!</v>
      </c>
      <c r="AT141" s="74" t="e">
        <f>-MAX(AT140,0)*Assump!$D$27</f>
        <v>#REF!</v>
      </c>
      <c r="AU141" s="74" t="e">
        <f>-MAX(AU140,0)*Assump!$D$27</f>
        <v>#REF!</v>
      </c>
      <c r="AV141" s="74" t="e">
        <f>-MAX(AV140,0)*Assump!$D$27</f>
        <v>#REF!</v>
      </c>
      <c r="AW141" s="74" t="e">
        <f>-MAX(AW140,0)*Assump!$D$27</f>
        <v>#REF!</v>
      </c>
      <c r="AX141" s="74" t="e">
        <f>-MAX(AX140,0)*Assump!$D$27</f>
        <v>#REF!</v>
      </c>
      <c r="AY141" s="74" t="e">
        <f>-MAX(AY140,0)*Assump!$D$27</f>
        <v>#REF!</v>
      </c>
      <c r="AZ141" s="74" t="e">
        <f>-MAX(AZ140,0)*Assump!$D$27</f>
        <v>#REF!</v>
      </c>
      <c r="BA141" s="74" t="e">
        <f>-MAX(BA140,0)*Assump!$D$27</f>
        <v>#REF!</v>
      </c>
      <c r="BB141" s="74" t="e">
        <f>-MAX(BB140,0)*Assump!$D$27</f>
        <v>#REF!</v>
      </c>
      <c r="BC141" s="74" t="e">
        <f>-MAX(BC140,0)*Assump!$D$27</f>
        <v>#REF!</v>
      </c>
      <c r="BD141" s="74" t="e">
        <f>-MAX(BD140,0)*Assump!$D$27</f>
        <v>#REF!</v>
      </c>
      <c r="BE141" s="74" t="e">
        <f>-MAX(BE140,0)*Assump!$D$27</f>
        <v>#REF!</v>
      </c>
      <c r="BF141" s="74" t="e">
        <f>-MAX(BF140,0)*Assump!$D$27</f>
        <v>#REF!</v>
      </c>
      <c r="BG141" s="74" t="e">
        <f>-MAX(BG140,0)*Assump!$D$27</f>
        <v>#REF!</v>
      </c>
      <c r="BH141" s="74" t="e">
        <f>-MAX(BH140,0)*Assump!$D$27</f>
        <v>#REF!</v>
      </c>
      <c r="BI141" s="74" t="e">
        <f>-MAX(BI140,0)*Assump!$D$27</f>
        <v>#REF!</v>
      </c>
      <c r="BJ141" s="74" t="e">
        <f>-MAX(BJ140,0)*Assump!$D$27</f>
        <v>#REF!</v>
      </c>
      <c r="BK141" s="74" t="e">
        <f>-MAX(BK140,0)*Assump!$D$27</f>
        <v>#REF!</v>
      </c>
      <c r="BL141" s="74" t="e">
        <f>-MAX(BL140,0)*Assump!$D$27</f>
        <v>#REF!</v>
      </c>
      <c r="BM141" s="74" t="e">
        <f>-MAX(BM140,0)*Assump!$D$27</f>
        <v>#REF!</v>
      </c>
      <c r="BN141" s="74" t="e">
        <f>-MAX(BN140,0)*Assump!$D$27</f>
        <v>#REF!</v>
      </c>
      <c r="BO141" s="74" t="e">
        <f>-MAX(BO140,0)*Assump!$D$27</f>
        <v>#REF!</v>
      </c>
      <c r="BP141" s="74" t="e">
        <f>-MAX(BP140,0)*Assump!$D$27</f>
        <v>#REF!</v>
      </c>
      <c r="BQ141" s="74" t="e">
        <f>-MAX(BQ140,0)*Assump!$D$27</f>
        <v>#REF!</v>
      </c>
      <c r="BR141" s="74" t="e">
        <f>-MAX(BR140,0)*Assump!$D$27</f>
        <v>#REF!</v>
      </c>
      <c r="BS141" s="74" t="e">
        <f>-MAX(BS140,0)*Assump!$D$27</f>
        <v>#REF!</v>
      </c>
      <c r="BT141" s="74" t="e">
        <f>-MAX(BT140,0)*Assump!$D$27</f>
        <v>#REF!</v>
      </c>
      <c r="BU141" s="74" t="e">
        <f>-MAX(BU140,0)*Assump!$D$27</f>
        <v>#REF!</v>
      </c>
      <c r="BV141" s="74" t="e">
        <f>-MAX(BV140,0)*Assump!$D$27</f>
        <v>#REF!</v>
      </c>
      <c r="BW141" s="74" t="e">
        <f>-MAX(BW140,0)*Assump!$D$27</f>
        <v>#REF!</v>
      </c>
      <c r="BX141" s="74" t="e">
        <f>-MAX(BX140,0)*Assump!$D$27</f>
        <v>#REF!</v>
      </c>
      <c r="BY141" s="74" t="e">
        <f>-MAX(BY140,0)*Assump!$D$27</f>
        <v>#REF!</v>
      </c>
      <c r="BZ141" s="74" t="e">
        <f>-MAX(BZ140,0)*Assump!$D$27</f>
        <v>#REF!</v>
      </c>
      <c r="CA141" s="74" t="e">
        <f>-MAX(CA140,0)*Assump!$D$27</f>
        <v>#REF!</v>
      </c>
      <c r="CB141" s="74" t="e">
        <f>-MAX(CB140,0)*Assump!$D$27</f>
        <v>#REF!</v>
      </c>
      <c r="CC141" s="74" t="e">
        <f>-MAX(CC140,0)*Assump!$D$27</f>
        <v>#REF!</v>
      </c>
      <c r="CD141" s="74" t="e">
        <f>-MAX(CD140,0)*Assump!$D$27</f>
        <v>#REF!</v>
      </c>
      <c r="CE141" s="74" t="e">
        <f>-MAX(CE140,0)*Assump!$D$27</f>
        <v>#REF!</v>
      </c>
      <c r="CF141" s="74" t="e">
        <f>-MAX(CF140,0)*Assump!$D$27</f>
        <v>#REF!</v>
      </c>
      <c r="CG141" s="74" t="e">
        <f>-MAX(CG140,0)*Assump!$D$27</f>
        <v>#REF!</v>
      </c>
      <c r="CH141" s="74" t="e">
        <f>-MAX(CH140,0)*Assump!$D$27</f>
        <v>#REF!</v>
      </c>
      <c r="CI141" s="74" t="e">
        <f>-MAX(CI140,0)*Assump!$D$27</f>
        <v>#REF!</v>
      </c>
      <c r="CJ141" s="74" t="e">
        <f>-MAX(CJ140,0)*Assump!$D$27</f>
        <v>#REF!</v>
      </c>
      <c r="CK141" s="74" t="e">
        <f>-MAX(CK140,0)*Assump!$D$27</f>
        <v>#REF!</v>
      </c>
      <c r="CL141" s="74" t="e">
        <f>-MAX(CL140,0)*Assump!$D$27</f>
        <v>#REF!</v>
      </c>
      <c r="CM141" s="74" t="e">
        <f>-MAX(CM140,0)*Assump!$D$27</f>
        <v>#REF!</v>
      </c>
      <c r="CN141" s="74" t="e">
        <f>-MAX(CN140,0)*Assump!$D$27</f>
        <v>#REF!</v>
      </c>
      <c r="CO141" s="35"/>
    </row>
    <row r="142" spans="1:93" ht="12.75" customHeight="1" outlineLevel="1">
      <c r="A142" s="35"/>
      <c r="B142" s="444" t="s">
        <v>630</v>
      </c>
      <c r="C142" s="74" t="e">
        <f t="shared" ref="C142" si="87">SUM(D142:CN142)</f>
        <v>#REF!</v>
      </c>
      <c r="D142" s="109"/>
      <c r="E142" s="74" t="e">
        <f>IF(E9&lt;Assump!$D$54,E167*Assump!$D$27+E172*Assump!$D$27,E172*Assump!$D$27)</f>
        <v>#REF!</v>
      </c>
      <c r="F142" s="74" t="e">
        <f>IF(F9&lt;Assump!$D$54,F167*Assump!$D$27+F172*Assump!$D$27,F172*Assump!$D$27)</f>
        <v>#REF!</v>
      </c>
      <c r="G142" s="74" t="e">
        <f>IF(G9&lt;Assump!$D$54,G167*Assump!$D$27+G172*Assump!$D$27,G172*Assump!$D$27)</f>
        <v>#REF!</v>
      </c>
      <c r="H142" s="74" t="e">
        <f>IF(H9&lt;Assump!$D$54,H167*Assump!$D$27+H172*Assump!$D$27,H172*Assump!$D$27)</f>
        <v>#REF!</v>
      </c>
      <c r="I142" s="74" t="e">
        <f>IF(I9&lt;Assump!$D$54,I167*Assump!$D$27+I172*Assump!$D$27,I172*Assump!$D$27)</f>
        <v>#REF!</v>
      </c>
      <c r="J142" s="74" t="e">
        <f>IF(J9&lt;Assump!$D$54,J167*Assump!$D$27+J172*Assump!$D$27,J172*Assump!$D$27)</f>
        <v>#REF!</v>
      </c>
      <c r="K142" s="74" t="e">
        <f>IF(K9&lt;Assump!$D$54,K167*Assump!$D$27+K172*Assump!$D$27,K172*Assump!$D$27)</f>
        <v>#REF!</v>
      </c>
      <c r="L142" s="74" t="e">
        <f>IF(L9&lt;Assump!$D$54,L167*Assump!$D$27+L172*Assump!$D$27,L172*Assump!$D$27)</f>
        <v>#REF!</v>
      </c>
      <c r="M142" s="74" t="e">
        <f>IF(M9&lt;Assump!$D$54,M167*Assump!$D$27+M172*Assump!$D$27,M172*Assump!$D$27)</f>
        <v>#REF!</v>
      </c>
      <c r="N142" s="74" t="e">
        <f>IF(N9&lt;Assump!$D$54,N167*Assump!$D$27+N172*Assump!$D$27,N172*Assump!$D$27)</f>
        <v>#REF!</v>
      </c>
      <c r="O142" s="74" t="e">
        <f>IF(O9&lt;Assump!$D$54,O167*Assump!$D$27+O172*Assump!$D$27,O172*Assump!$D$27)</f>
        <v>#REF!</v>
      </c>
      <c r="P142" s="74" t="e">
        <f>IF(P9&lt;Assump!$D$54,P167*Assump!$D$27+P172*Assump!$D$27,P172*Assump!$D$27)</f>
        <v>#REF!</v>
      </c>
      <c r="Q142" s="74" t="e">
        <f>IF(Q9&lt;Assump!$D$54,Q167*Assump!$D$27+Q172*Assump!$D$27,Q172*Assump!$D$27)</f>
        <v>#REF!</v>
      </c>
      <c r="R142" s="74" t="e">
        <f>IF(R9&lt;Assump!$D$54,R167*Assump!$D$27+R172*Assump!$D$27,R172*Assump!$D$27)</f>
        <v>#REF!</v>
      </c>
      <c r="S142" s="74" t="e">
        <f>IF(S9&lt;Assump!$D$54,S167*Assump!$D$27+S172*Assump!$D$27,S172*Assump!$D$27)</f>
        <v>#REF!</v>
      </c>
      <c r="T142" s="74" t="e">
        <f>IF(T9&lt;Assump!$D$54,T167*Assump!$D$27+T172*Assump!$D$27,T172*Assump!$D$27)</f>
        <v>#REF!</v>
      </c>
      <c r="U142" s="74" t="e">
        <f>IF(U9&lt;Assump!$D$54,U167*Assump!$D$27+U172*Assump!$D$27,U172*Assump!$D$27)</f>
        <v>#REF!</v>
      </c>
      <c r="V142" s="74" t="e">
        <f>IF(V9&lt;Assump!$D$54,V167*Assump!$D$27+V172*Assump!$D$27,V172*Assump!$D$27)</f>
        <v>#REF!</v>
      </c>
      <c r="W142" s="74" t="e">
        <f>IF(W9&lt;Assump!$D$54,W167*Assump!$D$27+W172*Assump!$D$27,W172*Assump!$D$27)</f>
        <v>#REF!</v>
      </c>
      <c r="X142" s="74" t="e">
        <f>IF(X9&lt;Assump!$D$54,X167*Assump!$D$27+X172*Assump!$D$27,X172*Assump!$D$27)</f>
        <v>#REF!</v>
      </c>
      <c r="Y142" s="74" t="e">
        <f>IF(Y9&lt;Assump!$D$54,Y167*Assump!$D$27+Y172*Assump!$D$27,Y172*Assump!$D$27)</f>
        <v>#REF!</v>
      </c>
      <c r="Z142" s="74" t="e">
        <f>IF(Z9&lt;Assump!$D$54,Z167*Assump!$D$27+Z172*Assump!$D$27,Z172*Assump!$D$27)</f>
        <v>#REF!</v>
      </c>
      <c r="AA142" s="74" t="e">
        <f>IF(AA9&lt;Assump!$D$54,AA167*Assump!$D$27+AA172*Assump!$D$27,AA172*Assump!$D$27)</f>
        <v>#REF!</v>
      </c>
      <c r="AB142" s="74" t="e">
        <f>IF(AB9&lt;Assump!$D$54,AB167*Assump!$D$27+AB172*Assump!$D$27,AB172*Assump!$D$27)</f>
        <v>#REF!</v>
      </c>
      <c r="AC142" s="74" t="e">
        <f>IF(AC9&lt;Assump!$D$54,AC167*Assump!$D$27+AC172*Assump!$D$27,AC172*Assump!$D$27)</f>
        <v>#REF!</v>
      </c>
      <c r="AD142" s="74" t="e">
        <f>IF(AD9&lt;Assump!$D$54,AD167*Assump!$D$27+AD172*Assump!$D$27,AD172*Assump!$D$27)</f>
        <v>#REF!</v>
      </c>
      <c r="AE142" s="74" t="e">
        <f>IF(AE9&lt;Assump!$D$54,AE167*Assump!$D$27+AE172*Assump!$D$27,AE172*Assump!$D$27)</f>
        <v>#REF!</v>
      </c>
      <c r="AF142" s="74" t="e">
        <f>IF(AF9&lt;Assump!$D$54,AF167*Assump!$D$27+AF172*Assump!$D$27,AF172*Assump!$D$27)</f>
        <v>#REF!</v>
      </c>
      <c r="AG142" s="74" t="e">
        <f>IF(AG9&lt;Assump!$D$54,AG167*Assump!$D$27+AG172*Assump!$D$27,AG172*Assump!$D$27)</f>
        <v>#REF!</v>
      </c>
      <c r="AH142" s="74" t="e">
        <f>IF(AH9&lt;Assump!$D$54,AH167*Assump!$D$27+AH172*Assump!$D$27,AH172*Assump!$D$27)</f>
        <v>#REF!</v>
      </c>
      <c r="AI142" s="74" t="e">
        <f>IF(AI9&lt;Assump!$D$54,AI167*Assump!$D$27+AI172*Assump!$D$27,AI172*Assump!$D$27)</f>
        <v>#REF!</v>
      </c>
      <c r="AJ142" s="74" t="e">
        <f>IF(AJ9&lt;Assump!$D$54,AJ167*Assump!$D$27+AJ172*Assump!$D$27,AJ172*Assump!$D$27)</f>
        <v>#REF!</v>
      </c>
      <c r="AK142" s="74" t="e">
        <f>IF(AK9&lt;Assump!$D$54,AK167*Assump!$D$27+AK172*Assump!$D$27,AK172*Assump!$D$27)</f>
        <v>#REF!</v>
      </c>
      <c r="AL142" s="74" t="e">
        <f>IF(AL9&lt;Assump!$D$54,AL167*Assump!$D$27+AL172*Assump!$D$27,AL172*Assump!$D$27)</f>
        <v>#REF!</v>
      </c>
      <c r="AM142" s="74" t="e">
        <f>IF(AM9&lt;Assump!$D$54,AM167*Assump!$D$27+AM172*Assump!$D$27,AM172*Assump!$D$27)</f>
        <v>#REF!</v>
      </c>
      <c r="AN142" s="74" t="e">
        <f>IF(AN9&lt;Assump!$D$54,AN167*Assump!$D$27+AN172*Assump!$D$27,AN172*Assump!$D$27)</f>
        <v>#REF!</v>
      </c>
      <c r="AO142" s="74" t="e">
        <f>IF(AO9&lt;Assump!$D$54,AO167*Assump!$D$27+AO172*Assump!$D$27,AO172*Assump!$D$27)</f>
        <v>#REF!</v>
      </c>
      <c r="AP142" s="74" t="e">
        <f>IF(AP9&lt;Assump!$D$54,AP167*Assump!$D$27+AP172*Assump!$D$27,AP172*Assump!$D$27)</f>
        <v>#REF!</v>
      </c>
      <c r="AQ142" s="74" t="e">
        <f>IF(AQ9&lt;Assump!$D$54,AQ167*Assump!$D$27+AQ172*Assump!$D$27,AQ172*Assump!$D$27)</f>
        <v>#REF!</v>
      </c>
      <c r="AR142" s="74" t="e">
        <f>IF(AR9&lt;Assump!$D$54,AR167*Assump!$D$27+AR172*Assump!$D$27,AR172*Assump!$D$27)</f>
        <v>#REF!</v>
      </c>
      <c r="AS142" s="74" t="e">
        <f>IF(AS9&lt;Assump!$D$54,AS167*Assump!$D$27+AS172*Assump!$D$27,AS172*Assump!$D$27)</f>
        <v>#REF!</v>
      </c>
      <c r="AT142" s="74" t="e">
        <f>IF(AT9&lt;Assump!$D$54,AT167*Assump!$D$27+AT172*Assump!$D$27,AT172*Assump!$D$27)</f>
        <v>#REF!</v>
      </c>
      <c r="AU142" s="74" t="e">
        <f>IF(AU9&lt;Assump!$D$54,AU167*Assump!$D$27+AU172*Assump!$D$27,AU172*Assump!$D$27)</f>
        <v>#REF!</v>
      </c>
      <c r="AV142" s="74" t="e">
        <f>IF(AV9&lt;Assump!$D$54,AV167*Assump!$D$27+AV172*Assump!$D$27,AV172*Assump!$D$27)</f>
        <v>#REF!</v>
      </c>
      <c r="AW142" s="74" t="e">
        <f>IF(AW9&lt;Assump!$D$54,AW167*Assump!$D$27+AW172*Assump!$D$27,AW172*Assump!$D$27)</f>
        <v>#REF!</v>
      </c>
      <c r="AX142" s="74" t="e">
        <f>IF(AX9&lt;Assump!$D$54,AX167*Assump!$D$27+AX172*Assump!$D$27,AX172*Assump!$D$27)</f>
        <v>#REF!</v>
      </c>
      <c r="AY142" s="74" t="e">
        <f>IF(AY9&lt;Assump!$D$54,AY167*Assump!$D$27+AY172*Assump!$D$27,AY172*Assump!$D$27)</f>
        <v>#REF!</v>
      </c>
      <c r="AZ142" s="74" t="e">
        <f>IF(AZ9&lt;Assump!$D$54,AZ167*Assump!$D$27+AZ172*Assump!$D$27,AZ172*Assump!$D$27)</f>
        <v>#REF!</v>
      </c>
      <c r="BA142" s="74" t="e">
        <f>IF(BA9&lt;Assump!$D$54,BA167*Assump!$D$27+BA172*Assump!$D$27,BA172*Assump!$D$27)</f>
        <v>#REF!</v>
      </c>
      <c r="BB142" s="74" t="e">
        <f>IF(BB9&lt;Assump!$D$54,BB167*Assump!$D$27+BB172*Assump!$D$27,BB172*Assump!$D$27)</f>
        <v>#REF!</v>
      </c>
      <c r="BC142" s="74" t="e">
        <f>IF(BC9&lt;Assump!$D$54,BC167*Assump!$D$27+BC172*Assump!$D$27,BC172*Assump!$D$27)</f>
        <v>#REF!</v>
      </c>
      <c r="BD142" s="74" t="e">
        <f>IF(BD9&lt;Assump!$D$54,BD167*Assump!$D$27+BD172*Assump!$D$27,BD172*Assump!$D$27)</f>
        <v>#REF!</v>
      </c>
      <c r="BE142" s="74" t="e">
        <f>IF(BE9&lt;Assump!$D$54,BE167*Assump!$D$27+BE172*Assump!$D$27,BE172*Assump!$D$27)</f>
        <v>#REF!</v>
      </c>
      <c r="BF142" s="74" t="e">
        <f>IF(BF9&lt;Assump!$D$54,BF167*Assump!$D$27+BF172*Assump!$D$27,BF172*Assump!$D$27)</f>
        <v>#REF!</v>
      </c>
      <c r="BG142" s="74" t="e">
        <f>IF(BG9&lt;Assump!$D$54,BG167*Assump!$D$27+BG172*Assump!$D$27,BG172*Assump!$D$27)</f>
        <v>#REF!</v>
      </c>
      <c r="BH142" s="74" t="e">
        <f>IF(BH9&lt;Assump!$D$54,BH167*Assump!$D$27+BH172*Assump!$D$27,BH172*Assump!$D$27)</f>
        <v>#REF!</v>
      </c>
      <c r="BI142" s="74" t="e">
        <f>IF(BI9&lt;Assump!$D$54,BI167*Assump!$D$27+BI172*Assump!$D$27,BI172*Assump!$D$27)</f>
        <v>#REF!</v>
      </c>
      <c r="BJ142" s="74" t="e">
        <f>IF(BJ9&lt;Assump!$D$54,BJ167*Assump!$D$27+BJ172*Assump!$D$27,BJ172*Assump!$D$27)</f>
        <v>#REF!</v>
      </c>
      <c r="BK142" s="74" t="e">
        <f>IF(BK9&lt;Assump!$D$54,BK167*Assump!$D$27+BK172*Assump!$D$27,BK172*Assump!$D$27)</f>
        <v>#REF!</v>
      </c>
      <c r="BL142" s="74" t="e">
        <f>IF(BL9&lt;Assump!$D$54,BL167*Assump!$D$27+BL172*Assump!$D$27,BL172*Assump!$D$27)</f>
        <v>#REF!</v>
      </c>
      <c r="BM142" s="74" t="e">
        <f>IF(BM9&lt;Assump!$D$54,BM167*Assump!$D$27+BM172*Assump!$D$27,BM172*Assump!$D$27)</f>
        <v>#REF!</v>
      </c>
      <c r="BN142" s="74" t="e">
        <f>IF(BN9&lt;Assump!$D$54,BN167*Assump!$D$27+BN172*Assump!$D$27,BN172*Assump!$D$27)</f>
        <v>#REF!</v>
      </c>
      <c r="BO142" s="74" t="e">
        <f>IF(BO9&lt;Assump!$D$54,BO167*Assump!$D$27+BO172*Assump!$D$27,BO172*Assump!$D$27)</f>
        <v>#REF!</v>
      </c>
      <c r="BP142" s="74" t="e">
        <f>IF(BP9&lt;Assump!$D$54,BP167*Assump!$D$27+BP172*Assump!$D$27,BP172*Assump!$D$27)</f>
        <v>#REF!</v>
      </c>
      <c r="BQ142" s="74" t="e">
        <f>IF(BQ9&lt;Assump!$D$54,BQ167*Assump!$D$27+BQ172*Assump!$D$27,BQ172*Assump!$D$27)</f>
        <v>#REF!</v>
      </c>
      <c r="BR142" s="74" t="e">
        <f>IF(BR9&lt;Assump!$D$54,BR167*Assump!$D$27+BR172*Assump!$D$27,BR172*Assump!$D$27)</f>
        <v>#REF!</v>
      </c>
      <c r="BS142" s="74" t="e">
        <f>IF(BS9&lt;Assump!$D$54,BS167*Assump!$D$27+BS172*Assump!$D$27,BS172*Assump!$D$27)</f>
        <v>#REF!</v>
      </c>
      <c r="BT142" s="74" t="e">
        <f>IF(BT9&lt;Assump!$D$54,BT167*Assump!$D$27+BT172*Assump!$D$27,BT172*Assump!$D$27)</f>
        <v>#REF!</v>
      </c>
      <c r="BU142" s="74" t="e">
        <f>IF(BU9&lt;Assump!$D$54,BU167*Assump!$D$27+BU172*Assump!$D$27,BU172*Assump!$D$27)</f>
        <v>#REF!</v>
      </c>
      <c r="BV142" s="74" t="e">
        <f>IF(BV9&lt;Assump!$D$54,BV167*Assump!$D$27+BV172*Assump!$D$27,BV172*Assump!$D$27)</f>
        <v>#REF!</v>
      </c>
      <c r="BW142" s="74" t="e">
        <f>IF(BW9&lt;Assump!$D$54,BW167*Assump!$D$27+BW172*Assump!$D$27,BW172*Assump!$D$27)</f>
        <v>#REF!</v>
      </c>
      <c r="BX142" s="74" t="e">
        <f>IF(BX9&lt;Assump!$D$54,BX167*Assump!$D$27+BX172*Assump!$D$27,BX172*Assump!$D$27)</f>
        <v>#REF!</v>
      </c>
      <c r="BY142" s="74" t="e">
        <f>IF(BY9&lt;Assump!$D$54,BY167*Assump!$D$27+BY172*Assump!$D$27,BY172*Assump!$D$27)</f>
        <v>#REF!</v>
      </c>
      <c r="BZ142" s="74" t="e">
        <f>IF(BZ9&lt;Assump!$D$54,BZ167*Assump!$D$27+BZ172*Assump!$D$27,BZ172*Assump!$D$27)</f>
        <v>#REF!</v>
      </c>
      <c r="CA142" s="74" t="e">
        <f>IF(CA9&lt;Assump!$D$54,CA167*Assump!$D$27+CA172*Assump!$D$27,CA172*Assump!$D$27)</f>
        <v>#REF!</v>
      </c>
      <c r="CB142" s="74" t="e">
        <f>IF(CB9&lt;Assump!$D$54,CB167*Assump!$D$27+CB172*Assump!$D$27,CB172*Assump!$D$27)</f>
        <v>#REF!</v>
      </c>
      <c r="CC142" s="74" t="e">
        <f>IF(CC9&lt;Assump!$D$54,CC167*Assump!$D$27+CC172*Assump!$D$27,CC172*Assump!$D$27)</f>
        <v>#REF!</v>
      </c>
      <c r="CD142" s="74" t="e">
        <f>IF(CD9&lt;Assump!$D$54,CD167*Assump!$D$27+CD172*Assump!$D$27,CD172*Assump!$D$27)</f>
        <v>#REF!</v>
      </c>
      <c r="CE142" s="74" t="e">
        <f>IF(CE9&lt;Assump!$D$54,CE167*Assump!$D$27+CE172*Assump!$D$27,CE172*Assump!$D$27)</f>
        <v>#REF!</v>
      </c>
      <c r="CF142" s="74" t="e">
        <f>IF(CF9&lt;Assump!$D$54,CF167*Assump!$D$27+CF172*Assump!$D$27,CF172*Assump!$D$27)</f>
        <v>#REF!</v>
      </c>
      <c r="CG142" s="74" t="e">
        <f>IF(CG9&lt;Assump!$D$54,CG167*Assump!$D$27+CG172*Assump!$D$27,CG172*Assump!$D$27)</f>
        <v>#REF!</v>
      </c>
      <c r="CH142" s="74" t="e">
        <f>IF(CH9&lt;Assump!$D$54,CH167*Assump!$D$27+CH172*Assump!$D$27,CH172*Assump!$D$27)</f>
        <v>#REF!</v>
      </c>
      <c r="CI142" s="74" t="e">
        <f>IF(CI9&lt;Assump!$D$54,CI167*Assump!$D$27+CI172*Assump!$D$27,CI172*Assump!$D$27)</f>
        <v>#REF!</v>
      </c>
      <c r="CJ142" s="74" t="e">
        <f>IF(CJ9&lt;Assump!$D$54,CJ167*Assump!$D$27+CJ172*Assump!$D$27,CJ172*Assump!$D$27)</f>
        <v>#REF!</v>
      </c>
      <c r="CK142" s="74" t="e">
        <f>IF(CK9&lt;Assump!$D$54,CK167*Assump!$D$27+CK172*Assump!$D$27,CK172*Assump!$D$27)</f>
        <v>#REF!</v>
      </c>
      <c r="CL142" s="74" t="e">
        <f>IF(CL9&lt;Assump!$D$54,CL167*Assump!$D$27+CL172*Assump!$D$27,CL172*Assump!$D$27)</f>
        <v>#REF!</v>
      </c>
      <c r="CM142" s="74" t="e">
        <f>IF(CM9&lt;Assump!$D$54,CM167*Assump!$D$27+CM172*Assump!$D$27,CM172*Assump!$D$27)</f>
        <v>#REF!</v>
      </c>
      <c r="CN142" s="74" t="e">
        <f>IF(CN9&lt;Assump!$D$54,CN167*Assump!$D$27+CN172*Assump!$D$27,CN172*Assump!$D$27)</f>
        <v>#REF!</v>
      </c>
      <c r="CO142" s="35"/>
    </row>
    <row r="143" spans="1:93" ht="12.75" customHeight="1" outlineLevel="1">
      <c r="A143" s="35"/>
      <c r="B143" s="63"/>
      <c r="C143" s="35"/>
      <c r="D143" s="60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</row>
    <row r="144" spans="1:93" ht="12.75" customHeight="1" outlineLevel="1">
      <c r="A144" s="35"/>
      <c r="B144" s="35" t="s">
        <v>226</v>
      </c>
      <c r="C144" s="35"/>
      <c r="D144" s="60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</row>
    <row r="145" spans="1:93" ht="12.75" customHeight="1" outlineLevel="1">
      <c r="A145" s="35"/>
      <c r="B145" s="49" t="s">
        <v>228</v>
      </c>
      <c r="C145" s="50"/>
      <c r="D145" s="53"/>
      <c r="E145" s="50">
        <f t="shared" ref="E145:CN145" si="88">D148</f>
        <v>0</v>
      </c>
      <c r="F145" s="50" t="e">
        <f t="shared" si="88"/>
        <v>#REF!</v>
      </c>
      <c r="G145" s="50" t="e">
        <f t="shared" si="88"/>
        <v>#REF!</v>
      </c>
      <c r="H145" s="50" t="e">
        <f t="shared" si="88"/>
        <v>#REF!</v>
      </c>
      <c r="I145" s="50" t="e">
        <f t="shared" si="88"/>
        <v>#REF!</v>
      </c>
      <c r="J145" s="50" t="e">
        <f t="shared" si="88"/>
        <v>#REF!</v>
      </c>
      <c r="K145" s="50" t="e">
        <f t="shared" si="88"/>
        <v>#REF!</v>
      </c>
      <c r="L145" s="50" t="e">
        <f t="shared" si="88"/>
        <v>#REF!</v>
      </c>
      <c r="M145" s="50" t="e">
        <f t="shared" si="88"/>
        <v>#REF!</v>
      </c>
      <c r="N145" s="50" t="e">
        <f t="shared" si="88"/>
        <v>#REF!</v>
      </c>
      <c r="O145" s="50" t="e">
        <f t="shared" si="88"/>
        <v>#REF!</v>
      </c>
      <c r="P145" s="50" t="e">
        <f t="shared" si="88"/>
        <v>#REF!</v>
      </c>
      <c r="Q145" s="50" t="e">
        <f t="shared" si="88"/>
        <v>#REF!</v>
      </c>
      <c r="R145" s="50" t="e">
        <f t="shared" si="88"/>
        <v>#REF!</v>
      </c>
      <c r="S145" s="50" t="e">
        <f t="shared" si="88"/>
        <v>#REF!</v>
      </c>
      <c r="T145" s="50" t="e">
        <f t="shared" si="88"/>
        <v>#REF!</v>
      </c>
      <c r="U145" s="50" t="e">
        <f t="shared" si="88"/>
        <v>#REF!</v>
      </c>
      <c r="V145" s="50" t="e">
        <f t="shared" si="88"/>
        <v>#REF!</v>
      </c>
      <c r="W145" s="50" t="e">
        <f t="shared" si="88"/>
        <v>#REF!</v>
      </c>
      <c r="X145" s="50" t="e">
        <f t="shared" si="88"/>
        <v>#REF!</v>
      </c>
      <c r="Y145" s="50" t="e">
        <f t="shared" si="88"/>
        <v>#REF!</v>
      </c>
      <c r="Z145" s="50" t="e">
        <f t="shared" si="88"/>
        <v>#REF!</v>
      </c>
      <c r="AA145" s="50" t="e">
        <f t="shared" si="88"/>
        <v>#REF!</v>
      </c>
      <c r="AB145" s="50" t="e">
        <f t="shared" si="88"/>
        <v>#REF!</v>
      </c>
      <c r="AC145" s="50" t="e">
        <f t="shared" si="88"/>
        <v>#REF!</v>
      </c>
      <c r="AD145" s="50" t="e">
        <f t="shared" si="88"/>
        <v>#REF!</v>
      </c>
      <c r="AE145" s="50" t="e">
        <f t="shared" si="88"/>
        <v>#REF!</v>
      </c>
      <c r="AF145" s="50" t="e">
        <f t="shared" si="88"/>
        <v>#REF!</v>
      </c>
      <c r="AG145" s="50" t="e">
        <f t="shared" si="88"/>
        <v>#REF!</v>
      </c>
      <c r="AH145" s="50" t="e">
        <f t="shared" si="88"/>
        <v>#REF!</v>
      </c>
      <c r="AI145" s="50" t="e">
        <f t="shared" si="88"/>
        <v>#REF!</v>
      </c>
      <c r="AJ145" s="50" t="e">
        <f t="shared" si="88"/>
        <v>#REF!</v>
      </c>
      <c r="AK145" s="50" t="e">
        <f t="shared" si="88"/>
        <v>#REF!</v>
      </c>
      <c r="AL145" s="50" t="e">
        <f t="shared" si="88"/>
        <v>#REF!</v>
      </c>
      <c r="AM145" s="50" t="e">
        <f t="shared" si="88"/>
        <v>#REF!</v>
      </c>
      <c r="AN145" s="50" t="e">
        <f t="shared" si="88"/>
        <v>#REF!</v>
      </c>
      <c r="AO145" s="50" t="e">
        <f t="shared" si="88"/>
        <v>#REF!</v>
      </c>
      <c r="AP145" s="50" t="e">
        <f t="shared" si="88"/>
        <v>#REF!</v>
      </c>
      <c r="AQ145" s="50" t="e">
        <f t="shared" si="88"/>
        <v>#REF!</v>
      </c>
      <c r="AR145" s="50" t="e">
        <f t="shared" si="88"/>
        <v>#REF!</v>
      </c>
      <c r="AS145" s="50" t="e">
        <f t="shared" si="88"/>
        <v>#REF!</v>
      </c>
      <c r="AT145" s="50" t="e">
        <f t="shared" si="88"/>
        <v>#REF!</v>
      </c>
      <c r="AU145" s="50" t="e">
        <f t="shared" si="88"/>
        <v>#REF!</v>
      </c>
      <c r="AV145" s="50" t="e">
        <f t="shared" si="88"/>
        <v>#REF!</v>
      </c>
      <c r="AW145" s="50" t="e">
        <f t="shared" si="88"/>
        <v>#REF!</v>
      </c>
      <c r="AX145" s="50" t="e">
        <f t="shared" si="88"/>
        <v>#REF!</v>
      </c>
      <c r="AY145" s="50" t="e">
        <f t="shared" si="88"/>
        <v>#REF!</v>
      </c>
      <c r="AZ145" s="50" t="e">
        <f t="shared" si="88"/>
        <v>#REF!</v>
      </c>
      <c r="BA145" s="50" t="e">
        <f t="shared" si="88"/>
        <v>#REF!</v>
      </c>
      <c r="BB145" s="50" t="e">
        <f t="shared" si="88"/>
        <v>#REF!</v>
      </c>
      <c r="BC145" s="50" t="e">
        <f t="shared" si="88"/>
        <v>#REF!</v>
      </c>
      <c r="BD145" s="50" t="e">
        <f t="shared" si="88"/>
        <v>#REF!</v>
      </c>
      <c r="BE145" s="50" t="e">
        <f t="shared" si="88"/>
        <v>#REF!</v>
      </c>
      <c r="BF145" s="50" t="e">
        <f t="shared" si="88"/>
        <v>#REF!</v>
      </c>
      <c r="BG145" s="50" t="e">
        <f t="shared" si="88"/>
        <v>#REF!</v>
      </c>
      <c r="BH145" s="50" t="e">
        <f t="shared" si="88"/>
        <v>#REF!</v>
      </c>
      <c r="BI145" s="50" t="e">
        <f t="shared" si="88"/>
        <v>#REF!</v>
      </c>
      <c r="BJ145" s="50" t="e">
        <f t="shared" si="88"/>
        <v>#REF!</v>
      </c>
      <c r="BK145" s="50" t="e">
        <f t="shared" si="88"/>
        <v>#REF!</v>
      </c>
      <c r="BL145" s="50" t="e">
        <f t="shared" si="88"/>
        <v>#REF!</v>
      </c>
      <c r="BM145" s="50" t="e">
        <f t="shared" si="88"/>
        <v>#REF!</v>
      </c>
      <c r="BN145" s="50" t="e">
        <f t="shared" si="88"/>
        <v>#REF!</v>
      </c>
      <c r="BO145" s="50" t="e">
        <f t="shared" si="88"/>
        <v>#REF!</v>
      </c>
      <c r="BP145" s="50" t="e">
        <f t="shared" si="88"/>
        <v>#REF!</v>
      </c>
      <c r="BQ145" s="50" t="e">
        <f t="shared" si="88"/>
        <v>#REF!</v>
      </c>
      <c r="BR145" s="50" t="e">
        <f t="shared" si="88"/>
        <v>#REF!</v>
      </c>
      <c r="BS145" s="50" t="e">
        <f t="shared" si="88"/>
        <v>#REF!</v>
      </c>
      <c r="BT145" s="50" t="e">
        <f t="shared" si="88"/>
        <v>#REF!</v>
      </c>
      <c r="BU145" s="50" t="e">
        <f t="shared" si="88"/>
        <v>#REF!</v>
      </c>
      <c r="BV145" s="50" t="e">
        <f t="shared" si="88"/>
        <v>#REF!</v>
      </c>
      <c r="BW145" s="50" t="e">
        <f t="shared" si="88"/>
        <v>#REF!</v>
      </c>
      <c r="BX145" s="50" t="e">
        <f t="shared" si="88"/>
        <v>#REF!</v>
      </c>
      <c r="BY145" s="50" t="e">
        <f t="shared" si="88"/>
        <v>#REF!</v>
      </c>
      <c r="BZ145" s="50" t="e">
        <f t="shared" si="88"/>
        <v>#REF!</v>
      </c>
      <c r="CA145" s="50" t="e">
        <f t="shared" si="88"/>
        <v>#REF!</v>
      </c>
      <c r="CB145" s="50" t="e">
        <f t="shared" si="88"/>
        <v>#REF!</v>
      </c>
      <c r="CC145" s="50" t="e">
        <f t="shared" si="88"/>
        <v>#REF!</v>
      </c>
      <c r="CD145" s="50" t="e">
        <f t="shared" si="88"/>
        <v>#REF!</v>
      </c>
      <c r="CE145" s="50" t="e">
        <f t="shared" si="88"/>
        <v>#REF!</v>
      </c>
      <c r="CF145" s="50" t="e">
        <f t="shared" si="88"/>
        <v>#REF!</v>
      </c>
      <c r="CG145" s="50" t="e">
        <f t="shared" si="88"/>
        <v>#REF!</v>
      </c>
      <c r="CH145" s="50" t="e">
        <f t="shared" si="88"/>
        <v>#REF!</v>
      </c>
      <c r="CI145" s="50" t="e">
        <f t="shared" si="88"/>
        <v>#REF!</v>
      </c>
      <c r="CJ145" s="50" t="e">
        <f t="shared" si="88"/>
        <v>#REF!</v>
      </c>
      <c r="CK145" s="50" t="e">
        <f t="shared" si="88"/>
        <v>#REF!</v>
      </c>
      <c r="CL145" s="50" t="e">
        <f t="shared" si="88"/>
        <v>#REF!</v>
      </c>
      <c r="CM145" s="50" t="e">
        <f t="shared" si="88"/>
        <v>#REF!</v>
      </c>
      <c r="CN145" s="50" t="e">
        <f t="shared" si="88"/>
        <v>#REF!</v>
      </c>
      <c r="CO145" s="35"/>
    </row>
    <row r="146" spans="1:93" ht="12.75" customHeight="1" outlineLevel="1">
      <c r="A146" s="35"/>
      <c r="B146" s="63" t="s">
        <v>226</v>
      </c>
      <c r="C146" s="35" t="e">
        <f t="shared" ref="C146:C147" si="89">SUM(D146:CN146)</f>
        <v>#REF!</v>
      </c>
      <c r="D146" s="60">
        <f t="shared" ref="D146:CN146" si="90">-MIN(D138,0)</f>
        <v>0</v>
      </c>
      <c r="E146" s="35" t="e">
        <f t="shared" si="90"/>
        <v>#REF!</v>
      </c>
      <c r="F146" s="35" t="e">
        <f t="shared" si="90"/>
        <v>#REF!</v>
      </c>
      <c r="G146" s="35" t="e">
        <f t="shared" si="90"/>
        <v>#REF!</v>
      </c>
      <c r="H146" s="35" t="e">
        <f t="shared" si="90"/>
        <v>#REF!</v>
      </c>
      <c r="I146" s="35" t="e">
        <f t="shared" si="90"/>
        <v>#REF!</v>
      </c>
      <c r="J146" s="35" t="e">
        <f t="shared" si="90"/>
        <v>#REF!</v>
      </c>
      <c r="K146" s="35" t="e">
        <f t="shared" si="90"/>
        <v>#REF!</v>
      </c>
      <c r="L146" s="35" t="e">
        <f t="shared" si="90"/>
        <v>#REF!</v>
      </c>
      <c r="M146" s="35" t="e">
        <f t="shared" si="90"/>
        <v>#REF!</v>
      </c>
      <c r="N146" s="35" t="e">
        <f t="shared" si="90"/>
        <v>#REF!</v>
      </c>
      <c r="O146" s="35" t="e">
        <f t="shared" si="90"/>
        <v>#REF!</v>
      </c>
      <c r="P146" s="35" t="e">
        <f t="shared" si="90"/>
        <v>#REF!</v>
      </c>
      <c r="Q146" s="35" t="e">
        <f t="shared" si="90"/>
        <v>#REF!</v>
      </c>
      <c r="R146" s="35" t="e">
        <f t="shared" si="90"/>
        <v>#REF!</v>
      </c>
      <c r="S146" s="35" t="e">
        <f t="shared" si="90"/>
        <v>#REF!</v>
      </c>
      <c r="T146" s="35" t="e">
        <f t="shared" si="90"/>
        <v>#REF!</v>
      </c>
      <c r="U146" s="35" t="e">
        <f t="shared" si="90"/>
        <v>#REF!</v>
      </c>
      <c r="V146" s="35" t="e">
        <f t="shared" si="90"/>
        <v>#REF!</v>
      </c>
      <c r="W146" s="35" t="e">
        <f t="shared" si="90"/>
        <v>#REF!</v>
      </c>
      <c r="X146" s="35" t="e">
        <f t="shared" si="90"/>
        <v>#REF!</v>
      </c>
      <c r="Y146" s="35" t="e">
        <f t="shared" si="90"/>
        <v>#REF!</v>
      </c>
      <c r="Z146" s="35" t="e">
        <f t="shared" si="90"/>
        <v>#REF!</v>
      </c>
      <c r="AA146" s="35" t="e">
        <f t="shared" si="90"/>
        <v>#REF!</v>
      </c>
      <c r="AB146" s="35" t="e">
        <f t="shared" si="90"/>
        <v>#REF!</v>
      </c>
      <c r="AC146" s="35" t="e">
        <f t="shared" si="90"/>
        <v>#REF!</v>
      </c>
      <c r="AD146" s="35" t="e">
        <f t="shared" si="90"/>
        <v>#REF!</v>
      </c>
      <c r="AE146" s="35" t="e">
        <f t="shared" si="90"/>
        <v>#REF!</v>
      </c>
      <c r="AF146" s="35" t="e">
        <f t="shared" si="90"/>
        <v>#REF!</v>
      </c>
      <c r="AG146" s="35" t="e">
        <f t="shared" si="90"/>
        <v>#REF!</v>
      </c>
      <c r="AH146" s="35" t="e">
        <f t="shared" si="90"/>
        <v>#REF!</v>
      </c>
      <c r="AI146" s="35" t="e">
        <f t="shared" si="90"/>
        <v>#REF!</v>
      </c>
      <c r="AJ146" s="35" t="e">
        <f t="shared" si="90"/>
        <v>#REF!</v>
      </c>
      <c r="AK146" s="35" t="e">
        <f t="shared" si="90"/>
        <v>#REF!</v>
      </c>
      <c r="AL146" s="35" t="e">
        <f t="shared" si="90"/>
        <v>#REF!</v>
      </c>
      <c r="AM146" s="35" t="e">
        <f t="shared" si="90"/>
        <v>#REF!</v>
      </c>
      <c r="AN146" s="35" t="e">
        <f t="shared" si="90"/>
        <v>#REF!</v>
      </c>
      <c r="AO146" s="35" t="e">
        <f t="shared" si="90"/>
        <v>#REF!</v>
      </c>
      <c r="AP146" s="35" t="e">
        <f t="shared" si="90"/>
        <v>#REF!</v>
      </c>
      <c r="AQ146" s="35" t="e">
        <f t="shared" si="90"/>
        <v>#REF!</v>
      </c>
      <c r="AR146" s="35" t="e">
        <f t="shared" si="90"/>
        <v>#REF!</v>
      </c>
      <c r="AS146" s="35" t="e">
        <f t="shared" si="90"/>
        <v>#REF!</v>
      </c>
      <c r="AT146" s="35" t="e">
        <f t="shared" si="90"/>
        <v>#REF!</v>
      </c>
      <c r="AU146" s="35" t="e">
        <f t="shared" si="90"/>
        <v>#REF!</v>
      </c>
      <c r="AV146" s="35" t="e">
        <f t="shared" si="90"/>
        <v>#REF!</v>
      </c>
      <c r="AW146" s="35" t="e">
        <f t="shared" si="90"/>
        <v>#REF!</v>
      </c>
      <c r="AX146" s="35" t="e">
        <f t="shared" si="90"/>
        <v>#REF!</v>
      </c>
      <c r="AY146" s="35" t="e">
        <f t="shared" si="90"/>
        <v>#REF!</v>
      </c>
      <c r="AZ146" s="35" t="e">
        <f t="shared" si="90"/>
        <v>#REF!</v>
      </c>
      <c r="BA146" s="35" t="e">
        <f t="shared" si="90"/>
        <v>#REF!</v>
      </c>
      <c r="BB146" s="35" t="e">
        <f t="shared" si="90"/>
        <v>#REF!</v>
      </c>
      <c r="BC146" s="35" t="e">
        <f t="shared" si="90"/>
        <v>#REF!</v>
      </c>
      <c r="BD146" s="35" t="e">
        <f t="shared" si="90"/>
        <v>#REF!</v>
      </c>
      <c r="BE146" s="35" t="e">
        <f t="shared" si="90"/>
        <v>#REF!</v>
      </c>
      <c r="BF146" s="35" t="e">
        <f t="shared" si="90"/>
        <v>#REF!</v>
      </c>
      <c r="BG146" s="35" t="e">
        <f t="shared" si="90"/>
        <v>#REF!</v>
      </c>
      <c r="BH146" s="35" t="e">
        <f t="shared" si="90"/>
        <v>#REF!</v>
      </c>
      <c r="BI146" s="35" t="e">
        <f t="shared" si="90"/>
        <v>#REF!</v>
      </c>
      <c r="BJ146" s="35" t="e">
        <f t="shared" si="90"/>
        <v>#REF!</v>
      </c>
      <c r="BK146" s="35" t="e">
        <f t="shared" si="90"/>
        <v>#REF!</v>
      </c>
      <c r="BL146" s="35" t="e">
        <f t="shared" si="90"/>
        <v>#REF!</v>
      </c>
      <c r="BM146" s="35" t="e">
        <f t="shared" si="90"/>
        <v>#REF!</v>
      </c>
      <c r="BN146" s="35" t="e">
        <f t="shared" si="90"/>
        <v>#REF!</v>
      </c>
      <c r="BO146" s="35" t="e">
        <f t="shared" si="90"/>
        <v>#REF!</v>
      </c>
      <c r="BP146" s="35" t="e">
        <f t="shared" si="90"/>
        <v>#REF!</v>
      </c>
      <c r="BQ146" s="35" t="e">
        <f t="shared" si="90"/>
        <v>#REF!</v>
      </c>
      <c r="BR146" s="35" t="e">
        <f t="shared" si="90"/>
        <v>#REF!</v>
      </c>
      <c r="BS146" s="35" t="e">
        <f t="shared" si="90"/>
        <v>#REF!</v>
      </c>
      <c r="BT146" s="35" t="e">
        <f t="shared" si="90"/>
        <v>#REF!</v>
      </c>
      <c r="BU146" s="35" t="e">
        <f t="shared" si="90"/>
        <v>#REF!</v>
      </c>
      <c r="BV146" s="35" t="e">
        <f t="shared" si="90"/>
        <v>#REF!</v>
      </c>
      <c r="BW146" s="35" t="e">
        <f t="shared" si="90"/>
        <v>#REF!</v>
      </c>
      <c r="BX146" s="35" t="e">
        <f t="shared" si="90"/>
        <v>#REF!</v>
      </c>
      <c r="BY146" s="35" t="e">
        <f t="shared" si="90"/>
        <v>#REF!</v>
      </c>
      <c r="BZ146" s="35" t="e">
        <f t="shared" si="90"/>
        <v>#REF!</v>
      </c>
      <c r="CA146" s="35" t="e">
        <f t="shared" si="90"/>
        <v>#REF!</v>
      </c>
      <c r="CB146" s="35" t="e">
        <f t="shared" si="90"/>
        <v>#REF!</v>
      </c>
      <c r="CC146" s="35" t="e">
        <f t="shared" si="90"/>
        <v>#REF!</v>
      </c>
      <c r="CD146" s="35" t="e">
        <f t="shared" si="90"/>
        <v>#REF!</v>
      </c>
      <c r="CE146" s="35" t="e">
        <f t="shared" si="90"/>
        <v>#REF!</v>
      </c>
      <c r="CF146" s="35" t="e">
        <f t="shared" si="90"/>
        <v>#REF!</v>
      </c>
      <c r="CG146" s="35" t="e">
        <f t="shared" si="90"/>
        <v>#REF!</v>
      </c>
      <c r="CH146" s="35" t="e">
        <f t="shared" si="90"/>
        <v>#REF!</v>
      </c>
      <c r="CI146" s="35" t="e">
        <f t="shared" si="90"/>
        <v>#REF!</v>
      </c>
      <c r="CJ146" s="35" t="e">
        <f t="shared" si="90"/>
        <v>#REF!</v>
      </c>
      <c r="CK146" s="35" t="e">
        <f t="shared" si="90"/>
        <v>#REF!</v>
      </c>
      <c r="CL146" s="35" t="e">
        <f t="shared" si="90"/>
        <v>#REF!</v>
      </c>
      <c r="CM146" s="35" t="e">
        <f t="shared" si="90"/>
        <v>#REF!</v>
      </c>
      <c r="CN146" s="35" t="e">
        <f t="shared" si="90"/>
        <v>#REF!</v>
      </c>
      <c r="CO146" s="35"/>
    </row>
    <row r="147" spans="1:93" ht="12.75" customHeight="1" outlineLevel="1">
      <c r="A147" s="35"/>
      <c r="B147" s="63" t="s">
        <v>229</v>
      </c>
      <c r="C147" s="35" t="e">
        <f t="shared" si="89"/>
        <v>#REF!</v>
      </c>
      <c r="D147" s="60">
        <f t="shared" ref="D147:CN147" si="91">IF(D138&gt;0,-MIN(SUM(D145:D146),D138),0)</f>
        <v>0</v>
      </c>
      <c r="E147" s="35" t="e">
        <f t="shared" si="91"/>
        <v>#REF!</v>
      </c>
      <c r="F147" s="35" t="e">
        <f t="shared" si="91"/>
        <v>#REF!</v>
      </c>
      <c r="G147" s="35" t="e">
        <f t="shared" si="91"/>
        <v>#REF!</v>
      </c>
      <c r="H147" s="35" t="e">
        <f t="shared" si="91"/>
        <v>#REF!</v>
      </c>
      <c r="I147" s="35" t="e">
        <f t="shared" si="91"/>
        <v>#REF!</v>
      </c>
      <c r="J147" s="35" t="e">
        <f t="shared" si="91"/>
        <v>#REF!</v>
      </c>
      <c r="K147" s="35" t="e">
        <f t="shared" si="91"/>
        <v>#REF!</v>
      </c>
      <c r="L147" s="35" t="e">
        <f t="shared" si="91"/>
        <v>#REF!</v>
      </c>
      <c r="M147" s="35" t="e">
        <f t="shared" si="91"/>
        <v>#REF!</v>
      </c>
      <c r="N147" s="35" t="e">
        <f t="shared" si="91"/>
        <v>#REF!</v>
      </c>
      <c r="O147" s="35" t="e">
        <f t="shared" si="91"/>
        <v>#REF!</v>
      </c>
      <c r="P147" s="35" t="e">
        <f t="shared" si="91"/>
        <v>#REF!</v>
      </c>
      <c r="Q147" s="35" t="e">
        <f t="shared" si="91"/>
        <v>#REF!</v>
      </c>
      <c r="R147" s="35" t="e">
        <f t="shared" si="91"/>
        <v>#REF!</v>
      </c>
      <c r="S147" s="35" t="e">
        <f t="shared" si="91"/>
        <v>#REF!</v>
      </c>
      <c r="T147" s="35" t="e">
        <f t="shared" si="91"/>
        <v>#REF!</v>
      </c>
      <c r="U147" s="35" t="e">
        <f t="shared" si="91"/>
        <v>#REF!</v>
      </c>
      <c r="V147" s="35" t="e">
        <f t="shared" si="91"/>
        <v>#REF!</v>
      </c>
      <c r="W147" s="35" t="e">
        <f t="shared" si="91"/>
        <v>#REF!</v>
      </c>
      <c r="X147" s="35" t="e">
        <f t="shared" si="91"/>
        <v>#REF!</v>
      </c>
      <c r="Y147" s="35" t="e">
        <f t="shared" si="91"/>
        <v>#REF!</v>
      </c>
      <c r="Z147" s="35" t="e">
        <f t="shared" si="91"/>
        <v>#REF!</v>
      </c>
      <c r="AA147" s="35" t="e">
        <f t="shared" si="91"/>
        <v>#REF!</v>
      </c>
      <c r="AB147" s="35" t="e">
        <f t="shared" si="91"/>
        <v>#REF!</v>
      </c>
      <c r="AC147" s="35" t="e">
        <f t="shared" si="91"/>
        <v>#REF!</v>
      </c>
      <c r="AD147" s="35" t="e">
        <f t="shared" si="91"/>
        <v>#REF!</v>
      </c>
      <c r="AE147" s="35" t="e">
        <f t="shared" si="91"/>
        <v>#REF!</v>
      </c>
      <c r="AF147" s="35" t="e">
        <f t="shared" si="91"/>
        <v>#REF!</v>
      </c>
      <c r="AG147" s="35" t="e">
        <f t="shared" si="91"/>
        <v>#REF!</v>
      </c>
      <c r="AH147" s="35" t="e">
        <f t="shared" si="91"/>
        <v>#REF!</v>
      </c>
      <c r="AI147" s="35" t="e">
        <f t="shared" si="91"/>
        <v>#REF!</v>
      </c>
      <c r="AJ147" s="35" t="e">
        <f t="shared" si="91"/>
        <v>#REF!</v>
      </c>
      <c r="AK147" s="35" t="e">
        <f t="shared" si="91"/>
        <v>#REF!</v>
      </c>
      <c r="AL147" s="35" t="e">
        <f t="shared" si="91"/>
        <v>#REF!</v>
      </c>
      <c r="AM147" s="35" t="e">
        <f t="shared" si="91"/>
        <v>#REF!</v>
      </c>
      <c r="AN147" s="35" t="e">
        <f t="shared" si="91"/>
        <v>#REF!</v>
      </c>
      <c r="AO147" s="35" t="e">
        <f t="shared" si="91"/>
        <v>#REF!</v>
      </c>
      <c r="AP147" s="35" t="e">
        <f t="shared" si="91"/>
        <v>#REF!</v>
      </c>
      <c r="AQ147" s="35" t="e">
        <f t="shared" si="91"/>
        <v>#REF!</v>
      </c>
      <c r="AR147" s="35" t="e">
        <f t="shared" si="91"/>
        <v>#REF!</v>
      </c>
      <c r="AS147" s="35" t="e">
        <f t="shared" si="91"/>
        <v>#REF!</v>
      </c>
      <c r="AT147" s="35" t="e">
        <f t="shared" si="91"/>
        <v>#REF!</v>
      </c>
      <c r="AU147" s="35" t="e">
        <f t="shared" si="91"/>
        <v>#REF!</v>
      </c>
      <c r="AV147" s="35" t="e">
        <f t="shared" si="91"/>
        <v>#REF!</v>
      </c>
      <c r="AW147" s="35" t="e">
        <f t="shared" si="91"/>
        <v>#REF!</v>
      </c>
      <c r="AX147" s="35" t="e">
        <f t="shared" si="91"/>
        <v>#REF!</v>
      </c>
      <c r="AY147" s="35" t="e">
        <f t="shared" si="91"/>
        <v>#REF!</v>
      </c>
      <c r="AZ147" s="35" t="e">
        <f t="shared" si="91"/>
        <v>#REF!</v>
      </c>
      <c r="BA147" s="35" t="e">
        <f t="shared" si="91"/>
        <v>#REF!</v>
      </c>
      <c r="BB147" s="35" t="e">
        <f t="shared" si="91"/>
        <v>#REF!</v>
      </c>
      <c r="BC147" s="35" t="e">
        <f t="shared" si="91"/>
        <v>#REF!</v>
      </c>
      <c r="BD147" s="35" t="e">
        <f t="shared" si="91"/>
        <v>#REF!</v>
      </c>
      <c r="BE147" s="35" t="e">
        <f t="shared" si="91"/>
        <v>#REF!</v>
      </c>
      <c r="BF147" s="35" t="e">
        <f t="shared" si="91"/>
        <v>#REF!</v>
      </c>
      <c r="BG147" s="35" t="e">
        <f t="shared" si="91"/>
        <v>#REF!</v>
      </c>
      <c r="BH147" s="35" t="e">
        <f t="shared" si="91"/>
        <v>#REF!</v>
      </c>
      <c r="BI147" s="35" t="e">
        <f t="shared" si="91"/>
        <v>#REF!</v>
      </c>
      <c r="BJ147" s="35" t="e">
        <f t="shared" si="91"/>
        <v>#REF!</v>
      </c>
      <c r="BK147" s="35" t="e">
        <f t="shared" si="91"/>
        <v>#REF!</v>
      </c>
      <c r="BL147" s="35" t="e">
        <f t="shared" si="91"/>
        <v>#REF!</v>
      </c>
      <c r="BM147" s="35" t="e">
        <f t="shared" si="91"/>
        <v>#REF!</v>
      </c>
      <c r="BN147" s="35" t="e">
        <f t="shared" si="91"/>
        <v>#REF!</v>
      </c>
      <c r="BO147" s="35" t="e">
        <f t="shared" si="91"/>
        <v>#REF!</v>
      </c>
      <c r="BP147" s="35" t="e">
        <f t="shared" si="91"/>
        <v>#REF!</v>
      </c>
      <c r="BQ147" s="35" t="e">
        <f t="shared" si="91"/>
        <v>#REF!</v>
      </c>
      <c r="BR147" s="35" t="e">
        <f t="shared" si="91"/>
        <v>#REF!</v>
      </c>
      <c r="BS147" s="35" t="e">
        <f t="shared" si="91"/>
        <v>#REF!</v>
      </c>
      <c r="BT147" s="35" t="e">
        <f t="shared" si="91"/>
        <v>#REF!</v>
      </c>
      <c r="BU147" s="35" t="e">
        <f t="shared" si="91"/>
        <v>#REF!</v>
      </c>
      <c r="BV147" s="35" t="e">
        <f t="shared" si="91"/>
        <v>#REF!</v>
      </c>
      <c r="BW147" s="35" t="e">
        <f t="shared" si="91"/>
        <v>#REF!</v>
      </c>
      <c r="BX147" s="35" t="e">
        <f t="shared" si="91"/>
        <v>#REF!</v>
      </c>
      <c r="BY147" s="35" t="e">
        <f t="shared" si="91"/>
        <v>#REF!</v>
      </c>
      <c r="BZ147" s="35" t="e">
        <f t="shared" si="91"/>
        <v>#REF!</v>
      </c>
      <c r="CA147" s="35" t="e">
        <f t="shared" si="91"/>
        <v>#REF!</v>
      </c>
      <c r="CB147" s="35" t="e">
        <f t="shared" si="91"/>
        <v>#REF!</v>
      </c>
      <c r="CC147" s="35" t="e">
        <f t="shared" si="91"/>
        <v>#REF!</v>
      </c>
      <c r="CD147" s="35" t="e">
        <f t="shared" si="91"/>
        <v>#REF!</v>
      </c>
      <c r="CE147" s="35" t="e">
        <f t="shared" si="91"/>
        <v>#REF!</v>
      </c>
      <c r="CF147" s="35" t="e">
        <f t="shared" si="91"/>
        <v>#REF!</v>
      </c>
      <c r="CG147" s="35" t="e">
        <f t="shared" si="91"/>
        <v>#REF!</v>
      </c>
      <c r="CH147" s="35" t="e">
        <f t="shared" si="91"/>
        <v>#REF!</v>
      </c>
      <c r="CI147" s="35" t="e">
        <f t="shared" si="91"/>
        <v>#REF!</v>
      </c>
      <c r="CJ147" s="35" t="e">
        <f t="shared" si="91"/>
        <v>#REF!</v>
      </c>
      <c r="CK147" s="35" t="e">
        <f t="shared" si="91"/>
        <v>#REF!</v>
      </c>
      <c r="CL147" s="35" t="e">
        <f t="shared" si="91"/>
        <v>#REF!</v>
      </c>
      <c r="CM147" s="35" t="e">
        <f t="shared" si="91"/>
        <v>#REF!</v>
      </c>
      <c r="CN147" s="35" t="e">
        <f t="shared" si="91"/>
        <v>#REF!</v>
      </c>
      <c r="CO147" s="35"/>
    </row>
    <row r="148" spans="1:93" ht="12.75" customHeight="1" outlineLevel="1">
      <c r="A148" s="35"/>
      <c r="B148" s="54" t="s">
        <v>230</v>
      </c>
      <c r="C148" s="55"/>
      <c r="D148" s="58">
        <f t="shared" ref="D148:CN148" si="92">SUM(D145:D147)</f>
        <v>0</v>
      </c>
      <c r="E148" s="55" t="e">
        <f t="shared" si="92"/>
        <v>#REF!</v>
      </c>
      <c r="F148" s="55" t="e">
        <f t="shared" si="92"/>
        <v>#REF!</v>
      </c>
      <c r="G148" s="55" t="e">
        <f t="shared" si="92"/>
        <v>#REF!</v>
      </c>
      <c r="H148" s="55" t="e">
        <f t="shared" si="92"/>
        <v>#REF!</v>
      </c>
      <c r="I148" s="55" t="e">
        <f t="shared" si="92"/>
        <v>#REF!</v>
      </c>
      <c r="J148" s="55" t="e">
        <f t="shared" si="92"/>
        <v>#REF!</v>
      </c>
      <c r="K148" s="55" t="e">
        <f t="shared" si="92"/>
        <v>#REF!</v>
      </c>
      <c r="L148" s="55" t="e">
        <f t="shared" si="92"/>
        <v>#REF!</v>
      </c>
      <c r="M148" s="55" t="e">
        <f t="shared" si="92"/>
        <v>#REF!</v>
      </c>
      <c r="N148" s="55" t="e">
        <f t="shared" si="92"/>
        <v>#REF!</v>
      </c>
      <c r="O148" s="55" t="e">
        <f t="shared" si="92"/>
        <v>#REF!</v>
      </c>
      <c r="P148" s="55" t="e">
        <f t="shared" si="92"/>
        <v>#REF!</v>
      </c>
      <c r="Q148" s="55" t="e">
        <f t="shared" si="92"/>
        <v>#REF!</v>
      </c>
      <c r="R148" s="55" t="e">
        <f t="shared" si="92"/>
        <v>#REF!</v>
      </c>
      <c r="S148" s="55" t="e">
        <f t="shared" si="92"/>
        <v>#REF!</v>
      </c>
      <c r="T148" s="55" t="e">
        <f t="shared" si="92"/>
        <v>#REF!</v>
      </c>
      <c r="U148" s="55" t="e">
        <f t="shared" si="92"/>
        <v>#REF!</v>
      </c>
      <c r="V148" s="55" t="e">
        <f t="shared" si="92"/>
        <v>#REF!</v>
      </c>
      <c r="W148" s="55" t="e">
        <f t="shared" si="92"/>
        <v>#REF!</v>
      </c>
      <c r="X148" s="55" t="e">
        <f t="shared" si="92"/>
        <v>#REF!</v>
      </c>
      <c r="Y148" s="55" t="e">
        <f t="shared" si="92"/>
        <v>#REF!</v>
      </c>
      <c r="Z148" s="55" t="e">
        <f t="shared" si="92"/>
        <v>#REF!</v>
      </c>
      <c r="AA148" s="55" t="e">
        <f t="shared" si="92"/>
        <v>#REF!</v>
      </c>
      <c r="AB148" s="55" t="e">
        <f t="shared" si="92"/>
        <v>#REF!</v>
      </c>
      <c r="AC148" s="55" t="e">
        <f t="shared" si="92"/>
        <v>#REF!</v>
      </c>
      <c r="AD148" s="55" t="e">
        <f t="shared" si="92"/>
        <v>#REF!</v>
      </c>
      <c r="AE148" s="55" t="e">
        <f t="shared" si="92"/>
        <v>#REF!</v>
      </c>
      <c r="AF148" s="55" t="e">
        <f t="shared" si="92"/>
        <v>#REF!</v>
      </c>
      <c r="AG148" s="55" t="e">
        <f t="shared" si="92"/>
        <v>#REF!</v>
      </c>
      <c r="AH148" s="55" t="e">
        <f t="shared" si="92"/>
        <v>#REF!</v>
      </c>
      <c r="AI148" s="55" t="e">
        <f t="shared" si="92"/>
        <v>#REF!</v>
      </c>
      <c r="AJ148" s="55" t="e">
        <f t="shared" si="92"/>
        <v>#REF!</v>
      </c>
      <c r="AK148" s="55" t="e">
        <f t="shared" si="92"/>
        <v>#REF!</v>
      </c>
      <c r="AL148" s="55" t="e">
        <f t="shared" si="92"/>
        <v>#REF!</v>
      </c>
      <c r="AM148" s="55" t="e">
        <f t="shared" si="92"/>
        <v>#REF!</v>
      </c>
      <c r="AN148" s="55" t="e">
        <f t="shared" si="92"/>
        <v>#REF!</v>
      </c>
      <c r="AO148" s="55" t="e">
        <f t="shared" si="92"/>
        <v>#REF!</v>
      </c>
      <c r="AP148" s="55" t="e">
        <f t="shared" si="92"/>
        <v>#REF!</v>
      </c>
      <c r="AQ148" s="55" t="e">
        <f t="shared" si="92"/>
        <v>#REF!</v>
      </c>
      <c r="AR148" s="55" t="e">
        <f t="shared" si="92"/>
        <v>#REF!</v>
      </c>
      <c r="AS148" s="55" t="e">
        <f t="shared" si="92"/>
        <v>#REF!</v>
      </c>
      <c r="AT148" s="55" t="e">
        <f t="shared" si="92"/>
        <v>#REF!</v>
      </c>
      <c r="AU148" s="55" t="e">
        <f t="shared" si="92"/>
        <v>#REF!</v>
      </c>
      <c r="AV148" s="55" t="e">
        <f t="shared" si="92"/>
        <v>#REF!</v>
      </c>
      <c r="AW148" s="55" t="e">
        <f t="shared" si="92"/>
        <v>#REF!</v>
      </c>
      <c r="AX148" s="55" t="e">
        <f t="shared" si="92"/>
        <v>#REF!</v>
      </c>
      <c r="AY148" s="55" t="e">
        <f t="shared" si="92"/>
        <v>#REF!</v>
      </c>
      <c r="AZ148" s="55" t="e">
        <f t="shared" si="92"/>
        <v>#REF!</v>
      </c>
      <c r="BA148" s="55" t="e">
        <f t="shared" si="92"/>
        <v>#REF!</v>
      </c>
      <c r="BB148" s="55" t="e">
        <f t="shared" si="92"/>
        <v>#REF!</v>
      </c>
      <c r="BC148" s="55" t="e">
        <f t="shared" si="92"/>
        <v>#REF!</v>
      </c>
      <c r="BD148" s="55" t="e">
        <f t="shared" si="92"/>
        <v>#REF!</v>
      </c>
      <c r="BE148" s="55" t="e">
        <f t="shared" si="92"/>
        <v>#REF!</v>
      </c>
      <c r="BF148" s="55" t="e">
        <f t="shared" si="92"/>
        <v>#REF!</v>
      </c>
      <c r="BG148" s="55" t="e">
        <f t="shared" si="92"/>
        <v>#REF!</v>
      </c>
      <c r="BH148" s="55" t="e">
        <f t="shared" si="92"/>
        <v>#REF!</v>
      </c>
      <c r="BI148" s="55" t="e">
        <f t="shared" si="92"/>
        <v>#REF!</v>
      </c>
      <c r="BJ148" s="55" t="e">
        <f t="shared" si="92"/>
        <v>#REF!</v>
      </c>
      <c r="BK148" s="55" t="e">
        <f t="shared" si="92"/>
        <v>#REF!</v>
      </c>
      <c r="BL148" s="55" t="e">
        <f t="shared" si="92"/>
        <v>#REF!</v>
      </c>
      <c r="BM148" s="55" t="e">
        <f t="shared" si="92"/>
        <v>#REF!</v>
      </c>
      <c r="BN148" s="55" t="e">
        <f t="shared" si="92"/>
        <v>#REF!</v>
      </c>
      <c r="BO148" s="55" t="e">
        <f t="shared" si="92"/>
        <v>#REF!</v>
      </c>
      <c r="BP148" s="55" t="e">
        <f t="shared" si="92"/>
        <v>#REF!</v>
      </c>
      <c r="BQ148" s="55" t="e">
        <f t="shared" si="92"/>
        <v>#REF!</v>
      </c>
      <c r="BR148" s="55" t="e">
        <f t="shared" si="92"/>
        <v>#REF!</v>
      </c>
      <c r="BS148" s="55" t="e">
        <f t="shared" si="92"/>
        <v>#REF!</v>
      </c>
      <c r="BT148" s="55" t="e">
        <f t="shared" si="92"/>
        <v>#REF!</v>
      </c>
      <c r="BU148" s="55" t="e">
        <f t="shared" si="92"/>
        <v>#REF!</v>
      </c>
      <c r="BV148" s="55" t="e">
        <f t="shared" si="92"/>
        <v>#REF!</v>
      </c>
      <c r="BW148" s="55" t="e">
        <f t="shared" si="92"/>
        <v>#REF!</v>
      </c>
      <c r="BX148" s="55" t="e">
        <f t="shared" si="92"/>
        <v>#REF!</v>
      </c>
      <c r="BY148" s="55" t="e">
        <f t="shared" si="92"/>
        <v>#REF!</v>
      </c>
      <c r="BZ148" s="55" t="e">
        <f t="shared" si="92"/>
        <v>#REF!</v>
      </c>
      <c r="CA148" s="55" t="e">
        <f t="shared" si="92"/>
        <v>#REF!</v>
      </c>
      <c r="CB148" s="55" t="e">
        <f t="shared" si="92"/>
        <v>#REF!</v>
      </c>
      <c r="CC148" s="55" t="e">
        <f t="shared" si="92"/>
        <v>#REF!</v>
      </c>
      <c r="CD148" s="55" t="e">
        <f t="shared" si="92"/>
        <v>#REF!</v>
      </c>
      <c r="CE148" s="55" t="e">
        <f t="shared" si="92"/>
        <v>#REF!</v>
      </c>
      <c r="CF148" s="55" t="e">
        <f t="shared" si="92"/>
        <v>#REF!</v>
      </c>
      <c r="CG148" s="55" t="e">
        <f t="shared" si="92"/>
        <v>#REF!</v>
      </c>
      <c r="CH148" s="55" t="e">
        <f t="shared" si="92"/>
        <v>#REF!</v>
      </c>
      <c r="CI148" s="55" t="e">
        <f t="shared" si="92"/>
        <v>#REF!</v>
      </c>
      <c r="CJ148" s="55" t="e">
        <f t="shared" si="92"/>
        <v>#REF!</v>
      </c>
      <c r="CK148" s="55" t="e">
        <f t="shared" si="92"/>
        <v>#REF!</v>
      </c>
      <c r="CL148" s="55" t="e">
        <f t="shared" si="92"/>
        <v>#REF!</v>
      </c>
      <c r="CM148" s="55" t="e">
        <f t="shared" si="92"/>
        <v>#REF!</v>
      </c>
      <c r="CN148" s="55" t="e">
        <f t="shared" si="92"/>
        <v>#REF!</v>
      </c>
      <c r="CO148" s="35"/>
    </row>
    <row r="149" spans="1:93" ht="12.75" customHeight="1" outlineLevel="1">
      <c r="A149" s="35"/>
      <c r="B149" s="35"/>
      <c r="C149" s="35"/>
      <c r="D149" s="60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</row>
    <row r="150" spans="1:93" ht="12.75" customHeight="1" outlineLevel="1">
      <c r="A150" s="35"/>
      <c r="B150" s="35" t="s">
        <v>231</v>
      </c>
      <c r="C150" s="35"/>
      <c r="D150" s="60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</row>
    <row r="151" spans="1:93" ht="12.75" customHeight="1" outlineLevel="1">
      <c r="A151" s="35"/>
      <c r="B151" s="49" t="s">
        <v>228</v>
      </c>
      <c r="C151" s="50"/>
      <c r="D151" s="53">
        <v>0</v>
      </c>
      <c r="E151" s="50">
        <f t="shared" ref="E151:CN151" si="93">D154</f>
        <v>0</v>
      </c>
      <c r="F151" s="50" t="e">
        <f t="shared" si="93"/>
        <v>#REF!</v>
      </c>
      <c r="G151" s="50" t="e">
        <f t="shared" si="93"/>
        <v>#REF!</v>
      </c>
      <c r="H151" s="50" t="e">
        <f t="shared" si="93"/>
        <v>#REF!</v>
      </c>
      <c r="I151" s="50" t="e">
        <f t="shared" si="93"/>
        <v>#REF!</v>
      </c>
      <c r="J151" s="50" t="e">
        <f t="shared" si="93"/>
        <v>#REF!</v>
      </c>
      <c r="K151" s="50" t="e">
        <f t="shared" si="93"/>
        <v>#REF!</v>
      </c>
      <c r="L151" s="50" t="e">
        <f t="shared" si="93"/>
        <v>#REF!</v>
      </c>
      <c r="M151" s="50" t="e">
        <f t="shared" si="93"/>
        <v>#REF!</v>
      </c>
      <c r="N151" s="50" t="e">
        <f t="shared" si="93"/>
        <v>#REF!</v>
      </c>
      <c r="O151" s="50" t="e">
        <f t="shared" si="93"/>
        <v>#REF!</v>
      </c>
      <c r="P151" s="50" t="e">
        <f t="shared" si="93"/>
        <v>#REF!</v>
      </c>
      <c r="Q151" s="50" t="e">
        <f t="shared" si="93"/>
        <v>#REF!</v>
      </c>
      <c r="R151" s="50" t="e">
        <f t="shared" si="93"/>
        <v>#REF!</v>
      </c>
      <c r="S151" s="50" t="e">
        <f t="shared" si="93"/>
        <v>#REF!</v>
      </c>
      <c r="T151" s="50" t="e">
        <f t="shared" si="93"/>
        <v>#REF!</v>
      </c>
      <c r="U151" s="50" t="e">
        <f t="shared" si="93"/>
        <v>#REF!</v>
      </c>
      <c r="V151" s="50" t="e">
        <f t="shared" si="93"/>
        <v>#REF!</v>
      </c>
      <c r="W151" s="50" t="e">
        <f t="shared" si="93"/>
        <v>#REF!</v>
      </c>
      <c r="X151" s="50" t="e">
        <f t="shared" si="93"/>
        <v>#REF!</v>
      </c>
      <c r="Y151" s="50" t="e">
        <f t="shared" si="93"/>
        <v>#REF!</v>
      </c>
      <c r="Z151" s="50" t="e">
        <f t="shared" si="93"/>
        <v>#REF!</v>
      </c>
      <c r="AA151" s="50" t="e">
        <f t="shared" si="93"/>
        <v>#REF!</v>
      </c>
      <c r="AB151" s="50" t="e">
        <f t="shared" si="93"/>
        <v>#REF!</v>
      </c>
      <c r="AC151" s="50" t="e">
        <f t="shared" si="93"/>
        <v>#REF!</v>
      </c>
      <c r="AD151" s="50" t="e">
        <f t="shared" si="93"/>
        <v>#REF!</v>
      </c>
      <c r="AE151" s="50" t="e">
        <f t="shared" si="93"/>
        <v>#REF!</v>
      </c>
      <c r="AF151" s="50" t="e">
        <f t="shared" si="93"/>
        <v>#REF!</v>
      </c>
      <c r="AG151" s="50" t="e">
        <f t="shared" si="93"/>
        <v>#REF!</v>
      </c>
      <c r="AH151" s="50" t="e">
        <f t="shared" si="93"/>
        <v>#REF!</v>
      </c>
      <c r="AI151" s="50" t="e">
        <f t="shared" si="93"/>
        <v>#REF!</v>
      </c>
      <c r="AJ151" s="50" t="e">
        <f t="shared" si="93"/>
        <v>#REF!</v>
      </c>
      <c r="AK151" s="50" t="e">
        <f t="shared" si="93"/>
        <v>#REF!</v>
      </c>
      <c r="AL151" s="50" t="e">
        <f t="shared" si="93"/>
        <v>#REF!</v>
      </c>
      <c r="AM151" s="50" t="e">
        <f t="shared" si="93"/>
        <v>#REF!</v>
      </c>
      <c r="AN151" s="50" t="e">
        <f t="shared" si="93"/>
        <v>#REF!</v>
      </c>
      <c r="AO151" s="50" t="e">
        <f t="shared" si="93"/>
        <v>#REF!</v>
      </c>
      <c r="AP151" s="50" t="e">
        <f t="shared" si="93"/>
        <v>#REF!</v>
      </c>
      <c r="AQ151" s="50" t="e">
        <f t="shared" si="93"/>
        <v>#REF!</v>
      </c>
      <c r="AR151" s="50" t="e">
        <f t="shared" si="93"/>
        <v>#REF!</v>
      </c>
      <c r="AS151" s="50" t="e">
        <f t="shared" si="93"/>
        <v>#REF!</v>
      </c>
      <c r="AT151" s="50" t="e">
        <f t="shared" si="93"/>
        <v>#REF!</v>
      </c>
      <c r="AU151" s="50" t="e">
        <f t="shared" si="93"/>
        <v>#REF!</v>
      </c>
      <c r="AV151" s="50" t="e">
        <f t="shared" si="93"/>
        <v>#REF!</v>
      </c>
      <c r="AW151" s="50" t="e">
        <f t="shared" si="93"/>
        <v>#REF!</v>
      </c>
      <c r="AX151" s="50" t="e">
        <f t="shared" si="93"/>
        <v>#REF!</v>
      </c>
      <c r="AY151" s="50" t="e">
        <f t="shared" si="93"/>
        <v>#REF!</v>
      </c>
      <c r="AZ151" s="50" t="e">
        <f t="shared" si="93"/>
        <v>#REF!</v>
      </c>
      <c r="BA151" s="50" t="e">
        <f t="shared" si="93"/>
        <v>#REF!</v>
      </c>
      <c r="BB151" s="50" t="e">
        <f t="shared" si="93"/>
        <v>#REF!</v>
      </c>
      <c r="BC151" s="50" t="e">
        <f t="shared" si="93"/>
        <v>#REF!</v>
      </c>
      <c r="BD151" s="50" t="e">
        <f t="shared" si="93"/>
        <v>#REF!</v>
      </c>
      <c r="BE151" s="50" t="e">
        <f t="shared" si="93"/>
        <v>#REF!</v>
      </c>
      <c r="BF151" s="50" t="e">
        <f t="shared" si="93"/>
        <v>#REF!</v>
      </c>
      <c r="BG151" s="50" t="e">
        <f t="shared" si="93"/>
        <v>#REF!</v>
      </c>
      <c r="BH151" s="50" t="e">
        <f t="shared" si="93"/>
        <v>#REF!</v>
      </c>
      <c r="BI151" s="50" t="e">
        <f t="shared" si="93"/>
        <v>#REF!</v>
      </c>
      <c r="BJ151" s="50" t="e">
        <f t="shared" si="93"/>
        <v>#REF!</v>
      </c>
      <c r="BK151" s="50" t="e">
        <f t="shared" si="93"/>
        <v>#REF!</v>
      </c>
      <c r="BL151" s="50" t="e">
        <f t="shared" si="93"/>
        <v>#REF!</v>
      </c>
      <c r="BM151" s="50" t="e">
        <f t="shared" si="93"/>
        <v>#REF!</v>
      </c>
      <c r="BN151" s="50" t="e">
        <f t="shared" si="93"/>
        <v>#REF!</v>
      </c>
      <c r="BO151" s="50" t="e">
        <f t="shared" si="93"/>
        <v>#REF!</v>
      </c>
      <c r="BP151" s="50" t="e">
        <f t="shared" si="93"/>
        <v>#REF!</v>
      </c>
      <c r="BQ151" s="50" t="e">
        <f t="shared" si="93"/>
        <v>#REF!</v>
      </c>
      <c r="BR151" s="50" t="e">
        <f t="shared" si="93"/>
        <v>#REF!</v>
      </c>
      <c r="BS151" s="50" t="e">
        <f t="shared" si="93"/>
        <v>#REF!</v>
      </c>
      <c r="BT151" s="50" t="e">
        <f t="shared" si="93"/>
        <v>#REF!</v>
      </c>
      <c r="BU151" s="50" t="e">
        <f t="shared" si="93"/>
        <v>#REF!</v>
      </c>
      <c r="BV151" s="50" t="e">
        <f t="shared" si="93"/>
        <v>#REF!</v>
      </c>
      <c r="BW151" s="50" t="e">
        <f t="shared" si="93"/>
        <v>#REF!</v>
      </c>
      <c r="BX151" s="50" t="e">
        <f t="shared" si="93"/>
        <v>#REF!</v>
      </c>
      <c r="BY151" s="50" t="e">
        <f t="shared" si="93"/>
        <v>#REF!</v>
      </c>
      <c r="BZ151" s="50" t="e">
        <f t="shared" si="93"/>
        <v>#REF!</v>
      </c>
      <c r="CA151" s="50" t="e">
        <f t="shared" si="93"/>
        <v>#REF!</v>
      </c>
      <c r="CB151" s="50" t="e">
        <f t="shared" si="93"/>
        <v>#REF!</v>
      </c>
      <c r="CC151" s="50" t="e">
        <f t="shared" si="93"/>
        <v>#REF!</v>
      </c>
      <c r="CD151" s="50" t="e">
        <f t="shared" si="93"/>
        <v>#REF!</v>
      </c>
      <c r="CE151" s="50" t="e">
        <f t="shared" si="93"/>
        <v>#REF!</v>
      </c>
      <c r="CF151" s="50" t="e">
        <f t="shared" si="93"/>
        <v>#REF!</v>
      </c>
      <c r="CG151" s="50" t="e">
        <f t="shared" si="93"/>
        <v>#REF!</v>
      </c>
      <c r="CH151" s="50" t="e">
        <f t="shared" si="93"/>
        <v>#REF!</v>
      </c>
      <c r="CI151" s="50" t="e">
        <f t="shared" si="93"/>
        <v>#REF!</v>
      </c>
      <c r="CJ151" s="50" t="e">
        <f t="shared" si="93"/>
        <v>#REF!</v>
      </c>
      <c r="CK151" s="50" t="e">
        <f t="shared" si="93"/>
        <v>#REF!</v>
      </c>
      <c r="CL151" s="50" t="e">
        <f t="shared" si="93"/>
        <v>#REF!</v>
      </c>
      <c r="CM151" s="50" t="e">
        <f t="shared" si="93"/>
        <v>#REF!</v>
      </c>
      <c r="CN151" s="50" t="e">
        <f t="shared" si="93"/>
        <v>#REF!</v>
      </c>
      <c r="CO151" s="35"/>
    </row>
    <row r="152" spans="1:93" ht="12.75" customHeight="1" outlineLevel="1">
      <c r="A152" s="35"/>
      <c r="B152" s="63" t="s">
        <v>232</v>
      </c>
      <c r="C152" s="35" t="e">
        <f t="shared" ref="C152:C153" si="94">SUM(D152:CN152)</f>
        <v>#REF!</v>
      </c>
      <c r="D152" s="60">
        <f>-SUM(D33:D36,D38:D41,D44:D56)*Assump!$D$25</f>
        <v>0</v>
      </c>
      <c r="E152" s="35" t="e">
        <f>-SUM(E33:E36,E38:E41,E44:E56)*Assump!$D$25</f>
        <v>#REF!</v>
      </c>
      <c r="F152" s="35" t="e">
        <f>-SUM(F33:F36,F38:F41,F44:F56)*Assump!$D$25</f>
        <v>#REF!</v>
      </c>
      <c r="G152" s="35" t="e">
        <f>-SUM(G33:G36,G38:G41,G44:G56)*Assump!$D$25</f>
        <v>#REF!</v>
      </c>
      <c r="H152" s="35" t="e">
        <f>-SUM(H33:H36,H38:H41,H44:H56)*Assump!$D$25</f>
        <v>#REF!</v>
      </c>
      <c r="I152" s="35" t="e">
        <f>-SUM(I33:I36,I38:I41,I44:I56)*Assump!$D$25</f>
        <v>#REF!</v>
      </c>
      <c r="J152" s="35" t="e">
        <f>-SUM(J33:J36,J38:J41,J44:J56)*Assump!$D$25</f>
        <v>#REF!</v>
      </c>
      <c r="K152" s="35" t="e">
        <f>-SUM(K33:K36,K38:K41,K44:K56)*Assump!$D$25</f>
        <v>#REF!</v>
      </c>
      <c r="L152" s="35" t="e">
        <f>-SUM(L33:L36,L38:L41,L44:L56)*Assump!$D$25</f>
        <v>#REF!</v>
      </c>
      <c r="M152" s="35" t="e">
        <f>-SUM(M33:M36,M38:M41,M44:M56)*Assump!$D$25</f>
        <v>#REF!</v>
      </c>
      <c r="N152" s="35" t="e">
        <f>-SUM(N33:N36,N38:N41,N44:N56)*Assump!$D$25</f>
        <v>#REF!</v>
      </c>
      <c r="O152" s="35" t="e">
        <f>-SUM(O33:O36,O38:O41,O44:O56)*Assump!$D$25</f>
        <v>#REF!</v>
      </c>
      <c r="P152" s="35" t="e">
        <f>-SUM(P33:P36,P38:P41,P44:P56)*Assump!$D$25</f>
        <v>#REF!</v>
      </c>
      <c r="Q152" s="35" t="e">
        <f>-SUM(Q33:Q36,Q38:Q41,Q44:Q56)*Assump!$D$25</f>
        <v>#REF!</v>
      </c>
      <c r="R152" s="35" t="e">
        <f>-SUM(R33:R36,R38:R41,R44:R56)*Assump!$D$25</f>
        <v>#REF!</v>
      </c>
      <c r="S152" s="35" t="e">
        <f>-SUM(S33:S36,S38:S41,S44:S56)*Assump!$D$25</f>
        <v>#REF!</v>
      </c>
      <c r="T152" s="35" t="e">
        <f>-SUM(T33:T36,T38:T41,T44:T56)*Assump!$D$25</f>
        <v>#REF!</v>
      </c>
      <c r="U152" s="35" t="e">
        <f>-SUM(U33:U36,U38:U41,U44:U56)*Assump!$D$25</f>
        <v>#REF!</v>
      </c>
      <c r="V152" s="35" t="e">
        <f>-SUM(V33:V36,V38:V41,V44:V56)*Assump!$D$25</f>
        <v>#REF!</v>
      </c>
      <c r="W152" s="35" t="e">
        <f>-SUM(W33:W36,W38:W41,W44:W56)*Assump!$D$25</f>
        <v>#REF!</v>
      </c>
      <c r="X152" s="35" t="e">
        <f>-SUM(X33:X36,X38:X41,X44:X56)*Assump!$D$25</f>
        <v>#REF!</v>
      </c>
      <c r="Y152" s="35" t="e">
        <f>-SUM(Y33:Y36,Y38:Y41,Y44:Y56)*Assump!$D$25</f>
        <v>#REF!</v>
      </c>
      <c r="Z152" s="35" t="e">
        <f>-SUM(Z33:Z36,Z38:Z41,Z44:Z56)*Assump!$D$25</f>
        <v>#REF!</v>
      </c>
      <c r="AA152" s="35" t="e">
        <f>-SUM(AA33:AA36,AA38:AA41,AA44:AA56)*Assump!$D$25</f>
        <v>#REF!</v>
      </c>
      <c r="AB152" s="35" t="e">
        <f>-SUM(AB33:AB36,AB38:AB41,AB44:AB56)*Assump!$D$25</f>
        <v>#REF!</v>
      </c>
      <c r="AC152" s="35" t="e">
        <f>-SUM(AC33:AC36,AC38:AC41,AC44:AC56)*Assump!$D$25</f>
        <v>#REF!</v>
      </c>
      <c r="AD152" s="35" t="e">
        <f>-SUM(AD33:AD36,AD38:AD41,AD44:AD56)*Assump!$D$25</f>
        <v>#REF!</v>
      </c>
      <c r="AE152" s="35" t="e">
        <f>-SUM(AE33:AE36,AE38:AE41,AE44:AE56)*Assump!$D$25</f>
        <v>#REF!</v>
      </c>
      <c r="AF152" s="35" t="e">
        <f>-SUM(AF33:AF36,AF38:AF41,AF44:AF56)*Assump!$D$25</f>
        <v>#REF!</v>
      </c>
      <c r="AG152" s="35" t="e">
        <f>-SUM(AG33:AG36,AG38:AG41,AG44:AG56)*Assump!$D$25</f>
        <v>#REF!</v>
      </c>
      <c r="AH152" s="35" t="e">
        <f>-SUM(AH33:AH36,AH38:AH41,AH44:AH56)*Assump!$D$25</f>
        <v>#REF!</v>
      </c>
      <c r="AI152" s="35" t="e">
        <f>-SUM(AI33:AI36,AI38:AI41,AI44:AI56)*Assump!$D$25</f>
        <v>#REF!</v>
      </c>
      <c r="AJ152" s="35" t="e">
        <f>-SUM(AJ33:AJ36,AJ38:AJ41,AJ44:AJ56)*Assump!$D$25</f>
        <v>#REF!</v>
      </c>
      <c r="AK152" s="35" t="e">
        <f>-SUM(AK33:AK36,AK38:AK41,AK44:AK56)*Assump!$D$25</f>
        <v>#REF!</v>
      </c>
      <c r="AL152" s="35" t="e">
        <f>-SUM(AL33:AL36,AL38:AL41,AL44:AL56)*Assump!$D$25</f>
        <v>#REF!</v>
      </c>
      <c r="AM152" s="35" t="e">
        <f>-SUM(AM33:AM36,AM38:AM41,AM44:AM56)*Assump!$D$25</f>
        <v>#REF!</v>
      </c>
      <c r="AN152" s="35" t="e">
        <f>-SUM(AN33:AN36,AN38:AN41,AN44:AN56)*Assump!$D$25</f>
        <v>#REF!</v>
      </c>
      <c r="AO152" s="35" t="e">
        <f>-SUM(AO33:AO36,AO38:AO41,AO44:AO56)*Assump!$D$25</f>
        <v>#REF!</v>
      </c>
      <c r="AP152" s="35" t="e">
        <f>-SUM(AP33:AP36,AP38:AP41,AP44:AP56)*Assump!$D$25</f>
        <v>#REF!</v>
      </c>
      <c r="AQ152" s="35" t="e">
        <f>-SUM(AQ33:AQ36,AQ38:AQ41,AQ44:AQ56)*Assump!$D$25</f>
        <v>#REF!</v>
      </c>
      <c r="AR152" s="35" t="e">
        <f>-SUM(AR33:AR36,AR38:AR41,AR44:AR56)*Assump!$D$25</f>
        <v>#REF!</v>
      </c>
      <c r="AS152" s="35" t="e">
        <f>-SUM(AS33:AS36,AS38:AS41,AS44:AS56)*Assump!$D$25</f>
        <v>#REF!</v>
      </c>
      <c r="AT152" s="35" t="e">
        <f>-SUM(AT33:AT36,AT38:AT41,AT44:AT56)*Assump!$D$25</f>
        <v>#REF!</v>
      </c>
      <c r="AU152" s="35" t="e">
        <f>-SUM(AU33:AU36,AU38:AU41,AU44:AU56)*Assump!$D$25</f>
        <v>#REF!</v>
      </c>
      <c r="AV152" s="35" t="e">
        <f>-SUM(AV33:AV36,AV38:AV41,AV44:AV56)*Assump!$D$25</f>
        <v>#REF!</v>
      </c>
      <c r="AW152" s="35" t="e">
        <f>-SUM(AW33:AW36,AW38:AW41,AW44:AW56)*Assump!$D$25</f>
        <v>#REF!</v>
      </c>
      <c r="AX152" s="35" t="e">
        <f>-SUM(AX33:AX36,AX38:AX41,AX44:AX56)*Assump!$D$25</f>
        <v>#REF!</v>
      </c>
      <c r="AY152" s="35" t="e">
        <f>-SUM(AY33:AY36,AY38:AY41,AY44:AY56)*Assump!$D$25</f>
        <v>#REF!</v>
      </c>
      <c r="AZ152" s="35" t="e">
        <f>-SUM(AZ33:AZ36,AZ38:AZ41,AZ44:AZ56)*Assump!$D$25</f>
        <v>#REF!</v>
      </c>
      <c r="BA152" s="35" t="e">
        <f>-SUM(BA33:BA36,BA38:BA41,BA44:BA56)*Assump!$D$25</f>
        <v>#REF!</v>
      </c>
      <c r="BB152" s="35" t="e">
        <f>-SUM(BB33:BB36,BB38:BB41,BB44:BB56)*Assump!$D$25</f>
        <v>#REF!</v>
      </c>
      <c r="BC152" s="35" t="e">
        <f>-SUM(BC33:BC36,BC38:BC41,BC44:BC56)*Assump!$D$25</f>
        <v>#REF!</v>
      </c>
      <c r="BD152" s="35" t="e">
        <f>-SUM(BD33:BD36,BD38:BD41,BD44:BD56)*Assump!$D$25</f>
        <v>#REF!</v>
      </c>
      <c r="BE152" s="35" t="e">
        <f>-SUM(BE33:BE36,BE38:BE41,BE44:BE56)*Assump!$D$25</f>
        <v>#REF!</v>
      </c>
      <c r="BF152" s="35" t="e">
        <f>-SUM(BF33:BF36,BF38:BF41,BF44:BF56)*Assump!$D$25</f>
        <v>#REF!</v>
      </c>
      <c r="BG152" s="35" t="e">
        <f>-SUM(BG33:BG36,BG38:BG41,BG44:BG56)*Assump!$D$25</f>
        <v>#REF!</v>
      </c>
      <c r="BH152" s="35" t="e">
        <f>-SUM(BH33:BH36,BH38:BH41,BH44:BH56)*Assump!$D$25</f>
        <v>#REF!</v>
      </c>
      <c r="BI152" s="35" t="e">
        <f>-SUM(BI33:BI36,BI38:BI41,BI44:BI56)*Assump!$D$25</f>
        <v>#REF!</v>
      </c>
      <c r="BJ152" s="35" t="e">
        <f>-SUM(BJ33:BJ36,BJ38:BJ41,BJ44:BJ56)*Assump!$D$25</f>
        <v>#REF!</v>
      </c>
      <c r="BK152" s="35" t="e">
        <f>-SUM(BK33:BK36,BK38:BK41,BK44:BK56)*Assump!$D$25</f>
        <v>#REF!</v>
      </c>
      <c r="BL152" s="35" t="e">
        <f>-SUM(BL33:BL36,BL38:BL41,BL44:BL56)*Assump!$D$25</f>
        <v>#REF!</v>
      </c>
      <c r="BM152" s="35" t="e">
        <f>-SUM(BM33:BM36,BM38:BM41,BM44:BM56)*Assump!$D$25</f>
        <v>#REF!</v>
      </c>
      <c r="BN152" s="35" t="e">
        <f>-SUM(BN33:BN36,BN38:BN41,BN44:BN56)*Assump!$D$25</f>
        <v>#REF!</v>
      </c>
      <c r="BO152" s="35" t="e">
        <f>-SUM(BO33:BO36,BO38:BO41,BO44:BO56)*Assump!$D$25</f>
        <v>#REF!</v>
      </c>
      <c r="BP152" s="35" t="e">
        <f>-SUM(BP33:BP36,BP38:BP41,BP44:BP56)*Assump!$D$25</f>
        <v>#REF!</v>
      </c>
      <c r="BQ152" s="35" t="e">
        <f>-SUM(BQ33:BQ36,BQ38:BQ41,BQ44:BQ56)*Assump!$D$25</f>
        <v>#REF!</v>
      </c>
      <c r="BR152" s="35" t="e">
        <f>-SUM(BR33:BR36,BR38:BR41,BR44:BR56)*Assump!$D$25</f>
        <v>#REF!</v>
      </c>
      <c r="BS152" s="35" t="e">
        <f>-SUM(BS33:BS36,BS38:BS41,BS44:BS56)*Assump!$D$25</f>
        <v>#REF!</v>
      </c>
      <c r="BT152" s="35" t="e">
        <f>-SUM(BT33:BT36,BT38:BT41,BT44:BT56)*Assump!$D$25</f>
        <v>#REF!</v>
      </c>
      <c r="BU152" s="35" t="e">
        <f>-SUM(BU33:BU36,BU38:BU41,BU44:BU56)*Assump!$D$25</f>
        <v>#REF!</v>
      </c>
      <c r="BV152" s="35" t="e">
        <f>-SUM(BV33:BV36,BV38:BV41,BV44:BV56)*Assump!$D$25</f>
        <v>#REF!</v>
      </c>
      <c r="BW152" s="35" t="e">
        <f>-SUM(BW33:BW36,BW38:BW41,BW44:BW56)*Assump!$D$25</f>
        <v>#REF!</v>
      </c>
      <c r="BX152" s="35" t="e">
        <f>-SUM(BX33:BX36,BX38:BX41,BX44:BX56)*Assump!$D$25</f>
        <v>#REF!</v>
      </c>
      <c r="BY152" s="35" t="e">
        <f>-SUM(BY33:BY36,BY38:BY41,BY44:BY56)*Assump!$D$25</f>
        <v>#REF!</v>
      </c>
      <c r="BZ152" s="35" t="e">
        <f>-SUM(BZ33:BZ36,BZ38:BZ41,BZ44:BZ56)*Assump!$D$25</f>
        <v>#REF!</v>
      </c>
      <c r="CA152" s="35" t="e">
        <f>-SUM(CA33:CA36,CA38:CA41,CA44:CA56)*Assump!$D$25</f>
        <v>#REF!</v>
      </c>
      <c r="CB152" s="35" t="e">
        <f>-SUM(CB33:CB36,CB38:CB41,CB44:CB56)*Assump!$D$25</f>
        <v>#REF!</v>
      </c>
      <c r="CC152" s="35" t="e">
        <f>-SUM(CC33:CC36,CC38:CC41,CC44:CC56)*Assump!$D$25</f>
        <v>#REF!</v>
      </c>
      <c r="CD152" s="35" t="e">
        <f>-SUM(CD33:CD36,CD38:CD41,CD44:CD56)*Assump!$D$25</f>
        <v>#REF!</v>
      </c>
      <c r="CE152" s="35" t="e">
        <f>-SUM(CE33:CE36,CE38:CE41,CE44:CE56)*Assump!$D$25</f>
        <v>#REF!</v>
      </c>
      <c r="CF152" s="35" t="e">
        <f>-SUM(CF33:CF36,CF38:CF41,CF44:CF56)*Assump!$D$25</f>
        <v>#REF!</v>
      </c>
      <c r="CG152" s="35" t="e">
        <f>-SUM(CG33:CG36,CG38:CG41,CG44:CG56)*Assump!$D$25</f>
        <v>#REF!</v>
      </c>
      <c r="CH152" s="35" t="e">
        <f>-SUM(CH33:CH36,CH38:CH41,CH44:CH56)*Assump!$D$25</f>
        <v>#REF!</v>
      </c>
      <c r="CI152" s="35" t="e">
        <f>-SUM(CI33:CI36,CI38:CI41,CI44:CI56)*Assump!$D$25</f>
        <v>#REF!</v>
      </c>
      <c r="CJ152" s="35" t="e">
        <f>-SUM(CJ33:CJ36,CJ38:CJ41,CJ44:CJ56)*Assump!$D$25</f>
        <v>#REF!</v>
      </c>
      <c r="CK152" s="35" t="e">
        <f>-SUM(CK33:CK36,CK38:CK41,CK44:CK56)*Assump!$D$25</f>
        <v>#REF!</v>
      </c>
      <c r="CL152" s="35" t="e">
        <f>-SUM(CL33:CL36,CL38:CL41,CL44:CL56)*Assump!$D$25</f>
        <v>#REF!</v>
      </c>
      <c r="CM152" s="35" t="e">
        <f>-SUM(CM33:CM36,CM38:CM41,CM44:CM56)*Assump!$D$25</f>
        <v>#REF!</v>
      </c>
      <c r="CN152" s="35" t="e">
        <f>-SUM(CN33:CN36,CN38:CN41,CN44:CN56)*Assump!$D$25</f>
        <v>#REF!</v>
      </c>
      <c r="CO152" s="35"/>
    </row>
    <row r="153" spans="1:93" ht="12.75" customHeight="1" outlineLevel="1">
      <c r="A153" s="35"/>
      <c r="B153" s="63" t="s">
        <v>233</v>
      </c>
      <c r="C153" s="35" t="e">
        <f t="shared" si="94"/>
        <v>#REF!</v>
      </c>
      <c r="D153" s="60">
        <f>-SUM(D19:D27)*Assump!$D$25</f>
        <v>0</v>
      </c>
      <c r="E153" s="35" t="e">
        <f>-SUM(E19:E27)*Assump!$D$25</f>
        <v>#REF!</v>
      </c>
      <c r="F153" s="35" t="e">
        <f>-SUM(F19:F27)*Assump!$D$25</f>
        <v>#REF!</v>
      </c>
      <c r="G153" s="35" t="e">
        <f>-SUM(G19:G27)*Assump!$D$25</f>
        <v>#REF!</v>
      </c>
      <c r="H153" s="35" t="e">
        <f>-SUM(H19:H27)*Assump!$D$25</f>
        <v>#REF!</v>
      </c>
      <c r="I153" s="35" t="e">
        <f>-SUM(I19:I27)*Assump!$D$25</f>
        <v>#REF!</v>
      </c>
      <c r="J153" s="35" t="e">
        <f>-SUM(J19:J27)*Assump!$D$25</f>
        <v>#REF!</v>
      </c>
      <c r="K153" s="35" t="e">
        <f>-SUM(K19:K27)*Assump!$D$25</f>
        <v>#REF!</v>
      </c>
      <c r="L153" s="35" t="e">
        <f>-SUM(L19:L27)*Assump!$D$25</f>
        <v>#REF!</v>
      </c>
      <c r="M153" s="35" t="e">
        <f>-SUM(M19:M27)*Assump!$D$25</f>
        <v>#REF!</v>
      </c>
      <c r="N153" s="35" t="e">
        <f>-SUM(N19:N27)*Assump!$D$25</f>
        <v>#REF!</v>
      </c>
      <c r="O153" s="35" t="e">
        <f>-SUM(O19:O27)*Assump!$D$25</f>
        <v>#REF!</v>
      </c>
      <c r="P153" s="35" t="e">
        <f>-SUM(P19:P27)*Assump!$D$25</f>
        <v>#REF!</v>
      </c>
      <c r="Q153" s="35" t="e">
        <f>-SUM(Q19:Q27)*Assump!$D$25</f>
        <v>#REF!</v>
      </c>
      <c r="R153" s="35" t="e">
        <f>-SUM(R19:R27)*Assump!$D$25</f>
        <v>#REF!</v>
      </c>
      <c r="S153" s="35" t="e">
        <f>-SUM(S19:S27)*Assump!$D$25</f>
        <v>#REF!</v>
      </c>
      <c r="T153" s="35" t="e">
        <f>-SUM(T19:T27)*Assump!$D$25</f>
        <v>#REF!</v>
      </c>
      <c r="U153" s="35" t="e">
        <f>-SUM(U19:U27)*Assump!$D$25</f>
        <v>#REF!</v>
      </c>
      <c r="V153" s="35" t="e">
        <f>-SUM(V19:V27)*Assump!$D$25</f>
        <v>#REF!</v>
      </c>
      <c r="W153" s="35" t="e">
        <f>-SUM(W19:W27)*Assump!$D$25</f>
        <v>#REF!</v>
      </c>
      <c r="X153" s="35" t="e">
        <f>-SUM(X19:X27)*Assump!$D$25</f>
        <v>#REF!</v>
      </c>
      <c r="Y153" s="35" t="e">
        <f>-SUM(Y19:Y27)*Assump!$D$25</f>
        <v>#REF!</v>
      </c>
      <c r="Z153" s="35" t="e">
        <f>-SUM(Z19:Z27)*Assump!$D$25</f>
        <v>#REF!</v>
      </c>
      <c r="AA153" s="35" t="e">
        <f>-SUM(AA19:AA27)*Assump!$D$25</f>
        <v>#REF!</v>
      </c>
      <c r="AB153" s="35" t="e">
        <f>-SUM(AB19:AB27)*Assump!$D$25</f>
        <v>#REF!</v>
      </c>
      <c r="AC153" s="35" t="e">
        <f>-SUM(AC19:AC27)*Assump!$D$25</f>
        <v>#REF!</v>
      </c>
      <c r="AD153" s="35" t="e">
        <f>-SUM(AD19:AD27)*Assump!$D$25</f>
        <v>#REF!</v>
      </c>
      <c r="AE153" s="35" t="e">
        <f>-SUM(AE19:AE27)*Assump!$D$25</f>
        <v>#REF!</v>
      </c>
      <c r="AF153" s="35" t="e">
        <f>-SUM(AF19:AF27)*Assump!$D$25</f>
        <v>#REF!</v>
      </c>
      <c r="AG153" s="35" t="e">
        <f>-SUM(AG19:AG27)*Assump!$D$25</f>
        <v>#REF!</v>
      </c>
      <c r="AH153" s="35" t="e">
        <f>-SUM(AH19:AH27)*Assump!$D$25</f>
        <v>#REF!</v>
      </c>
      <c r="AI153" s="35" t="e">
        <f>-SUM(AI19:AI27)*Assump!$D$25</f>
        <v>#REF!</v>
      </c>
      <c r="AJ153" s="35" t="e">
        <f>-SUM(AJ19:AJ27)*Assump!$D$25</f>
        <v>#REF!</v>
      </c>
      <c r="AK153" s="35" t="e">
        <f>-SUM(AK19:AK27)*Assump!$D$25</f>
        <v>#REF!</v>
      </c>
      <c r="AL153" s="35" t="e">
        <f>-SUM(AL19:AL27)*Assump!$D$25</f>
        <v>#REF!</v>
      </c>
      <c r="AM153" s="35" t="e">
        <f>-SUM(AM19:AM27)*Assump!$D$25</f>
        <v>#REF!</v>
      </c>
      <c r="AN153" s="35" t="e">
        <f>-SUM(AN19:AN27)*Assump!$D$25</f>
        <v>#REF!</v>
      </c>
      <c r="AO153" s="35" t="e">
        <f>-SUM(AO19:AO27)*Assump!$D$25</f>
        <v>#REF!</v>
      </c>
      <c r="AP153" s="35" t="e">
        <f>-SUM(AP19:AP27)*Assump!$D$25</f>
        <v>#REF!</v>
      </c>
      <c r="AQ153" s="35" t="e">
        <f>-SUM(AQ19:AQ27)*Assump!$D$25</f>
        <v>#REF!</v>
      </c>
      <c r="AR153" s="35" t="e">
        <f>-SUM(AR19:AR27)*Assump!$D$25</f>
        <v>#REF!</v>
      </c>
      <c r="AS153" s="35" t="e">
        <f>-SUM(AS19:AS27)*Assump!$D$25</f>
        <v>#REF!</v>
      </c>
      <c r="AT153" s="35" t="e">
        <f>-SUM(AT19:AT27)*Assump!$D$25</f>
        <v>#REF!</v>
      </c>
      <c r="AU153" s="35" t="e">
        <f>-SUM(AU19:AU27)*Assump!$D$25</f>
        <v>#REF!</v>
      </c>
      <c r="AV153" s="35" t="e">
        <f>-SUM(AV19:AV27)*Assump!$D$25</f>
        <v>#REF!</v>
      </c>
      <c r="AW153" s="35" t="e">
        <f>-SUM(AW19:AW27)*Assump!$D$25</f>
        <v>#REF!</v>
      </c>
      <c r="AX153" s="35" t="e">
        <f>-SUM(AX19:AX27)*Assump!$D$25</f>
        <v>#REF!</v>
      </c>
      <c r="AY153" s="35" t="e">
        <f>-SUM(AY19:AY27)*Assump!$D$25</f>
        <v>#REF!</v>
      </c>
      <c r="AZ153" s="35" t="e">
        <f>-SUM(AZ19:AZ27)*Assump!$D$25</f>
        <v>#REF!</v>
      </c>
      <c r="BA153" s="35" t="e">
        <f>-SUM(BA19:BA27)*Assump!$D$25</f>
        <v>#REF!</v>
      </c>
      <c r="BB153" s="35" t="e">
        <f>-SUM(BB19:BB27)*Assump!$D$25</f>
        <v>#REF!</v>
      </c>
      <c r="BC153" s="35" t="e">
        <f>-SUM(BC19:BC27)*Assump!$D$25</f>
        <v>#REF!</v>
      </c>
      <c r="BD153" s="35" t="e">
        <f>-SUM(BD19:BD27)*Assump!$D$25</f>
        <v>#REF!</v>
      </c>
      <c r="BE153" s="35" t="e">
        <f>-SUM(BE19:BE27)*Assump!$D$25</f>
        <v>#REF!</v>
      </c>
      <c r="BF153" s="35" t="e">
        <f>-SUM(BF19:BF27)*Assump!$D$25</f>
        <v>#REF!</v>
      </c>
      <c r="BG153" s="35" t="e">
        <f>-SUM(BG19:BG27)*Assump!$D$25</f>
        <v>#REF!</v>
      </c>
      <c r="BH153" s="35" t="e">
        <f>-SUM(BH19:BH27)*Assump!$D$25</f>
        <v>#REF!</v>
      </c>
      <c r="BI153" s="35" t="e">
        <f>-SUM(BI19:BI27)*Assump!$D$25</f>
        <v>#REF!</v>
      </c>
      <c r="BJ153" s="35" t="e">
        <f>-SUM(BJ19:BJ27)*Assump!$D$25</f>
        <v>#REF!</v>
      </c>
      <c r="BK153" s="35" t="e">
        <f>-SUM(BK19:BK27)*Assump!$D$25</f>
        <v>#REF!</v>
      </c>
      <c r="BL153" s="35" t="e">
        <f>-SUM(BL19:BL27)*Assump!$D$25</f>
        <v>#REF!</v>
      </c>
      <c r="BM153" s="35" t="e">
        <f>-SUM(BM19:BM27)*Assump!$D$25</f>
        <v>#REF!</v>
      </c>
      <c r="BN153" s="35" t="e">
        <f>-SUM(BN19:BN27)*Assump!$D$25</f>
        <v>#REF!</v>
      </c>
      <c r="BO153" s="35" t="e">
        <f>-SUM(BO19:BO27)*Assump!$D$25</f>
        <v>#REF!</v>
      </c>
      <c r="BP153" s="35" t="e">
        <f>-SUM(BP19:BP27)*Assump!$D$25</f>
        <v>#REF!</v>
      </c>
      <c r="BQ153" s="35" t="e">
        <f>-SUM(BQ19:BQ27)*Assump!$D$25</f>
        <v>#REF!</v>
      </c>
      <c r="BR153" s="35" t="e">
        <f>-SUM(BR19:BR27)*Assump!$D$25</f>
        <v>#REF!</v>
      </c>
      <c r="BS153" s="35" t="e">
        <f>-SUM(BS19:BS27)*Assump!$D$25</f>
        <v>#REF!</v>
      </c>
      <c r="BT153" s="35" t="e">
        <f>-SUM(BT19:BT27)*Assump!$D$25</f>
        <v>#REF!</v>
      </c>
      <c r="BU153" s="35" t="e">
        <f>-SUM(BU19:BU27)*Assump!$D$25</f>
        <v>#REF!</v>
      </c>
      <c r="BV153" s="35" t="e">
        <f>-SUM(BV19:BV27)*Assump!$D$25</f>
        <v>#REF!</v>
      </c>
      <c r="BW153" s="35" t="e">
        <f>-SUM(BW19:BW27)*Assump!$D$25</f>
        <v>#REF!</v>
      </c>
      <c r="BX153" s="35" t="e">
        <f>-SUM(BX19:BX27)*Assump!$D$25</f>
        <v>#REF!</v>
      </c>
      <c r="BY153" s="35" t="e">
        <f>-SUM(BY19:BY27)*Assump!$D$25</f>
        <v>#REF!</v>
      </c>
      <c r="BZ153" s="35" t="e">
        <f>-SUM(BZ19:BZ27)*Assump!$D$25</f>
        <v>#REF!</v>
      </c>
      <c r="CA153" s="35" t="e">
        <f>-SUM(CA19:CA27)*Assump!$D$25</f>
        <v>#REF!</v>
      </c>
      <c r="CB153" s="35" t="e">
        <f>-SUM(CB19:CB27)*Assump!$D$25</f>
        <v>#REF!</v>
      </c>
      <c r="CC153" s="35" t="e">
        <f>-SUM(CC19:CC27)*Assump!$D$25</f>
        <v>#REF!</v>
      </c>
      <c r="CD153" s="35" t="e">
        <f>-SUM(CD19:CD27)*Assump!$D$25</f>
        <v>#REF!</v>
      </c>
      <c r="CE153" s="35" t="e">
        <f>-SUM(CE19:CE27)*Assump!$D$25</f>
        <v>#REF!</v>
      </c>
      <c r="CF153" s="35" t="e">
        <f>-SUM(CF19:CF27)*Assump!$D$25</f>
        <v>#REF!</v>
      </c>
      <c r="CG153" s="35" t="e">
        <f>-SUM(CG19:CG27)*Assump!$D$25</f>
        <v>#REF!</v>
      </c>
      <c r="CH153" s="35" t="e">
        <f>-SUM(CH19:CH27)*Assump!$D$25</f>
        <v>#REF!</v>
      </c>
      <c r="CI153" s="35" t="e">
        <f>-SUM(CI19:CI27)*Assump!$D$25</f>
        <v>#REF!</v>
      </c>
      <c r="CJ153" s="35" t="e">
        <f>-SUM(CJ19:CJ27)*Assump!$D$25</f>
        <v>#REF!</v>
      </c>
      <c r="CK153" s="35" t="e">
        <f>-SUM(CK19:CK27)*Assump!$D$25</f>
        <v>#REF!</v>
      </c>
      <c r="CL153" s="35" t="e">
        <f>-SUM(CL19:CL27)*Assump!$D$25</f>
        <v>#REF!</v>
      </c>
      <c r="CM153" s="35" t="e">
        <f>-SUM(CM19:CM27)*Assump!$D$25</f>
        <v>#REF!</v>
      </c>
      <c r="CN153" s="35" t="e">
        <f>-SUM(CN19:CN27)*Assump!$D$25</f>
        <v>#REF!</v>
      </c>
      <c r="CO153" s="35"/>
    </row>
    <row r="154" spans="1:93" ht="12.75" customHeight="1" outlineLevel="1">
      <c r="A154" s="88"/>
      <c r="B154" s="110" t="s">
        <v>230</v>
      </c>
      <c r="C154" s="111"/>
      <c r="D154" s="58">
        <f t="shared" ref="D154:CN154" si="95">MAX(SUM(D151:D153),0)</f>
        <v>0</v>
      </c>
      <c r="E154" s="111" t="e">
        <f t="shared" si="95"/>
        <v>#REF!</v>
      </c>
      <c r="F154" s="111" t="e">
        <f t="shared" si="95"/>
        <v>#REF!</v>
      </c>
      <c r="G154" s="111" t="e">
        <f t="shared" si="95"/>
        <v>#REF!</v>
      </c>
      <c r="H154" s="111" t="e">
        <f t="shared" si="95"/>
        <v>#REF!</v>
      </c>
      <c r="I154" s="111" t="e">
        <f t="shared" si="95"/>
        <v>#REF!</v>
      </c>
      <c r="J154" s="111" t="e">
        <f t="shared" si="95"/>
        <v>#REF!</v>
      </c>
      <c r="K154" s="111" t="e">
        <f t="shared" si="95"/>
        <v>#REF!</v>
      </c>
      <c r="L154" s="111" t="e">
        <f t="shared" si="95"/>
        <v>#REF!</v>
      </c>
      <c r="M154" s="111" t="e">
        <f t="shared" si="95"/>
        <v>#REF!</v>
      </c>
      <c r="N154" s="111" t="e">
        <f t="shared" si="95"/>
        <v>#REF!</v>
      </c>
      <c r="O154" s="111" t="e">
        <f t="shared" si="95"/>
        <v>#REF!</v>
      </c>
      <c r="P154" s="111" t="e">
        <f t="shared" si="95"/>
        <v>#REF!</v>
      </c>
      <c r="Q154" s="111" t="e">
        <f t="shared" si="95"/>
        <v>#REF!</v>
      </c>
      <c r="R154" s="111" t="e">
        <f t="shared" si="95"/>
        <v>#REF!</v>
      </c>
      <c r="S154" s="111" t="e">
        <f t="shared" si="95"/>
        <v>#REF!</v>
      </c>
      <c r="T154" s="111" t="e">
        <f t="shared" si="95"/>
        <v>#REF!</v>
      </c>
      <c r="U154" s="111" t="e">
        <f t="shared" si="95"/>
        <v>#REF!</v>
      </c>
      <c r="V154" s="111" t="e">
        <f t="shared" si="95"/>
        <v>#REF!</v>
      </c>
      <c r="W154" s="111" t="e">
        <f t="shared" si="95"/>
        <v>#REF!</v>
      </c>
      <c r="X154" s="111" t="e">
        <f t="shared" si="95"/>
        <v>#REF!</v>
      </c>
      <c r="Y154" s="111" t="e">
        <f t="shared" si="95"/>
        <v>#REF!</v>
      </c>
      <c r="Z154" s="111" t="e">
        <f t="shared" si="95"/>
        <v>#REF!</v>
      </c>
      <c r="AA154" s="111" t="e">
        <f t="shared" si="95"/>
        <v>#REF!</v>
      </c>
      <c r="AB154" s="111" t="e">
        <f t="shared" si="95"/>
        <v>#REF!</v>
      </c>
      <c r="AC154" s="111" t="e">
        <f t="shared" si="95"/>
        <v>#REF!</v>
      </c>
      <c r="AD154" s="111" t="e">
        <f t="shared" si="95"/>
        <v>#REF!</v>
      </c>
      <c r="AE154" s="111" t="e">
        <f t="shared" si="95"/>
        <v>#REF!</v>
      </c>
      <c r="AF154" s="111" t="e">
        <f t="shared" si="95"/>
        <v>#REF!</v>
      </c>
      <c r="AG154" s="111" t="e">
        <f t="shared" si="95"/>
        <v>#REF!</v>
      </c>
      <c r="AH154" s="111" t="e">
        <f t="shared" si="95"/>
        <v>#REF!</v>
      </c>
      <c r="AI154" s="111" t="e">
        <f t="shared" si="95"/>
        <v>#REF!</v>
      </c>
      <c r="AJ154" s="111" t="e">
        <f t="shared" si="95"/>
        <v>#REF!</v>
      </c>
      <c r="AK154" s="55" t="e">
        <f t="shared" si="95"/>
        <v>#REF!</v>
      </c>
      <c r="AL154" s="111" t="e">
        <f t="shared" si="95"/>
        <v>#REF!</v>
      </c>
      <c r="AM154" s="111" t="e">
        <f t="shared" si="95"/>
        <v>#REF!</v>
      </c>
      <c r="AN154" s="111" t="e">
        <f t="shared" si="95"/>
        <v>#REF!</v>
      </c>
      <c r="AO154" s="111" t="e">
        <f t="shared" si="95"/>
        <v>#REF!</v>
      </c>
      <c r="AP154" s="111" t="e">
        <f t="shared" si="95"/>
        <v>#REF!</v>
      </c>
      <c r="AQ154" s="111" t="e">
        <f t="shared" si="95"/>
        <v>#REF!</v>
      </c>
      <c r="AR154" s="111" t="e">
        <f t="shared" si="95"/>
        <v>#REF!</v>
      </c>
      <c r="AS154" s="111" t="e">
        <f t="shared" si="95"/>
        <v>#REF!</v>
      </c>
      <c r="AT154" s="111" t="e">
        <f t="shared" si="95"/>
        <v>#REF!</v>
      </c>
      <c r="AU154" s="111" t="e">
        <f t="shared" si="95"/>
        <v>#REF!</v>
      </c>
      <c r="AV154" s="111" t="e">
        <f t="shared" si="95"/>
        <v>#REF!</v>
      </c>
      <c r="AW154" s="111" t="e">
        <f t="shared" si="95"/>
        <v>#REF!</v>
      </c>
      <c r="AX154" s="111" t="e">
        <f t="shared" si="95"/>
        <v>#REF!</v>
      </c>
      <c r="AY154" s="111" t="e">
        <f t="shared" si="95"/>
        <v>#REF!</v>
      </c>
      <c r="AZ154" s="111" t="e">
        <f t="shared" si="95"/>
        <v>#REF!</v>
      </c>
      <c r="BA154" s="111" t="e">
        <f t="shared" si="95"/>
        <v>#REF!</v>
      </c>
      <c r="BB154" s="111" t="e">
        <f t="shared" si="95"/>
        <v>#REF!</v>
      </c>
      <c r="BC154" s="111" t="e">
        <f t="shared" si="95"/>
        <v>#REF!</v>
      </c>
      <c r="BD154" s="111" t="e">
        <f t="shared" si="95"/>
        <v>#REF!</v>
      </c>
      <c r="BE154" s="111" t="e">
        <f t="shared" si="95"/>
        <v>#REF!</v>
      </c>
      <c r="BF154" s="111" t="e">
        <f t="shared" si="95"/>
        <v>#REF!</v>
      </c>
      <c r="BG154" s="111" t="e">
        <f t="shared" si="95"/>
        <v>#REF!</v>
      </c>
      <c r="BH154" s="111" t="e">
        <f t="shared" si="95"/>
        <v>#REF!</v>
      </c>
      <c r="BI154" s="111" t="e">
        <f t="shared" si="95"/>
        <v>#REF!</v>
      </c>
      <c r="BJ154" s="111" t="e">
        <f t="shared" si="95"/>
        <v>#REF!</v>
      </c>
      <c r="BK154" s="111" t="e">
        <f t="shared" si="95"/>
        <v>#REF!</v>
      </c>
      <c r="BL154" s="111" t="e">
        <f t="shared" si="95"/>
        <v>#REF!</v>
      </c>
      <c r="BM154" s="111" t="e">
        <f t="shared" si="95"/>
        <v>#REF!</v>
      </c>
      <c r="BN154" s="111" t="e">
        <f t="shared" si="95"/>
        <v>#REF!</v>
      </c>
      <c r="BO154" s="111" t="e">
        <f t="shared" si="95"/>
        <v>#REF!</v>
      </c>
      <c r="BP154" s="111" t="e">
        <f t="shared" si="95"/>
        <v>#REF!</v>
      </c>
      <c r="BQ154" s="111" t="e">
        <f t="shared" si="95"/>
        <v>#REF!</v>
      </c>
      <c r="BR154" s="111" t="e">
        <f t="shared" si="95"/>
        <v>#REF!</v>
      </c>
      <c r="BS154" s="111" t="e">
        <f t="shared" si="95"/>
        <v>#REF!</v>
      </c>
      <c r="BT154" s="111" t="e">
        <f t="shared" si="95"/>
        <v>#REF!</v>
      </c>
      <c r="BU154" s="111" t="e">
        <f t="shared" si="95"/>
        <v>#REF!</v>
      </c>
      <c r="BV154" s="111" t="e">
        <f t="shared" si="95"/>
        <v>#REF!</v>
      </c>
      <c r="BW154" s="111" t="e">
        <f t="shared" si="95"/>
        <v>#REF!</v>
      </c>
      <c r="BX154" s="111" t="e">
        <f t="shared" si="95"/>
        <v>#REF!</v>
      </c>
      <c r="BY154" s="111" t="e">
        <f t="shared" si="95"/>
        <v>#REF!</v>
      </c>
      <c r="BZ154" s="111" t="e">
        <f t="shared" si="95"/>
        <v>#REF!</v>
      </c>
      <c r="CA154" s="111" t="e">
        <f t="shared" si="95"/>
        <v>#REF!</v>
      </c>
      <c r="CB154" s="111" t="e">
        <f t="shared" si="95"/>
        <v>#REF!</v>
      </c>
      <c r="CC154" s="111" t="e">
        <f t="shared" si="95"/>
        <v>#REF!</v>
      </c>
      <c r="CD154" s="111" t="e">
        <f t="shared" si="95"/>
        <v>#REF!</v>
      </c>
      <c r="CE154" s="111" t="e">
        <f t="shared" si="95"/>
        <v>#REF!</v>
      </c>
      <c r="CF154" s="111" t="e">
        <f t="shared" si="95"/>
        <v>#REF!</v>
      </c>
      <c r="CG154" s="111" t="e">
        <f t="shared" si="95"/>
        <v>#REF!</v>
      </c>
      <c r="CH154" s="111" t="e">
        <f t="shared" si="95"/>
        <v>#REF!</v>
      </c>
      <c r="CI154" s="111" t="e">
        <f t="shared" si="95"/>
        <v>#REF!</v>
      </c>
      <c r="CJ154" s="111" t="e">
        <f t="shared" si="95"/>
        <v>#REF!</v>
      </c>
      <c r="CK154" s="111" t="e">
        <f t="shared" si="95"/>
        <v>#REF!</v>
      </c>
      <c r="CL154" s="111" t="e">
        <f t="shared" si="95"/>
        <v>#REF!</v>
      </c>
      <c r="CM154" s="111" t="e">
        <f t="shared" si="95"/>
        <v>#REF!</v>
      </c>
      <c r="CN154" s="111" t="e">
        <f t="shared" si="95"/>
        <v>#REF!</v>
      </c>
      <c r="CO154" s="88"/>
    </row>
    <row r="155" spans="1:93" ht="12.75" customHeight="1" outlineLevel="1">
      <c r="A155" s="88"/>
      <c r="B155" s="89"/>
      <c r="C155" s="88"/>
      <c r="D155" s="60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35"/>
      <c r="AL155" s="88"/>
      <c r="AM155" s="88"/>
      <c r="AN155" s="88"/>
      <c r="AO155" s="88"/>
      <c r="AP155" s="88"/>
      <c r="AQ155" s="88"/>
      <c r="AR155" s="88"/>
      <c r="AS155" s="88"/>
      <c r="AT155" s="88"/>
      <c r="AU155" s="88"/>
      <c r="AV155" s="88"/>
      <c r="AW155" s="88"/>
      <c r="AX155" s="88"/>
      <c r="AY155" s="88"/>
      <c r="AZ155" s="88"/>
      <c r="BA155" s="88"/>
      <c r="BB155" s="88"/>
      <c r="BC155" s="88"/>
      <c r="BD155" s="88"/>
      <c r="BE155" s="88"/>
      <c r="BF155" s="88"/>
      <c r="BG155" s="88"/>
      <c r="BH155" s="88"/>
      <c r="BI155" s="88"/>
      <c r="BJ155" s="88"/>
      <c r="BK155" s="88"/>
      <c r="BL155" s="88"/>
      <c r="BM155" s="88"/>
      <c r="BN155" s="88"/>
      <c r="BO155" s="88"/>
      <c r="BP155" s="88"/>
      <c r="BQ155" s="88"/>
      <c r="BR155" s="88"/>
      <c r="BS155" s="88"/>
      <c r="BT155" s="88"/>
      <c r="BU155" s="88"/>
      <c r="BV155" s="88"/>
      <c r="BW155" s="88"/>
      <c r="BX155" s="88"/>
      <c r="BY155" s="88"/>
      <c r="BZ155" s="88"/>
      <c r="CA155" s="88"/>
      <c r="CB155" s="88"/>
      <c r="CC155" s="88"/>
      <c r="CD155" s="88"/>
      <c r="CE155" s="88"/>
      <c r="CF155" s="88"/>
      <c r="CG155" s="88"/>
      <c r="CH155" s="88"/>
      <c r="CI155" s="88"/>
      <c r="CJ155" s="88"/>
      <c r="CK155" s="88"/>
      <c r="CL155" s="88"/>
      <c r="CM155" s="88"/>
      <c r="CN155" s="88"/>
      <c r="CO155" s="88"/>
    </row>
    <row r="156" spans="1:93" ht="12.75" customHeight="1" outlineLevel="1">
      <c r="A156" s="35"/>
      <c r="B156" s="35" t="s">
        <v>234</v>
      </c>
      <c r="C156" s="35"/>
      <c r="D156" s="60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</row>
    <row r="157" spans="1:93" ht="12.75" customHeight="1" outlineLevel="1">
      <c r="A157" s="35"/>
      <c r="B157" s="49" t="s">
        <v>228</v>
      </c>
      <c r="C157" s="50"/>
      <c r="D157" s="53">
        <v>0</v>
      </c>
      <c r="E157" s="50" t="e">
        <f t="shared" ref="E157:CN157" si="96">D160</f>
        <v>#REF!</v>
      </c>
      <c r="F157" s="50" t="e">
        <f t="shared" si="96"/>
        <v>#REF!</v>
      </c>
      <c r="G157" s="50" t="e">
        <f t="shared" si="96"/>
        <v>#REF!</v>
      </c>
      <c r="H157" s="50" t="e">
        <f t="shared" si="96"/>
        <v>#REF!</v>
      </c>
      <c r="I157" s="50" t="e">
        <f t="shared" si="96"/>
        <v>#REF!</v>
      </c>
      <c r="J157" s="50" t="e">
        <f t="shared" si="96"/>
        <v>#REF!</v>
      </c>
      <c r="K157" s="50" t="e">
        <f t="shared" si="96"/>
        <v>#REF!</v>
      </c>
      <c r="L157" s="50" t="e">
        <f t="shared" si="96"/>
        <v>#REF!</v>
      </c>
      <c r="M157" s="50" t="e">
        <f t="shared" si="96"/>
        <v>#REF!</v>
      </c>
      <c r="N157" s="50" t="e">
        <f t="shared" si="96"/>
        <v>#REF!</v>
      </c>
      <c r="O157" s="50" t="e">
        <f t="shared" si="96"/>
        <v>#REF!</v>
      </c>
      <c r="P157" s="50" t="e">
        <f t="shared" si="96"/>
        <v>#REF!</v>
      </c>
      <c r="Q157" s="50" t="e">
        <f t="shared" si="96"/>
        <v>#REF!</v>
      </c>
      <c r="R157" s="50" t="e">
        <f t="shared" si="96"/>
        <v>#REF!</v>
      </c>
      <c r="S157" s="50" t="e">
        <f t="shared" si="96"/>
        <v>#REF!</v>
      </c>
      <c r="T157" s="50" t="e">
        <f t="shared" si="96"/>
        <v>#REF!</v>
      </c>
      <c r="U157" s="50" t="e">
        <f t="shared" si="96"/>
        <v>#REF!</v>
      </c>
      <c r="V157" s="50" t="e">
        <f t="shared" si="96"/>
        <v>#REF!</v>
      </c>
      <c r="W157" s="50" t="e">
        <f t="shared" si="96"/>
        <v>#REF!</v>
      </c>
      <c r="X157" s="50" t="e">
        <f t="shared" si="96"/>
        <v>#REF!</v>
      </c>
      <c r="Y157" s="50" t="e">
        <f t="shared" si="96"/>
        <v>#REF!</v>
      </c>
      <c r="Z157" s="50" t="e">
        <f t="shared" si="96"/>
        <v>#REF!</v>
      </c>
      <c r="AA157" s="50" t="e">
        <f t="shared" si="96"/>
        <v>#REF!</v>
      </c>
      <c r="AB157" s="50" t="e">
        <f t="shared" si="96"/>
        <v>#REF!</v>
      </c>
      <c r="AC157" s="50" t="e">
        <f t="shared" si="96"/>
        <v>#REF!</v>
      </c>
      <c r="AD157" s="50" t="e">
        <f t="shared" si="96"/>
        <v>#REF!</v>
      </c>
      <c r="AE157" s="50" t="e">
        <f t="shared" si="96"/>
        <v>#REF!</v>
      </c>
      <c r="AF157" s="50" t="e">
        <f t="shared" si="96"/>
        <v>#REF!</v>
      </c>
      <c r="AG157" s="50" t="e">
        <f t="shared" si="96"/>
        <v>#REF!</v>
      </c>
      <c r="AH157" s="50" t="e">
        <f t="shared" si="96"/>
        <v>#REF!</v>
      </c>
      <c r="AI157" s="50" t="e">
        <f t="shared" si="96"/>
        <v>#REF!</v>
      </c>
      <c r="AJ157" s="50" t="e">
        <f t="shared" si="96"/>
        <v>#REF!</v>
      </c>
      <c r="AK157" s="50" t="e">
        <f t="shared" si="96"/>
        <v>#REF!</v>
      </c>
      <c r="AL157" s="50" t="e">
        <f t="shared" si="96"/>
        <v>#REF!</v>
      </c>
      <c r="AM157" s="50" t="e">
        <f t="shared" si="96"/>
        <v>#REF!</v>
      </c>
      <c r="AN157" s="50" t="e">
        <f t="shared" si="96"/>
        <v>#REF!</v>
      </c>
      <c r="AO157" s="50" t="e">
        <f t="shared" si="96"/>
        <v>#REF!</v>
      </c>
      <c r="AP157" s="50" t="e">
        <f t="shared" si="96"/>
        <v>#REF!</v>
      </c>
      <c r="AQ157" s="50" t="e">
        <f t="shared" si="96"/>
        <v>#REF!</v>
      </c>
      <c r="AR157" s="50" t="e">
        <f t="shared" si="96"/>
        <v>#REF!</v>
      </c>
      <c r="AS157" s="50" t="e">
        <f t="shared" si="96"/>
        <v>#REF!</v>
      </c>
      <c r="AT157" s="50" t="e">
        <f t="shared" si="96"/>
        <v>#REF!</v>
      </c>
      <c r="AU157" s="50" t="e">
        <f t="shared" si="96"/>
        <v>#REF!</v>
      </c>
      <c r="AV157" s="50" t="e">
        <f t="shared" si="96"/>
        <v>#REF!</v>
      </c>
      <c r="AW157" s="50" t="e">
        <f t="shared" si="96"/>
        <v>#REF!</v>
      </c>
      <c r="AX157" s="50" t="e">
        <f t="shared" si="96"/>
        <v>#REF!</v>
      </c>
      <c r="AY157" s="50" t="e">
        <f t="shared" si="96"/>
        <v>#REF!</v>
      </c>
      <c r="AZ157" s="50" t="e">
        <f t="shared" si="96"/>
        <v>#REF!</v>
      </c>
      <c r="BA157" s="50" t="e">
        <f t="shared" si="96"/>
        <v>#REF!</v>
      </c>
      <c r="BB157" s="50" t="e">
        <f t="shared" si="96"/>
        <v>#REF!</v>
      </c>
      <c r="BC157" s="50" t="e">
        <f t="shared" si="96"/>
        <v>#REF!</v>
      </c>
      <c r="BD157" s="50" t="e">
        <f t="shared" si="96"/>
        <v>#REF!</v>
      </c>
      <c r="BE157" s="50" t="e">
        <f t="shared" si="96"/>
        <v>#REF!</v>
      </c>
      <c r="BF157" s="50" t="e">
        <f t="shared" si="96"/>
        <v>#REF!</v>
      </c>
      <c r="BG157" s="50" t="e">
        <f t="shared" si="96"/>
        <v>#REF!</v>
      </c>
      <c r="BH157" s="50" t="e">
        <f t="shared" si="96"/>
        <v>#REF!</v>
      </c>
      <c r="BI157" s="50" t="e">
        <f t="shared" si="96"/>
        <v>#REF!</v>
      </c>
      <c r="BJ157" s="50" t="e">
        <f t="shared" si="96"/>
        <v>#REF!</v>
      </c>
      <c r="BK157" s="50" t="e">
        <f t="shared" si="96"/>
        <v>#REF!</v>
      </c>
      <c r="BL157" s="50" t="e">
        <f t="shared" si="96"/>
        <v>#REF!</v>
      </c>
      <c r="BM157" s="50" t="e">
        <f t="shared" si="96"/>
        <v>#REF!</v>
      </c>
      <c r="BN157" s="50" t="e">
        <f t="shared" si="96"/>
        <v>#REF!</v>
      </c>
      <c r="BO157" s="50" t="e">
        <f t="shared" si="96"/>
        <v>#REF!</v>
      </c>
      <c r="BP157" s="50" t="e">
        <f t="shared" si="96"/>
        <v>#REF!</v>
      </c>
      <c r="BQ157" s="50" t="e">
        <f t="shared" si="96"/>
        <v>#REF!</v>
      </c>
      <c r="BR157" s="50" t="e">
        <f t="shared" si="96"/>
        <v>#REF!</v>
      </c>
      <c r="BS157" s="50" t="e">
        <f t="shared" si="96"/>
        <v>#REF!</v>
      </c>
      <c r="BT157" s="50" t="e">
        <f t="shared" si="96"/>
        <v>#REF!</v>
      </c>
      <c r="BU157" s="50" t="e">
        <f t="shared" si="96"/>
        <v>#REF!</v>
      </c>
      <c r="BV157" s="50" t="e">
        <f t="shared" si="96"/>
        <v>#REF!</v>
      </c>
      <c r="BW157" s="50" t="e">
        <f t="shared" si="96"/>
        <v>#REF!</v>
      </c>
      <c r="BX157" s="50" t="e">
        <f t="shared" si="96"/>
        <v>#REF!</v>
      </c>
      <c r="BY157" s="50" t="e">
        <f t="shared" si="96"/>
        <v>#REF!</v>
      </c>
      <c r="BZ157" s="50" t="e">
        <f t="shared" si="96"/>
        <v>#REF!</v>
      </c>
      <c r="CA157" s="50" t="e">
        <f t="shared" si="96"/>
        <v>#REF!</v>
      </c>
      <c r="CB157" s="50" t="e">
        <f t="shared" si="96"/>
        <v>#REF!</v>
      </c>
      <c r="CC157" s="50" t="e">
        <f t="shared" si="96"/>
        <v>#REF!</v>
      </c>
      <c r="CD157" s="50" t="e">
        <f t="shared" si="96"/>
        <v>#REF!</v>
      </c>
      <c r="CE157" s="50" t="e">
        <f t="shared" si="96"/>
        <v>#REF!</v>
      </c>
      <c r="CF157" s="50" t="e">
        <f t="shared" si="96"/>
        <v>#REF!</v>
      </c>
      <c r="CG157" s="50" t="e">
        <f t="shared" si="96"/>
        <v>#REF!</v>
      </c>
      <c r="CH157" s="50" t="e">
        <f t="shared" si="96"/>
        <v>#REF!</v>
      </c>
      <c r="CI157" s="50" t="e">
        <f t="shared" si="96"/>
        <v>#REF!</v>
      </c>
      <c r="CJ157" s="50" t="e">
        <f t="shared" si="96"/>
        <v>#REF!</v>
      </c>
      <c r="CK157" s="50" t="e">
        <f t="shared" si="96"/>
        <v>#REF!</v>
      </c>
      <c r="CL157" s="50" t="e">
        <f t="shared" si="96"/>
        <v>#REF!</v>
      </c>
      <c r="CM157" s="50" t="e">
        <f t="shared" si="96"/>
        <v>#REF!</v>
      </c>
      <c r="CN157" s="50" t="e">
        <f t="shared" si="96"/>
        <v>#REF!</v>
      </c>
      <c r="CO157" s="35"/>
    </row>
    <row r="158" spans="1:93" ht="12.75" customHeight="1" outlineLevel="1">
      <c r="A158" s="35"/>
      <c r="B158" s="63" t="s">
        <v>235</v>
      </c>
      <c r="C158" s="35" t="e">
        <f t="shared" ref="C158:C159" si="97">SUM(D158:CN158)</f>
        <v>#REF!</v>
      </c>
      <c r="D158" s="60" t="e">
        <f>D85/(1+Assump!$D$25)*Assump!$D$25</f>
        <v>#REF!</v>
      </c>
      <c r="E158" s="35" t="e">
        <f>E85/(1+Assump!$D$25)*Assump!$D$25</f>
        <v>#REF!</v>
      </c>
      <c r="F158" s="35" t="e">
        <f>F85/(1+Assump!$D$25)*Assump!$D$25</f>
        <v>#REF!</v>
      </c>
      <c r="G158" s="35" t="e">
        <f>G85/(1+Assump!$D$25)*Assump!$D$25</f>
        <v>#REF!</v>
      </c>
      <c r="H158" s="35" t="e">
        <f>H85/(1+Assump!$D$25)*Assump!$D$25</f>
        <v>#REF!</v>
      </c>
      <c r="I158" s="35" t="e">
        <f>I85/(1+Assump!$D$25)*Assump!$D$25</f>
        <v>#REF!</v>
      </c>
      <c r="J158" s="35" t="e">
        <f>J85/(1+Assump!$D$25)*Assump!$D$25</f>
        <v>#REF!</v>
      </c>
      <c r="K158" s="35" t="e">
        <f>K85/(1+Assump!$D$25)*Assump!$D$25</f>
        <v>#REF!</v>
      </c>
      <c r="L158" s="35" t="e">
        <f>L85/(1+Assump!$D$25)*Assump!$D$25</f>
        <v>#REF!</v>
      </c>
      <c r="M158" s="35" t="e">
        <f>M85/(1+Assump!$D$25)*Assump!$D$25</f>
        <v>#REF!</v>
      </c>
      <c r="N158" s="35" t="e">
        <f>N85/(1+Assump!$D$25)*Assump!$D$25</f>
        <v>#REF!</v>
      </c>
      <c r="O158" s="35" t="e">
        <f>O85/(1+Assump!$D$25)*Assump!$D$25</f>
        <v>#REF!</v>
      </c>
      <c r="P158" s="35" t="e">
        <f>P85/(1+Assump!$D$25)*Assump!$D$25</f>
        <v>#REF!</v>
      </c>
      <c r="Q158" s="35" t="e">
        <f>Q85/(1+Assump!$D$25)*Assump!$D$25</f>
        <v>#REF!</v>
      </c>
      <c r="R158" s="35" t="e">
        <f>R85/(1+Assump!$D$25)*Assump!$D$25</f>
        <v>#REF!</v>
      </c>
      <c r="S158" s="35" t="e">
        <f>S85/(1+Assump!$D$25)*Assump!$D$25</f>
        <v>#REF!</v>
      </c>
      <c r="T158" s="35" t="e">
        <f>T85/(1+Assump!$D$25)*Assump!$D$25</f>
        <v>#REF!</v>
      </c>
      <c r="U158" s="35" t="e">
        <f>U85/(1+Assump!$D$25)*Assump!$D$25</f>
        <v>#REF!</v>
      </c>
      <c r="V158" s="35" t="e">
        <f>V85/(1+Assump!$D$25)*Assump!$D$25</f>
        <v>#REF!</v>
      </c>
      <c r="W158" s="35" t="e">
        <f>W85/(1+Assump!$D$25)*Assump!$D$25</f>
        <v>#REF!</v>
      </c>
      <c r="X158" s="35" t="e">
        <f>X85/(1+Assump!$D$25)*Assump!$D$25</f>
        <v>#REF!</v>
      </c>
      <c r="Y158" s="35" t="e">
        <f>Y85/(1+Assump!$D$25)*Assump!$D$25</f>
        <v>#REF!</v>
      </c>
      <c r="Z158" s="35" t="e">
        <f>Z85/(1+Assump!$D$25)*Assump!$D$25</f>
        <v>#REF!</v>
      </c>
      <c r="AA158" s="35" t="e">
        <f>AA85/(1+Assump!$D$25)*Assump!$D$25</f>
        <v>#REF!</v>
      </c>
      <c r="AB158" s="35" t="e">
        <f>AB85/(1+Assump!$D$25)*Assump!$D$25</f>
        <v>#REF!</v>
      </c>
      <c r="AC158" s="35" t="e">
        <f>AC85/(1+Assump!$D$25)*Assump!$D$25</f>
        <v>#REF!</v>
      </c>
      <c r="AD158" s="35" t="e">
        <f>AD85/(1+Assump!$D$25)*Assump!$D$25</f>
        <v>#REF!</v>
      </c>
      <c r="AE158" s="35" t="e">
        <f>AE85/(1+Assump!$D$25)*Assump!$D$25</f>
        <v>#REF!</v>
      </c>
      <c r="AF158" s="35" t="e">
        <f>AF85/(1+Assump!$D$25)*Assump!$D$25</f>
        <v>#REF!</v>
      </c>
      <c r="AG158" s="35" t="e">
        <f>AG85/(1+Assump!$D$25)*Assump!$D$25</f>
        <v>#REF!</v>
      </c>
      <c r="AH158" s="35" t="e">
        <f>AH85/(1+Assump!$D$25)*Assump!$D$25</f>
        <v>#REF!</v>
      </c>
      <c r="AI158" s="35" t="e">
        <f>AI85/(1+Assump!$D$25)*Assump!$D$25</f>
        <v>#REF!</v>
      </c>
      <c r="AJ158" s="35" t="e">
        <f>AJ85/(1+Assump!$D$25)*Assump!$D$25</f>
        <v>#REF!</v>
      </c>
      <c r="AK158" s="35" t="e">
        <f>AK85/(1+Assump!$D$25)*Assump!$D$25</f>
        <v>#REF!</v>
      </c>
      <c r="AL158" s="35" t="e">
        <f>AL85/(1+Assump!$D$25)*Assump!$D$25</f>
        <v>#REF!</v>
      </c>
      <c r="AM158" s="35" t="e">
        <f>AM85/(1+Assump!$D$25)*Assump!$D$25</f>
        <v>#REF!</v>
      </c>
      <c r="AN158" s="35" t="e">
        <f>AN85/(1+Assump!$D$25)*Assump!$D$25</f>
        <v>#REF!</v>
      </c>
      <c r="AO158" s="35" t="e">
        <f>AO85/(1+Assump!$D$25)*Assump!$D$25</f>
        <v>#REF!</v>
      </c>
      <c r="AP158" s="35" t="e">
        <f>AP85/(1+Assump!$D$25)*Assump!$D$25</f>
        <v>#REF!</v>
      </c>
      <c r="AQ158" s="35" t="e">
        <f>AQ85/(1+Assump!$D$25)*Assump!$D$25</f>
        <v>#REF!</v>
      </c>
      <c r="AR158" s="35" t="e">
        <f>AR85/(1+Assump!$D$25)*Assump!$D$25</f>
        <v>#REF!</v>
      </c>
      <c r="AS158" s="35" t="e">
        <f>AS85/(1+Assump!$D$25)*Assump!$D$25</f>
        <v>#REF!</v>
      </c>
      <c r="AT158" s="35" t="e">
        <f>AT85/(1+Assump!$D$25)*Assump!$D$25</f>
        <v>#REF!</v>
      </c>
      <c r="AU158" s="35" t="e">
        <f>AU85/(1+Assump!$D$25)*Assump!$D$25</f>
        <v>#REF!</v>
      </c>
      <c r="AV158" s="35" t="e">
        <f>AV85/(1+Assump!$D$25)*Assump!$D$25</f>
        <v>#REF!</v>
      </c>
      <c r="AW158" s="35" t="e">
        <f>AW85/(1+Assump!$D$25)*Assump!$D$25</f>
        <v>#REF!</v>
      </c>
      <c r="AX158" s="35" t="e">
        <f>AX85/(1+Assump!$D$25)*Assump!$D$25</f>
        <v>#REF!</v>
      </c>
      <c r="AY158" s="35" t="e">
        <f>AY85/(1+Assump!$D$25)*Assump!$D$25</f>
        <v>#REF!</v>
      </c>
      <c r="AZ158" s="35" t="e">
        <f>AZ85/(1+Assump!$D$25)*Assump!$D$25</f>
        <v>#REF!</v>
      </c>
      <c r="BA158" s="35" t="e">
        <f>BA85/(1+Assump!$D$25)*Assump!$D$25</f>
        <v>#REF!</v>
      </c>
      <c r="BB158" s="35" t="e">
        <f>BB85/(1+Assump!$D$25)*Assump!$D$25</f>
        <v>#REF!</v>
      </c>
      <c r="BC158" s="35" t="e">
        <f>BC85/(1+Assump!$D$25)*Assump!$D$25</f>
        <v>#REF!</v>
      </c>
      <c r="BD158" s="35" t="e">
        <f>BD85/(1+Assump!$D$25)*Assump!$D$25</f>
        <v>#REF!</v>
      </c>
      <c r="BE158" s="35" t="e">
        <f>BE85/(1+Assump!$D$25)*Assump!$D$25</f>
        <v>#REF!</v>
      </c>
      <c r="BF158" s="35" t="e">
        <f>BF85/(1+Assump!$D$25)*Assump!$D$25</f>
        <v>#REF!</v>
      </c>
      <c r="BG158" s="35" t="e">
        <f>BG85/(1+Assump!$D$25)*Assump!$D$25</f>
        <v>#REF!</v>
      </c>
      <c r="BH158" s="35" t="e">
        <f>BH85/(1+Assump!$D$25)*Assump!$D$25</f>
        <v>#REF!</v>
      </c>
      <c r="BI158" s="35" t="e">
        <f>BI85/(1+Assump!$D$25)*Assump!$D$25</f>
        <v>#REF!</v>
      </c>
      <c r="BJ158" s="35" t="e">
        <f>BJ85/(1+Assump!$D$25)*Assump!$D$25</f>
        <v>#REF!</v>
      </c>
      <c r="BK158" s="35" t="e">
        <f>BK85/(1+Assump!$D$25)*Assump!$D$25</f>
        <v>#REF!</v>
      </c>
      <c r="BL158" s="35" t="e">
        <f>BL85/(1+Assump!$D$25)*Assump!$D$25</f>
        <v>#REF!</v>
      </c>
      <c r="BM158" s="35" t="e">
        <f>BM85/(1+Assump!$D$25)*Assump!$D$25</f>
        <v>#REF!</v>
      </c>
      <c r="BN158" s="35" t="e">
        <f>BN85/(1+Assump!$D$25)*Assump!$D$25</f>
        <v>#REF!</v>
      </c>
      <c r="BO158" s="35" t="e">
        <f>BO85/(1+Assump!$D$25)*Assump!$D$25</f>
        <v>#REF!</v>
      </c>
      <c r="BP158" s="35" t="e">
        <f>BP85/(1+Assump!$D$25)*Assump!$D$25</f>
        <v>#REF!</v>
      </c>
      <c r="BQ158" s="35" t="e">
        <f>BQ85/(1+Assump!$D$25)*Assump!$D$25</f>
        <v>#REF!</v>
      </c>
      <c r="BR158" s="35" t="e">
        <f>BR85/(1+Assump!$D$25)*Assump!$D$25</f>
        <v>#REF!</v>
      </c>
      <c r="BS158" s="35" t="e">
        <f>BS85/(1+Assump!$D$25)*Assump!$D$25</f>
        <v>#REF!</v>
      </c>
      <c r="BT158" s="35" t="e">
        <f>BT85/(1+Assump!$D$25)*Assump!$D$25</f>
        <v>#REF!</v>
      </c>
      <c r="BU158" s="35" t="e">
        <f>BU85/(1+Assump!$D$25)*Assump!$D$25</f>
        <v>#REF!</v>
      </c>
      <c r="BV158" s="35" t="e">
        <f>BV85/(1+Assump!$D$25)*Assump!$D$25</f>
        <v>#REF!</v>
      </c>
      <c r="BW158" s="35" t="e">
        <f>BW85/(1+Assump!$D$25)*Assump!$D$25</f>
        <v>#REF!</v>
      </c>
      <c r="BX158" s="35" t="e">
        <f>BX85/(1+Assump!$D$25)*Assump!$D$25</f>
        <v>#REF!</v>
      </c>
      <c r="BY158" s="35" t="e">
        <f>BY85/(1+Assump!$D$25)*Assump!$D$25</f>
        <v>#REF!</v>
      </c>
      <c r="BZ158" s="35" t="e">
        <f>BZ85/(1+Assump!$D$25)*Assump!$D$25</f>
        <v>#REF!</v>
      </c>
      <c r="CA158" s="35" t="e">
        <f>CA85/(1+Assump!$D$25)*Assump!$D$25</f>
        <v>#REF!</v>
      </c>
      <c r="CB158" s="35" t="e">
        <f>CB85/(1+Assump!$D$25)*Assump!$D$25</f>
        <v>#REF!</v>
      </c>
      <c r="CC158" s="35" t="e">
        <f>CC85/(1+Assump!$D$25)*Assump!$D$25</f>
        <v>#REF!</v>
      </c>
      <c r="CD158" s="35" t="e">
        <f>CD85/(1+Assump!$D$25)*Assump!$D$25</f>
        <v>#REF!</v>
      </c>
      <c r="CE158" s="35" t="e">
        <f>CE85/(1+Assump!$D$25)*Assump!$D$25</f>
        <v>#REF!</v>
      </c>
      <c r="CF158" s="35" t="e">
        <f>CF85/(1+Assump!$D$25)*Assump!$D$25</f>
        <v>#REF!</v>
      </c>
      <c r="CG158" s="35" t="e">
        <f>CG85/(1+Assump!$D$25)*Assump!$D$25</f>
        <v>#REF!</v>
      </c>
      <c r="CH158" s="35" t="e">
        <f>CH85/(1+Assump!$D$25)*Assump!$D$25</f>
        <v>#REF!</v>
      </c>
      <c r="CI158" s="35" t="e">
        <f>CI85/(1+Assump!$D$25)*Assump!$D$25</f>
        <v>#REF!</v>
      </c>
      <c r="CJ158" s="35" t="e">
        <f>CJ85/(1+Assump!$D$25)*Assump!$D$25</f>
        <v>#REF!</v>
      </c>
      <c r="CK158" s="35" t="e">
        <f>CK85/(1+Assump!$D$25)*Assump!$D$25</f>
        <v>#REF!</v>
      </c>
      <c r="CL158" s="35" t="e">
        <f>CL85/(1+Assump!$D$25)*Assump!$D$25</f>
        <v>#REF!</v>
      </c>
      <c r="CM158" s="35" t="e">
        <f>CM85/(1+Assump!$D$25)*Assump!$D$25</f>
        <v>#REF!</v>
      </c>
      <c r="CN158" s="35" t="e">
        <f>CN85/(1+Assump!$D$25)*Assump!$D$25</f>
        <v>#REF!</v>
      </c>
      <c r="CO158" s="35"/>
    </row>
    <row r="159" spans="1:93" ht="12.75" customHeight="1" outlineLevel="1">
      <c r="A159" s="35"/>
      <c r="B159" s="63" t="s">
        <v>236</v>
      </c>
      <c r="C159" s="35" t="e">
        <f t="shared" si="97"/>
        <v>#REF!</v>
      </c>
      <c r="D159" s="60">
        <f>-SUM(D25:D33)*Assump!$D$25</f>
        <v>0</v>
      </c>
      <c r="E159" s="35">
        <f t="shared" ref="E159:CN159" si="98">E86</f>
        <v>0</v>
      </c>
      <c r="F159" s="35" t="e">
        <f t="shared" si="98"/>
        <v>#REF!</v>
      </c>
      <c r="G159" s="35" t="e">
        <f t="shared" si="98"/>
        <v>#REF!</v>
      </c>
      <c r="H159" s="35" t="e">
        <f t="shared" si="98"/>
        <v>#REF!</v>
      </c>
      <c r="I159" s="35" t="e">
        <f t="shared" si="98"/>
        <v>#REF!</v>
      </c>
      <c r="J159" s="35" t="e">
        <f t="shared" si="98"/>
        <v>#REF!</v>
      </c>
      <c r="K159" s="35" t="e">
        <f t="shared" si="98"/>
        <v>#REF!</v>
      </c>
      <c r="L159" s="35" t="e">
        <f t="shared" si="98"/>
        <v>#REF!</v>
      </c>
      <c r="M159" s="35" t="e">
        <f t="shared" si="98"/>
        <v>#REF!</v>
      </c>
      <c r="N159" s="35" t="e">
        <f t="shared" si="98"/>
        <v>#REF!</v>
      </c>
      <c r="O159" s="35" t="e">
        <f t="shared" si="98"/>
        <v>#REF!</v>
      </c>
      <c r="P159" s="35" t="e">
        <f t="shared" si="98"/>
        <v>#REF!</v>
      </c>
      <c r="Q159" s="35" t="e">
        <f t="shared" si="98"/>
        <v>#REF!</v>
      </c>
      <c r="R159" s="35" t="e">
        <f t="shared" si="98"/>
        <v>#REF!</v>
      </c>
      <c r="S159" s="35" t="e">
        <f t="shared" si="98"/>
        <v>#REF!</v>
      </c>
      <c r="T159" s="35" t="e">
        <f t="shared" si="98"/>
        <v>#REF!</v>
      </c>
      <c r="U159" s="35" t="e">
        <f t="shared" si="98"/>
        <v>#REF!</v>
      </c>
      <c r="V159" s="35" t="e">
        <f t="shared" si="98"/>
        <v>#REF!</v>
      </c>
      <c r="W159" s="35" t="e">
        <f t="shared" si="98"/>
        <v>#REF!</v>
      </c>
      <c r="X159" s="35" t="e">
        <f t="shared" si="98"/>
        <v>#REF!</v>
      </c>
      <c r="Y159" s="35" t="e">
        <f t="shared" si="98"/>
        <v>#REF!</v>
      </c>
      <c r="Z159" s="35" t="e">
        <f t="shared" si="98"/>
        <v>#REF!</v>
      </c>
      <c r="AA159" s="35" t="e">
        <f t="shared" si="98"/>
        <v>#REF!</v>
      </c>
      <c r="AB159" s="35" t="e">
        <f t="shared" si="98"/>
        <v>#REF!</v>
      </c>
      <c r="AC159" s="35" t="e">
        <f t="shared" si="98"/>
        <v>#REF!</v>
      </c>
      <c r="AD159" s="35" t="e">
        <f t="shared" si="98"/>
        <v>#REF!</v>
      </c>
      <c r="AE159" s="35" t="e">
        <f t="shared" si="98"/>
        <v>#REF!</v>
      </c>
      <c r="AF159" s="35" t="e">
        <f t="shared" si="98"/>
        <v>#REF!</v>
      </c>
      <c r="AG159" s="35" t="e">
        <f t="shared" si="98"/>
        <v>#REF!</v>
      </c>
      <c r="AH159" s="35" t="e">
        <f t="shared" si="98"/>
        <v>#REF!</v>
      </c>
      <c r="AI159" s="35" t="e">
        <f t="shared" si="98"/>
        <v>#REF!</v>
      </c>
      <c r="AJ159" s="35" t="e">
        <f t="shared" si="98"/>
        <v>#REF!</v>
      </c>
      <c r="AK159" s="35" t="e">
        <f t="shared" si="98"/>
        <v>#REF!</v>
      </c>
      <c r="AL159" s="35" t="e">
        <f t="shared" si="98"/>
        <v>#REF!</v>
      </c>
      <c r="AM159" s="35" t="e">
        <f t="shared" si="98"/>
        <v>#REF!</v>
      </c>
      <c r="AN159" s="35" t="e">
        <f t="shared" si="98"/>
        <v>#REF!</v>
      </c>
      <c r="AO159" s="35" t="e">
        <f t="shared" si="98"/>
        <v>#REF!</v>
      </c>
      <c r="AP159" s="35" t="e">
        <f t="shared" si="98"/>
        <v>#REF!</v>
      </c>
      <c r="AQ159" s="35" t="e">
        <f t="shared" si="98"/>
        <v>#REF!</v>
      </c>
      <c r="AR159" s="35" t="e">
        <f t="shared" si="98"/>
        <v>#REF!</v>
      </c>
      <c r="AS159" s="35" t="e">
        <f t="shared" si="98"/>
        <v>#REF!</v>
      </c>
      <c r="AT159" s="35" t="e">
        <f t="shared" si="98"/>
        <v>#REF!</v>
      </c>
      <c r="AU159" s="35" t="e">
        <f t="shared" si="98"/>
        <v>#REF!</v>
      </c>
      <c r="AV159" s="35" t="e">
        <f t="shared" si="98"/>
        <v>#REF!</v>
      </c>
      <c r="AW159" s="35" t="e">
        <f t="shared" si="98"/>
        <v>#REF!</v>
      </c>
      <c r="AX159" s="35" t="e">
        <f t="shared" si="98"/>
        <v>#REF!</v>
      </c>
      <c r="AY159" s="35" t="e">
        <f t="shared" si="98"/>
        <v>#REF!</v>
      </c>
      <c r="AZ159" s="35" t="e">
        <f t="shared" si="98"/>
        <v>#REF!</v>
      </c>
      <c r="BA159" s="35" t="e">
        <f t="shared" si="98"/>
        <v>#REF!</v>
      </c>
      <c r="BB159" s="35" t="e">
        <f t="shared" si="98"/>
        <v>#REF!</v>
      </c>
      <c r="BC159" s="35" t="e">
        <f t="shared" si="98"/>
        <v>#REF!</v>
      </c>
      <c r="BD159" s="35" t="e">
        <f t="shared" si="98"/>
        <v>#REF!</v>
      </c>
      <c r="BE159" s="35" t="e">
        <f t="shared" si="98"/>
        <v>#REF!</v>
      </c>
      <c r="BF159" s="35" t="e">
        <f t="shared" si="98"/>
        <v>#REF!</v>
      </c>
      <c r="BG159" s="35" t="e">
        <f t="shared" si="98"/>
        <v>#REF!</v>
      </c>
      <c r="BH159" s="35" t="e">
        <f t="shared" si="98"/>
        <v>#REF!</v>
      </c>
      <c r="BI159" s="35" t="e">
        <f t="shared" si="98"/>
        <v>#REF!</v>
      </c>
      <c r="BJ159" s="35" t="e">
        <f t="shared" si="98"/>
        <v>#REF!</v>
      </c>
      <c r="BK159" s="35" t="e">
        <f t="shared" si="98"/>
        <v>#REF!</v>
      </c>
      <c r="BL159" s="35" t="e">
        <f t="shared" si="98"/>
        <v>#REF!</v>
      </c>
      <c r="BM159" s="35" t="e">
        <f t="shared" si="98"/>
        <v>#REF!</v>
      </c>
      <c r="BN159" s="35" t="e">
        <f t="shared" si="98"/>
        <v>#REF!</v>
      </c>
      <c r="BO159" s="35" t="e">
        <f t="shared" si="98"/>
        <v>#REF!</v>
      </c>
      <c r="BP159" s="35" t="e">
        <f t="shared" si="98"/>
        <v>#REF!</v>
      </c>
      <c r="BQ159" s="35" t="e">
        <f t="shared" si="98"/>
        <v>#REF!</v>
      </c>
      <c r="BR159" s="35" t="e">
        <f t="shared" si="98"/>
        <v>#REF!</v>
      </c>
      <c r="BS159" s="35" t="e">
        <f t="shared" si="98"/>
        <v>#REF!</v>
      </c>
      <c r="BT159" s="35" t="e">
        <f t="shared" si="98"/>
        <v>#REF!</v>
      </c>
      <c r="BU159" s="35" t="e">
        <f t="shared" si="98"/>
        <v>#REF!</v>
      </c>
      <c r="BV159" s="35" t="e">
        <f t="shared" si="98"/>
        <v>#REF!</v>
      </c>
      <c r="BW159" s="35" t="e">
        <f t="shared" si="98"/>
        <v>#REF!</v>
      </c>
      <c r="BX159" s="35" t="e">
        <f t="shared" si="98"/>
        <v>#REF!</v>
      </c>
      <c r="BY159" s="35" t="e">
        <f t="shared" si="98"/>
        <v>#REF!</v>
      </c>
      <c r="BZ159" s="35" t="e">
        <f t="shared" si="98"/>
        <v>#REF!</v>
      </c>
      <c r="CA159" s="35" t="e">
        <f t="shared" si="98"/>
        <v>#REF!</v>
      </c>
      <c r="CB159" s="35" t="e">
        <f t="shared" si="98"/>
        <v>#REF!</v>
      </c>
      <c r="CC159" s="35" t="e">
        <f t="shared" si="98"/>
        <v>#REF!</v>
      </c>
      <c r="CD159" s="35" t="e">
        <f t="shared" si="98"/>
        <v>#REF!</v>
      </c>
      <c r="CE159" s="35" t="e">
        <f t="shared" si="98"/>
        <v>#REF!</v>
      </c>
      <c r="CF159" s="35" t="e">
        <f t="shared" si="98"/>
        <v>#REF!</v>
      </c>
      <c r="CG159" s="35" t="e">
        <f t="shared" si="98"/>
        <v>#REF!</v>
      </c>
      <c r="CH159" s="35" t="e">
        <f t="shared" si="98"/>
        <v>#REF!</v>
      </c>
      <c r="CI159" s="35" t="e">
        <f t="shared" si="98"/>
        <v>#REF!</v>
      </c>
      <c r="CJ159" s="35" t="e">
        <f t="shared" si="98"/>
        <v>#REF!</v>
      </c>
      <c r="CK159" s="35" t="e">
        <f t="shared" si="98"/>
        <v>#REF!</v>
      </c>
      <c r="CL159" s="35" t="e">
        <f t="shared" si="98"/>
        <v>#REF!</v>
      </c>
      <c r="CM159" s="35" t="e">
        <f t="shared" si="98"/>
        <v>#REF!</v>
      </c>
      <c r="CN159" s="35" t="e">
        <f t="shared" si="98"/>
        <v>#REF!</v>
      </c>
      <c r="CO159" s="35"/>
    </row>
    <row r="160" spans="1:93" ht="12.75" customHeight="1" outlineLevel="1">
      <c r="A160" s="88"/>
      <c r="B160" s="110" t="s">
        <v>230</v>
      </c>
      <c r="C160" s="111"/>
      <c r="D160" s="58" t="e">
        <f t="shared" ref="D160:CN160" si="99">SUM(D157:D159)</f>
        <v>#REF!</v>
      </c>
      <c r="E160" s="111" t="e">
        <f t="shared" si="99"/>
        <v>#REF!</v>
      </c>
      <c r="F160" s="111" t="e">
        <f t="shared" si="99"/>
        <v>#REF!</v>
      </c>
      <c r="G160" s="111" t="e">
        <f t="shared" si="99"/>
        <v>#REF!</v>
      </c>
      <c r="H160" s="111" t="e">
        <f t="shared" si="99"/>
        <v>#REF!</v>
      </c>
      <c r="I160" s="111" t="e">
        <f t="shared" si="99"/>
        <v>#REF!</v>
      </c>
      <c r="J160" s="111" t="e">
        <f t="shared" si="99"/>
        <v>#REF!</v>
      </c>
      <c r="K160" s="111" t="e">
        <f t="shared" si="99"/>
        <v>#REF!</v>
      </c>
      <c r="L160" s="111" t="e">
        <f t="shared" si="99"/>
        <v>#REF!</v>
      </c>
      <c r="M160" s="111" t="e">
        <f t="shared" si="99"/>
        <v>#REF!</v>
      </c>
      <c r="N160" s="111" t="e">
        <f t="shared" si="99"/>
        <v>#REF!</v>
      </c>
      <c r="O160" s="111" t="e">
        <f t="shared" si="99"/>
        <v>#REF!</v>
      </c>
      <c r="P160" s="111" t="e">
        <f t="shared" si="99"/>
        <v>#REF!</v>
      </c>
      <c r="Q160" s="111" t="e">
        <f t="shared" si="99"/>
        <v>#REF!</v>
      </c>
      <c r="R160" s="111" t="e">
        <f t="shared" si="99"/>
        <v>#REF!</v>
      </c>
      <c r="S160" s="111" t="e">
        <f t="shared" si="99"/>
        <v>#REF!</v>
      </c>
      <c r="T160" s="111" t="e">
        <f t="shared" si="99"/>
        <v>#REF!</v>
      </c>
      <c r="U160" s="111" t="e">
        <f t="shared" si="99"/>
        <v>#REF!</v>
      </c>
      <c r="V160" s="111" t="e">
        <f t="shared" si="99"/>
        <v>#REF!</v>
      </c>
      <c r="W160" s="111" t="e">
        <f t="shared" si="99"/>
        <v>#REF!</v>
      </c>
      <c r="X160" s="111" t="e">
        <f t="shared" si="99"/>
        <v>#REF!</v>
      </c>
      <c r="Y160" s="111" t="e">
        <f t="shared" si="99"/>
        <v>#REF!</v>
      </c>
      <c r="Z160" s="111" t="e">
        <f t="shared" si="99"/>
        <v>#REF!</v>
      </c>
      <c r="AA160" s="111" t="e">
        <f t="shared" si="99"/>
        <v>#REF!</v>
      </c>
      <c r="AB160" s="111" t="e">
        <f t="shared" si="99"/>
        <v>#REF!</v>
      </c>
      <c r="AC160" s="111" t="e">
        <f t="shared" si="99"/>
        <v>#REF!</v>
      </c>
      <c r="AD160" s="111" t="e">
        <f t="shared" si="99"/>
        <v>#REF!</v>
      </c>
      <c r="AE160" s="111" t="e">
        <f t="shared" si="99"/>
        <v>#REF!</v>
      </c>
      <c r="AF160" s="111" t="e">
        <f t="shared" si="99"/>
        <v>#REF!</v>
      </c>
      <c r="AG160" s="111" t="e">
        <f t="shared" si="99"/>
        <v>#REF!</v>
      </c>
      <c r="AH160" s="111" t="e">
        <f t="shared" si="99"/>
        <v>#REF!</v>
      </c>
      <c r="AI160" s="111" t="e">
        <f t="shared" si="99"/>
        <v>#REF!</v>
      </c>
      <c r="AJ160" s="111" t="e">
        <f t="shared" si="99"/>
        <v>#REF!</v>
      </c>
      <c r="AK160" s="55" t="e">
        <f t="shared" si="99"/>
        <v>#REF!</v>
      </c>
      <c r="AL160" s="111" t="e">
        <f t="shared" si="99"/>
        <v>#REF!</v>
      </c>
      <c r="AM160" s="111" t="e">
        <f t="shared" si="99"/>
        <v>#REF!</v>
      </c>
      <c r="AN160" s="111" t="e">
        <f t="shared" si="99"/>
        <v>#REF!</v>
      </c>
      <c r="AO160" s="111" t="e">
        <f t="shared" si="99"/>
        <v>#REF!</v>
      </c>
      <c r="AP160" s="111" t="e">
        <f t="shared" si="99"/>
        <v>#REF!</v>
      </c>
      <c r="AQ160" s="111" t="e">
        <f t="shared" si="99"/>
        <v>#REF!</v>
      </c>
      <c r="AR160" s="111" t="e">
        <f t="shared" si="99"/>
        <v>#REF!</v>
      </c>
      <c r="AS160" s="111" t="e">
        <f t="shared" si="99"/>
        <v>#REF!</v>
      </c>
      <c r="AT160" s="111" t="e">
        <f t="shared" si="99"/>
        <v>#REF!</v>
      </c>
      <c r="AU160" s="111" t="e">
        <f t="shared" si="99"/>
        <v>#REF!</v>
      </c>
      <c r="AV160" s="111" t="e">
        <f t="shared" si="99"/>
        <v>#REF!</v>
      </c>
      <c r="AW160" s="111" t="e">
        <f t="shared" si="99"/>
        <v>#REF!</v>
      </c>
      <c r="AX160" s="111" t="e">
        <f t="shared" si="99"/>
        <v>#REF!</v>
      </c>
      <c r="AY160" s="111" t="e">
        <f t="shared" si="99"/>
        <v>#REF!</v>
      </c>
      <c r="AZ160" s="111" t="e">
        <f t="shared" si="99"/>
        <v>#REF!</v>
      </c>
      <c r="BA160" s="111" t="e">
        <f t="shared" si="99"/>
        <v>#REF!</v>
      </c>
      <c r="BB160" s="111" t="e">
        <f t="shared" si="99"/>
        <v>#REF!</v>
      </c>
      <c r="BC160" s="111" t="e">
        <f t="shared" si="99"/>
        <v>#REF!</v>
      </c>
      <c r="BD160" s="111" t="e">
        <f t="shared" si="99"/>
        <v>#REF!</v>
      </c>
      <c r="BE160" s="111" t="e">
        <f t="shared" si="99"/>
        <v>#REF!</v>
      </c>
      <c r="BF160" s="111" t="e">
        <f t="shared" si="99"/>
        <v>#REF!</v>
      </c>
      <c r="BG160" s="111" t="e">
        <f t="shared" si="99"/>
        <v>#REF!</v>
      </c>
      <c r="BH160" s="111" t="e">
        <f t="shared" si="99"/>
        <v>#REF!</v>
      </c>
      <c r="BI160" s="111" t="e">
        <f t="shared" si="99"/>
        <v>#REF!</v>
      </c>
      <c r="BJ160" s="111" t="e">
        <f t="shared" si="99"/>
        <v>#REF!</v>
      </c>
      <c r="BK160" s="111" t="e">
        <f t="shared" si="99"/>
        <v>#REF!</v>
      </c>
      <c r="BL160" s="111" t="e">
        <f t="shared" si="99"/>
        <v>#REF!</v>
      </c>
      <c r="BM160" s="111" t="e">
        <f t="shared" si="99"/>
        <v>#REF!</v>
      </c>
      <c r="BN160" s="111" t="e">
        <f t="shared" si="99"/>
        <v>#REF!</v>
      </c>
      <c r="BO160" s="111" t="e">
        <f t="shared" si="99"/>
        <v>#REF!</v>
      </c>
      <c r="BP160" s="111" t="e">
        <f t="shared" si="99"/>
        <v>#REF!</v>
      </c>
      <c r="BQ160" s="111" t="e">
        <f t="shared" si="99"/>
        <v>#REF!</v>
      </c>
      <c r="BR160" s="111" t="e">
        <f t="shared" si="99"/>
        <v>#REF!</v>
      </c>
      <c r="BS160" s="111" t="e">
        <f t="shared" si="99"/>
        <v>#REF!</v>
      </c>
      <c r="BT160" s="111" t="e">
        <f t="shared" si="99"/>
        <v>#REF!</v>
      </c>
      <c r="BU160" s="111" t="e">
        <f t="shared" si="99"/>
        <v>#REF!</v>
      </c>
      <c r="BV160" s="111" t="e">
        <f t="shared" si="99"/>
        <v>#REF!</v>
      </c>
      <c r="BW160" s="111" t="e">
        <f t="shared" si="99"/>
        <v>#REF!</v>
      </c>
      <c r="BX160" s="111" t="e">
        <f t="shared" si="99"/>
        <v>#REF!</v>
      </c>
      <c r="BY160" s="111" t="e">
        <f t="shared" si="99"/>
        <v>#REF!</v>
      </c>
      <c r="BZ160" s="111" t="e">
        <f t="shared" si="99"/>
        <v>#REF!</v>
      </c>
      <c r="CA160" s="111" t="e">
        <f t="shared" si="99"/>
        <v>#REF!</v>
      </c>
      <c r="CB160" s="111" t="e">
        <f t="shared" si="99"/>
        <v>#REF!</v>
      </c>
      <c r="CC160" s="111" t="e">
        <f t="shared" si="99"/>
        <v>#REF!</v>
      </c>
      <c r="CD160" s="111" t="e">
        <f t="shared" si="99"/>
        <v>#REF!</v>
      </c>
      <c r="CE160" s="111" t="e">
        <f t="shared" si="99"/>
        <v>#REF!</v>
      </c>
      <c r="CF160" s="111" t="e">
        <f t="shared" si="99"/>
        <v>#REF!</v>
      </c>
      <c r="CG160" s="111" t="e">
        <f t="shared" si="99"/>
        <v>#REF!</v>
      </c>
      <c r="CH160" s="111" t="e">
        <f t="shared" si="99"/>
        <v>#REF!</v>
      </c>
      <c r="CI160" s="111" t="e">
        <f t="shared" si="99"/>
        <v>#REF!</v>
      </c>
      <c r="CJ160" s="111" t="e">
        <f t="shared" si="99"/>
        <v>#REF!</v>
      </c>
      <c r="CK160" s="111" t="e">
        <f t="shared" si="99"/>
        <v>#REF!</v>
      </c>
      <c r="CL160" s="111" t="e">
        <f t="shared" si="99"/>
        <v>#REF!</v>
      </c>
      <c r="CM160" s="111" t="e">
        <f t="shared" si="99"/>
        <v>#REF!</v>
      </c>
      <c r="CN160" s="111" t="e">
        <f t="shared" si="99"/>
        <v>#REF!</v>
      </c>
      <c r="CO160" s="88"/>
    </row>
    <row r="161" spans="1:93" ht="12.75" customHeight="1" outlineLevel="1">
      <c r="A161" s="88"/>
      <c r="B161" s="89"/>
      <c r="C161" s="88"/>
      <c r="D161" s="60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35"/>
      <c r="AL161" s="88"/>
      <c r="AM161" s="88"/>
      <c r="AN161" s="88"/>
      <c r="AO161" s="88"/>
      <c r="AP161" s="88"/>
      <c r="AQ161" s="88"/>
      <c r="AR161" s="88"/>
      <c r="AS161" s="88"/>
      <c r="AT161" s="88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/>
      <c r="BE161" s="88"/>
      <c r="BF161" s="88"/>
      <c r="BG161" s="88"/>
      <c r="BH161" s="88"/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/>
      <c r="BU161" s="88"/>
      <c r="BV161" s="88"/>
      <c r="BW161" s="88"/>
      <c r="BX161" s="88"/>
      <c r="BY161" s="88"/>
      <c r="BZ161" s="88"/>
      <c r="CA161" s="88"/>
      <c r="CB161" s="88"/>
      <c r="CC161" s="88"/>
      <c r="CD161" s="88"/>
      <c r="CE161" s="88"/>
      <c r="CF161" s="88"/>
      <c r="CG161" s="88"/>
      <c r="CH161" s="88"/>
      <c r="CI161" s="88"/>
      <c r="CJ161" s="88"/>
      <c r="CK161" s="88"/>
      <c r="CL161" s="88"/>
      <c r="CM161" s="88"/>
      <c r="CN161" s="88"/>
      <c r="CO161" s="88"/>
    </row>
    <row r="162" spans="1:93" ht="12.75" customHeight="1" outlineLevel="1">
      <c r="A162" s="35"/>
      <c r="B162" s="35" t="s">
        <v>237</v>
      </c>
      <c r="C162" s="35"/>
      <c r="D162" s="60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</row>
    <row r="163" spans="1:93" ht="12.75" customHeight="1" outlineLevel="1">
      <c r="A163" s="35"/>
      <c r="B163" s="49" t="s">
        <v>228</v>
      </c>
      <c r="C163" s="50"/>
      <c r="D163" s="53">
        <v>0</v>
      </c>
      <c r="E163" s="50" t="e">
        <f t="shared" ref="E163:CN163" si="100">D166</f>
        <v>#REF!</v>
      </c>
      <c r="F163" s="50" t="e">
        <f t="shared" si="100"/>
        <v>#REF!</v>
      </c>
      <c r="G163" s="50" t="e">
        <f t="shared" si="100"/>
        <v>#REF!</v>
      </c>
      <c r="H163" s="50" t="e">
        <f t="shared" si="100"/>
        <v>#REF!</v>
      </c>
      <c r="I163" s="50" t="e">
        <f t="shared" si="100"/>
        <v>#REF!</v>
      </c>
      <c r="J163" s="50" t="e">
        <f t="shared" si="100"/>
        <v>#REF!</v>
      </c>
      <c r="K163" s="50" t="e">
        <f t="shared" si="100"/>
        <v>#REF!</v>
      </c>
      <c r="L163" s="50" t="e">
        <f t="shared" si="100"/>
        <v>#REF!</v>
      </c>
      <c r="M163" s="50" t="e">
        <f t="shared" si="100"/>
        <v>#REF!</v>
      </c>
      <c r="N163" s="50" t="e">
        <f t="shared" si="100"/>
        <v>#REF!</v>
      </c>
      <c r="O163" s="50" t="e">
        <f t="shared" si="100"/>
        <v>#REF!</v>
      </c>
      <c r="P163" s="50" t="e">
        <f t="shared" si="100"/>
        <v>#REF!</v>
      </c>
      <c r="Q163" s="50" t="e">
        <f t="shared" si="100"/>
        <v>#REF!</v>
      </c>
      <c r="R163" s="50" t="e">
        <f t="shared" si="100"/>
        <v>#REF!</v>
      </c>
      <c r="S163" s="50" t="e">
        <f t="shared" si="100"/>
        <v>#REF!</v>
      </c>
      <c r="T163" s="50" t="e">
        <f t="shared" si="100"/>
        <v>#REF!</v>
      </c>
      <c r="U163" s="50" t="e">
        <f t="shared" si="100"/>
        <v>#REF!</v>
      </c>
      <c r="V163" s="50" t="e">
        <f t="shared" si="100"/>
        <v>#REF!</v>
      </c>
      <c r="W163" s="50" t="e">
        <f t="shared" si="100"/>
        <v>#REF!</v>
      </c>
      <c r="X163" s="50" t="e">
        <f t="shared" si="100"/>
        <v>#REF!</v>
      </c>
      <c r="Y163" s="50" t="e">
        <f t="shared" si="100"/>
        <v>#REF!</v>
      </c>
      <c r="Z163" s="50" t="e">
        <f t="shared" si="100"/>
        <v>#REF!</v>
      </c>
      <c r="AA163" s="50" t="e">
        <f t="shared" si="100"/>
        <v>#REF!</v>
      </c>
      <c r="AB163" s="50" t="e">
        <f t="shared" si="100"/>
        <v>#REF!</v>
      </c>
      <c r="AC163" s="50" t="e">
        <f t="shared" si="100"/>
        <v>#REF!</v>
      </c>
      <c r="AD163" s="50" t="e">
        <f t="shared" si="100"/>
        <v>#REF!</v>
      </c>
      <c r="AE163" s="50" t="e">
        <f t="shared" si="100"/>
        <v>#REF!</v>
      </c>
      <c r="AF163" s="50" t="e">
        <f t="shared" si="100"/>
        <v>#REF!</v>
      </c>
      <c r="AG163" s="50" t="e">
        <f t="shared" si="100"/>
        <v>#REF!</v>
      </c>
      <c r="AH163" s="50" t="e">
        <f t="shared" si="100"/>
        <v>#REF!</v>
      </c>
      <c r="AI163" s="50" t="e">
        <f t="shared" si="100"/>
        <v>#REF!</v>
      </c>
      <c r="AJ163" s="50" t="e">
        <f t="shared" si="100"/>
        <v>#REF!</v>
      </c>
      <c r="AK163" s="50" t="e">
        <f t="shared" si="100"/>
        <v>#REF!</v>
      </c>
      <c r="AL163" s="50" t="e">
        <f t="shared" si="100"/>
        <v>#REF!</v>
      </c>
      <c r="AM163" s="50" t="e">
        <f t="shared" si="100"/>
        <v>#REF!</v>
      </c>
      <c r="AN163" s="50" t="e">
        <f t="shared" si="100"/>
        <v>#REF!</v>
      </c>
      <c r="AO163" s="50" t="e">
        <f t="shared" si="100"/>
        <v>#REF!</v>
      </c>
      <c r="AP163" s="50" t="e">
        <f t="shared" si="100"/>
        <v>#REF!</v>
      </c>
      <c r="AQ163" s="50" t="e">
        <f t="shared" si="100"/>
        <v>#REF!</v>
      </c>
      <c r="AR163" s="50" t="e">
        <f t="shared" si="100"/>
        <v>#REF!</v>
      </c>
      <c r="AS163" s="50" t="e">
        <f t="shared" si="100"/>
        <v>#REF!</v>
      </c>
      <c r="AT163" s="50" t="e">
        <f t="shared" si="100"/>
        <v>#REF!</v>
      </c>
      <c r="AU163" s="50" t="e">
        <f t="shared" si="100"/>
        <v>#REF!</v>
      </c>
      <c r="AV163" s="50" t="e">
        <f t="shared" si="100"/>
        <v>#REF!</v>
      </c>
      <c r="AW163" s="50" t="e">
        <f t="shared" si="100"/>
        <v>#REF!</v>
      </c>
      <c r="AX163" s="50" t="e">
        <f t="shared" si="100"/>
        <v>#REF!</v>
      </c>
      <c r="AY163" s="50" t="e">
        <f t="shared" si="100"/>
        <v>#REF!</v>
      </c>
      <c r="AZ163" s="50" t="e">
        <f t="shared" si="100"/>
        <v>#REF!</v>
      </c>
      <c r="BA163" s="50" t="e">
        <f t="shared" si="100"/>
        <v>#REF!</v>
      </c>
      <c r="BB163" s="50" t="e">
        <f t="shared" si="100"/>
        <v>#REF!</v>
      </c>
      <c r="BC163" s="50" t="e">
        <f t="shared" si="100"/>
        <v>#REF!</v>
      </c>
      <c r="BD163" s="50" t="e">
        <f t="shared" si="100"/>
        <v>#REF!</v>
      </c>
      <c r="BE163" s="50" t="e">
        <f t="shared" si="100"/>
        <v>#REF!</v>
      </c>
      <c r="BF163" s="50" t="e">
        <f t="shared" si="100"/>
        <v>#REF!</v>
      </c>
      <c r="BG163" s="50" t="e">
        <f t="shared" si="100"/>
        <v>#REF!</v>
      </c>
      <c r="BH163" s="50" t="e">
        <f t="shared" si="100"/>
        <v>#REF!</v>
      </c>
      <c r="BI163" s="50" t="e">
        <f t="shared" si="100"/>
        <v>#REF!</v>
      </c>
      <c r="BJ163" s="50" t="e">
        <f t="shared" si="100"/>
        <v>#REF!</v>
      </c>
      <c r="BK163" s="50" t="e">
        <f t="shared" si="100"/>
        <v>#REF!</v>
      </c>
      <c r="BL163" s="50" t="e">
        <f t="shared" si="100"/>
        <v>#REF!</v>
      </c>
      <c r="BM163" s="50" t="e">
        <f t="shared" si="100"/>
        <v>#REF!</v>
      </c>
      <c r="BN163" s="50" t="e">
        <f t="shared" si="100"/>
        <v>#REF!</v>
      </c>
      <c r="BO163" s="50" t="e">
        <f t="shared" si="100"/>
        <v>#REF!</v>
      </c>
      <c r="BP163" s="50" t="e">
        <f t="shared" si="100"/>
        <v>#REF!</v>
      </c>
      <c r="BQ163" s="50" t="e">
        <f t="shared" si="100"/>
        <v>#REF!</v>
      </c>
      <c r="BR163" s="50" t="e">
        <f t="shared" si="100"/>
        <v>#REF!</v>
      </c>
      <c r="BS163" s="50" t="e">
        <f t="shared" si="100"/>
        <v>#REF!</v>
      </c>
      <c r="BT163" s="50" t="e">
        <f t="shared" si="100"/>
        <v>#REF!</v>
      </c>
      <c r="BU163" s="50" t="e">
        <f t="shared" si="100"/>
        <v>#REF!</v>
      </c>
      <c r="BV163" s="50" t="e">
        <f t="shared" si="100"/>
        <v>#REF!</v>
      </c>
      <c r="BW163" s="50" t="e">
        <f t="shared" si="100"/>
        <v>#REF!</v>
      </c>
      <c r="BX163" s="50" t="e">
        <f t="shared" si="100"/>
        <v>#REF!</v>
      </c>
      <c r="BY163" s="50" t="e">
        <f t="shared" si="100"/>
        <v>#REF!</v>
      </c>
      <c r="BZ163" s="50" t="e">
        <f t="shared" si="100"/>
        <v>#REF!</v>
      </c>
      <c r="CA163" s="50" t="e">
        <f t="shared" si="100"/>
        <v>#REF!</v>
      </c>
      <c r="CB163" s="50" t="e">
        <f t="shared" si="100"/>
        <v>#REF!</v>
      </c>
      <c r="CC163" s="50" t="e">
        <f t="shared" si="100"/>
        <v>#REF!</v>
      </c>
      <c r="CD163" s="50" t="e">
        <f t="shared" si="100"/>
        <v>#REF!</v>
      </c>
      <c r="CE163" s="50" t="e">
        <f t="shared" si="100"/>
        <v>#REF!</v>
      </c>
      <c r="CF163" s="50" t="e">
        <f t="shared" si="100"/>
        <v>#REF!</v>
      </c>
      <c r="CG163" s="50" t="e">
        <f t="shared" si="100"/>
        <v>#REF!</v>
      </c>
      <c r="CH163" s="50" t="e">
        <f t="shared" si="100"/>
        <v>#REF!</v>
      </c>
      <c r="CI163" s="50" t="e">
        <f t="shared" si="100"/>
        <v>#REF!</v>
      </c>
      <c r="CJ163" s="50" t="e">
        <f t="shared" si="100"/>
        <v>#REF!</v>
      </c>
      <c r="CK163" s="50" t="e">
        <f t="shared" si="100"/>
        <v>#REF!</v>
      </c>
      <c r="CL163" s="50" t="e">
        <f t="shared" si="100"/>
        <v>#REF!</v>
      </c>
      <c r="CM163" s="50" t="e">
        <f t="shared" si="100"/>
        <v>#REF!</v>
      </c>
      <c r="CN163" s="50" t="e">
        <f t="shared" si="100"/>
        <v>#REF!</v>
      </c>
      <c r="CO163" s="35"/>
    </row>
    <row r="164" spans="1:93" ht="12.75" customHeight="1" outlineLevel="1">
      <c r="A164" s="35"/>
      <c r="B164" s="63" t="s">
        <v>184</v>
      </c>
      <c r="C164" s="35" t="e">
        <f t="shared" ref="C164:C165" si="101">SUM(D164:CN164)</f>
        <v>#REF!</v>
      </c>
      <c r="D164" s="60" t="e">
        <f t="shared" ref="D164:CN164" si="102">D91</f>
        <v>#REF!</v>
      </c>
      <c r="E164" s="35" t="e">
        <f t="shared" si="102"/>
        <v>#REF!</v>
      </c>
      <c r="F164" s="35" t="e">
        <f t="shared" si="102"/>
        <v>#REF!</v>
      </c>
      <c r="G164" s="35" t="e">
        <f t="shared" si="102"/>
        <v>#REF!</v>
      </c>
      <c r="H164" s="35" t="e">
        <f t="shared" si="102"/>
        <v>#REF!</v>
      </c>
      <c r="I164" s="35" t="e">
        <f t="shared" si="102"/>
        <v>#REF!</v>
      </c>
      <c r="J164" s="35" t="e">
        <f t="shared" si="102"/>
        <v>#REF!</v>
      </c>
      <c r="K164" s="35" t="e">
        <f t="shared" si="102"/>
        <v>#REF!</v>
      </c>
      <c r="L164" s="35" t="e">
        <f t="shared" si="102"/>
        <v>#REF!</v>
      </c>
      <c r="M164" s="35" t="e">
        <f t="shared" si="102"/>
        <v>#REF!</v>
      </c>
      <c r="N164" s="35" t="e">
        <f t="shared" si="102"/>
        <v>#REF!</v>
      </c>
      <c r="O164" s="35" t="e">
        <f t="shared" si="102"/>
        <v>#REF!</v>
      </c>
      <c r="P164" s="35" t="e">
        <f t="shared" si="102"/>
        <v>#REF!</v>
      </c>
      <c r="Q164" s="35" t="e">
        <f t="shared" si="102"/>
        <v>#REF!</v>
      </c>
      <c r="R164" s="35" t="e">
        <f t="shared" si="102"/>
        <v>#REF!</v>
      </c>
      <c r="S164" s="35" t="e">
        <f t="shared" si="102"/>
        <v>#REF!</v>
      </c>
      <c r="T164" s="35" t="e">
        <f t="shared" si="102"/>
        <v>#REF!</v>
      </c>
      <c r="U164" s="35" t="e">
        <f t="shared" si="102"/>
        <v>#REF!</v>
      </c>
      <c r="V164" s="35" t="e">
        <f t="shared" si="102"/>
        <v>#REF!</v>
      </c>
      <c r="W164" s="35" t="e">
        <f t="shared" si="102"/>
        <v>#REF!</v>
      </c>
      <c r="X164" s="35" t="e">
        <f t="shared" si="102"/>
        <v>#REF!</v>
      </c>
      <c r="Y164" s="35" t="e">
        <f t="shared" si="102"/>
        <v>#REF!</v>
      </c>
      <c r="Z164" s="35" t="e">
        <f t="shared" si="102"/>
        <v>#REF!</v>
      </c>
      <c r="AA164" s="35" t="e">
        <f t="shared" si="102"/>
        <v>#REF!</v>
      </c>
      <c r="AB164" s="35" t="e">
        <f t="shared" si="102"/>
        <v>#REF!</v>
      </c>
      <c r="AC164" s="35" t="e">
        <f t="shared" si="102"/>
        <v>#REF!</v>
      </c>
      <c r="AD164" s="35" t="e">
        <f t="shared" si="102"/>
        <v>#REF!</v>
      </c>
      <c r="AE164" s="35" t="e">
        <f t="shared" si="102"/>
        <v>#REF!</v>
      </c>
      <c r="AF164" s="35" t="e">
        <f t="shared" si="102"/>
        <v>#REF!</v>
      </c>
      <c r="AG164" s="35" t="e">
        <f t="shared" si="102"/>
        <v>#REF!</v>
      </c>
      <c r="AH164" s="35" t="e">
        <f t="shared" si="102"/>
        <v>#REF!</v>
      </c>
      <c r="AI164" s="35" t="e">
        <f t="shared" si="102"/>
        <v>#REF!</v>
      </c>
      <c r="AJ164" s="35" t="e">
        <f t="shared" si="102"/>
        <v>#REF!</v>
      </c>
      <c r="AK164" s="35" t="e">
        <f t="shared" si="102"/>
        <v>#REF!</v>
      </c>
      <c r="AL164" s="35" t="e">
        <f t="shared" si="102"/>
        <v>#REF!</v>
      </c>
      <c r="AM164" s="35" t="e">
        <f t="shared" si="102"/>
        <v>#REF!</v>
      </c>
      <c r="AN164" s="35" t="e">
        <f t="shared" si="102"/>
        <v>#REF!</v>
      </c>
      <c r="AO164" s="35" t="e">
        <f t="shared" si="102"/>
        <v>#REF!</v>
      </c>
      <c r="AP164" s="35" t="e">
        <f t="shared" si="102"/>
        <v>#REF!</v>
      </c>
      <c r="AQ164" s="35" t="e">
        <f t="shared" si="102"/>
        <v>#REF!</v>
      </c>
      <c r="AR164" s="35" t="e">
        <f t="shared" si="102"/>
        <v>#REF!</v>
      </c>
      <c r="AS164" s="35" t="e">
        <f t="shared" si="102"/>
        <v>#REF!</v>
      </c>
      <c r="AT164" s="35" t="e">
        <f t="shared" si="102"/>
        <v>#REF!</v>
      </c>
      <c r="AU164" s="35" t="e">
        <f t="shared" si="102"/>
        <v>#REF!</v>
      </c>
      <c r="AV164" s="35" t="e">
        <f t="shared" si="102"/>
        <v>#REF!</v>
      </c>
      <c r="AW164" s="35" t="e">
        <f t="shared" si="102"/>
        <v>#REF!</v>
      </c>
      <c r="AX164" s="35" t="e">
        <f t="shared" si="102"/>
        <v>#REF!</v>
      </c>
      <c r="AY164" s="35" t="e">
        <f t="shared" si="102"/>
        <v>#REF!</v>
      </c>
      <c r="AZ164" s="35" t="e">
        <f t="shared" si="102"/>
        <v>#REF!</v>
      </c>
      <c r="BA164" s="35" t="e">
        <f t="shared" si="102"/>
        <v>#REF!</v>
      </c>
      <c r="BB164" s="35" t="e">
        <f t="shared" si="102"/>
        <v>#REF!</v>
      </c>
      <c r="BC164" s="35" t="e">
        <f t="shared" si="102"/>
        <v>#REF!</v>
      </c>
      <c r="BD164" s="35" t="e">
        <f t="shared" si="102"/>
        <v>#REF!</v>
      </c>
      <c r="BE164" s="35" t="e">
        <f t="shared" si="102"/>
        <v>#REF!</v>
      </c>
      <c r="BF164" s="35" t="e">
        <f t="shared" si="102"/>
        <v>#REF!</v>
      </c>
      <c r="BG164" s="35" t="e">
        <f t="shared" si="102"/>
        <v>#REF!</v>
      </c>
      <c r="BH164" s="35" t="e">
        <f t="shared" si="102"/>
        <v>#REF!</v>
      </c>
      <c r="BI164" s="35" t="e">
        <f t="shared" si="102"/>
        <v>#REF!</v>
      </c>
      <c r="BJ164" s="35" t="e">
        <f t="shared" si="102"/>
        <v>#REF!</v>
      </c>
      <c r="BK164" s="35" t="e">
        <f t="shared" si="102"/>
        <v>#REF!</v>
      </c>
      <c r="BL164" s="35" t="e">
        <f t="shared" si="102"/>
        <v>#REF!</v>
      </c>
      <c r="BM164" s="35" t="e">
        <f t="shared" si="102"/>
        <v>#REF!</v>
      </c>
      <c r="BN164" s="35" t="e">
        <f t="shared" si="102"/>
        <v>#REF!</v>
      </c>
      <c r="BO164" s="35" t="e">
        <f t="shared" si="102"/>
        <v>#REF!</v>
      </c>
      <c r="BP164" s="35" t="e">
        <f t="shared" si="102"/>
        <v>#REF!</v>
      </c>
      <c r="BQ164" s="35" t="e">
        <f t="shared" si="102"/>
        <v>#REF!</v>
      </c>
      <c r="BR164" s="35" t="e">
        <f t="shared" si="102"/>
        <v>#REF!</v>
      </c>
      <c r="BS164" s="35" t="e">
        <f t="shared" si="102"/>
        <v>#REF!</v>
      </c>
      <c r="BT164" s="35" t="e">
        <f t="shared" si="102"/>
        <v>#REF!</v>
      </c>
      <c r="BU164" s="35" t="e">
        <f t="shared" si="102"/>
        <v>#REF!</v>
      </c>
      <c r="BV164" s="35" t="e">
        <f t="shared" si="102"/>
        <v>#REF!</v>
      </c>
      <c r="BW164" s="35" t="e">
        <f t="shared" si="102"/>
        <v>#REF!</v>
      </c>
      <c r="BX164" s="35" t="e">
        <f t="shared" si="102"/>
        <v>#REF!</v>
      </c>
      <c r="BY164" s="35" t="e">
        <f t="shared" si="102"/>
        <v>#REF!</v>
      </c>
      <c r="BZ164" s="35" t="e">
        <f t="shared" si="102"/>
        <v>#REF!</v>
      </c>
      <c r="CA164" s="35" t="e">
        <f t="shared" si="102"/>
        <v>#REF!</v>
      </c>
      <c r="CB164" s="35" t="e">
        <f t="shared" si="102"/>
        <v>#REF!</v>
      </c>
      <c r="CC164" s="35" t="e">
        <f t="shared" si="102"/>
        <v>#REF!</v>
      </c>
      <c r="CD164" s="35" t="e">
        <f t="shared" si="102"/>
        <v>#REF!</v>
      </c>
      <c r="CE164" s="35" t="e">
        <f t="shared" si="102"/>
        <v>#REF!</v>
      </c>
      <c r="CF164" s="35" t="e">
        <f t="shared" si="102"/>
        <v>#REF!</v>
      </c>
      <c r="CG164" s="35" t="e">
        <f t="shared" si="102"/>
        <v>#REF!</v>
      </c>
      <c r="CH164" s="35" t="e">
        <f t="shared" si="102"/>
        <v>#REF!</v>
      </c>
      <c r="CI164" s="35" t="e">
        <f t="shared" si="102"/>
        <v>#REF!</v>
      </c>
      <c r="CJ164" s="35" t="e">
        <f t="shared" si="102"/>
        <v>#REF!</v>
      </c>
      <c r="CK164" s="35" t="e">
        <f t="shared" si="102"/>
        <v>#REF!</v>
      </c>
      <c r="CL164" s="35" t="e">
        <f t="shared" si="102"/>
        <v>#REF!</v>
      </c>
      <c r="CM164" s="35" t="e">
        <f t="shared" si="102"/>
        <v>#REF!</v>
      </c>
      <c r="CN164" s="35" t="e">
        <f t="shared" si="102"/>
        <v>#REF!</v>
      </c>
      <c r="CO164" s="35"/>
    </row>
    <row r="165" spans="1:93" ht="12.75" customHeight="1" outlineLevel="1">
      <c r="A165" s="35"/>
      <c r="B165" s="63" t="s">
        <v>185</v>
      </c>
      <c r="C165" s="35" t="e">
        <f t="shared" si="101"/>
        <v>#REF!</v>
      </c>
      <c r="D165" s="60" t="e">
        <f>-MIN(MAX(D83/Assump!$D$40+D167,0),SUM(D163:D164))</f>
        <v>#REF!</v>
      </c>
      <c r="E165" s="35" t="e">
        <f>-MIN(MAX(E83/Assump!$D$40+E167,0),SUM(E163:E164))</f>
        <v>#REF!</v>
      </c>
      <c r="F165" s="35" t="e">
        <f>-MIN(MAX(F83/Assump!$D$40+F167,0),SUM(F163:F164))</f>
        <v>#REF!</v>
      </c>
      <c r="G165" s="35" t="e">
        <f>-MIN(MAX(G83/Assump!$D$40+G167,0),SUM(G163:G164))</f>
        <v>#REF!</v>
      </c>
      <c r="H165" s="35" t="e">
        <f>-MIN(MAX(H83/Assump!$D$40+H167,0),SUM(H163:H164))</f>
        <v>#REF!</v>
      </c>
      <c r="I165" s="35" t="e">
        <f>-MIN(MAX(I83/Assump!$D$40+I167,0),SUM(I163:I164))</f>
        <v>#REF!</v>
      </c>
      <c r="J165" s="35" t="e">
        <f>-MIN(MAX(J83/Assump!$D$40+J167,0),SUM(J163:J164))</f>
        <v>#REF!</v>
      </c>
      <c r="K165" s="35" t="e">
        <f>-MIN(MAX(K83/Assump!$D$40+K167,0),SUM(K163:K164))</f>
        <v>#REF!</v>
      </c>
      <c r="L165" s="35" t="e">
        <f>-MIN(MAX(L83/Assump!$D$40+L167,0),SUM(L163:L164))</f>
        <v>#REF!</v>
      </c>
      <c r="M165" s="35" t="e">
        <f>-MIN(MAX(M83/Assump!$D$40+M167,0),SUM(M163:M164))</f>
        <v>#REF!</v>
      </c>
      <c r="N165" s="35" t="e">
        <f>-MIN(MAX(N83/Assump!$D$40+N167,0),SUM(N163:N164))</f>
        <v>#REF!</v>
      </c>
      <c r="O165" s="35" t="e">
        <f>-MIN(MAX(O83/Assump!$D$40+O167,0),SUM(O163:O164))</f>
        <v>#REF!</v>
      </c>
      <c r="P165" s="35" t="e">
        <f>-MIN(MAX(P83/Assump!$D$40+P167,0),SUM(P163:P164))</f>
        <v>#REF!</v>
      </c>
      <c r="Q165" s="35" t="e">
        <f>-MIN(MAX(Q83/Assump!$D$40+Q167,0),SUM(Q163:Q164))</f>
        <v>#REF!</v>
      </c>
      <c r="R165" s="35" t="e">
        <f>-MIN(MAX(R83/Assump!$D$40+R167,0),SUM(R163:R164))</f>
        <v>#REF!</v>
      </c>
      <c r="S165" s="35" t="e">
        <f>-MIN(MAX(S83/Assump!$D$40+S167,0),SUM(S163:S164))</f>
        <v>#REF!</v>
      </c>
      <c r="T165" s="35" t="e">
        <f>-MIN(MAX(T83/Assump!$D$40+T167,0),SUM(T163:T164))</f>
        <v>#REF!</v>
      </c>
      <c r="U165" s="35" t="e">
        <f>-MIN(MAX(U83/Assump!$D$40+U167,0),SUM(U163:U164))</f>
        <v>#REF!</v>
      </c>
      <c r="V165" s="35" t="e">
        <f>-MIN(MAX(V83/Assump!$D$40+V167,0),SUM(V163:V164))</f>
        <v>#REF!</v>
      </c>
      <c r="W165" s="35" t="e">
        <f>-MIN(MAX(W83/Assump!$D$40+W167,0),SUM(W163:W164))</f>
        <v>#REF!</v>
      </c>
      <c r="X165" s="35" t="e">
        <f>-MIN(MAX(X83/Assump!$D$40+X167,0),SUM(X163:X164))</f>
        <v>#REF!</v>
      </c>
      <c r="Y165" s="35" t="e">
        <f>-MIN(MAX((Y83+Y86)/Assump!$D$40+Y167,0),SUM(Y163:Y164))</f>
        <v>#REF!</v>
      </c>
      <c r="Z165" s="35" t="e">
        <f>-MIN(MAX((Z83+Z86)/Assump!$D$40+Z167,0),SUM(Z163:Z164))</f>
        <v>#REF!</v>
      </c>
      <c r="AA165" s="35" t="e">
        <f>-MIN(MAX((AA83+AA86)/Assump!$D$40+AA167,0),SUM(AA163:AA164))</f>
        <v>#REF!</v>
      </c>
      <c r="AB165" s="35" t="e">
        <f>-MIN(MAX((AB83+AB86)/Assump!$D$40+AB167,0),SUM(AB163:AB164))</f>
        <v>#REF!</v>
      </c>
      <c r="AC165" s="35" t="e">
        <f>-MIN(MAX((AC83+AC86)/Assump!$D$40+AC167,0),SUM(AC163:AC164))</f>
        <v>#REF!</v>
      </c>
      <c r="AD165" s="35" t="e">
        <f>-MIN(MAX((AD83+AD86)/Assump!$D$40+AD167,0),SUM(AD163:AD164))</f>
        <v>#REF!</v>
      </c>
      <c r="AE165" s="35" t="e">
        <f>-MIN(MAX((AE83+AE86)/Assump!$D$40+AE167,0),SUM(AE163:AE164))</f>
        <v>#REF!</v>
      </c>
      <c r="AF165" s="35" t="e">
        <f>-MIN(MAX((AF83+AF86)/Assump!$D$40+AF167,0),SUM(AF163:AF164))</f>
        <v>#REF!</v>
      </c>
      <c r="AG165" s="35" t="e">
        <f>-MIN(MAX((AG83+AG86)/Assump!$D$40+AG167,0),SUM(AG163:AG164))</f>
        <v>#REF!</v>
      </c>
      <c r="AH165" s="35" t="e">
        <f>-MIN(MAX((AH83+AH86)/Assump!$D$40+AH167,0),SUM(AH163:AH164))</f>
        <v>#REF!</v>
      </c>
      <c r="AI165" s="35" t="e">
        <f>-MIN(MAX((AI83+AI86)/Assump!$D$40+AI167,0),SUM(AI163:AI164))</f>
        <v>#REF!</v>
      </c>
      <c r="AJ165" s="35" t="e">
        <f>-MIN(MAX((AJ83+AJ86)/Assump!$D$40+AJ167,0),SUM(AJ163:AJ164))</f>
        <v>#REF!</v>
      </c>
      <c r="AK165" s="35" t="e">
        <f>-MIN(MAX((AK83+AK86)/Assump!$D$40+AK167,0),SUM(AK163:AK164))</f>
        <v>#REF!</v>
      </c>
      <c r="AL165" s="35" t="e">
        <f>-MIN(MAX((AL83+AL86)/Assump!$D$40+AL167,0),SUM(AL163:AL164))</f>
        <v>#REF!</v>
      </c>
      <c r="AM165" s="35" t="e">
        <f>-MIN(MAX((AM83+AM86)/Assump!$D$40+AM167,0),SUM(AM163:AM164))</f>
        <v>#REF!</v>
      </c>
      <c r="AN165" s="35" t="e">
        <f>-MIN(MAX((AN83+AN86)/Assump!$D$40+AN167,0),SUM(AN163:AN164))</f>
        <v>#REF!</v>
      </c>
      <c r="AO165" s="35" t="e">
        <f>-MIN(MAX((AO83+AO86)/Assump!$D$40+AO167,0),SUM(AO163:AO164))</f>
        <v>#REF!</v>
      </c>
      <c r="AP165" s="35" t="e">
        <f>-MIN(MAX((AP83+AP86)/Assump!$D$40+AP167,0),SUM(AP163:AP164))</f>
        <v>#REF!</v>
      </c>
      <c r="AQ165" s="35" t="e">
        <f>-MIN(MAX((AQ83+AQ86)/Assump!$D$40+AQ167,0),SUM(AQ163:AQ164))</f>
        <v>#REF!</v>
      </c>
      <c r="AR165" s="35" t="e">
        <f>-MIN(MAX((AR83+AR86)/Assump!$D$40+AR167,0),SUM(AR163:AR164))</f>
        <v>#REF!</v>
      </c>
      <c r="AS165" s="35" t="e">
        <f>-MIN(MAX((AS83+AS86)/Assump!$D$40+AS167,0),SUM(AS163:AS164))</f>
        <v>#REF!</v>
      </c>
      <c r="AT165" s="35" t="e">
        <f>-MIN(MAX((AT83+AT86)/Assump!$D$40+AT167,0),SUM(AT163:AT164))</f>
        <v>#REF!</v>
      </c>
      <c r="AU165" s="35" t="e">
        <f>-MIN(MAX((AU83+AU86)/Assump!$D$40+AU167,0),SUM(AU163:AU164))</f>
        <v>#REF!</v>
      </c>
      <c r="AV165" s="35" t="e">
        <f>-MIN(MAX((AV83+AV86)/Assump!$D$40+AV167,0),SUM(AV163:AV164))</f>
        <v>#REF!</v>
      </c>
      <c r="AW165" s="35" t="e">
        <f>-MIN(MAX((AW83+AW86)/Assump!$D$40+AW167,0),SUM(AW163:AW164))</f>
        <v>#REF!</v>
      </c>
      <c r="AX165" s="35" t="e">
        <f>-MIN(MAX((AX83+AX86)/Assump!$D$40+AX167,0),SUM(AX163:AX164))</f>
        <v>#REF!</v>
      </c>
      <c r="AY165" s="35" t="e">
        <f>-MIN(MAX((AY83+AY86)/Assump!$D$40+AY167,0),SUM(AY163:AY164))</f>
        <v>#REF!</v>
      </c>
      <c r="AZ165" s="35" t="e">
        <f>-MIN(MAX((AZ83+AZ86)/Assump!$D$40+AZ167,0),SUM(AZ163:AZ164))</f>
        <v>#REF!</v>
      </c>
      <c r="BA165" s="35" t="e">
        <f>-MIN(MAX((BA83+BA86)/Assump!$D$40+BA167,0),SUM(BA163:BA164))</f>
        <v>#REF!</v>
      </c>
      <c r="BB165" s="35" t="e">
        <f>-MIN(MAX((BB83+BB86)/Assump!$D$40+BB167,0),SUM(BB163:BB164))</f>
        <v>#REF!</v>
      </c>
      <c r="BC165" s="35" t="e">
        <f>-MIN(MAX((BC83+BC86)/Assump!$D$40+BC167,0),SUM(BC163:BC164))</f>
        <v>#REF!</v>
      </c>
      <c r="BD165" s="35" t="e">
        <f>-MIN(MAX((BD83+BD86)/Assump!$D$40+BD167,0),SUM(BD163:BD164))</f>
        <v>#REF!</v>
      </c>
      <c r="BE165" s="35" t="e">
        <f>-MIN(MAX((BE83+BE86)/Assump!$D$40+BE167,0),SUM(BE163:BE164))</f>
        <v>#REF!</v>
      </c>
      <c r="BF165" s="35" t="e">
        <f>-MIN(MAX((BF83+BF86)/Assump!$D$40+BF167,0),SUM(BF163:BF164))</f>
        <v>#REF!</v>
      </c>
      <c r="BG165" s="35" t="e">
        <f>-MIN(MAX((BG83+BG86)/Assump!$D$40+BG167,0),SUM(BG163:BG164))</f>
        <v>#REF!</v>
      </c>
      <c r="BH165" s="35" t="e">
        <f>-MIN(MAX((BH83+BH86)/Assump!$D$40+BH167,0),SUM(BH163:BH164))</f>
        <v>#REF!</v>
      </c>
      <c r="BI165" s="35" t="e">
        <f>-MIN(MAX((BI83+BI86)/Assump!$D$40+BI167,0),SUM(BI163:BI164))</f>
        <v>#REF!</v>
      </c>
      <c r="BJ165" s="35" t="e">
        <f>-MIN(MAX((BJ83+BJ86)/Assump!$D$40+BJ167,0),SUM(BJ163:BJ164))</f>
        <v>#REF!</v>
      </c>
      <c r="BK165" s="35" t="e">
        <f>-MIN(MAX((BK83+BK86)/Assump!$D$40+BK167,0),SUM(BK163:BK164))</f>
        <v>#REF!</v>
      </c>
      <c r="BL165" s="35" t="e">
        <f>-MIN(MAX((BL83+BL86)/Assump!$D$40+BL167,0),SUM(BL163:BL164))</f>
        <v>#REF!</v>
      </c>
      <c r="BM165" s="35" t="e">
        <f>-MIN(MAX((BM83+BM86)/Assump!$D$40+BM167,0),SUM(BM163:BM164))</f>
        <v>#REF!</v>
      </c>
      <c r="BN165" s="35" t="e">
        <f>-MIN(MAX((BN83+BN86)/Assump!$D$40+BN167,0),SUM(BN163:BN164))</f>
        <v>#REF!</v>
      </c>
      <c r="BO165" s="35" t="e">
        <f>-MIN(MAX((BO83+BO86)/Assump!$D$40+BO167,0),SUM(BO163:BO164))</f>
        <v>#REF!</v>
      </c>
      <c r="BP165" s="35" t="e">
        <f>-MIN(MAX((BP83+BP86)/Assump!$D$40+BP167,0),SUM(BP163:BP164))</f>
        <v>#REF!</v>
      </c>
      <c r="BQ165" s="35" t="e">
        <f>-MIN(MAX((BQ83+BQ86)/Assump!$D$40+BQ167,0),SUM(BQ163:BQ164))</f>
        <v>#REF!</v>
      </c>
      <c r="BR165" s="35" t="e">
        <f>-MIN(MAX((BR83+BR86)/Assump!$D$40+BR167,0),SUM(BR163:BR164))</f>
        <v>#REF!</v>
      </c>
      <c r="BS165" s="35" t="e">
        <f>-MIN(MAX((BS83+BS86)/Assump!$D$40+BS167,0),SUM(BS163:BS164))</f>
        <v>#REF!</v>
      </c>
      <c r="BT165" s="35" t="e">
        <f>-MIN(MAX((BT83+BT86)/Assump!$D$40+BT167,0),SUM(BT163:BT164))</f>
        <v>#REF!</v>
      </c>
      <c r="BU165" s="35" t="e">
        <f>-MIN(MAX((BU83+BU86)/Assump!$D$40+BU167,0),SUM(BU163:BU164))</f>
        <v>#REF!</v>
      </c>
      <c r="BV165" s="35" t="e">
        <f>-MIN(MAX((BV83+BV86)/Assump!$D$40+BV167,0),SUM(BV163:BV164))</f>
        <v>#REF!</v>
      </c>
      <c r="BW165" s="35" t="e">
        <f>-MIN(MAX((BW83+BW86)/Assump!$D$40+BW167,0),SUM(BW163:BW164))</f>
        <v>#REF!</v>
      </c>
      <c r="BX165" s="35" t="e">
        <f>-MIN(MAX((BX83+BX86)/Assump!$D$40+BX167,0),SUM(BX163:BX164))</f>
        <v>#REF!</v>
      </c>
      <c r="BY165" s="35" t="e">
        <f>-MIN(MAX((BY83+BY86)/Assump!$D$40+BY167,0),SUM(BY163:BY164))</f>
        <v>#REF!</v>
      </c>
      <c r="BZ165" s="35" t="e">
        <f>-MIN(MAX((BZ83+BZ86)/Assump!$D$40+BZ167,0),SUM(BZ163:BZ164))</f>
        <v>#REF!</v>
      </c>
      <c r="CA165" s="35" t="e">
        <f>-MIN(MAX((CA83+CA86)/Assump!$D$40+CA167,0),SUM(CA163:CA164))</f>
        <v>#REF!</v>
      </c>
      <c r="CB165" s="35" t="e">
        <f>-MIN(MAX((CB83+CB86)/Assump!$D$40+CB167,0),SUM(CB163:CB164))</f>
        <v>#REF!</v>
      </c>
      <c r="CC165" s="35" t="e">
        <f>-MIN(MAX((CC83+CC86)/Assump!$D$40+CC167,0),SUM(CC163:CC164))</f>
        <v>#REF!</v>
      </c>
      <c r="CD165" s="35" t="e">
        <f>-MIN(MAX((CD83+CD86)/Assump!$D$40+CD167,0),SUM(CD163:CD164))</f>
        <v>#REF!</v>
      </c>
      <c r="CE165" s="35" t="e">
        <f>-MIN(MAX((CE83+CE86)/Assump!$D$40+CE167,0),SUM(CE163:CE164))</f>
        <v>#REF!</v>
      </c>
      <c r="CF165" s="35" t="e">
        <f>-MIN(MAX((CF83+CF86)/Assump!$D$40+CF167,0),SUM(CF163:CF164))</f>
        <v>#REF!</v>
      </c>
      <c r="CG165" s="35" t="e">
        <f>-MIN(MAX((CG83+CG86)/Assump!$D$40+CG167,0),SUM(CG163:CG164))</f>
        <v>#REF!</v>
      </c>
      <c r="CH165" s="35" t="e">
        <f>-MIN(MAX((CH83+CH86)/Assump!$D$40+CH167,0),SUM(CH163:CH164))</f>
        <v>#REF!</v>
      </c>
      <c r="CI165" s="35" t="e">
        <f>-MIN(MAX((CI83+CI86)/Assump!$D$40+CI167,0),SUM(CI163:CI164))</f>
        <v>#REF!</v>
      </c>
      <c r="CJ165" s="35" t="e">
        <f>-MIN(MAX((CJ83+CJ86)/Assump!$D$40+CJ167,0),SUM(CJ163:CJ164))</f>
        <v>#REF!</v>
      </c>
      <c r="CK165" s="35" t="e">
        <f>-MIN(MAX((CK83+CK86)/Assump!$D$40+CK167,0),SUM(CK163:CK164))</f>
        <v>#REF!</v>
      </c>
      <c r="CL165" s="35" t="e">
        <f>-MIN(MAX((CL83+CL86)/Assump!$D$40+CL167,0),SUM(CL163:CL164))</f>
        <v>#REF!</v>
      </c>
      <c r="CM165" s="35" t="e">
        <f>-MIN(MAX((CM83+CM86)/Assump!$D$40+CM167,0),SUM(CM163:CM164))</f>
        <v>#REF!</v>
      </c>
      <c r="CN165" s="35" t="e">
        <f>-MIN(MAX((CN83+CN86)/Assump!$D$40+CN167,0),SUM(CN163:CN164))</f>
        <v>#REF!</v>
      </c>
      <c r="CO165" s="35"/>
    </row>
    <row r="166" spans="1:93" ht="12.75" customHeight="1" outlineLevel="1">
      <c r="A166" s="35"/>
      <c r="B166" s="54" t="s">
        <v>230</v>
      </c>
      <c r="C166" s="55"/>
      <c r="D166" s="58" t="e">
        <f t="shared" ref="D166:CN166" si="103">SUM(D163:D165)</f>
        <v>#REF!</v>
      </c>
      <c r="E166" s="55" t="e">
        <f t="shared" si="103"/>
        <v>#REF!</v>
      </c>
      <c r="F166" s="55" t="e">
        <f t="shared" si="103"/>
        <v>#REF!</v>
      </c>
      <c r="G166" s="55" t="e">
        <f t="shared" si="103"/>
        <v>#REF!</v>
      </c>
      <c r="H166" s="55" t="e">
        <f t="shared" si="103"/>
        <v>#REF!</v>
      </c>
      <c r="I166" s="55" t="e">
        <f t="shared" si="103"/>
        <v>#REF!</v>
      </c>
      <c r="J166" s="55" t="e">
        <f t="shared" si="103"/>
        <v>#REF!</v>
      </c>
      <c r="K166" s="55" t="e">
        <f t="shared" si="103"/>
        <v>#REF!</v>
      </c>
      <c r="L166" s="55" t="e">
        <f t="shared" si="103"/>
        <v>#REF!</v>
      </c>
      <c r="M166" s="55" t="e">
        <f t="shared" si="103"/>
        <v>#REF!</v>
      </c>
      <c r="N166" s="55" t="e">
        <f t="shared" si="103"/>
        <v>#REF!</v>
      </c>
      <c r="O166" s="55" t="e">
        <f t="shared" si="103"/>
        <v>#REF!</v>
      </c>
      <c r="P166" s="55" t="e">
        <f t="shared" si="103"/>
        <v>#REF!</v>
      </c>
      <c r="Q166" s="55" t="e">
        <f t="shared" si="103"/>
        <v>#REF!</v>
      </c>
      <c r="R166" s="55" t="e">
        <f t="shared" si="103"/>
        <v>#REF!</v>
      </c>
      <c r="S166" s="55" t="e">
        <f t="shared" si="103"/>
        <v>#REF!</v>
      </c>
      <c r="T166" s="55" t="e">
        <f t="shared" si="103"/>
        <v>#REF!</v>
      </c>
      <c r="U166" s="55" t="e">
        <f t="shared" si="103"/>
        <v>#REF!</v>
      </c>
      <c r="V166" s="55" t="e">
        <f t="shared" si="103"/>
        <v>#REF!</v>
      </c>
      <c r="W166" s="55" t="e">
        <f t="shared" si="103"/>
        <v>#REF!</v>
      </c>
      <c r="X166" s="55" t="e">
        <f t="shared" si="103"/>
        <v>#REF!</v>
      </c>
      <c r="Y166" s="55" t="e">
        <f t="shared" si="103"/>
        <v>#REF!</v>
      </c>
      <c r="Z166" s="55" t="e">
        <f t="shared" si="103"/>
        <v>#REF!</v>
      </c>
      <c r="AA166" s="55" t="e">
        <f t="shared" si="103"/>
        <v>#REF!</v>
      </c>
      <c r="AB166" s="55" t="e">
        <f t="shared" si="103"/>
        <v>#REF!</v>
      </c>
      <c r="AC166" s="55" t="e">
        <f t="shared" si="103"/>
        <v>#REF!</v>
      </c>
      <c r="AD166" s="55" t="e">
        <f t="shared" si="103"/>
        <v>#REF!</v>
      </c>
      <c r="AE166" s="55" t="e">
        <f t="shared" si="103"/>
        <v>#REF!</v>
      </c>
      <c r="AF166" s="55" t="e">
        <f t="shared" si="103"/>
        <v>#REF!</v>
      </c>
      <c r="AG166" s="55" t="e">
        <f t="shared" si="103"/>
        <v>#REF!</v>
      </c>
      <c r="AH166" s="55" t="e">
        <f t="shared" si="103"/>
        <v>#REF!</v>
      </c>
      <c r="AI166" s="55" t="e">
        <f t="shared" si="103"/>
        <v>#REF!</v>
      </c>
      <c r="AJ166" s="55" t="e">
        <f t="shared" si="103"/>
        <v>#REF!</v>
      </c>
      <c r="AK166" s="55" t="e">
        <f t="shared" si="103"/>
        <v>#REF!</v>
      </c>
      <c r="AL166" s="55" t="e">
        <f t="shared" si="103"/>
        <v>#REF!</v>
      </c>
      <c r="AM166" s="55" t="e">
        <f t="shared" si="103"/>
        <v>#REF!</v>
      </c>
      <c r="AN166" s="55" t="e">
        <f t="shared" si="103"/>
        <v>#REF!</v>
      </c>
      <c r="AO166" s="55" t="e">
        <f t="shared" si="103"/>
        <v>#REF!</v>
      </c>
      <c r="AP166" s="55" t="e">
        <f t="shared" si="103"/>
        <v>#REF!</v>
      </c>
      <c r="AQ166" s="55" t="e">
        <f t="shared" si="103"/>
        <v>#REF!</v>
      </c>
      <c r="AR166" s="55" t="e">
        <f t="shared" si="103"/>
        <v>#REF!</v>
      </c>
      <c r="AS166" s="55" t="e">
        <f t="shared" si="103"/>
        <v>#REF!</v>
      </c>
      <c r="AT166" s="55" t="e">
        <f t="shared" si="103"/>
        <v>#REF!</v>
      </c>
      <c r="AU166" s="55" t="e">
        <f t="shared" si="103"/>
        <v>#REF!</v>
      </c>
      <c r="AV166" s="55" t="e">
        <f t="shared" si="103"/>
        <v>#REF!</v>
      </c>
      <c r="AW166" s="55" t="e">
        <f t="shared" si="103"/>
        <v>#REF!</v>
      </c>
      <c r="AX166" s="55" t="e">
        <f t="shared" si="103"/>
        <v>#REF!</v>
      </c>
      <c r="AY166" s="55" t="e">
        <f t="shared" si="103"/>
        <v>#REF!</v>
      </c>
      <c r="AZ166" s="55" t="e">
        <f t="shared" si="103"/>
        <v>#REF!</v>
      </c>
      <c r="BA166" s="55" t="e">
        <f t="shared" si="103"/>
        <v>#REF!</v>
      </c>
      <c r="BB166" s="55" t="e">
        <f t="shared" si="103"/>
        <v>#REF!</v>
      </c>
      <c r="BC166" s="55" t="e">
        <f t="shared" si="103"/>
        <v>#REF!</v>
      </c>
      <c r="BD166" s="55" t="e">
        <f t="shared" si="103"/>
        <v>#REF!</v>
      </c>
      <c r="BE166" s="55" t="e">
        <f t="shared" si="103"/>
        <v>#REF!</v>
      </c>
      <c r="BF166" s="55" t="e">
        <f t="shared" si="103"/>
        <v>#REF!</v>
      </c>
      <c r="BG166" s="55" t="e">
        <f t="shared" si="103"/>
        <v>#REF!</v>
      </c>
      <c r="BH166" s="55" t="e">
        <f t="shared" si="103"/>
        <v>#REF!</v>
      </c>
      <c r="BI166" s="55" t="e">
        <f t="shared" si="103"/>
        <v>#REF!</v>
      </c>
      <c r="BJ166" s="55" t="e">
        <f t="shared" si="103"/>
        <v>#REF!</v>
      </c>
      <c r="BK166" s="55" t="e">
        <f t="shared" si="103"/>
        <v>#REF!</v>
      </c>
      <c r="BL166" s="55" t="e">
        <f t="shared" si="103"/>
        <v>#REF!</v>
      </c>
      <c r="BM166" s="55" t="e">
        <f t="shared" si="103"/>
        <v>#REF!</v>
      </c>
      <c r="BN166" s="55" t="e">
        <f t="shared" si="103"/>
        <v>#REF!</v>
      </c>
      <c r="BO166" s="55" t="e">
        <f t="shared" si="103"/>
        <v>#REF!</v>
      </c>
      <c r="BP166" s="55" t="e">
        <f t="shared" si="103"/>
        <v>#REF!</v>
      </c>
      <c r="BQ166" s="55" t="e">
        <f t="shared" si="103"/>
        <v>#REF!</v>
      </c>
      <c r="BR166" s="55" t="e">
        <f t="shared" si="103"/>
        <v>#REF!</v>
      </c>
      <c r="BS166" s="55" t="e">
        <f t="shared" si="103"/>
        <v>#REF!</v>
      </c>
      <c r="BT166" s="55" t="e">
        <f t="shared" si="103"/>
        <v>#REF!</v>
      </c>
      <c r="BU166" s="55" t="e">
        <f t="shared" si="103"/>
        <v>#REF!</v>
      </c>
      <c r="BV166" s="55" t="e">
        <f t="shared" si="103"/>
        <v>#REF!</v>
      </c>
      <c r="BW166" s="55" t="e">
        <f t="shared" si="103"/>
        <v>#REF!</v>
      </c>
      <c r="BX166" s="55" t="e">
        <f t="shared" si="103"/>
        <v>#REF!</v>
      </c>
      <c r="BY166" s="55" t="e">
        <f t="shared" si="103"/>
        <v>#REF!</v>
      </c>
      <c r="BZ166" s="55" t="e">
        <f t="shared" si="103"/>
        <v>#REF!</v>
      </c>
      <c r="CA166" s="55" t="e">
        <f t="shared" si="103"/>
        <v>#REF!</v>
      </c>
      <c r="CB166" s="55" t="e">
        <f t="shared" si="103"/>
        <v>#REF!</v>
      </c>
      <c r="CC166" s="55" t="e">
        <f t="shared" si="103"/>
        <v>#REF!</v>
      </c>
      <c r="CD166" s="55" t="e">
        <f t="shared" si="103"/>
        <v>#REF!</v>
      </c>
      <c r="CE166" s="55" t="e">
        <f t="shared" si="103"/>
        <v>#REF!</v>
      </c>
      <c r="CF166" s="55" t="e">
        <f t="shared" si="103"/>
        <v>#REF!</v>
      </c>
      <c r="CG166" s="55" t="e">
        <f t="shared" si="103"/>
        <v>#REF!</v>
      </c>
      <c r="CH166" s="55" t="e">
        <f t="shared" si="103"/>
        <v>#REF!</v>
      </c>
      <c r="CI166" s="55" t="e">
        <f t="shared" si="103"/>
        <v>#REF!</v>
      </c>
      <c r="CJ166" s="55" t="e">
        <f t="shared" si="103"/>
        <v>#REF!</v>
      </c>
      <c r="CK166" s="55" t="e">
        <f t="shared" si="103"/>
        <v>#REF!</v>
      </c>
      <c r="CL166" s="55" t="e">
        <f t="shared" si="103"/>
        <v>#REF!</v>
      </c>
      <c r="CM166" s="55" t="e">
        <f t="shared" si="103"/>
        <v>#REF!</v>
      </c>
      <c r="CN166" s="55" t="e">
        <f t="shared" si="103"/>
        <v>#REF!</v>
      </c>
      <c r="CO166" s="35"/>
    </row>
    <row r="167" spans="1:93" ht="12.75" customHeight="1" outlineLevel="1">
      <c r="A167" s="35"/>
      <c r="B167" s="63" t="s">
        <v>238</v>
      </c>
      <c r="C167" s="35" t="e">
        <f>SUM(D167:CN167)</f>
        <v>#REF!</v>
      </c>
      <c r="D167" s="60">
        <f t="shared" ref="D167:AI167" si="104">-D163*$C$203</f>
        <v>0</v>
      </c>
      <c r="E167" s="131" t="e">
        <f t="shared" si="104"/>
        <v>#REF!</v>
      </c>
      <c r="F167" s="131" t="e">
        <f t="shared" si="104"/>
        <v>#REF!</v>
      </c>
      <c r="G167" s="131" t="e">
        <f t="shared" si="104"/>
        <v>#REF!</v>
      </c>
      <c r="H167" s="131" t="e">
        <f t="shared" si="104"/>
        <v>#REF!</v>
      </c>
      <c r="I167" s="131" t="e">
        <f t="shared" si="104"/>
        <v>#REF!</v>
      </c>
      <c r="J167" s="131" t="e">
        <f t="shared" si="104"/>
        <v>#REF!</v>
      </c>
      <c r="K167" s="131" t="e">
        <f t="shared" si="104"/>
        <v>#REF!</v>
      </c>
      <c r="L167" s="131" t="e">
        <f t="shared" si="104"/>
        <v>#REF!</v>
      </c>
      <c r="M167" s="131" t="e">
        <f t="shared" si="104"/>
        <v>#REF!</v>
      </c>
      <c r="N167" s="131" t="e">
        <f t="shared" si="104"/>
        <v>#REF!</v>
      </c>
      <c r="O167" s="131" t="e">
        <f t="shared" si="104"/>
        <v>#REF!</v>
      </c>
      <c r="P167" s="131" t="e">
        <f t="shared" si="104"/>
        <v>#REF!</v>
      </c>
      <c r="Q167" s="131" t="e">
        <f t="shared" si="104"/>
        <v>#REF!</v>
      </c>
      <c r="R167" s="131" t="e">
        <f t="shared" si="104"/>
        <v>#REF!</v>
      </c>
      <c r="S167" s="131" t="e">
        <f t="shared" si="104"/>
        <v>#REF!</v>
      </c>
      <c r="T167" s="131" t="e">
        <f t="shared" si="104"/>
        <v>#REF!</v>
      </c>
      <c r="U167" s="131" t="e">
        <f t="shared" si="104"/>
        <v>#REF!</v>
      </c>
      <c r="V167" s="131" t="e">
        <f t="shared" si="104"/>
        <v>#REF!</v>
      </c>
      <c r="W167" s="131" t="e">
        <f t="shared" si="104"/>
        <v>#REF!</v>
      </c>
      <c r="X167" s="131" t="e">
        <f t="shared" si="104"/>
        <v>#REF!</v>
      </c>
      <c r="Y167" s="131" t="e">
        <f t="shared" si="104"/>
        <v>#REF!</v>
      </c>
      <c r="Z167" s="131" t="e">
        <f t="shared" si="104"/>
        <v>#REF!</v>
      </c>
      <c r="AA167" s="131" t="e">
        <f t="shared" si="104"/>
        <v>#REF!</v>
      </c>
      <c r="AB167" s="131" t="e">
        <f t="shared" si="104"/>
        <v>#REF!</v>
      </c>
      <c r="AC167" s="131" t="e">
        <f t="shared" si="104"/>
        <v>#REF!</v>
      </c>
      <c r="AD167" s="131" t="e">
        <f t="shared" si="104"/>
        <v>#REF!</v>
      </c>
      <c r="AE167" s="131" t="e">
        <f t="shared" si="104"/>
        <v>#REF!</v>
      </c>
      <c r="AF167" s="131" t="e">
        <f t="shared" si="104"/>
        <v>#REF!</v>
      </c>
      <c r="AG167" s="131" t="e">
        <f t="shared" si="104"/>
        <v>#REF!</v>
      </c>
      <c r="AH167" s="131" t="e">
        <f t="shared" si="104"/>
        <v>#REF!</v>
      </c>
      <c r="AI167" s="131" t="e">
        <f t="shared" si="104"/>
        <v>#REF!</v>
      </c>
      <c r="AJ167" s="131" t="e">
        <f t="shared" ref="AJ167:BO167" si="105">-AJ163*$C$203</f>
        <v>#REF!</v>
      </c>
      <c r="AK167" s="131" t="e">
        <f t="shared" si="105"/>
        <v>#REF!</v>
      </c>
      <c r="AL167" s="131" t="e">
        <f t="shared" si="105"/>
        <v>#REF!</v>
      </c>
      <c r="AM167" s="131" t="e">
        <f t="shared" si="105"/>
        <v>#REF!</v>
      </c>
      <c r="AN167" s="131" t="e">
        <f t="shared" si="105"/>
        <v>#REF!</v>
      </c>
      <c r="AO167" s="131" t="e">
        <f t="shared" si="105"/>
        <v>#REF!</v>
      </c>
      <c r="AP167" s="131" t="e">
        <f t="shared" si="105"/>
        <v>#REF!</v>
      </c>
      <c r="AQ167" s="131" t="e">
        <f t="shared" si="105"/>
        <v>#REF!</v>
      </c>
      <c r="AR167" s="131" t="e">
        <f t="shared" si="105"/>
        <v>#REF!</v>
      </c>
      <c r="AS167" s="131" t="e">
        <f t="shared" si="105"/>
        <v>#REF!</v>
      </c>
      <c r="AT167" s="131" t="e">
        <f t="shared" si="105"/>
        <v>#REF!</v>
      </c>
      <c r="AU167" s="131" t="e">
        <f t="shared" si="105"/>
        <v>#REF!</v>
      </c>
      <c r="AV167" s="131" t="e">
        <f t="shared" si="105"/>
        <v>#REF!</v>
      </c>
      <c r="AW167" s="131" t="e">
        <f t="shared" si="105"/>
        <v>#REF!</v>
      </c>
      <c r="AX167" s="131" t="e">
        <f t="shared" si="105"/>
        <v>#REF!</v>
      </c>
      <c r="AY167" s="131" t="e">
        <f t="shared" si="105"/>
        <v>#REF!</v>
      </c>
      <c r="AZ167" s="131" t="e">
        <f t="shared" si="105"/>
        <v>#REF!</v>
      </c>
      <c r="BA167" s="131" t="e">
        <f t="shared" si="105"/>
        <v>#REF!</v>
      </c>
      <c r="BB167" s="131" t="e">
        <f t="shared" si="105"/>
        <v>#REF!</v>
      </c>
      <c r="BC167" s="131" t="e">
        <f t="shared" si="105"/>
        <v>#REF!</v>
      </c>
      <c r="BD167" s="131" t="e">
        <f t="shared" si="105"/>
        <v>#REF!</v>
      </c>
      <c r="BE167" s="131" t="e">
        <f t="shared" si="105"/>
        <v>#REF!</v>
      </c>
      <c r="BF167" s="131" t="e">
        <f t="shared" si="105"/>
        <v>#REF!</v>
      </c>
      <c r="BG167" s="131" t="e">
        <f t="shared" si="105"/>
        <v>#REF!</v>
      </c>
      <c r="BH167" s="131" t="e">
        <f t="shared" si="105"/>
        <v>#REF!</v>
      </c>
      <c r="BI167" s="131" t="e">
        <f t="shared" si="105"/>
        <v>#REF!</v>
      </c>
      <c r="BJ167" s="131" t="e">
        <f t="shared" si="105"/>
        <v>#REF!</v>
      </c>
      <c r="BK167" s="131" t="e">
        <f t="shared" si="105"/>
        <v>#REF!</v>
      </c>
      <c r="BL167" s="131" t="e">
        <f t="shared" si="105"/>
        <v>#REF!</v>
      </c>
      <c r="BM167" s="131" t="e">
        <f t="shared" si="105"/>
        <v>#REF!</v>
      </c>
      <c r="BN167" s="131" t="e">
        <f t="shared" si="105"/>
        <v>#REF!</v>
      </c>
      <c r="BO167" s="131" t="e">
        <f t="shared" si="105"/>
        <v>#REF!</v>
      </c>
      <c r="BP167" s="131" t="e">
        <f t="shared" ref="BP167:CN167" si="106">-BP163*$C$203</f>
        <v>#REF!</v>
      </c>
      <c r="BQ167" s="131" t="e">
        <f t="shared" si="106"/>
        <v>#REF!</v>
      </c>
      <c r="BR167" s="131" t="e">
        <f t="shared" si="106"/>
        <v>#REF!</v>
      </c>
      <c r="BS167" s="131" t="e">
        <f t="shared" si="106"/>
        <v>#REF!</v>
      </c>
      <c r="BT167" s="131" t="e">
        <f t="shared" si="106"/>
        <v>#REF!</v>
      </c>
      <c r="BU167" s="131" t="e">
        <f t="shared" si="106"/>
        <v>#REF!</v>
      </c>
      <c r="BV167" s="131" t="e">
        <f t="shared" si="106"/>
        <v>#REF!</v>
      </c>
      <c r="BW167" s="131" t="e">
        <f t="shared" si="106"/>
        <v>#REF!</v>
      </c>
      <c r="BX167" s="131" t="e">
        <f t="shared" si="106"/>
        <v>#REF!</v>
      </c>
      <c r="BY167" s="131" t="e">
        <f t="shared" si="106"/>
        <v>#REF!</v>
      </c>
      <c r="BZ167" s="131" t="e">
        <f t="shared" si="106"/>
        <v>#REF!</v>
      </c>
      <c r="CA167" s="131" t="e">
        <f t="shared" si="106"/>
        <v>#REF!</v>
      </c>
      <c r="CB167" s="131" t="e">
        <f t="shared" si="106"/>
        <v>#REF!</v>
      </c>
      <c r="CC167" s="131" t="e">
        <f t="shared" si="106"/>
        <v>#REF!</v>
      </c>
      <c r="CD167" s="131" t="e">
        <f t="shared" si="106"/>
        <v>#REF!</v>
      </c>
      <c r="CE167" s="131" t="e">
        <f t="shared" si="106"/>
        <v>#REF!</v>
      </c>
      <c r="CF167" s="131" t="e">
        <f t="shared" si="106"/>
        <v>#REF!</v>
      </c>
      <c r="CG167" s="131" t="e">
        <f t="shared" si="106"/>
        <v>#REF!</v>
      </c>
      <c r="CH167" s="131" t="e">
        <f t="shared" si="106"/>
        <v>#REF!</v>
      </c>
      <c r="CI167" s="131" t="e">
        <f t="shared" si="106"/>
        <v>#REF!</v>
      </c>
      <c r="CJ167" s="131" t="e">
        <f t="shared" si="106"/>
        <v>#REF!</v>
      </c>
      <c r="CK167" s="131" t="e">
        <f t="shared" si="106"/>
        <v>#REF!</v>
      </c>
      <c r="CL167" s="131" t="e">
        <f t="shared" si="106"/>
        <v>#REF!</v>
      </c>
      <c r="CM167" s="131" t="e">
        <f t="shared" si="106"/>
        <v>#REF!</v>
      </c>
      <c r="CN167" s="131" t="e">
        <f t="shared" si="106"/>
        <v>#REF!</v>
      </c>
      <c r="CO167" s="35"/>
    </row>
    <row r="168" spans="1:93" ht="12.75" customHeight="1" outlineLevel="1">
      <c r="A168" s="35"/>
      <c r="B168" s="63"/>
      <c r="C168" s="35"/>
      <c r="D168" s="447"/>
      <c r="E168" s="446"/>
      <c r="F168" s="446"/>
      <c r="G168" s="446"/>
      <c r="H168" s="446"/>
      <c r="I168" s="446"/>
      <c r="J168" s="446"/>
      <c r="K168" s="446"/>
      <c r="L168" s="446"/>
      <c r="M168" s="446"/>
      <c r="N168" s="446"/>
      <c r="O168" s="446"/>
      <c r="P168" s="446"/>
      <c r="Q168" s="446"/>
      <c r="R168" s="446"/>
      <c r="S168" s="446"/>
      <c r="T168" s="446"/>
      <c r="U168" s="446"/>
      <c r="V168" s="446"/>
      <c r="W168" s="446"/>
      <c r="X168" s="446"/>
      <c r="Y168" s="446"/>
      <c r="Z168" s="446"/>
      <c r="AA168" s="446"/>
      <c r="AB168" s="446"/>
      <c r="AC168" s="446"/>
      <c r="AD168" s="446"/>
      <c r="AE168" s="446"/>
      <c r="AF168" s="446"/>
      <c r="AG168" s="446"/>
      <c r="AH168" s="446"/>
      <c r="AI168" s="446"/>
      <c r="AJ168" s="446"/>
      <c r="AK168" s="446"/>
      <c r="AL168" s="446"/>
      <c r="AM168" s="446"/>
      <c r="AN168" s="446"/>
      <c r="AO168" s="446"/>
      <c r="AP168" s="446"/>
      <c r="AQ168" s="446"/>
      <c r="AR168" s="446"/>
      <c r="AS168" s="446"/>
      <c r="AT168" s="446"/>
      <c r="AU168" s="446"/>
      <c r="AV168" s="446"/>
      <c r="AW168" s="446"/>
      <c r="AX168" s="446"/>
      <c r="AY168" s="446"/>
      <c r="AZ168" s="446"/>
      <c r="BA168" s="446"/>
      <c r="BB168" s="446"/>
      <c r="BC168" s="446"/>
      <c r="BD168" s="446"/>
      <c r="BE168" s="446"/>
      <c r="BF168" s="446"/>
      <c r="BG168" s="446"/>
      <c r="BH168" s="446"/>
      <c r="BI168" s="446"/>
      <c r="BJ168" s="446"/>
      <c r="BK168" s="446"/>
      <c r="BL168" s="446"/>
      <c r="BM168" s="446"/>
      <c r="BN168" s="446"/>
      <c r="BO168" s="446"/>
      <c r="BP168" s="446"/>
      <c r="BQ168" s="446"/>
      <c r="BR168" s="446"/>
      <c r="BS168" s="446"/>
      <c r="BT168" s="446"/>
      <c r="BU168" s="446"/>
      <c r="BV168" s="446"/>
      <c r="BW168" s="446"/>
      <c r="BX168" s="446"/>
      <c r="BY168" s="446"/>
      <c r="BZ168" s="446"/>
      <c r="CA168" s="446"/>
      <c r="CB168" s="446"/>
      <c r="CC168" s="446"/>
      <c r="CD168" s="446"/>
      <c r="CE168" s="446"/>
      <c r="CF168" s="446"/>
      <c r="CG168" s="446"/>
      <c r="CH168" s="446"/>
      <c r="CI168" s="446"/>
      <c r="CJ168" s="446"/>
      <c r="CK168" s="446"/>
      <c r="CL168" s="446"/>
      <c r="CM168" s="446"/>
      <c r="CN168" s="446"/>
      <c r="CO168" s="35"/>
    </row>
    <row r="169" spans="1:93" ht="12.75" customHeight="1" outlineLevel="1">
      <c r="A169" s="35"/>
      <c r="B169" s="63" t="s">
        <v>629</v>
      </c>
      <c r="C169" s="35"/>
      <c r="D169" s="448">
        <f>-D79</f>
        <v>0</v>
      </c>
      <c r="E169" s="35" t="e">
        <f>D169-E79</f>
        <v>#REF!</v>
      </c>
      <c r="F169" s="35" t="e">
        <f t="shared" ref="F169:BQ169" si="107">E169-F79</f>
        <v>#REF!</v>
      </c>
      <c r="G169" s="35" t="e">
        <f t="shared" si="107"/>
        <v>#REF!</v>
      </c>
      <c r="H169" s="35" t="e">
        <f t="shared" si="107"/>
        <v>#REF!</v>
      </c>
      <c r="I169" s="35" t="e">
        <f t="shared" si="107"/>
        <v>#REF!</v>
      </c>
      <c r="J169" s="35" t="e">
        <f t="shared" si="107"/>
        <v>#REF!</v>
      </c>
      <c r="K169" s="35" t="e">
        <f t="shared" si="107"/>
        <v>#REF!</v>
      </c>
      <c r="L169" s="35" t="e">
        <f t="shared" si="107"/>
        <v>#REF!</v>
      </c>
      <c r="M169" s="35" t="e">
        <f t="shared" si="107"/>
        <v>#REF!</v>
      </c>
      <c r="N169" s="35" t="e">
        <f t="shared" si="107"/>
        <v>#REF!</v>
      </c>
      <c r="O169" s="35" t="e">
        <f t="shared" si="107"/>
        <v>#REF!</v>
      </c>
      <c r="P169" s="35" t="e">
        <f t="shared" si="107"/>
        <v>#REF!</v>
      </c>
      <c r="Q169" s="35" t="e">
        <f t="shared" si="107"/>
        <v>#REF!</v>
      </c>
      <c r="R169" s="35" t="e">
        <f t="shared" si="107"/>
        <v>#REF!</v>
      </c>
      <c r="S169" s="35" t="e">
        <f t="shared" si="107"/>
        <v>#REF!</v>
      </c>
      <c r="T169" s="35" t="e">
        <f t="shared" si="107"/>
        <v>#REF!</v>
      </c>
      <c r="U169" s="35" t="e">
        <f t="shared" si="107"/>
        <v>#REF!</v>
      </c>
      <c r="V169" s="35" t="e">
        <f t="shared" si="107"/>
        <v>#REF!</v>
      </c>
      <c r="W169" s="35" t="e">
        <f t="shared" si="107"/>
        <v>#REF!</v>
      </c>
      <c r="X169" s="35" t="e">
        <f t="shared" si="107"/>
        <v>#REF!</v>
      </c>
      <c r="Y169" s="35" t="e">
        <f t="shared" si="107"/>
        <v>#REF!</v>
      </c>
      <c r="Z169" s="35" t="e">
        <f t="shared" si="107"/>
        <v>#REF!</v>
      </c>
      <c r="AA169" s="35" t="e">
        <f t="shared" si="107"/>
        <v>#REF!</v>
      </c>
      <c r="AB169" s="35" t="e">
        <f t="shared" si="107"/>
        <v>#REF!</v>
      </c>
      <c r="AC169" s="35" t="e">
        <f t="shared" si="107"/>
        <v>#REF!</v>
      </c>
      <c r="AD169" s="35" t="e">
        <f t="shared" si="107"/>
        <v>#REF!</v>
      </c>
      <c r="AE169" s="35" t="e">
        <f t="shared" si="107"/>
        <v>#REF!</v>
      </c>
      <c r="AF169" s="35" t="e">
        <f t="shared" si="107"/>
        <v>#REF!</v>
      </c>
      <c r="AG169" s="35" t="e">
        <f t="shared" si="107"/>
        <v>#REF!</v>
      </c>
      <c r="AH169" s="35" t="e">
        <f t="shared" si="107"/>
        <v>#REF!</v>
      </c>
      <c r="AI169" s="35" t="e">
        <f t="shared" si="107"/>
        <v>#REF!</v>
      </c>
      <c r="AJ169" s="35" t="e">
        <f t="shared" si="107"/>
        <v>#REF!</v>
      </c>
      <c r="AK169" s="35" t="e">
        <f t="shared" si="107"/>
        <v>#REF!</v>
      </c>
      <c r="AL169" s="35" t="e">
        <f t="shared" si="107"/>
        <v>#REF!</v>
      </c>
      <c r="AM169" s="35" t="e">
        <f t="shared" si="107"/>
        <v>#REF!</v>
      </c>
      <c r="AN169" s="35" t="e">
        <f t="shared" si="107"/>
        <v>#REF!</v>
      </c>
      <c r="AO169" s="35" t="e">
        <f t="shared" si="107"/>
        <v>#REF!</v>
      </c>
      <c r="AP169" s="35" t="e">
        <f t="shared" si="107"/>
        <v>#REF!</v>
      </c>
      <c r="AQ169" s="35" t="e">
        <f t="shared" si="107"/>
        <v>#REF!</v>
      </c>
      <c r="AR169" s="35" t="e">
        <f t="shared" si="107"/>
        <v>#REF!</v>
      </c>
      <c r="AS169" s="35" t="e">
        <f t="shared" si="107"/>
        <v>#REF!</v>
      </c>
      <c r="AT169" s="35" t="e">
        <f t="shared" si="107"/>
        <v>#REF!</v>
      </c>
      <c r="AU169" s="35" t="e">
        <f t="shared" si="107"/>
        <v>#REF!</v>
      </c>
      <c r="AV169" s="35" t="e">
        <f t="shared" si="107"/>
        <v>#REF!</v>
      </c>
      <c r="AW169" s="35" t="e">
        <f t="shared" si="107"/>
        <v>#REF!</v>
      </c>
      <c r="AX169" s="35" t="e">
        <f t="shared" si="107"/>
        <v>#REF!</v>
      </c>
      <c r="AY169" s="35" t="e">
        <f t="shared" si="107"/>
        <v>#REF!</v>
      </c>
      <c r="AZ169" s="35" t="e">
        <f t="shared" si="107"/>
        <v>#REF!</v>
      </c>
      <c r="BA169" s="35" t="e">
        <f t="shared" si="107"/>
        <v>#REF!</v>
      </c>
      <c r="BB169" s="35" t="e">
        <f t="shared" si="107"/>
        <v>#REF!</v>
      </c>
      <c r="BC169" s="35" t="e">
        <f t="shared" si="107"/>
        <v>#REF!</v>
      </c>
      <c r="BD169" s="35" t="e">
        <f t="shared" si="107"/>
        <v>#REF!</v>
      </c>
      <c r="BE169" s="35" t="e">
        <f t="shared" si="107"/>
        <v>#REF!</v>
      </c>
      <c r="BF169" s="35" t="e">
        <f t="shared" si="107"/>
        <v>#REF!</v>
      </c>
      <c r="BG169" s="35" t="e">
        <f t="shared" si="107"/>
        <v>#REF!</v>
      </c>
      <c r="BH169" s="35" t="e">
        <f t="shared" si="107"/>
        <v>#REF!</v>
      </c>
      <c r="BI169" s="35" t="e">
        <f t="shared" si="107"/>
        <v>#REF!</v>
      </c>
      <c r="BJ169" s="35" t="e">
        <f t="shared" si="107"/>
        <v>#REF!</v>
      </c>
      <c r="BK169" s="35" t="e">
        <f t="shared" si="107"/>
        <v>#REF!</v>
      </c>
      <c r="BL169" s="35" t="e">
        <f t="shared" si="107"/>
        <v>#REF!</v>
      </c>
      <c r="BM169" s="35" t="e">
        <f t="shared" si="107"/>
        <v>#REF!</v>
      </c>
      <c r="BN169" s="35" t="e">
        <f t="shared" si="107"/>
        <v>#REF!</v>
      </c>
      <c r="BO169" s="35" t="e">
        <f t="shared" si="107"/>
        <v>#REF!</v>
      </c>
      <c r="BP169" s="35" t="e">
        <f t="shared" si="107"/>
        <v>#REF!</v>
      </c>
      <c r="BQ169" s="35" t="e">
        <f t="shared" si="107"/>
        <v>#REF!</v>
      </c>
      <c r="BR169" s="35" t="e">
        <f t="shared" ref="BR169:CN169" si="108">BQ169-BR79</f>
        <v>#REF!</v>
      </c>
      <c r="BS169" s="35" t="e">
        <f t="shared" si="108"/>
        <v>#REF!</v>
      </c>
      <c r="BT169" s="35" t="e">
        <f t="shared" si="108"/>
        <v>#REF!</v>
      </c>
      <c r="BU169" s="35" t="e">
        <f t="shared" si="108"/>
        <v>#REF!</v>
      </c>
      <c r="BV169" s="35" t="e">
        <f t="shared" si="108"/>
        <v>#REF!</v>
      </c>
      <c r="BW169" s="35" t="e">
        <f t="shared" si="108"/>
        <v>#REF!</v>
      </c>
      <c r="BX169" s="35" t="e">
        <f t="shared" si="108"/>
        <v>#REF!</v>
      </c>
      <c r="BY169" s="35" t="e">
        <f t="shared" si="108"/>
        <v>#REF!</v>
      </c>
      <c r="BZ169" s="35" t="e">
        <f t="shared" si="108"/>
        <v>#REF!</v>
      </c>
      <c r="CA169" s="35" t="e">
        <f t="shared" si="108"/>
        <v>#REF!</v>
      </c>
      <c r="CB169" s="35" t="e">
        <f t="shared" si="108"/>
        <v>#REF!</v>
      </c>
      <c r="CC169" s="35" t="e">
        <f t="shared" si="108"/>
        <v>#REF!</v>
      </c>
      <c r="CD169" s="35" t="e">
        <f t="shared" si="108"/>
        <v>#REF!</v>
      </c>
      <c r="CE169" s="35" t="e">
        <f t="shared" si="108"/>
        <v>#REF!</v>
      </c>
      <c r="CF169" s="35" t="e">
        <f t="shared" si="108"/>
        <v>#REF!</v>
      </c>
      <c r="CG169" s="35" t="e">
        <f t="shared" si="108"/>
        <v>#REF!</v>
      </c>
      <c r="CH169" s="35" t="e">
        <f t="shared" si="108"/>
        <v>#REF!</v>
      </c>
      <c r="CI169" s="35" t="e">
        <f t="shared" si="108"/>
        <v>#REF!</v>
      </c>
      <c r="CJ169" s="35" t="e">
        <f t="shared" si="108"/>
        <v>#REF!</v>
      </c>
      <c r="CK169" s="35" t="e">
        <f t="shared" si="108"/>
        <v>#REF!</v>
      </c>
      <c r="CL169" s="35" t="e">
        <f t="shared" si="108"/>
        <v>#REF!</v>
      </c>
      <c r="CM169" s="35" t="e">
        <f t="shared" si="108"/>
        <v>#REF!</v>
      </c>
      <c r="CN169" s="35" t="e">
        <f t="shared" si="108"/>
        <v>#REF!</v>
      </c>
      <c r="CO169" s="35"/>
    </row>
    <row r="170" spans="1:93" ht="12.75" customHeight="1" outlineLevel="1">
      <c r="A170" s="35"/>
      <c r="B170" s="26" t="s">
        <v>633</v>
      </c>
      <c r="C170" s="35" t="e">
        <f t="shared" ref="C170:C172" si="109">SUM(D170:CN170)</f>
        <v>#REF!</v>
      </c>
      <c r="D170" s="447" t="e">
        <f>D169*#REF!/4</f>
        <v>#REF!</v>
      </c>
      <c r="E170" s="446" t="e">
        <f>E169*#REF!/4</f>
        <v>#REF!</v>
      </c>
      <c r="F170" s="446" t="e">
        <f>F169*#REF!/4</f>
        <v>#REF!</v>
      </c>
      <c r="G170" s="446" t="e">
        <f>G169*#REF!/4</f>
        <v>#REF!</v>
      </c>
      <c r="H170" s="446" t="e">
        <f>H169*#REF!/4</f>
        <v>#REF!</v>
      </c>
      <c r="I170" s="446" t="e">
        <f>I169*#REF!/4</f>
        <v>#REF!</v>
      </c>
      <c r="J170" s="446" t="e">
        <f>J169*#REF!/4</f>
        <v>#REF!</v>
      </c>
      <c r="K170" s="446" t="e">
        <f>K169*#REF!/4</f>
        <v>#REF!</v>
      </c>
      <c r="L170" s="446" t="e">
        <f>L169*#REF!/4</f>
        <v>#REF!</v>
      </c>
      <c r="M170" s="446" t="e">
        <f>M169*#REF!/4</f>
        <v>#REF!</v>
      </c>
      <c r="N170" s="446" t="e">
        <f>N169*#REF!/4</f>
        <v>#REF!</v>
      </c>
      <c r="O170" s="446" t="e">
        <f>O169*#REF!/4</f>
        <v>#REF!</v>
      </c>
      <c r="P170" s="446" t="e">
        <f>P169*#REF!/4</f>
        <v>#REF!</v>
      </c>
      <c r="Q170" s="446" t="e">
        <f>Q169*#REF!/4</f>
        <v>#REF!</v>
      </c>
      <c r="R170" s="446" t="e">
        <f>R169*#REF!/4</f>
        <v>#REF!</v>
      </c>
      <c r="S170" s="446" t="e">
        <f>S169*#REF!/4</f>
        <v>#REF!</v>
      </c>
      <c r="T170" s="446" t="e">
        <f>T169*#REF!/4</f>
        <v>#REF!</v>
      </c>
      <c r="U170" s="446" t="e">
        <f>U169*#REF!/4</f>
        <v>#REF!</v>
      </c>
      <c r="V170" s="446" t="e">
        <f>V169*#REF!/4</f>
        <v>#REF!</v>
      </c>
      <c r="W170" s="446" t="e">
        <f>W169*#REF!/4</f>
        <v>#REF!</v>
      </c>
      <c r="X170" s="446" t="e">
        <f>X169*#REF!/4</f>
        <v>#REF!</v>
      </c>
      <c r="Y170" s="446" t="e">
        <f>Y169*#REF!/4</f>
        <v>#REF!</v>
      </c>
      <c r="Z170" s="446" t="e">
        <f>Z169*#REF!/4</f>
        <v>#REF!</v>
      </c>
      <c r="AA170" s="446" t="e">
        <f>AA169*#REF!/4</f>
        <v>#REF!</v>
      </c>
      <c r="AB170" s="446" t="e">
        <f>AB169*#REF!/4</f>
        <v>#REF!</v>
      </c>
      <c r="AC170" s="446" t="e">
        <f>AC169*#REF!/4</f>
        <v>#REF!</v>
      </c>
      <c r="AD170" s="446" t="e">
        <f>AD169*#REF!/4</f>
        <v>#REF!</v>
      </c>
      <c r="AE170" s="446" t="e">
        <f>AE169*#REF!/4</f>
        <v>#REF!</v>
      </c>
      <c r="AF170" s="446" t="e">
        <f>AF169*#REF!/4</f>
        <v>#REF!</v>
      </c>
      <c r="AG170" s="446" t="e">
        <f>AG169*#REF!/4</f>
        <v>#REF!</v>
      </c>
      <c r="AH170" s="446" t="e">
        <f>AH169*#REF!/4</f>
        <v>#REF!</v>
      </c>
      <c r="AI170" s="446" t="e">
        <f>AI169*#REF!/4</f>
        <v>#REF!</v>
      </c>
      <c r="AJ170" s="446" t="e">
        <f>AJ169*#REF!/4</f>
        <v>#REF!</v>
      </c>
      <c r="AK170" s="446" t="e">
        <f>AK169*#REF!/4</f>
        <v>#REF!</v>
      </c>
      <c r="AL170" s="446" t="e">
        <f>AL169*#REF!/4</f>
        <v>#REF!</v>
      </c>
      <c r="AM170" s="446" t="e">
        <f>AM169*#REF!/4</f>
        <v>#REF!</v>
      </c>
      <c r="AN170" s="446" t="e">
        <f>AN169*#REF!/4</f>
        <v>#REF!</v>
      </c>
      <c r="AO170" s="446" t="e">
        <f>AO169*#REF!/4</f>
        <v>#REF!</v>
      </c>
      <c r="AP170" s="446" t="e">
        <f>AP169*#REF!/4</f>
        <v>#REF!</v>
      </c>
      <c r="AQ170" s="446" t="e">
        <f>AQ169*#REF!/4</f>
        <v>#REF!</v>
      </c>
      <c r="AR170" s="446" t="e">
        <f>AR169*#REF!/4</f>
        <v>#REF!</v>
      </c>
      <c r="AS170" s="446" t="e">
        <f>AS169*#REF!/4</f>
        <v>#REF!</v>
      </c>
      <c r="AT170" s="446" t="e">
        <f>AT169*#REF!/4</f>
        <v>#REF!</v>
      </c>
      <c r="AU170" s="446" t="e">
        <f>AU169*#REF!/4</f>
        <v>#REF!</v>
      </c>
      <c r="AV170" s="446" t="e">
        <f>AV169*#REF!/4</f>
        <v>#REF!</v>
      </c>
      <c r="AW170" s="446" t="e">
        <f>AW169*#REF!/4</f>
        <v>#REF!</v>
      </c>
      <c r="AX170" s="446" t="e">
        <f>AX169*#REF!/4</f>
        <v>#REF!</v>
      </c>
      <c r="AY170" s="446" t="e">
        <f>AY169*#REF!/4</f>
        <v>#REF!</v>
      </c>
      <c r="AZ170" s="446" t="e">
        <f>AZ169*#REF!/4</f>
        <v>#REF!</v>
      </c>
      <c r="BA170" s="446" t="e">
        <f>BA169*#REF!/4</f>
        <v>#REF!</v>
      </c>
      <c r="BB170" s="446" t="e">
        <f>BB169*#REF!/4</f>
        <v>#REF!</v>
      </c>
      <c r="BC170" s="446" t="e">
        <f>BC169*#REF!/4</f>
        <v>#REF!</v>
      </c>
      <c r="BD170" s="446" t="e">
        <f>BD169*#REF!/4</f>
        <v>#REF!</v>
      </c>
      <c r="BE170" s="446" t="e">
        <f>BE169*#REF!/4</f>
        <v>#REF!</v>
      </c>
      <c r="BF170" s="446" t="e">
        <f>BF169*#REF!/4</f>
        <v>#REF!</v>
      </c>
      <c r="BG170" s="446" t="e">
        <f>BG169*#REF!/4</f>
        <v>#REF!</v>
      </c>
      <c r="BH170" s="446" t="e">
        <f>BH169*#REF!/4</f>
        <v>#REF!</v>
      </c>
      <c r="BI170" s="446" t="e">
        <f>BI169*#REF!/4</f>
        <v>#REF!</v>
      </c>
      <c r="BJ170" s="446" t="e">
        <f>BJ169*#REF!/4</f>
        <v>#REF!</v>
      </c>
      <c r="BK170" s="446" t="e">
        <f>BK169*#REF!/4</f>
        <v>#REF!</v>
      </c>
      <c r="BL170" s="446" t="e">
        <f>BL169*#REF!/4</f>
        <v>#REF!</v>
      </c>
      <c r="BM170" s="446" t="e">
        <f>BM169*#REF!/4</f>
        <v>#REF!</v>
      </c>
      <c r="BN170" s="446" t="e">
        <f>BN169*#REF!/4</f>
        <v>#REF!</v>
      </c>
      <c r="BO170" s="446" t="e">
        <f>BO169*#REF!/4</f>
        <v>#REF!</v>
      </c>
      <c r="BP170" s="446" t="e">
        <f>BP169*#REF!/4</f>
        <v>#REF!</v>
      </c>
      <c r="BQ170" s="446" t="e">
        <f>BQ169*#REF!/4</f>
        <v>#REF!</v>
      </c>
      <c r="BR170" s="446" t="e">
        <f>BR169*#REF!/4</f>
        <v>#REF!</v>
      </c>
      <c r="BS170" s="446" t="e">
        <f>BS169*#REF!/4</f>
        <v>#REF!</v>
      </c>
      <c r="BT170" s="446" t="e">
        <f>BT169*#REF!/4</f>
        <v>#REF!</v>
      </c>
      <c r="BU170" s="446" t="e">
        <f>BU169*#REF!/4</f>
        <v>#REF!</v>
      </c>
      <c r="BV170" s="446" t="e">
        <f>BV169*#REF!/4</f>
        <v>#REF!</v>
      </c>
      <c r="BW170" s="446" t="e">
        <f>BW169*#REF!/4</f>
        <v>#REF!</v>
      </c>
      <c r="BX170" s="446" t="e">
        <f>BX169*#REF!/4</f>
        <v>#REF!</v>
      </c>
      <c r="BY170" s="446" t="e">
        <f>BY169*#REF!/4</f>
        <v>#REF!</v>
      </c>
      <c r="BZ170" s="446" t="e">
        <f>BZ169*#REF!/4</f>
        <v>#REF!</v>
      </c>
      <c r="CA170" s="446" t="e">
        <f>CA169*#REF!/4</f>
        <v>#REF!</v>
      </c>
      <c r="CB170" s="446" t="e">
        <f>CB169*#REF!/4</f>
        <v>#REF!</v>
      </c>
      <c r="CC170" s="446" t="e">
        <f>CC169*#REF!/4</f>
        <v>#REF!</v>
      </c>
      <c r="CD170" s="446" t="e">
        <f>CD169*#REF!/4</f>
        <v>#REF!</v>
      </c>
      <c r="CE170" s="446" t="e">
        <f>CE169*#REF!/4</f>
        <v>#REF!</v>
      </c>
      <c r="CF170" s="446" t="e">
        <f>CF169*#REF!/4</f>
        <v>#REF!</v>
      </c>
      <c r="CG170" s="446" t="e">
        <f>CG169*#REF!/4</f>
        <v>#REF!</v>
      </c>
      <c r="CH170" s="446" t="e">
        <f>CH169*#REF!/4</f>
        <v>#REF!</v>
      </c>
      <c r="CI170" s="446" t="e">
        <f>CI169*#REF!/4</f>
        <v>#REF!</v>
      </c>
      <c r="CJ170" s="446" t="e">
        <f>CJ169*#REF!/4</f>
        <v>#REF!</v>
      </c>
      <c r="CK170" s="446" t="e">
        <f>CK169*#REF!/4</f>
        <v>#REF!</v>
      </c>
      <c r="CL170" s="446" t="e">
        <f>CL169*#REF!/4</f>
        <v>#REF!</v>
      </c>
      <c r="CM170" s="446" t="e">
        <f>CM169*#REF!/4</f>
        <v>#REF!</v>
      </c>
      <c r="CN170" s="446" t="e">
        <f>CN169*#REF!/4</f>
        <v>#REF!</v>
      </c>
      <c r="CO170" s="35"/>
    </row>
    <row r="171" spans="1:93" ht="12.75" customHeight="1" outlineLevel="1">
      <c r="A171" s="35"/>
      <c r="B171" s="26" t="s">
        <v>632</v>
      </c>
      <c r="C171" s="35" t="e">
        <f t="shared" si="109"/>
        <v>#REF!</v>
      </c>
      <c r="D171" s="447" t="e">
        <f>D169*#REF!*#REF!/4</f>
        <v>#REF!</v>
      </c>
      <c r="E171" s="446" t="e">
        <f>E169*#REF!*#REF!/4</f>
        <v>#REF!</v>
      </c>
      <c r="F171" s="446" t="e">
        <f>F169*#REF!*#REF!/4</f>
        <v>#REF!</v>
      </c>
      <c r="G171" s="446" t="e">
        <f>G169*#REF!*#REF!/4</f>
        <v>#REF!</v>
      </c>
      <c r="H171" s="446" t="e">
        <f>H169*#REF!*#REF!/4</f>
        <v>#REF!</v>
      </c>
      <c r="I171" s="446" t="e">
        <f>I169*#REF!*#REF!/4</f>
        <v>#REF!</v>
      </c>
      <c r="J171" s="446" t="e">
        <f>J169*#REF!*#REF!/4</f>
        <v>#REF!</v>
      </c>
      <c r="K171" s="446" t="e">
        <f>K169*#REF!*#REF!/4</f>
        <v>#REF!</v>
      </c>
      <c r="L171" s="446" t="e">
        <f>L169*#REF!*#REF!/4</f>
        <v>#REF!</v>
      </c>
      <c r="M171" s="446" t="e">
        <f>M169*#REF!*#REF!/4</f>
        <v>#REF!</v>
      </c>
      <c r="N171" s="446" t="e">
        <f>N169*#REF!*#REF!/4</f>
        <v>#REF!</v>
      </c>
      <c r="O171" s="446" t="e">
        <f>O169*#REF!*#REF!/4</f>
        <v>#REF!</v>
      </c>
      <c r="P171" s="446" t="e">
        <f>P169*#REF!*#REF!/4</f>
        <v>#REF!</v>
      </c>
      <c r="Q171" s="446" t="e">
        <f>Q169*#REF!*#REF!/4</f>
        <v>#REF!</v>
      </c>
      <c r="R171" s="446" t="e">
        <f>R169*#REF!*#REF!/4</f>
        <v>#REF!</v>
      </c>
      <c r="S171" s="446" t="e">
        <f>S169*#REF!*#REF!/4</f>
        <v>#REF!</v>
      </c>
      <c r="T171" s="446" t="e">
        <f>T169*#REF!*#REF!/4</f>
        <v>#REF!</v>
      </c>
      <c r="U171" s="446" t="e">
        <f>U169*#REF!*#REF!/4</f>
        <v>#REF!</v>
      </c>
      <c r="V171" s="446" t="e">
        <f>V169*#REF!*#REF!/4</f>
        <v>#REF!</v>
      </c>
      <c r="W171" s="446" t="e">
        <f>W169*#REF!*#REF!/4</f>
        <v>#REF!</v>
      </c>
      <c r="X171" s="446" t="e">
        <f>X169*#REF!*#REF!/4</f>
        <v>#REF!</v>
      </c>
      <c r="Y171" s="446" t="e">
        <f>Y169*#REF!*#REF!/4</f>
        <v>#REF!</v>
      </c>
      <c r="Z171" s="446" t="e">
        <f>Z169*#REF!*#REF!/4</f>
        <v>#REF!</v>
      </c>
      <c r="AA171" s="446" t="e">
        <f>AA169*#REF!*#REF!/4</f>
        <v>#REF!</v>
      </c>
      <c r="AB171" s="446" t="e">
        <f>AB169*#REF!*#REF!/4</f>
        <v>#REF!</v>
      </c>
      <c r="AC171" s="446" t="e">
        <f>AC169*#REF!*#REF!/4</f>
        <v>#REF!</v>
      </c>
      <c r="AD171" s="446" t="e">
        <f>AD169*#REF!*#REF!/4</f>
        <v>#REF!</v>
      </c>
      <c r="AE171" s="446" t="e">
        <f>AE169*#REF!*#REF!/4</f>
        <v>#REF!</v>
      </c>
      <c r="AF171" s="446" t="e">
        <f>AF169*#REF!*#REF!/4</f>
        <v>#REF!</v>
      </c>
      <c r="AG171" s="446" t="e">
        <f>AG169*#REF!*#REF!/4</f>
        <v>#REF!</v>
      </c>
      <c r="AH171" s="446" t="e">
        <f>AH169*#REF!*#REF!/4</f>
        <v>#REF!</v>
      </c>
      <c r="AI171" s="446" t="e">
        <f>AI169*#REF!*#REF!/4</f>
        <v>#REF!</v>
      </c>
      <c r="AJ171" s="446" t="e">
        <f>AJ169*#REF!*#REF!/4</f>
        <v>#REF!</v>
      </c>
      <c r="AK171" s="446" t="e">
        <f>AK169*#REF!*#REF!/4</f>
        <v>#REF!</v>
      </c>
      <c r="AL171" s="446" t="e">
        <f>AL169*#REF!*#REF!/4</f>
        <v>#REF!</v>
      </c>
      <c r="AM171" s="446" t="e">
        <f>AM169*#REF!*#REF!/4</f>
        <v>#REF!</v>
      </c>
      <c r="AN171" s="446" t="e">
        <f>AN169*#REF!*#REF!/4</f>
        <v>#REF!</v>
      </c>
      <c r="AO171" s="446" t="e">
        <f>AO169*#REF!*#REF!/4</f>
        <v>#REF!</v>
      </c>
      <c r="AP171" s="446" t="e">
        <f>AP169*#REF!*#REF!/4</f>
        <v>#REF!</v>
      </c>
      <c r="AQ171" s="446" t="e">
        <f>AQ169*#REF!*#REF!/4</f>
        <v>#REF!</v>
      </c>
      <c r="AR171" s="446" t="e">
        <f>AR169*#REF!*#REF!/4</f>
        <v>#REF!</v>
      </c>
      <c r="AS171" s="446" t="e">
        <f>AS169*#REF!*#REF!/4</f>
        <v>#REF!</v>
      </c>
      <c r="AT171" s="446" t="e">
        <f>AT169*#REF!*#REF!/4</f>
        <v>#REF!</v>
      </c>
      <c r="AU171" s="446" t="e">
        <f>AU169*#REF!*#REF!/4</f>
        <v>#REF!</v>
      </c>
      <c r="AV171" s="446" t="e">
        <f>AV169*#REF!*#REF!/4</f>
        <v>#REF!</v>
      </c>
      <c r="AW171" s="446" t="e">
        <f>AW169*#REF!*#REF!/4</f>
        <v>#REF!</v>
      </c>
      <c r="AX171" s="446" t="e">
        <f>AX169*#REF!*#REF!/4</f>
        <v>#REF!</v>
      </c>
      <c r="AY171" s="446" t="e">
        <f>AY169*#REF!*#REF!/4</f>
        <v>#REF!</v>
      </c>
      <c r="AZ171" s="446" t="e">
        <f>AZ169*#REF!*#REF!/4</f>
        <v>#REF!</v>
      </c>
      <c r="BA171" s="446" t="e">
        <f>BA169*#REF!*#REF!/4</f>
        <v>#REF!</v>
      </c>
      <c r="BB171" s="446" t="e">
        <f>BB169*#REF!*#REF!/4</f>
        <v>#REF!</v>
      </c>
      <c r="BC171" s="446" t="e">
        <f>BC169*#REF!*#REF!/4</f>
        <v>#REF!</v>
      </c>
      <c r="BD171" s="446" t="e">
        <f>BD169*#REF!*#REF!/4</f>
        <v>#REF!</v>
      </c>
      <c r="BE171" s="446" t="e">
        <f>BE169*#REF!*#REF!/4</f>
        <v>#REF!</v>
      </c>
      <c r="BF171" s="446" t="e">
        <f>BF169*#REF!*#REF!/4</f>
        <v>#REF!</v>
      </c>
      <c r="BG171" s="446" t="e">
        <f>BG169*#REF!*#REF!/4</f>
        <v>#REF!</v>
      </c>
      <c r="BH171" s="446" t="e">
        <f>BH169*#REF!*#REF!/4</f>
        <v>#REF!</v>
      </c>
      <c r="BI171" s="446" t="e">
        <f>BI169*#REF!*#REF!/4</f>
        <v>#REF!</v>
      </c>
      <c r="BJ171" s="446" t="e">
        <f>BJ169*#REF!*#REF!/4</f>
        <v>#REF!</v>
      </c>
      <c r="BK171" s="446" t="e">
        <f>BK169*#REF!*#REF!/4</f>
        <v>#REF!</v>
      </c>
      <c r="BL171" s="446" t="e">
        <f>BL169*#REF!*#REF!/4</f>
        <v>#REF!</v>
      </c>
      <c r="BM171" s="446" t="e">
        <f>BM169*#REF!*#REF!/4</f>
        <v>#REF!</v>
      </c>
      <c r="BN171" s="446" t="e">
        <f>BN169*#REF!*#REF!/4</f>
        <v>#REF!</v>
      </c>
      <c r="BO171" s="446" t="e">
        <f>BO169*#REF!*#REF!/4</f>
        <v>#REF!</v>
      </c>
      <c r="BP171" s="446" t="e">
        <f>BP169*#REF!*#REF!/4</f>
        <v>#REF!</v>
      </c>
      <c r="BQ171" s="446" t="e">
        <f>BQ169*#REF!*#REF!/4</f>
        <v>#REF!</v>
      </c>
      <c r="BR171" s="446" t="e">
        <f>BR169*#REF!*#REF!/4</f>
        <v>#REF!</v>
      </c>
      <c r="BS171" s="446" t="e">
        <f>BS169*#REF!*#REF!/4</f>
        <v>#REF!</v>
      </c>
      <c r="BT171" s="446" t="e">
        <f>BT169*#REF!*#REF!/4</f>
        <v>#REF!</v>
      </c>
      <c r="BU171" s="446" t="e">
        <f>BU169*#REF!*#REF!/4</f>
        <v>#REF!</v>
      </c>
      <c r="BV171" s="446" t="e">
        <f>BV169*#REF!*#REF!/4</f>
        <v>#REF!</v>
      </c>
      <c r="BW171" s="446" t="e">
        <f>BW169*#REF!*#REF!/4</f>
        <v>#REF!</v>
      </c>
      <c r="BX171" s="446" t="e">
        <f>BX169*#REF!*#REF!/4</f>
        <v>#REF!</v>
      </c>
      <c r="BY171" s="446" t="e">
        <f>BY169*#REF!*#REF!/4</f>
        <v>#REF!</v>
      </c>
      <c r="BZ171" s="446" t="e">
        <f>BZ169*#REF!*#REF!/4</f>
        <v>#REF!</v>
      </c>
      <c r="CA171" s="446" t="e">
        <f>CA169*#REF!*#REF!/4</f>
        <v>#REF!</v>
      </c>
      <c r="CB171" s="446" t="e">
        <f>CB169*#REF!*#REF!/4</f>
        <v>#REF!</v>
      </c>
      <c r="CC171" s="446" t="e">
        <f>CC169*#REF!*#REF!/4</f>
        <v>#REF!</v>
      </c>
      <c r="CD171" s="446" t="e">
        <f>CD169*#REF!*#REF!/4</f>
        <v>#REF!</v>
      </c>
      <c r="CE171" s="446" t="e">
        <f>CE169*#REF!*#REF!/4</f>
        <v>#REF!</v>
      </c>
      <c r="CF171" s="446" t="e">
        <f>CF169*#REF!*#REF!/4</f>
        <v>#REF!</v>
      </c>
      <c r="CG171" s="446" t="e">
        <f>CG169*#REF!*#REF!/4</f>
        <v>#REF!</v>
      </c>
      <c r="CH171" s="446" t="e">
        <f>CH169*#REF!*#REF!/4</f>
        <v>#REF!</v>
      </c>
      <c r="CI171" s="446" t="e">
        <f>CI169*#REF!*#REF!/4</f>
        <v>#REF!</v>
      </c>
      <c r="CJ171" s="446" t="e">
        <f>CJ169*#REF!*#REF!/4</f>
        <v>#REF!</v>
      </c>
      <c r="CK171" s="446" t="e">
        <f>CK169*#REF!*#REF!/4</f>
        <v>#REF!</v>
      </c>
      <c r="CL171" s="446" t="e">
        <f>CL169*#REF!*#REF!/4</f>
        <v>#REF!</v>
      </c>
      <c r="CM171" s="446" t="e">
        <f>CM169*#REF!*#REF!/4</f>
        <v>#REF!</v>
      </c>
      <c r="CN171" s="446" t="e">
        <f>CN169*#REF!*#REF!/4</f>
        <v>#REF!</v>
      </c>
      <c r="CO171" s="35"/>
    </row>
    <row r="172" spans="1:93" ht="12.75" customHeight="1" outlineLevel="1">
      <c r="A172" s="35"/>
      <c r="B172" s="63" t="s">
        <v>628</v>
      </c>
      <c r="C172" s="35" t="e">
        <f t="shared" si="109"/>
        <v>#REF!</v>
      </c>
      <c r="D172" s="447"/>
      <c r="E172" s="446">
        <f>-IF(E9&lt;Assump!$D$54,0,SUM(sensitivity!$E$167:$X$167)*#REF!/4)</f>
        <v>0</v>
      </c>
      <c r="F172" s="446">
        <f>-IF(F9&lt;Assump!$D$54,0,SUM(sensitivity!$E$167:$X$167)*#REF!/4)</f>
        <v>0</v>
      </c>
      <c r="G172" s="446">
        <f>-IF(G9&lt;Assump!$D$54,0,SUM(sensitivity!$E$167:$X$167)*#REF!/4)</f>
        <v>0</v>
      </c>
      <c r="H172" s="446">
        <f>-IF(H9&lt;Assump!$D$54,0,SUM(sensitivity!$E$167:$X$167)*#REF!/4)</f>
        <v>0</v>
      </c>
      <c r="I172" s="446">
        <f>-IF(I9&lt;Assump!$D$54,0,SUM(sensitivity!$E$167:$X$167)*#REF!/4)</f>
        <v>0</v>
      </c>
      <c r="J172" s="446">
        <f>-IF(J9&lt;Assump!$D$54,0,SUM(sensitivity!$E$167:$X$167)*#REF!/4)</f>
        <v>0</v>
      </c>
      <c r="K172" s="446">
        <f>-IF(K9&lt;Assump!$D$54,0,SUM(sensitivity!$E$167:$X$167)*#REF!/4)</f>
        <v>0</v>
      </c>
      <c r="L172" s="446">
        <f>-IF(L9&lt;Assump!$D$54,0,SUM(sensitivity!$E$167:$X$167)*#REF!/4)</f>
        <v>0</v>
      </c>
      <c r="M172" s="446">
        <f>-IF(M9&lt;Assump!$D$54,0,SUM(sensitivity!$E$167:$X$167)*#REF!/4)</f>
        <v>0</v>
      </c>
      <c r="N172" s="446">
        <f>-IF(N9&lt;Assump!$D$54,0,SUM(sensitivity!$E$167:$X$167)*#REF!/4)</f>
        <v>0</v>
      </c>
      <c r="O172" s="446">
        <f>-IF(O9&lt;Assump!$D$54,0,SUM(sensitivity!$E$167:$X$167)*#REF!/4)</f>
        <v>0</v>
      </c>
      <c r="P172" s="446">
        <f>-IF(P9&lt;Assump!$D$54,0,SUM(sensitivity!$E$167:$X$167)*#REF!/4)</f>
        <v>0</v>
      </c>
      <c r="Q172" s="446">
        <f>-IF(Q9&lt;Assump!$D$54,0,SUM(sensitivity!$E$167:$X$167)*#REF!/4)</f>
        <v>0</v>
      </c>
      <c r="R172" s="446">
        <f>-IF(R9&lt;Assump!$D$54,0,SUM(sensitivity!$E$167:$X$167)*#REF!/4)</f>
        <v>0</v>
      </c>
      <c r="S172" s="446">
        <f>-IF(S9&lt;Assump!$D$54,0,SUM(sensitivity!$E$167:$X$167)*#REF!/4)</f>
        <v>0</v>
      </c>
      <c r="T172" s="446">
        <f>-IF(T9&lt;Assump!$D$54,0,SUM(sensitivity!$E$167:$X$167)*#REF!/4)</f>
        <v>0</v>
      </c>
      <c r="U172" s="446">
        <f>-IF(U9&lt;Assump!$D$54,0,SUM(sensitivity!$E$167:$X$167)*#REF!/4)</f>
        <v>0</v>
      </c>
      <c r="V172" s="446">
        <f>-IF(V9&lt;Assump!$D$54,0,SUM(sensitivity!$E$167:$X$167)*#REF!/4)</f>
        <v>0</v>
      </c>
      <c r="W172" s="446">
        <f>-IF(W9&lt;Assump!$D$54,0,SUM(sensitivity!$E$167:$X$167)*#REF!/4)</f>
        <v>0</v>
      </c>
      <c r="X172" s="446">
        <f>-IF(X9&lt;Assump!$D$54,0,SUM(sensitivity!$E$167:$X$167)*#REF!/4)</f>
        <v>0</v>
      </c>
      <c r="Y172" s="446" t="e">
        <f>-IF(Y9&lt;Assump!$D$54,0,SUM(sensitivity!$E$167:$X$167)*#REF!/4)</f>
        <v>#REF!</v>
      </c>
      <c r="Z172" s="446" t="e">
        <f>-IF(Z9&lt;Assump!$D$54,0,SUM(sensitivity!$E$167:$X$167)*#REF!/4)</f>
        <v>#REF!</v>
      </c>
      <c r="AA172" s="446" t="e">
        <f>-IF(AA9&lt;Assump!$D$54,0,SUM(sensitivity!$E$167:$X$167)*#REF!/4)</f>
        <v>#REF!</v>
      </c>
      <c r="AB172" s="446" t="e">
        <f>-IF(AB9&lt;Assump!$D$54,0,SUM(sensitivity!$E$167:$X$167)*#REF!/4)</f>
        <v>#REF!</v>
      </c>
      <c r="AC172" s="446" t="e">
        <f>-IF(AC9&lt;Assump!$D$54,0,SUM(sensitivity!$E$167:$X$167)*#REF!/4)</f>
        <v>#REF!</v>
      </c>
      <c r="AD172" s="446" t="e">
        <f>-IF(AD9&lt;Assump!$D$54,0,SUM(sensitivity!$E$167:$X$167)*#REF!/4)</f>
        <v>#REF!</v>
      </c>
      <c r="AE172" s="446" t="e">
        <f>-IF(AE9&lt;Assump!$D$54,0,SUM(sensitivity!$E$167:$X$167)*#REF!/4)</f>
        <v>#REF!</v>
      </c>
      <c r="AF172" s="446" t="e">
        <f>-IF(AF9&lt;Assump!$D$54,0,SUM(sensitivity!$E$167:$X$167)*#REF!/4)</f>
        <v>#REF!</v>
      </c>
      <c r="AG172" s="446" t="e">
        <f>-IF(AG9&lt;Assump!$D$54,0,SUM(sensitivity!$E$167:$X$167)*#REF!/4)</f>
        <v>#REF!</v>
      </c>
      <c r="AH172" s="446" t="e">
        <f>-IF(AH9&lt;Assump!$D$54,0,SUM(sensitivity!$E$167:$X$167)*#REF!/4)</f>
        <v>#REF!</v>
      </c>
      <c r="AI172" s="446" t="e">
        <f>-IF(AI9&lt;Assump!$D$54,0,SUM(sensitivity!$E$167:$X$167)*#REF!/4)</f>
        <v>#REF!</v>
      </c>
      <c r="AJ172" s="446" t="e">
        <f>-IF(AJ9&lt;Assump!$D$54,0,SUM(sensitivity!$E$167:$X$167)*#REF!/4)</f>
        <v>#REF!</v>
      </c>
      <c r="AK172" s="446" t="e">
        <f>-IF(AK9&lt;Assump!$D$54,0,SUM(sensitivity!$E$167:$X$167)*#REF!/4)</f>
        <v>#REF!</v>
      </c>
      <c r="AL172" s="446" t="e">
        <f>-IF(AL9&lt;Assump!$D$54,0,SUM(sensitivity!$E$167:$X$167)*#REF!/4)</f>
        <v>#REF!</v>
      </c>
      <c r="AM172" s="446" t="e">
        <f>-IF(AM9&lt;Assump!$D$54,0,SUM(sensitivity!$E$167:$X$167)*#REF!/4)</f>
        <v>#REF!</v>
      </c>
      <c r="AN172" s="446" t="e">
        <f>-IF(AN9&lt;Assump!$D$54,0,SUM(sensitivity!$E$167:$X$167)*#REF!/4)</f>
        <v>#REF!</v>
      </c>
      <c r="AO172" s="446" t="e">
        <f>-IF(AO9&lt;Assump!$D$54,0,SUM(sensitivity!$E$167:$X$167)*#REF!/4)</f>
        <v>#REF!</v>
      </c>
      <c r="AP172" s="446" t="e">
        <f>-IF(AP9&lt;Assump!$D$54,0,SUM(sensitivity!$E$167:$X$167)*#REF!/4)</f>
        <v>#REF!</v>
      </c>
      <c r="AQ172" s="446" t="e">
        <f>-IF(AQ9&lt;Assump!$D$54,0,SUM(sensitivity!$E$167:$X$167)*#REF!/4)</f>
        <v>#REF!</v>
      </c>
      <c r="AR172" s="446" t="e">
        <f>-IF(AR9&lt;Assump!$D$54,0,SUM(sensitivity!$E$167:$X$167)*#REF!/4)</f>
        <v>#REF!</v>
      </c>
      <c r="AS172" s="446" t="e">
        <f>-IF(AS9&lt;Assump!$D$54,0,SUM(sensitivity!$E$167:$X$167)*#REF!/4)</f>
        <v>#REF!</v>
      </c>
      <c r="AT172" s="446" t="e">
        <f>-IF(AT9&lt;Assump!$D$54,0,SUM(sensitivity!$E$167:$X$167)*#REF!/4)</f>
        <v>#REF!</v>
      </c>
      <c r="AU172" s="446" t="e">
        <f>-IF(AU9&lt;Assump!$D$54,0,SUM(sensitivity!$E$167:$X$167)*#REF!/4)</f>
        <v>#REF!</v>
      </c>
      <c r="AV172" s="446" t="e">
        <f>-IF(AV9&lt;Assump!$D$54,0,SUM(sensitivity!$E$167:$X$167)*#REF!/4)</f>
        <v>#REF!</v>
      </c>
      <c r="AW172" s="446" t="e">
        <f>-IF(AW9&lt;Assump!$D$54,0,SUM(sensitivity!$E$167:$X$167)*#REF!/4)</f>
        <v>#REF!</v>
      </c>
      <c r="AX172" s="446" t="e">
        <f>-IF(AX9&lt;Assump!$D$54,0,SUM(sensitivity!$E$167:$X$167)*#REF!/4)</f>
        <v>#REF!</v>
      </c>
      <c r="AY172" s="446" t="e">
        <f>-IF(AY9&lt;Assump!$D$54,0,SUM(sensitivity!$E$167:$X$167)*#REF!/4)</f>
        <v>#REF!</v>
      </c>
      <c r="AZ172" s="446" t="e">
        <f>-IF(AZ9&lt;Assump!$D$54,0,SUM(sensitivity!$E$167:$X$167)*#REF!/4)</f>
        <v>#REF!</v>
      </c>
      <c r="BA172" s="446" t="e">
        <f>-IF(BA9&lt;Assump!$D$54,0,SUM(sensitivity!$E$167:$X$167)*#REF!/4)</f>
        <v>#REF!</v>
      </c>
      <c r="BB172" s="446" t="e">
        <f>-IF(BB9&lt;Assump!$D$54,0,SUM(sensitivity!$E$167:$X$167)*#REF!/4)</f>
        <v>#REF!</v>
      </c>
      <c r="BC172" s="446" t="e">
        <f>-IF(BC9&lt;Assump!$D$54,0,SUM(sensitivity!$E$167:$X$167)*#REF!/4)</f>
        <v>#REF!</v>
      </c>
      <c r="BD172" s="446" t="e">
        <f>-IF(BD9&lt;Assump!$D$54,0,SUM(sensitivity!$E$167:$X$167)*#REF!/4)</f>
        <v>#REF!</v>
      </c>
      <c r="BE172" s="446" t="e">
        <f>-IF(BE9&lt;Assump!$D$54,0,SUM(sensitivity!$E$167:$X$167)*#REF!/4)</f>
        <v>#REF!</v>
      </c>
      <c r="BF172" s="446" t="e">
        <f>-IF(BF9&lt;Assump!$D$54,0,SUM(sensitivity!$E$167:$X$167)*#REF!/4)</f>
        <v>#REF!</v>
      </c>
      <c r="BG172" s="446" t="e">
        <f>-IF(BG9&lt;Assump!$D$54,0,SUM(sensitivity!$E$167:$X$167)*#REF!/4)</f>
        <v>#REF!</v>
      </c>
      <c r="BH172" s="446" t="e">
        <f>-IF(BH9&lt;Assump!$D$54,0,SUM(sensitivity!$E$167:$X$167)*#REF!/4)</f>
        <v>#REF!</v>
      </c>
      <c r="BI172" s="446" t="e">
        <f>-IF(BI9&lt;Assump!$D$54,0,SUM(sensitivity!$E$167:$X$167)*#REF!/4)</f>
        <v>#REF!</v>
      </c>
      <c r="BJ172" s="446" t="e">
        <f>-IF(BJ9&lt;Assump!$D$54,0,SUM(sensitivity!$E$167:$X$167)*#REF!/4)</f>
        <v>#REF!</v>
      </c>
      <c r="BK172" s="446" t="e">
        <f>-IF(BK9&lt;Assump!$D$54,0,SUM(sensitivity!$E$167:$X$167)*#REF!/4)</f>
        <v>#REF!</v>
      </c>
      <c r="BL172" s="446" t="e">
        <f>-IF(BL9&lt;Assump!$D$54,0,SUM(sensitivity!$E$167:$X$167)*#REF!/4)</f>
        <v>#REF!</v>
      </c>
      <c r="BM172" s="446" t="e">
        <f>-IF(BM9&lt;Assump!$D$54,0,SUM(sensitivity!$E$167:$X$167)*#REF!/4)</f>
        <v>#REF!</v>
      </c>
      <c r="BN172" s="446" t="e">
        <f>-IF(BN9&lt;Assump!$D$54,0,SUM(sensitivity!$E$167:$X$167)*#REF!/4)</f>
        <v>#REF!</v>
      </c>
      <c r="BO172" s="446" t="e">
        <f>-IF(BO9&lt;Assump!$D$54,0,SUM(sensitivity!$E$167:$X$167)*#REF!/4)</f>
        <v>#REF!</v>
      </c>
      <c r="BP172" s="446" t="e">
        <f>-IF(BP9&lt;Assump!$D$54,0,SUM(sensitivity!$E$167:$X$167)*#REF!/4)</f>
        <v>#REF!</v>
      </c>
      <c r="BQ172" s="446" t="e">
        <f>-IF(BQ9&lt;Assump!$D$54,0,SUM(sensitivity!$E$167:$X$167)*#REF!/4)</f>
        <v>#REF!</v>
      </c>
      <c r="BR172" s="446" t="e">
        <f>-IF(BR9&lt;Assump!$D$54,0,SUM(sensitivity!$E$167:$X$167)*#REF!/4)</f>
        <v>#REF!</v>
      </c>
      <c r="BS172" s="446" t="e">
        <f>-IF(BS9&lt;Assump!$D$54,0,SUM(sensitivity!$E$167:$X$167)*#REF!/4)</f>
        <v>#REF!</v>
      </c>
      <c r="BT172" s="446" t="e">
        <f>-IF(BT9&lt;Assump!$D$54,0,SUM(sensitivity!$E$167:$X$167)*#REF!/4)</f>
        <v>#REF!</v>
      </c>
      <c r="BU172" s="446" t="e">
        <f>-IF(BU9&lt;Assump!$D$54,0,SUM(sensitivity!$E$167:$X$167)*#REF!/4)</f>
        <v>#REF!</v>
      </c>
      <c r="BV172" s="446" t="e">
        <f>-IF(BV9&lt;Assump!$D$54,0,SUM(sensitivity!$E$167:$X$167)*#REF!/4)</f>
        <v>#REF!</v>
      </c>
      <c r="BW172" s="446" t="e">
        <f>-IF(BW9&lt;Assump!$D$54,0,SUM(sensitivity!$E$167:$X$167)*#REF!/4)</f>
        <v>#REF!</v>
      </c>
      <c r="BX172" s="446" t="e">
        <f>-IF(BX9&lt;Assump!$D$54,0,SUM(sensitivity!$E$167:$X$167)*#REF!/4)</f>
        <v>#REF!</v>
      </c>
      <c r="BY172" s="446" t="e">
        <f>-IF(BY9&lt;Assump!$D$54,0,SUM(sensitivity!$E$167:$X$167)*#REF!/4)</f>
        <v>#REF!</v>
      </c>
      <c r="BZ172" s="446" t="e">
        <f>-IF(BZ9&lt;Assump!$D$54,0,SUM(sensitivity!$E$167:$X$167)*#REF!/4)</f>
        <v>#REF!</v>
      </c>
      <c r="CA172" s="446" t="e">
        <f>-IF(CA9&lt;Assump!$D$54,0,SUM(sensitivity!$E$167:$X$167)*#REF!/4)</f>
        <v>#REF!</v>
      </c>
      <c r="CB172" s="446" t="e">
        <f>-IF(CB9&lt;Assump!$D$54,0,SUM(sensitivity!$E$167:$X$167)*#REF!/4)</f>
        <v>#REF!</v>
      </c>
      <c r="CC172" s="446" t="e">
        <f>-IF(CC9&lt;Assump!$D$54,0,SUM(sensitivity!$E$167:$X$167)*#REF!/4)</f>
        <v>#REF!</v>
      </c>
      <c r="CD172" s="446" t="e">
        <f>-IF(CD9&lt;Assump!$D$54,0,SUM(sensitivity!$E$167:$X$167)*#REF!/4)</f>
        <v>#REF!</v>
      </c>
      <c r="CE172" s="446" t="e">
        <f>-IF(CE9&lt;Assump!$D$54,0,SUM(sensitivity!$E$167:$X$167)*#REF!/4)</f>
        <v>#REF!</v>
      </c>
      <c r="CF172" s="446" t="e">
        <f>-IF(CF9&lt;Assump!$D$54,0,SUM(sensitivity!$E$167:$X$167)*#REF!/4)</f>
        <v>#REF!</v>
      </c>
      <c r="CG172" s="446" t="e">
        <f>-IF(CG9&lt;Assump!$D$54,0,SUM(sensitivity!$E$167:$X$167)*#REF!/4)</f>
        <v>#REF!</v>
      </c>
      <c r="CH172" s="446" t="e">
        <f>-IF(CH9&lt;Assump!$D$54,0,SUM(sensitivity!$E$167:$X$167)*#REF!/4)</f>
        <v>#REF!</v>
      </c>
      <c r="CI172" s="446" t="e">
        <f>-IF(CI9&lt;Assump!$D$54,0,SUM(sensitivity!$E$167:$X$167)*#REF!/4)</f>
        <v>#REF!</v>
      </c>
      <c r="CJ172" s="446" t="e">
        <f>-IF(CJ9&lt;Assump!$D$54,0,SUM(sensitivity!$E$167:$X$167)*#REF!/4)</f>
        <v>#REF!</v>
      </c>
      <c r="CK172" s="446" t="e">
        <f>-IF(CK9&lt;Assump!$D$54,0,SUM(sensitivity!$E$167:$X$167)*#REF!/4)</f>
        <v>#REF!</v>
      </c>
      <c r="CL172" s="446" t="e">
        <f>-IF(CL9&lt;Assump!$D$54,0,SUM(sensitivity!$E$167:$X$167)*#REF!/4)</f>
        <v>#REF!</v>
      </c>
      <c r="CM172" s="446" t="e">
        <f>-IF(CM9&lt;Assump!$D$54,0,SUM(sensitivity!$E$167:$X$167)*#REF!/4)</f>
        <v>#REF!</v>
      </c>
      <c r="CN172" s="446" t="e">
        <f>-IF(CN9&lt;Assump!$D$54,0,SUM(sensitivity!$E$167:$X$167)*#REF!/4)</f>
        <v>#REF!</v>
      </c>
      <c r="CO172" s="35"/>
    </row>
    <row r="173" spans="1:93" ht="12.75" customHeight="1">
      <c r="A173" s="35"/>
      <c r="B173" s="35"/>
      <c r="C173" s="35"/>
      <c r="D173" s="419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</row>
    <row r="174" spans="1:93" ht="12.75" customHeight="1" outlineLevel="1">
      <c r="A174" s="112"/>
      <c r="B174" s="67" t="s">
        <v>239</v>
      </c>
      <c r="C174" s="113"/>
      <c r="D174" s="114" t="str">
        <f t="shared" ref="D174:AI174" si="110">D6</f>
        <v>0 период</v>
      </c>
      <c r="E174" s="115">
        <f t="shared" si="110"/>
        <v>44562</v>
      </c>
      <c r="F174" s="115">
        <f t="shared" si="110"/>
        <v>44652</v>
      </c>
      <c r="G174" s="115">
        <f t="shared" si="110"/>
        <v>44743</v>
      </c>
      <c r="H174" s="115">
        <f t="shared" si="110"/>
        <v>44835</v>
      </c>
      <c r="I174" s="115">
        <f t="shared" si="110"/>
        <v>44927</v>
      </c>
      <c r="J174" s="115">
        <f t="shared" si="110"/>
        <v>45017</v>
      </c>
      <c r="K174" s="115">
        <f t="shared" si="110"/>
        <v>45108</v>
      </c>
      <c r="L174" s="115">
        <f t="shared" si="110"/>
        <v>45200</v>
      </c>
      <c r="M174" s="115">
        <f t="shared" si="110"/>
        <v>45292</v>
      </c>
      <c r="N174" s="115">
        <f t="shared" si="110"/>
        <v>45383</v>
      </c>
      <c r="O174" s="115">
        <f t="shared" si="110"/>
        <v>45474</v>
      </c>
      <c r="P174" s="115">
        <f t="shared" si="110"/>
        <v>45566</v>
      </c>
      <c r="Q174" s="115">
        <f t="shared" si="110"/>
        <v>45658</v>
      </c>
      <c r="R174" s="115">
        <f t="shared" si="110"/>
        <v>45748</v>
      </c>
      <c r="S174" s="115">
        <f t="shared" si="110"/>
        <v>45839</v>
      </c>
      <c r="T174" s="115">
        <f t="shared" si="110"/>
        <v>45931</v>
      </c>
      <c r="U174" s="115">
        <f t="shared" si="110"/>
        <v>46023</v>
      </c>
      <c r="V174" s="115">
        <f t="shared" si="110"/>
        <v>46113</v>
      </c>
      <c r="W174" s="115">
        <f t="shared" si="110"/>
        <v>46204</v>
      </c>
      <c r="X174" s="115">
        <f t="shared" si="110"/>
        <v>46296</v>
      </c>
      <c r="Y174" s="115">
        <f t="shared" si="110"/>
        <v>46388</v>
      </c>
      <c r="Z174" s="115">
        <f t="shared" si="110"/>
        <v>46478</v>
      </c>
      <c r="AA174" s="115">
        <f t="shared" si="110"/>
        <v>46569</v>
      </c>
      <c r="AB174" s="115">
        <f t="shared" si="110"/>
        <v>46661</v>
      </c>
      <c r="AC174" s="115">
        <f t="shared" si="110"/>
        <v>46753</v>
      </c>
      <c r="AD174" s="115">
        <f t="shared" si="110"/>
        <v>46844</v>
      </c>
      <c r="AE174" s="115">
        <f t="shared" si="110"/>
        <v>46935</v>
      </c>
      <c r="AF174" s="115">
        <f t="shared" si="110"/>
        <v>47027</v>
      </c>
      <c r="AG174" s="115">
        <f t="shared" si="110"/>
        <v>47119</v>
      </c>
      <c r="AH174" s="115">
        <f t="shared" si="110"/>
        <v>47209</v>
      </c>
      <c r="AI174" s="115">
        <f t="shared" si="110"/>
        <v>47300</v>
      </c>
      <c r="AJ174" s="115">
        <f t="shared" ref="AJ174:BO174" si="111">AJ6</f>
        <v>47392</v>
      </c>
      <c r="AK174" s="115">
        <f t="shared" si="111"/>
        <v>47484</v>
      </c>
      <c r="AL174" s="115">
        <f t="shared" si="111"/>
        <v>47574</v>
      </c>
      <c r="AM174" s="115">
        <f t="shared" si="111"/>
        <v>47665</v>
      </c>
      <c r="AN174" s="115">
        <f t="shared" si="111"/>
        <v>47757</v>
      </c>
      <c r="AO174" s="115">
        <f t="shared" si="111"/>
        <v>47849</v>
      </c>
      <c r="AP174" s="115">
        <f t="shared" si="111"/>
        <v>47939</v>
      </c>
      <c r="AQ174" s="115">
        <f t="shared" si="111"/>
        <v>48030</v>
      </c>
      <c r="AR174" s="115">
        <f t="shared" si="111"/>
        <v>48122</v>
      </c>
      <c r="AS174" s="115">
        <f t="shared" si="111"/>
        <v>48214</v>
      </c>
      <c r="AT174" s="115">
        <f t="shared" si="111"/>
        <v>48305</v>
      </c>
      <c r="AU174" s="115">
        <f t="shared" si="111"/>
        <v>48396</v>
      </c>
      <c r="AV174" s="115">
        <f t="shared" si="111"/>
        <v>48488</v>
      </c>
      <c r="AW174" s="115">
        <f t="shared" si="111"/>
        <v>48580</v>
      </c>
      <c r="AX174" s="115">
        <f t="shared" si="111"/>
        <v>48670</v>
      </c>
      <c r="AY174" s="115">
        <f t="shared" si="111"/>
        <v>48761</v>
      </c>
      <c r="AZ174" s="115">
        <f t="shared" si="111"/>
        <v>48853</v>
      </c>
      <c r="BA174" s="115">
        <f t="shared" si="111"/>
        <v>48945</v>
      </c>
      <c r="BB174" s="115">
        <f t="shared" si="111"/>
        <v>49035</v>
      </c>
      <c r="BC174" s="115">
        <f t="shared" si="111"/>
        <v>49126</v>
      </c>
      <c r="BD174" s="115">
        <f t="shared" si="111"/>
        <v>49218</v>
      </c>
      <c r="BE174" s="115">
        <f t="shared" si="111"/>
        <v>49310</v>
      </c>
      <c r="BF174" s="115">
        <f t="shared" si="111"/>
        <v>49400</v>
      </c>
      <c r="BG174" s="115">
        <f t="shared" si="111"/>
        <v>49491</v>
      </c>
      <c r="BH174" s="115">
        <f t="shared" si="111"/>
        <v>49583</v>
      </c>
      <c r="BI174" s="115">
        <f t="shared" si="111"/>
        <v>49675</v>
      </c>
      <c r="BJ174" s="115">
        <f t="shared" si="111"/>
        <v>49766</v>
      </c>
      <c r="BK174" s="115">
        <f t="shared" si="111"/>
        <v>49857</v>
      </c>
      <c r="BL174" s="115">
        <f t="shared" si="111"/>
        <v>49949</v>
      </c>
      <c r="BM174" s="115">
        <f t="shared" si="111"/>
        <v>50041</v>
      </c>
      <c r="BN174" s="115">
        <f t="shared" si="111"/>
        <v>50131</v>
      </c>
      <c r="BO174" s="115">
        <f t="shared" si="111"/>
        <v>50222</v>
      </c>
      <c r="BP174" s="115">
        <f t="shared" ref="BP174:CN174" si="112">BP6</f>
        <v>50314</v>
      </c>
      <c r="BQ174" s="115">
        <f t="shared" si="112"/>
        <v>50406</v>
      </c>
      <c r="BR174" s="115">
        <f t="shared" si="112"/>
        <v>50496</v>
      </c>
      <c r="BS174" s="115">
        <f t="shared" si="112"/>
        <v>50587</v>
      </c>
      <c r="BT174" s="115">
        <f t="shared" si="112"/>
        <v>50679</v>
      </c>
      <c r="BU174" s="115">
        <f t="shared" si="112"/>
        <v>50771</v>
      </c>
      <c r="BV174" s="115">
        <f t="shared" si="112"/>
        <v>50861</v>
      </c>
      <c r="BW174" s="115">
        <f t="shared" si="112"/>
        <v>50952</v>
      </c>
      <c r="BX174" s="115">
        <f t="shared" si="112"/>
        <v>51044</v>
      </c>
      <c r="BY174" s="115">
        <f t="shared" si="112"/>
        <v>51136</v>
      </c>
      <c r="BZ174" s="115">
        <f t="shared" si="112"/>
        <v>51227</v>
      </c>
      <c r="CA174" s="115">
        <f t="shared" si="112"/>
        <v>51318</v>
      </c>
      <c r="CB174" s="115">
        <f t="shared" si="112"/>
        <v>51410</v>
      </c>
      <c r="CC174" s="115">
        <f t="shared" si="112"/>
        <v>51502</v>
      </c>
      <c r="CD174" s="115">
        <f t="shared" si="112"/>
        <v>51592</v>
      </c>
      <c r="CE174" s="115">
        <f t="shared" si="112"/>
        <v>51683</v>
      </c>
      <c r="CF174" s="115">
        <f t="shared" si="112"/>
        <v>51775</v>
      </c>
      <c r="CG174" s="115">
        <f t="shared" si="112"/>
        <v>51867</v>
      </c>
      <c r="CH174" s="115">
        <f t="shared" si="112"/>
        <v>51957</v>
      </c>
      <c r="CI174" s="115">
        <f t="shared" si="112"/>
        <v>52048</v>
      </c>
      <c r="CJ174" s="115">
        <f t="shared" si="112"/>
        <v>52140</v>
      </c>
      <c r="CK174" s="115">
        <f t="shared" si="112"/>
        <v>52232</v>
      </c>
      <c r="CL174" s="115">
        <f t="shared" si="112"/>
        <v>52322</v>
      </c>
      <c r="CM174" s="115">
        <f t="shared" si="112"/>
        <v>52413</v>
      </c>
      <c r="CN174" s="115">
        <f t="shared" si="112"/>
        <v>52505</v>
      </c>
      <c r="CO174" s="115"/>
    </row>
    <row r="175" spans="1:93" ht="12.75" customHeight="1" outlineLevel="1">
      <c r="A175" s="112"/>
      <c r="B175" s="112" t="s">
        <v>240</v>
      </c>
      <c r="C175" s="112"/>
      <c r="D175" s="116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  <c r="BA175" s="112"/>
      <c r="BB175" s="112"/>
      <c r="BC175" s="112"/>
      <c r="BD175" s="112"/>
      <c r="BE175" s="112"/>
      <c r="BF175" s="112"/>
      <c r="BG175" s="112"/>
      <c r="BH175" s="112"/>
      <c r="BI175" s="112"/>
      <c r="BJ175" s="112"/>
      <c r="BK175" s="112"/>
      <c r="BL175" s="112"/>
      <c r="BM175" s="112"/>
      <c r="BN175" s="112"/>
      <c r="BO175" s="112"/>
      <c r="BP175" s="112"/>
      <c r="BQ175" s="112"/>
      <c r="BR175" s="112"/>
      <c r="BS175" s="112"/>
      <c r="BT175" s="112"/>
      <c r="BU175" s="112"/>
      <c r="BV175" s="112"/>
      <c r="BW175" s="112"/>
      <c r="BX175" s="112"/>
      <c r="BY175" s="112"/>
      <c r="BZ175" s="112"/>
      <c r="CA175" s="112"/>
      <c r="CB175" s="112"/>
      <c r="CC175" s="112"/>
      <c r="CD175" s="112"/>
      <c r="CE175" s="112"/>
      <c r="CF175" s="112"/>
      <c r="CG175" s="112"/>
      <c r="CH175" s="112"/>
      <c r="CI175" s="112"/>
      <c r="CJ175" s="112"/>
      <c r="CK175" s="112"/>
      <c r="CL175" s="112"/>
      <c r="CM175" s="112"/>
      <c r="CN175" s="112"/>
      <c r="CO175" s="112"/>
    </row>
    <row r="176" spans="1:93" ht="12.75" customHeight="1" outlineLevel="1">
      <c r="A176" s="112"/>
      <c r="B176" s="112" t="s">
        <v>241</v>
      </c>
      <c r="C176" s="112"/>
      <c r="D176" s="116" t="e">
        <f t="shared" ref="D176:CN176" si="113">SUM(D177:D180)</f>
        <v>#REF!</v>
      </c>
      <c r="E176" s="112" t="e">
        <f t="shared" si="113"/>
        <v>#REF!</v>
      </c>
      <c r="F176" s="112" t="e">
        <f t="shared" si="113"/>
        <v>#REF!</v>
      </c>
      <c r="G176" s="112" t="e">
        <f t="shared" si="113"/>
        <v>#REF!</v>
      </c>
      <c r="H176" s="112" t="e">
        <f t="shared" si="113"/>
        <v>#REF!</v>
      </c>
      <c r="I176" s="112" t="e">
        <f t="shared" si="113"/>
        <v>#REF!</v>
      </c>
      <c r="J176" s="112" t="e">
        <f t="shared" si="113"/>
        <v>#REF!</v>
      </c>
      <c r="K176" s="112" t="e">
        <f t="shared" si="113"/>
        <v>#REF!</v>
      </c>
      <c r="L176" s="112" t="e">
        <f t="shared" si="113"/>
        <v>#REF!</v>
      </c>
      <c r="M176" s="112" t="e">
        <f t="shared" si="113"/>
        <v>#REF!</v>
      </c>
      <c r="N176" s="112" t="e">
        <f t="shared" si="113"/>
        <v>#REF!</v>
      </c>
      <c r="O176" s="112" t="e">
        <f t="shared" si="113"/>
        <v>#REF!</v>
      </c>
      <c r="P176" s="112" t="e">
        <f t="shared" si="113"/>
        <v>#REF!</v>
      </c>
      <c r="Q176" s="112" t="e">
        <f t="shared" si="113"/>
        <v>#REF!</v>
      </c>
      <c r="R176" s="112" t="e">
        <f t="shared" si="113"/>
        <v>#REF!</v>
      </c>
      <c r="S176" s="112" t="e">
        <f t="shared" si="113"/>
        <v>#REF!</v>
      </c>
      <c r="T176" s="112" t="e">
        <f t="shared" si="113"/>
        <v>#REF!</v>
      </c>
      <c r="U176" s="112" t="e">
        <f t="shared" si="113"/>
        <v>#REF!</v>
      </c>
      <c r="V176" s="112" t="e">
        <f t="shared" si="113"/>
        <v>#REF!</v>
      </c>
      <c r="W176" s="112" t="e">
        <f t="shared" si="113"/>
        <v>#REF!</v>
      </c>
      <c r="X176" s="112" t="e">
        <f t="shared" si="113"/>
        <v>#REF!</v>
      </c>
      <c r="Y176" s="112" t="e">
        <f t="shared" si="113"/>
        <v>#REF!</v>
      </c>
      <c r="Z176" s="112" t="e">
        <f t="shared" si="113"/>
        <v>#REF!</v>
      </c>
      <c r="AA176" s="112" t="e">
        <f t="shared" si="113"/>
        <v>#REF!</v>
      </c>
      <c r="AB176" s="112" t="e">
        <f t="shared" si="113"/>
        <v>#REF!</v>
      </c>
      <c r="AC176" s="112" t="e">
        <f t="shared" si="113"/>
        <v>#REF!</v>
      </c>
      <c r="AD176" s="112" t="e">
        <f t="shared" si="113"/>
        <v>#REF!</v>
      </c>
      <c r="AE176" s="112" t="e">
        <f t="shared" si="113"/>
        <v>#REF!</v>
      </c>
      <c r="AF176" s="112" t="e">
        <f t="shared" si="113"/>
        <v>#REF!</v>
      </c>
      <c r="AG176" s="112" t="e">
        <f t="shared" si="113"/>
        <v>#REF!</v>
      </c>
      <c r="AH176" s="112" t="e">
        <f t="shared" si="113"/>
        <v>#REF!</v>
      </c>
      <c r="AI176" s="112" t="e">
        <f t="shared" si="113"/>
        <v>#REF!</v>
      </c>
      <c r="AJ176" s="112" t="e">
        <f t="shared" si="113"/>
        <v>#REF!</v>
      </c>
      <c r="AK176" s="112" t="e">
        <f t="shared" si="113"/>
        <v>#REF!</v>
      </c>
      <c r="AL176" s="112" t="e">
        <f t="shared" si="113"/>
        <v>#REF!</v>
      </c>
      <c r="AM176" s="112" t="e">
        <f t="shared" si="113"/>
        <v>#REF!</v>
      </c>
      <c r="AN176" s="112" t="e">
        <f t="shared" si="113"/>
        <v>#REF!</v>
      </c>
      <c r="AO176" s="112" t="e">
        <f t="shared" si="113"/>
        <v>#REF!</v>
      </c>
      <c r="AP176" s="112" t="e">
        <f t="shared" si="113"/>
        <v>#REF!</v>
      </c>
      <c r="AQ176" s="112" t="e">
        <f t="shared" si="113"/>
        <v>#REF!</v>
      </c>
      <c r="AR176" s="112" t="e">
        <f t="shared" si="113"/>
        <v>#REF!</v>
      </c>
      <c r="AS176" s="112" t="e">
        <f t="shared" si="113"/>
        <v>#REF!</v>
      </c>
      <c r="AT176" s="112" t="e">
        <f t="shared" si="113"/>
        <v>#REF!</v>
      </c>
      <c r="AU176" s="112" t="e">
        <f t="shared" si="113"/>
        <v>#REF!</v>
      </c>
      <c r="AV176" s="112" t="e">
        <f t="shared" si="113"/>
        <v>#REF!</v>
      </c>
      <c r="AW176" s="112" t="e">
        <f t="shared" si="113"/>
        <v>#REF!</v>
      </c>
      <c r="AX176" s="112" t="e">
        <f t="shared" si="113"/>
        <v>#REF!</v>
      </c>
      <c r="AY176" s="112" t="e">
        <f t="shared" si="113"/>
        <v>#REF!</v>
      </c>
      <c r="AZ176" s="112" t="e">
        <f t="shared" si="113"/>
        <v>#REF!</v>
      </c>
      <c r="BA176" s="112" t="e">
        <f t="shared" si="113"/>
        <v>#REF!</v>
      </c>
      <c r="BB176" s="112" t="e">
        <f t="shared" si="113"/>
        <v>#REF!</v>
      </c>
      <c r="BC176" s="112" t="e">
        <f t="shared" si="113"/>
        <v>#REF!</v>
      </c>
      <c r="BD176" s="112" t="e">
        <f t="shared" si="113"/>
        <v>#REF!</v>
      </c>
      <c r="BE176" s="112" t="e">
        <f t="shared" si="113"/>
        <v>#REF!</v>
      </c>
      <c r="BF176" s="112" t="e">
        <f t="shared" si="113"/>
        <v>#REF!</v>
      </c>
      <c r="BG176" s="112" t="e">
        <f t="shared" si="113"/>
        <v>#REF!</v>
      </c>
      <c r="BH176" s="112" t="e">
        <f t="shared" si="113"/>
        <v>#REF!</v>
      </c>
      <c r="BI176" s="112" t="e">
        <f t="shared" si="113"/>
        <v>#REF!</v>
      </c>
      <c r="BJ176" s="112" t="e">
        <f t="shared" si="113"/>
        <v>#REF!</v>
      </c>
      <c r="BK176" s="112" t="e">
        <f t="shared" si="113"/>
        <v>#REF!</v>
      </c>
      <c r="BL176" s="112" t="e">
        <f t="shared" si="113"/>
        <v>#REF!</v>
      </c>
      <c r="BM176" s="112" t="e">
        <f t="shared" si="113"/>
        <v>#REF!</v>
      </c>
      <c r="BN176" s="112" t="e">
        <f t="shared" si="113"/>
        <v>#REF!</v>
      </c>
      <c r="BO176" s="112" t="e">
        <f t="shared" si="113"/>
        <v>#REF!</v>
      </c>
      <c r="BP176" s="112" t="e">
        <f t="shared" si="113"/>
        <v>#REF!</v>
      </c>
      <c r="BQ176" s="112" t="e">
        <f t="shared" si="113"/>
        <v>#REF!</v>
      </c>
      <c r="BR176" s="112" t="e">
        <f t="shared" si="113"/>
        <v>#REF!</v>
      </c>
      <c r="BS176" s="112" t="e">
        <f t="shared" si="113"/>
        <v>#REF!</v>
      </c>
      <c r="BT176" s="112" t="e">
        <f t="shared" si="113"/>
        <v>#REF!</v>
      </c>
      <c r="BU176" s="112" t="e">
        <f t="shared" si="113"/>
        <v>#REF!</v>
      </c>
      <c r="BV176" s="112" t="e">
        <f t="shared" si="113"/>
        <v>#REF!</v>
      </c>
      <c r="BW176" s="112" t="e">
        <f t="shared" si="113"/>
        <v>#REF!</v>
      </c>
      <c r="BX176" s="112" t="e">
        <f t="shared" si="113"/>
        <v>#REF!</v>
      </c>
      <c r="BY176" s="112" t="e">
        <f t="shared" si="113"/>
        <v>#REF!</v>
      </c>
      <c r="BZ176" s="112" t="e">
        <f t="shared" si="113"/>
        <v>#REF!</v>
      </c>
      <c r="CA176" s="112" t="e">
        <f t="shared" si="113"/>
        <v>#REF!</v>
      </c>
      <c r="CB176" s="112" t="e">
        <f t="shared" si="113"/>
        <v>#REF!</v>
      </c>
      <c r="CC176" s="112" t="e">
        <f t="shared" si="113"/>
        <v>#REF!</v>
      </c>
      <c r="CD176" s="112" t="e">
        <f t="shared" si="113"/>
        <v>#REF!</v>
      </c>
      <c r="CE176" s="112" t="e">
        <f t="shared" si="113"/>
        <v>#REF!</v>
      </c>
      <c r="CF176" s="112" t="e">
        <f t="shared" si="113"/>
        <v>#REF!</v>
      </c>
      <c r="CG176" s="112" t="e">
        <f t="shared" si="113"/>
        <v>#REF!</v>
      </c>
      <c r="CH176" s="112" t="e">
        <f t="shared" si="113"/>
        <v>#REF!</v>
      </c>
      <c r="CI176" s="112" t="e">
        <f t="shared" si="113"/>
        <v>#REF!</v>
      </c>
      <c r="CJ176" s="112" t="e">
        <f t="shared" si="113"/>
        <v>#REF!</v>
      </c>
      <c r="CK176" s="112" t="e">
        <f t="shared" si="113"/>
        <v>#REF!</v>
      </c>
      <c r="CL176" s="112" t="e">
        <f t="shared" si="113"/>
        <v>#REF!</v>
      </c>
      <c r="CM176" s="112" t="e">
        <f t="shared" si="113"/>
        <v>#REF!</v>
      </c>
      <c r="CN176" s="112" t="e">
        <f t="shared" si="113"/>
        <v>#REF!</v>
      </c>
      <c r="CO176" s="112"/>
    </row>
    <row r="177" spans="1:93" ht="12.75" customHeight="1" outlineLevel="1">
      <c r="A177" s="117"/>
      <c r="B177" s="26" t="s">
        <v>242</v>
      </c>
      <c r="C177" s="117"/>
      <c r="D177" s="118" t="e">
        <f t="shared" ref="D177:AI177" si="114">D97</f>
        <v>#REF!</v>
      </c>
      <c r="E177" s="5" t="e">
        <f t="shared" si="114"/>
        <v>#REF!</v>
      </c>
      <c r="F177" s="5" t="e">
        <f t="shared" si="114"/>
        <v>#REF!</v>
      </c>
      <c r="G177" s="5" t="e">
        <f t="shared" si="114"/>
        <v>#REF!</v>
      </c>
      <c r="H177" s="5" t="e">
        <f t="shared" si="114"/>
        <v>#REF!</v>
      </c>
      <c r="I177" s="5" t="e">
        <f t="shared" si="114"/>
        <v>#REF!</v>
      </c>
      <c r="J177" s="5" t="e">
        <f t="shared" si="114"/>
        <v>#REF!</v>
      </c>
      <c r="K177" s="5" t="e">
        <f t="shared" si="114"/>
        <v>#REF!</v>
      </c>
      <c r="L177" s="5" t="e">
        <f t="shared" si="114"/>
        <v>#REF!</v>
      </c>
      <c r="M177" s="5" t="e">
        <f t="shared" si="114"/>
        <v>#REF!</v>
      </c>
      <c r="N177" s="5" t="e">
        <f t="shared" si="114"/>
        <v>#REF!</v>
      </c>
      <c r="O177" s="5" t="e">
        <f t="shared" si="114"/>
        <v>#REF!</v>
      </c>
      <c r="P177" s="5" t="e">
        <f t="shared" si="114"/>
        <v>#REF!</v>
      </c>
      <c r="Q177" s="5" t="e">
        <f t="shared" si="114"/>
        <v>#REF!</v>
      </c>
      <c r="R177" s="5" t="e">
        <f t="shared" si="114"/>
        <v>#REF!</v>
      </c>
      <c r="S177" s="5" t="e">
        <f t="shared" si="114"/>
        <v>#REF!</v>
      </c>
      <c r="T177" s="5" t="e">
        <f t="shared" si="114"/>
        <v>#REF!</v>
      </c>
      <c r="U177" s="5" t="e">
        <f t="shared" si="114"/>
        <v>#REF!</v>
      </c>
      <c r="V177" s="5" t="e">
        <f t="shared" si="114"/>
        <v>#REF!</v>
      </c>
      <c r="W177" s="5" t="e">
        <f t="shared" si="114"/>
        <v>#REF!</v>
      </c>
      <c r="X177" s="5" t="e">
        <f t="shared" si="114"/>
        <v>#REF!</v>
      </c>
      <c r="Y177" s="5" t="e">
        <f t="shared" si="114"/>
        <v>#REF!</v>
      </c>
      <c r="Z177" s="5" t="e">
        <f t="shared" si="114"/>
        <v>#REF!</v>
      </c>
      <c r="AA177" s="5" t="e">
        <f t="shared" si="114"/>
        <v>#REF!</v>
      </c>
      <c r="AB177" s="5" t="e">
        <f t="shared" si="114"/>
        <v>#REF!</v>
      </c>
      <c r="AC177" s="5" t="e">
        <f t="shared" si="114"/>
        <v>#REF!</v>
      </c>
      <c r="AD177" s="5" t="e">
        <f t="shared" si="114"/>
        <v>#REF!</v>
      </c>
      <c r="AE177" s="5" t="e">
        <f t="shared" si="114"/>
        <v>#REF!</v>
      </c>
      <c r="AF177" s="5" t="e">
        <f t="shared" si="114"/>
        <v>#REF!</v>
      </c>
      <c r="AG177" s="5" t="e">
        <f t="shared" si="114"/>
        <v>#REF!</v>
      </c>
      <c r="AH177" s="5" t="e">
        <f t="shared" si="114"/>
        <v>#REF!</v>
      </c>
      <c r="AI177" s="5" t="e">
        <f t="shared" si="114"/>
        <v>#REF!</v>
      </c>
      <c r="AJ177" s="5" t="e">
        <f t="shared" ref="AJ177:BO177" si="115">AJ97</f>
        <v>#REF!</v>
      </c>
      <c r="AK177" s="5" t="e">
        <f t="shared" si="115"/>
        <v>#REF!</v>
      </c>
      <c r="AL177" s="5" t="e">
        <f t="shared" si="115"/>
        <v>#REF!</v>
      </c>
      <c r="AM177" s="5" t="e">
        <f t="shared" si="115"/>
        <v>#REF!</v>
      </c>
      <c r="AN177" s="5" t="e">
        <f t="shared" si="115"/>
        <v>#REF!</v>
      </c>
      <c r="AO177" s="5" t="e">
        <f t="shared" si="115"/>
        <v>#REF!</v>
      </c>
      <c r="AP177" s="5" t="e">
        <f t="shared" si="115"/>
        <v>#REF!</v>
      </c>
      <c r="AQ177" s="5" t="e">
        <f t="shared" si="115"/>
        <v>#REF!</v>
      </c>
      <c r="AR177" s="5" t="e">
        <f t="shared" si="115"/>
        <v>#REF!</v>
      </c>
      <c r="AS177" s="5" t="e">
        <f t="shared" si="115"/>
        <v>#REF!</v>
      </c>
      <c r="AT177" s="5" t="e">
        <f t="shared" si="115"/>
        <v>#REF!</v>
      </c>
      <c r="AU177" s="5" t="e">
        <f t="shared" si="115"/>
        <v>#REF!</v>
      </c>
      <c r="AV177" s="5" t="e">
        <f t="shared" si="115"/>
        <v>#REF!</v>
      </c>
      <c r="AW177" s="5" t="e">
        <f t="shared" si="115"/>
        <v>#REF!</v>
      </c>
      <c r="AX177" s="5" t="e">
        <f t="shared" si="115"/>
        <v>#REF!</v>
      </c>
      <c r="AY177" s="5" t="e">
        <f t="shared" si="115"/>
        <v>#REF!</v>
      </c>
      <c r="AZ177" s="5" t="e">
        <f t="shared" si="115"/>
        <v>#REF!</v>
      </c>
      <c r="BA177" s="5" t="e">
        <f t="shared" si="115"/>
        <v>#REF!</v>
      </c>
      <c r="BB177" s="5" t="e">
        <f t="shared" si="115"/>
        <v>#REF!</v>
      </c>
      <c r="BC177" s="5" t="e">
        <f t="shared" si="115"/>
        <v>#REF!</v>
      </c>
      <c r="BD177" s="5" t="e">
        <f t="shared" si="115"/>
        <v>#REF!</v>
      </c>
      <c r="BE177" s="5" t="e">
        <f t="shared" si="115"/>
        <v>#REF!</v>
      </c>
      <c r="BF177" s="5" t="e">
        <f t="shared" si="115"/>
        <v>#REF!</v>
      </c>
      <c r="BG177" s="5" t="e">
        <f t="shared" si="115"/>
        <v>#REF!</v>
      </c>
      <c r="BH177" s="5" t="e">
        <f t="shared" si="115"/>
        <v>#REF!</v>
      </c>
      <c r="BI177" s="5" t="e">
        <f t="shared" si="115"/>
        <v>#REF!</v>
      </c>
      <c r="BJ177" s="5" t="e">
        <f t="shared" si="115"/>
        <v>#REF!</v>
      </c>
      <c r="BK177" s="5" t="e">
        <f t="shared" si="115"/>
        <v>#REF!</v>
      </c>
      <c r="BL177" s="5" t="e">
        <f t="shared" si="115"/>
        <v>#REF!</v>
      </c>
      <c r="BM177" s="5" t="e">
        <f t="shared" si="115"/>
        <v>#REF!</v>
      </c>
      <c r="BN177" s="5" t="e">
        <f t="shared" si="115"/>
        <v>#REF!</v>
      </c>
      <c r="BO177" s="5" t="e">
        <f t="shared" si="115"/>
        <v>#REF!</v>
      </c>
      <c r="BP177" s="5" t="e">
        <f t="shared" ref="BP177:CN177" si="116">BP97</f>
        <v>#REF!</v>
      </c>
      <c r="BQ177" s="5" t="e">
        <f t="shared" si="116"/>
        <v>#REF!</v>
      </c>
      <c r="BR177" s="5" t="e">
        <f t="shared" si="116"/>
        <v>#REF!</v>
      </c>
      <c r="BS177" s="5" t="e">
        <f t="shared" si="116"/>
        <v>#REF!</v>
      </c>
      <c r="BT177" s="5" t="e">
        <f t="shared" si="116"/>
        <v>#REF!</v>
      </c>
      <c r="BU177" s="5" t="e">
        <f t="shared" si="116"/>
        <v>#REF!</v>
      </c>
      <c r="BV177" s="5" t="e">
        <f t="shared" si="116"/>
        <v>#REF!</v>
      </c>
      <c r="BW177" s="5" t="e">
        <f t="shared" si="116"/>
        <v>#REF!</v>
      </c>
      <c r="BX177" s="5" t="e">
        <f t="shared" si="116"/>
        <v>#REF!</v>
      </c>
      <c r="BY177" s="5" t="e">
        <f t="shared" si="116"/>
        <v>#REF!</v>
      </c>
      <c r="BZ177" s="5" t="e">
        <f t="shared" si="116"/>
        <v>#REF!</v>
      </c>
      <c r="CA177" s="5" t="e">
        <f t="shared" si="116"/>
        <v>#REF!</v>
      </c>
      <c r="CB177" s="5" t="e">
        <f t="shared" si="116"/>
        <v>#REF!</v>
      </c>
      <c r="CC177" s="5" t="e">
        <f t="shared" si="116"/>
        <v>#REF!</v>
      </c>
      <c r="CD177" s="5" t="e">
        <f t="shared" si="116"/>
        <v>#REF!</v>
      </c>
      <c r="CE177" s="5" t="e">
        <f t="shared" si="116"/>
        <v>#REF!</v>
      </c>
      <c r="CF177" s="5" t="e">
        <f t="shared" si="116"/>
        <v>#REF!</v>
      </c>
      <c r="CG177" s="5" t="e">
        <f t="shared" si="116"/>
        <v>#REF!</v>
      </c>
      <c r="CH177" s="5" t="e">
        <f t="shared" si="116"/>
        <v>#REF!</v>
      </c>
      <c r="CI177" s="5" t="e">
        <f t="shared" si="116"/>
        <v>#REF!</v>
      </c>
      <c r="CJ177" s="5" t="e">
        <f t="shared" si="116"/>
        <v>#REF!</v>
      </c>
      <c r="CK177" s="5" t="e">
        <f t="shared" si="116"/>
        <v>#REF!</v>
      </c>
      <c r="CL177" s="5" t="e">
        <f t="shared" si="116"/>
        <v>#REF!</v>
      </c>
      <c r="CM177" s="5" t="e">
        <f t="shared" si="116"/>
        <v>#REF!</v>
      </c>
      <c r="CN177" s="5" t="e">
        <f t="shared" si="116"/>
        <v>#REF!</v>
      </c>
      <c r="CO177" s="5"/>
    </row>
    <row r="178" spans="1:93" ht="12.75" customHeight="1">
      <c r="A178" s="117"/>
      <c r="B178" s="26" t="s">
        <v>243</v>
      </c>
      <c r="C178" s="117"/>
      <c r="D178" s="118">
        <f t="shared" ref="D178:R178" si="117">-D76</f>
        <v>0</v>
      </c>
      <c r="E178" s="5" t="e">
        <f t="shared" si="117"/>
        <v>#REF!</v>
      </c>
      <c r="F178" s="5" t="e">
        <f t="shared" si="117"/>
        <v>#REF!</v>
      </c>
      <c r="G178" s="5" t="e">
        <f t="shared" si="117"/>
        <v>#REF!</v>
      </c>
      <c r="H178" s="5" t="e">
        <f t="shared" si="117"/>
        <v>#REF!</v>
      </c>
      <c r="I178" s="5" t="e">
        <f t="shared" si="117"/>
        <v>#REF!</v>
      </c>
      <c r="J178" s="5" t="e">
        <f t="shared" si="117"/>
        <v>#REF!</v>
      </c>
      <c r="K178" s="5" t="e">
        <f t="shared" si="117"/>
        <v>#REF!</v>
      </c>
      <c r="L178" s="5" t="e">
        <f t="shared" si="117"/>
        <v>#REF!</v>
      </c>
      <c r="M178" s="5" t="e">
        <f t="shared" si="117"/>
        <v>#REF!</v>
      </c>
      <c r="N178" s="5" t="e">
        <f t="shared" si="117"/>
        <v>#REF!</v>
      </c>
      <c r="O178" s="5" t="e">
        <f t="shared" si="117"/>
        <v>#REF!</v>
      </c>
      <c r="P178" s="5" t="e">
        <f t="shared" si="117"/>
        <v>#REF!</v>
      </c>
      <c r="Q178" s="5" t="e">
        <f t="shared" si="117"/>
        <v>#REF!</v>
      </c>
      <c r="R178" s="5" t="e">
        <f t="shared" si="117"/>
        <v>#REF!</v>
      </c>
      <c r="S178" s="5" t="e">
        <f t="shared" ref="S178:AX178" si="118">-S76+R178</f>
        <v>#REF!</v>
      </c>
      <c r="T178" s="5" t="e">
        <f t="shared" si="118"/>
        <v>#REF!</v>
      </c>
      <c r="U178" s="5" t="e">
        <f t="shared" si="118"/>
        <v>#REF!</v>
      </c>
      <c r="V178" s="5" t="e">
        <f t="shared" si="118"/>
        <v>#REF!</v>
      </c>
      <c r="W178" s="5" t="e">
        <f t="shared" si="118"/>
        <v>#REF!</v>
      </c>
      <c r="X178" s="5" t="e">
        <f t="shared" si="118"/>
        <v>#REF!</v>
      </c>
      <c r="Y178" s="5" t="e">
        <f t="shared" si="118"/>
        <v>#REF!</v>
      </c>
      <c r="Z178" s="5" t="e">
        <f t="shared" si="118"/>
        <v>#REF!</v>
      </c>
      <c r="AA178" s="5" t="e">
        <f t="shared" si="118"/>
        <v>#REF!</v>
      </c>
      <c r="AB178" s="5" t="e">
        <f t="shared" si="118"/>
        <v>#REF!</v>
      </c>
      <c r="AC178" s="5" t="e">
        <f t="shared" si="118"/>
        <v>#REF!</v>
      </c>
      <c r="AD178" s="5" t="e">
        <f t="shared" si="118"/>
        <v>#REF!</v>
      </c>
      <c r="AE178" s="5" t="e">
        <f t="shared" si="118"/>
        <v>#REF!</v>
      </c>
      <c r="AF178" s="5" t="e">
        <f t="shared" si="118"/>
        <v>#REF!</v>
      </c>
      <c r="AG178" s="5" t="e">
        <f t="shared" si="118"/>
        <v>#REF!</v>
      </c>
      <c r="AH178" s="5" t="e">
        <f t="shared" si="118"/>
        <v>#REF!</v>
      </c>
      <c r="AI178" s="5" t="e">
        <f t="shared" si="118"/>
        <v>#REF!</v>
      </c>
      <c r="AJ178" s="5" t="e">
        <f t="shared" si="118"/>
        <v>#REF!</v>
      </c>
      <c r="AK178" s="5" t="e">
        <f t="shared" si="118"/>
        <v>#REF!</v>
      </c>
      <c r="AL178" s="5" t="e">
        <f t="shared" si="118"/>
        <v>#REF!</v>
      </c>
      <c r="AM178" s="5" t="e">
        <f t="shared" si="118"/>
        <v>#REF!</v>
      </c>
      <c r="AN178" s="5" t="e">
        <f t="shared" si="118"/>
        <v>#REF!</v>
      </c>
      <c r="AO178" s="5" t="e">
        <f t="shared" si="118"/>
        <v>#REF!</v>
      </c>
      <c r="AP178" s="5" t="e">
        <f t="shared" si="118"/>
        <v>#REF!</v>
      </c>
      <c r="AQ178" s="5" t="e">
        <f t="shared" si="118"/>
        <v>#REF!</v>
      </c>
      <c r="AR178" s="5" t="e">
        <f t="shared" si="118"/>
        <v>#REF!</v>
      </c>
      <c r="AS178" s="5" t="e">
        <f t="shared" si="118"/>
        <v>#REF!</v>
      </c>
      <c r="AT178" s="5" t="e">
        <f t="shared" si="118"/>
        <v>#REF!</v>
      </c>
      <c r="AU178" s="5" t="e">
        <f t="shared" si="118"/>
        <v>#REF!</v>
      </c>
      <c r="AV178" s="5" t="e">
        <f t="shared" si="118"/>
        <v>#REF!</v>
      </c>
      <c r="AW178" s="5" t="e">
        <f t="shared" si="118"/>
        <v>#REF!</v>
      </c>
      <c r="AX178" s="5" t="e">
        <f t="shared" si="118"/>
        <v>#REF!</v>
      </c>
      <c r="AY178" s="5" t="e">
        <f t="shared" ref="AY178:CD178" si="119">-AY76+AX178</f>
        <v>#REF!</v>
      </c>
      <c r="AZ178" s="5" t="e">
        <f t="shared" si="119"/>
        <v>#REF!</v>
      </c>
      <c r="BA178" s="5" t="e">
        <f t="shared" si="119"/>
        <v>#REF!</v>
      </c>
      <c r="BB178" s="5" t="e">
        <f t="shared" si="119"/>
        <v>#REF!</v>
      </c>
      <c r="BC178" s="5" t="e">
        <f t="shared" si="119"/>
        <v>#REF!</v>
      </c>
      <c r="BD178" s="5" t="e">
        <f t="shared" si="119"/>
        <v>#REF!</v>
      </c>
      <c r="BE178" s="5" t="e">
        <f t="shared" si="119"/>
        <v>#REF!</v>
      </c>
      <c r="BF178" s="5" t="e">
        <f t="shared" si="119"/>
        <v>#REF!</v>
      </c>
      <c r="BG178" s="5" t="e">
        <f t="shared" si="119"/>
        <v>#REF!</v>
      </c>
      <c r="BH178" s="5" t="e">
        <f t="shared" si="119"/>
        <v>#REF!</v>
      </c>
      <c r="BI178" s="5" t="e">
        <f t="shared" si="119"/>
        <v>#REF!</v>
      </c>
      <c r="BJ178" s="5" t="e">
        <f t="shared" si="119"/>
        <v>#REF!</v>
      </c>
      <c r="BK178" s="5" t="e">
        <f t="shared" si="119"/>
        <v>#REF!</v>
      </c>
      <c r="BL178" s="5" t="e">
        <f t="shared" si="119"/>
        <v>#REF!</v>
      </c>
      <c r="BM178" s="5" t="e">
        <f t="shared" si="119"/>
        <v>#REF!</v>
      </c>
      <c r="BN178" s="5" t="e">
        <f t="shared" si="119"/>
        <v>#REF!</v>
      </c>
      <c r="BO178" s="5" t="e">
        <f t="shared" si="119"/>
        <v>#REF!</v>
      </c>
      <c r="BP178" s="5" t="e">
        <f t="shared" si="119"/>
        <v>#REF!</v>
      </c>
      <c r="BQ178" s="5" t="e">
        <f t="shared" si="119"/>
        <v>#REF!</v>
      </c>
      <c r="BR178" s="5" t="e">
        <f t="shared" si="119"/>
        <v>#REF!</v>
      </c>
      <c r="BS178" s="5" t="e">
        <f t="shared" si="119"/>
        <v>#REF!</v>
      </c>
      <c r="BT178" s="5" t="e">
        <f t="shared" si="119"/>
        <v>#REF!</v>
      </c>
      <c r="BU178" s="5" t="e">
        <f t="shared" si="119"/>
        <v>#REF!</v>
      </c>
      <c r="BV178" s="5" t="e">
        <f t="shared" si="119"/>
        <v>#REF!</v>
      </c>
      <c r="BW178" s="5" t="e">
        <f t="shared" si="119"/>
        <v>#REF!</v>
      </c>
      <c r="BX178" s="5" t="e">
        <f t="shared" si="119"/>
        <v>#REF!</v>
      </c>
      <c r="BY178" s="5" t="e">
        <f t="shared" si="119"/>
        <v>#REF!</v>
      </c>
      <c r="BZ178" s="5" t="e">
        <f t="shared" si="119"/>
        <v>#REF!</v>
      </c>
      <c r="CA178" s="5" t="e">
        <f t="shared" si="119"/>
        <v>#REF!</v>
      </c>
      <c r="CB178" s="5" t="e">
        <f t="shared" si="119"/>
        <v>#REF!</v>
      </c>
      <c r="CC178" s="5" t="e">
        <f t="shared" si="119"/>
        <v>#REF!</v>
      </c>
      <c r="CD178" s="5" t="e">
        <f t="shared" si="119"/>
        <v>#REF!</v>
      </c>
      <c r="CE178" s="5" t="e">
        <f t="shared" ref="CE178:CN178" si="120">-CE76+CD178</f>
        <v>#REF!</v>
      </c>
      <c r="CF178" s="5" t="e">
        <f t="shared" si="120"/>
        <v>#REF!</v>
      </c>
      <c r="CG178" s="5" t="e">
        <f t="shared" si="120"/>
        <v>#REF!</v>
      </c>
      <c r="CH178" s="5" t="e">
        <f t="shared" si="120"/>
        <v>#REF!</v>
      </c>
      <c r="CI178" s="5" t="e">
        <f t="shared" si="120"/>
        <v>#REF!</v>
      </c>
      <c r="CJ178" s="5" t="e">
        <f t="shared" si="120"/>
        <v>#REF!</v>
      </c>
      <c r="CK178" s="5" t="e">
        <f t="shared" si="120"/>
        <v>#REF!</v>
      </c>
      <c r="CL178" s="5" t="e">
        <f t="shared" si="120"/>
        <v>#REF!</v>
      </c>
      <c r="CM178" s="5" t="e">
        <f t="shared" si="120"/>
        <v>#REF!</v>
      </c>
      <c r="CN178" s="5" t="e">
        <f t="shared" si="120"/>
        <v>#REF!</v>
      </c>
      <c r="CO178" s="5"/>
    </row>
    <row r="179" spans="1:93" ht="12.75" customHeight="1">
      <c r="A179" s="117"/>
      <c r="B179" s="26" t="s">
        <v>244</v>
      </c>
      <c r="C179" s="117"/>
      <c r="D179" s="118">
        <f>-D73-D75</f>
        <v>0</v>
      </c>
      <c r="E179" s="5" t="e">
        <f>-E73-E75</f>
        <v>#REF!</v>
      </c>
      <c r="F179" s="5" t="e">
        <f t="shared" ref="F179:AK179" si="121">-F73-F75+E179</f>
        <v>#REF!</v>
      </c>
      <c r="G179" s="5" t="e">
        <f t="shared" si="121"/>
        <v>#REF!</v>
      </c>
      <c r="H179" s="5" t="e">
        <f t="shared" si="121"/>
        <v>#REF!</v>
      </c>
      <c r="I179" s="5" t="e">
        <f t="shared" si="121"/>
        <v>#REF!</v>
      </c>
      <c r="J179" s="5" t="e">
        <f t="shared" si="121"/>
        <v>#REF!</v>
      </c>
      <c r="K179" s="5" t="e">
        <f t="shared" si="121"/>
        <v>#REF!</v>
      </c>
      <c r="L179" s="5" t="e">
        <f t="shared" si="121"/>
        <v>#REF!</v>
      </c>
      <c r="M179" s="5" t="e">
        <f t="shared" si="121"/>
        <v>#REF!</v>
      </c>
      <c r="N179" s="5" t="e">
        <f t="shared" si="121"/>
        <v>#REF!</v>
      </c>
      <c r="O179" s="5" t="e">
        <f t="shared" si="121"/>
        <v>#REF!</v>
      </c>
      <c r="P179" s="5" t="e">
        <f t="shared" si="121"/>
        <v>#REF!</v>
      </c>
      <c r="Q179" s="5" t="e">
        <f t="shared" si="121"/>
        <v>#REF!</v>
      </c>
      <c r="R179" s="5" t="e">
        <f t="shared" si="121"/>
        <v>#REF!</v>
      </c>
      <c r="S179" s="5" t="e">
        <f t="shared" si="121"/>
        <v>#REF!</v>
      </c>
      <c r="T179" s="5" t="e">
        <f t="shared" si="121"/>
        <v>#REF!</v>
      </c>
      <c r="U179" s="5" t="e">
        <f t="shared" si="121"/>
        <v>#REF!</v>
      </c>
      <c r="V179" s="5" t="e">
        <f t="shared" si="121"/>
        <v>#REF!</v>
      </c>
      <c r="W179" s="5" t="e">
        <f t="shared" si="121"/>
        <v>#REF!</v>
      </c>
      <c r="X179" s="5" t="e">
        <f t="shared" si="121"/>
        <v>#REF!</v>
      </c>
      <c r="Y179" s="5" t="e">
        <f t="shared" si="121"/>
        <v>#REF!</v>
      </c>
      <c r="Z179" s="5" t="e">
        <f t="shared" si="121"/>
        <v>#REF!</v>
      </c>
      <c r="AA179" s="5" t="e">
        <f t="shared" si="121"/>
        <v>#REF!</v>
      </c>
      <c r="AB179" s="5" t="e">
        <f t="shared" si="121"/>
        <v>#REF!</v>
      </c>
      <c r="AC179" s="5" t="e">
        <f t="shared" si="121"/>
        <v>#REF!</v>
      </c>
      <c r="AD179" s="5" t="e">
        <f t="shared" si="121"/>
        <v>#REF!</v>
      </c>
      <c r="AE179" s="5" t="e">
        <f t="shared" si="121"/>
        <v>#REF!</v>
      </c>
      <c r="AF179" s="5" t="e">
        <f t="shared" si="121"/>
        <v>#REF!</v>
      </c>
      <c r="AG179" s="5" t="e">
        <f t="shared" si="121"/>
        <v>#REF!</v>
      </c>
      <c r="AH179" s="5" t="e">
        <f t="shared" si="121"/>
        <v>#REF!</v>
      </c>
      <c r="AI179" s="5" t="e">
        <f t="shared" si="121"/>
        <v>#REF!</v>
      </c>
      <c r="AJ179" s="5" t="e">
        <f t="shared" si="121"/>
        <v>#REF!</v>
      </c>
      <c r="AK179" s="5" t="e">
        <f t="shared" si="121"/>
        <v>#REF!</v>
      </c>
      <c r="AL179" s="5" t="e">
        <f t="shared" ref="AL179:BQ179" si="122">-AL73-AL75+AK179</f>
        <v>#REF!</v>
      </c>
      <c r="AM179" s="5" t="e">
        <f t="shared" si="122"/>
        <v>#REF!</v>
      </c>
      <c r="AN179" s="5" t="e">
        <f t="shared" si="122"/>
        <v>#REF!</v>
      </c>
      <c r="AO179" s="5" t="e">
        <f t="shared" si="122"/>
        <v>#REF!</v>
      </c>
      <c r="AP179" s="5" t="e">
        <f t="shared" si="122"/>
        <v>#REF!</v>
      </c>
      <c r="AQ179" s="5" t="e">
        <f t="shared" si="122"/>
        <v>#REF!</v>
      </c>
      <c r="AR179" s="5" t="e">
        <f t="shared" si="122"/>
        <v>#REF!</v>
      </c>
      <c r="AS179" s="5" t="e">
        <f t="shared" si="122"/>
        <v>#REF!</v>
      </c>
      <c r="AT179" s="5" t="e">
        <f t="shared" si="122"/>
        <v>#REF!</v>
      </c>
      <c r="AU179" s="5" t="e">
        <f t="shared" si="122"/>
        <v>#REF!</v>
      </c>
      <c r="AV179" s="5" t="e">
        <f t="shared" si="122"/>
        <v>#REF!</v>
      </c>
      <c r="AW179" s="5" t="e">
        <f t="shared" si="122"/>
        <v>#REF!</v>
      </c>
      <c r="AX179" s="5" t="e">
        <f t="shared" si="122"/>
        <v>#REF!</v>
      </c>
      <c r="AY179" s="5" t="e">
        <f t="shared" si="122"/>
        <v>#REF!</v>
      </c>
      <c r="AZ179" s="5" t="e">
        <f t="shared" si="122"/>
        <v>#REF!</v>
      </c>
      <c r="BA179" s="5" t="e">
        <f t="shared" si="122"/>
        <v>#REF!</v>
      </c>
      <c r="BB179" s="5" t="e">
        <f t="shared" si="122"/>
        <v>#REF!</v>
      </c>
      <c r="BC179" s="5" t="e">
        <f t="shared" si="122"/>
        <v>#REF!</v>
      </c>
      <c r="BD179" s="5" t="e">
        <f t="shared" si="122"/>
        <v>#REF!</v>
      </c>
      <c r="BE179" s="5" t="e">
        <f t="shared" si="122"/>
        <v>#REF!</v>
      </c>
      <c r="BF179" s="5" t="e">
        <f t="shared" si="122"/>
        <v>#REF!</v>
      </c>
      <c r="BG179" s="5" t="e">
        <f t="shared" si="122"/>
        <v>#REF!</v>
      </c>
      <c r="BH179" s="5" t="e">
        <f t="shared" si="122"/>
        <v>#REF!</v>
      </c>
      <c r="BI179" s="5" t="e">
        <f t="shared" si="122"/>
        <v>#REF!</v>
      </c>
      <c r="BJ179" s="5" t="e">
        <f t="shared" si="122"/>
        <v>#REF!</v>
      </c>
      <c r="BK179" s="5" t="e">
        <f t="shared" si="122"/>
        <v>#REF!</v>
      </c>
      <c r="BL179" s="5" t="e">
        <f t="shared" si="122"/>
        <v>#REF!</v>
      </c>
      <c r="BM179" s="5" t="e">
        <f t="shared" si="122"/>
        <v>#REF!</v>
      </c>
      <c r="BN179" s="5" t="e">
        <f t="shared" si="122"/>
        <v>#REF!</v>
      </c>
      <c r="BO179" s="5" t="e">
        <f t="shared" si="122"/>
        <v>#REF!</v>
      </c>
      <c r="BP179" s="5" t="e">
        <f t="shared" si="122"/>
        <v>#REF!</v>
      </c>
      <c r="BQ179" s="5" t="e">
        <f t="shared" si="122"/>
        <v>#REF!</v>
      </c>
      <c r="BR179" s="5" t="e">
        <f t="shared" ref="BR179:CN179" si="123">-BR73-BR75+BQ179</f>
        <v>#REF!</v>
      </c>
      <c r="BS179" s="5" t="e">
        <f t="shared" si="123"/>
        <v>#REF!</v>
      </c>
      <c r="BT179" s="5" t="e">
        <f t="shared" si="123"/>
        <v>#REF!</v>
      </c>
      <c r="BU179" s="5" t="e">
        <f t="shared" si="123"/>
        <v>#REF!</v>
      </c>
      <c r="BV179" s="5" t="e">
        <f t="shared" si="123"/>
        <v>#REF!</v>
      </c>
      <c r="BW179" s="5" t="e">
        <f t="shared" si="123"/>
        <v>#REF!</v>
      </c>
      <c r="BX179" s="5" t="e">
        <f t="shared" si="123"/>
        <v>#REF!</v>
      </c>
      <c r="BY179" s="5" t="e">
        <f t="shared" si="123"/>
        <v>#REF!</v>
      </c>
      <c r="BZ179" s="5" t="e">
        <f t="shared" si="123"/>
        <v>#REF!</v>
      </c>
      <c r="CA179" s="5" t="e">
        <f t="shared" si="123"/>
        <v>#REF!</v>
      </c>
      <c r="CB179" s="5" t="e">
        <f t="shared" si="123"/>
        <v>#REF!</v>
      </c>
      <c r="CC179" s="5" t="e">
        <f t="shared" si="123"/>
        <v>#REF!</v>
      </c>
      <c r="CD179" s="5" t="e">
        <f t="shared" si="123"/>
        <v>#REF!</v>
      </c>
      <c r="CE179" s="5" t="e">
        <f t="shared" si="123"/>
        <v>#REF!</v>
      </c>
      <c r="CF179" s="5" t="e">
        <f t="shared" si="123"/>
        <v>#REF!</v>
      </c>
      <c r="CG179" s="5" t="e">
        <f t="shared" si="123"/>
        <v>#REF!</v>
      </c>
      <c r="CH179" s="5" t="e">
        <f t="shared" si="123"/>
        <v>#REF!</v>
      </c>
      <c r="CI179" s="5" t="e">
        <f t="shared" si="123"/>
        <v>#REF!</v>
      </c>
      <c r="CJ179" s="5" t="e">
        <f t="shared" si="123"/>
        <v>#REF!</v>
      </c>
      <c r="CK179" s="5" t="e">
        <f t="shared" si="123"/>
        <v>#REF!</v>
      </c>
      <c r="CL179" s="5" t="e">
        <f t="shared" si="123"/>
        <v>#REF!</v>
      </c>
      <c r="CM179" s="5" t="e">
        <f t="shared" si="123"/>
        <v>#REF!</v>
      </c>
      <c r="CN179" s="5" t="e">
        <f t="shared" si="123"/>
        <v>#REF!</v>
      </c>
      <c r="CO179" s="5"/>
    </row>
    <row r="180" spans="1:93" ht="12.75" customHeight="1" outlineLevel="1">
      <c r="A180" s="117"/>
      <c r="B180" s="26" t="s">
        <v>245</v>
      </c>
      <c r="C180" s="117"/>
      <c r="D180" s="118" t="e">
        <f t="shared" ref="D180:AI180" si="124">-D160+D154</f>
        <v>#REF!</v>
      </c>
      <c r="E180" s="5" t="e">
        <f t="shared" si="124"/>
        <v>#REF!</v>
      </c>
      <c r="F180" s="5" t="e">
        <f t="shared" si="124"/>
        <v>#REF!</v>
      </c>
      <c r="G180" s="5" t="e">
        <f t="shared" si="124"/>
        <v>#REF!</v>
      </c>
      <c r="H180" s="5" t="e">
        <f t="shared" si="124"/>
        <v>#REF!</v>
      </c>
      <c r="I180" s="5" t="e">
        <f t="shared" si="124"/>
        <v>#REF!</v>
      </c>
      <c r="J180" s="5" t="e">
        <f t="shared" si="124"/>
        <v>#REF!</v>
      </c>
      <c r="K180" s="5" t="e">
        <f t="shared" si="124"/>
        <v>#REF!</v>
      </c>
      <c r="L180" s="5" t="e">
        <f t="shared" si="124"/>
        <v>#REF!</v>
      </c>
      <c r="M180" s="5" t="e">
        <f t="shared" si="124"/>
        <v>#REF!</v>
      </c>
      <c r="N180" s="5" t="e">
        <f t="shared" si="124"/>
        <v>#REF!</v>
      </c>
      <c r="O180" s="5" t="e">
        <f t="shared" si="124"/>
        <v>#REF!</v>
      </c>
      <c r="P180" s="5" t="e">
        <f t="shared" si="124"/>
        <v>#REF!</v>
      </c>
      <c r="Q180" s="5" t="e">
        <f t="shared" si="124"/>
        <v>#REF!</v>
      </c>
      <c r="R180" s="5" t="e">
        <f t="shared" si="124"/>
        <v>#REF!</v>
      </c>
      <c r="S180" s="5" t="e">
        <f t="shared" si="124"/>
        <v>#REF!</v>
      </c>
      <c r="T180" s="5" t="e">
        <f t="shared" si="124"/>
        <v>#REF!</v>
      </c>
      <c r="U180" s="5" t="e">
        <f t="shared" si="124"/>
        <v>#REF!</v>
      </c>
      <c r="V180" s="5" t="e">
        <f t="shared" si="124"/>
        <v>#REF!</v>
      </c>
      <c r="W180" s="5" t="e">
        <f t="shared" si="124"/>
        <v>#REF!</v>
      </c>
      <c r="X180" s="5" t="e">
        <f t="shared" si="124"/>
        <v>#REF!</v>
      </c>
      <c r="Y180" s="5" t="e">
        <f t="shared" si="124"/>
        <v>#REF!</v>
      </c>
      <c r="Z180" s="5" t="e">
        <f t="shared" si="124"/>
        <v>#REF!</v>
      </c>
      <c r="AA180" s="5" t="e">
        <f t="shared" si="124"/>
        <v>#REF!</v>
      </c>
      <c r="AB180" s="5" t="e">
        <f t="shared" si="124"/>
        <v>#REF!</v>
      </c>
      <c r="AC180" s="5" t="e">
        <f t="shared" si="124"/>
        <v>#REF!</v>
      </c>
      <c r="AD180" s="5" t="e">
        <f t="shared" si="124"/>
        <v>#REF!</v>
      </c>
      <c r="AE180" s="5" t="e">
        <f t="shared" si="124"/>
        <v>#REF!</v>
      </c>
      <c r="AF180" s="5" t="e">
        <f t="shared" si="124"/>
        <v>#REF!</v>
      </c>
      <c r="AG180" s="5" t="e">
        <f t="shared" si="124"/>
        <v>#REF!</v>
      </c>
      <c r="AH180" s="5" t="e">
        <f t="shared" si="124"/>
        <v>#REF!</v>
      </c>
      <c r="AI180" s="5" t="e">
        <f t="shared" si="124"/>
        <v>#REF!</v>
      </c>
      <c r="AJ180" s="5" t="e">
        <f t="shared" ref="AJ180:BO180" si="125">-AJ160+AJ154</f>
        <v>#REF!</v>
      </c>
      <c r="AK180" s="5" t="e">
        <f t="shared" si="125"/>
        <v>#REF!</v>
      </c>
      <c r="AL180" s="5" t="e">
        <f t="shared" si="125"/>
        <v>#REF!</v>
      </c>
      <c r="AM180" s="5" t="e">
        <f t="shared" si="125"/>
        <v>#REF!</v>
      </c>
      <c r="AN180" s="5" t="e">
        <f t="shared" si="125"/>
        <v>#REF!</v>
      </c>
      <c r="AO180" s="5" t="e">
        <f t="shared" si="125"/>
        <v>#REF!</v>
      </c>
      <c r="AP180" s="5" t="e">
        <f t="shared" si="125"/>
        <v>#REF!</v>
      </c>
      <c r="AQ180" s="5" t="e">
        <f t="shared" si="125"/>
        <v>#REF!</v>
      </c>
      <c r="AR180" s="5" t="e">
        <f t="shared" si="125"/>
        <v>#REF!</v>
      </c>
      <c r="AS180" s="5" t="e">
        <f t="shared" si="125"/>
        <v>#REF!</v>
      </c>
      <c r="AT180" s="5" t="e">
        <f t="shared" si="125"/>
        <v>#REF!</v>
      </c>
      <c r="AU180" s="5" t="e">
        <f t="shared" si="125"/>
        <v>#REF!</v>
      </c>
      <c r="AV180" s="5" t="e">
        <f t="shared" si="125"/>
        <v>#REF!</v>
      </c>
      <c r="AW180" s="5" t="e">
        <f t="shared" si="125"/>
        <v>#REF!</v>
      </c>
      <c r="AX180" s="5" t="e">
        <f t="shared" si="125"/>
        <v>#REF!</v>
      </c>
      <c r="AY180" s="5" t="e">
        <f t="shared" si="125"/>
        <v>#REF!</v>
      </c>
      <c r="AZ180" s="5" t="e">
        <f t="shared" si="125"/>
        <v>#REF!</v>
      </c>
      <c r="BA180" s="5" t="e">
        <f t="shared" si="125"/>
        <v>#REF!</v>
      </c>
      <c r="BB180" s="5" t="e">
        <f t="shared" si="125"/>
        <v>#REF!</v>
      </c>
      <c r="BC180" s="5" t="e">
        <f t="shared" si="125"/>
        <v>#REF!</v>
      </c>
      <c r="BD180" s="5" t="e">
        <f t="shared" si="125"/>
        <v>#REF!</v>
      </c>
      <c r="BE180" s="5" t="e">
        <f t="shared" si="125"/>
        <v>#REF!</v>
      </c>
      <c r="BF180" s="5" t="e">
        <f t="shared" si="125"/>
        <v>#REF!</v>
      </c>
      <c r="BG180" s="5" t="e">
        <f t="shared" si="125"/>
        <v>#REF!</v>
      </c>
      <c r="BH180" s="5" t="e">
        <f t="shared" si="125"/>
        <v>#REF!</v>
      </c>
      <c r="BI180" s="5" t="e">
        <f t="shared" si="125"/>
        <v>#REF!</v>
      </c>
      <c r="BJ180" s="5" t="e">
        <f t="shared" si="125"/>
        <v>#REF!</v>
      </c>
      <c r="BK180" s="5" t="e">
        <f t="shared" si="125"/>
        <v>#REF!</v>
      </c>
      <c r="BL180" s="5" t="e">
        <f t="shared" si="125"/>
        <v>#REF!</v>
      </c>
      <c r="BM180" s="5" t="e">
        <f t="shared" si="125"/>
        <v>#REF!</v>
      </c>
      <c r="BN180" s="5" t="e">
        <f t="shared" si="125"/>
        <v>#REF!</v>
      </c>
      <c r="BO180" s="5" t="e">
        <f t="shared" si="125"/>
        <v>#REF!</v>
      </c>
      <c r="BP180" s="5" t="e">
        <f t="shared" ref="BP180:CN180" si="126">-BP160+BP154</f>
        <v>#REF!</v>
      </c>
      <c r="BQ180" s="5" t="e">
        <f t="shared" si="126"/>
        <v>#REF!</v>
      </c>
      <c r="BR180" s="5" t="e">
        <f t="shared" si="126"/>
        <v>#REF!</v>
      </c>
      <c r="BS180" s="5" t="e">
        <f t="shared" si="126"/>
        <v>#REF!</v>
      </c>
      <c r="BT180" s="5" t="e">
        <f t="shared" si="126"/>
        <v>#REF!</v>
      </c>
      <c r="BU180" s="5" t="e">
        <f t="shared" si="126"/>
        <v>#REF!</v>
      </c>
      <c r="BV180" s="5" t="e">
        <f t="shared" si="126"/>
        <v>#REF!</v>
      </c>
      <c r="BW180" s="5" t="e">
        <f t="shared" si="126"/>
        <v>#REF!</v>
      </c>
      <c r="BX180" s="5" t="e">
        <f t="shared" si="126"/>
        <v>#REF!</v>
      </c>
      <c r="BY180" s="5" t="e">
        <f t="shared" si="126"/>
        <v>#REF!</v>
      </c>
      <c r="BZ180" s="5" t="e">
        <f t="shared" si="126"/>
        <v>#REF!</v>
      </c>
      <c r="CA180" s="5" t="e">
        <f t="shared" si="126"/>
        <v>#REF!</v>
      </c>
      <c r="CB180" s="5" t="e">
        <f t="shared" si="126"/>
        <v>#REF!</v>
      </c>
      <c r="CC180" s="5" t="e">
        <f t="shared" si="126"/>
        <v>#REF!</v>
      </c>
      <c r="CD180" s="5" t="e">
        <f t="shared" si="126"/>
        <v>#REF!</v>
      </c>
      <c r="CE180" s="5" t="e">
        <f t="shared" si="126"/>
        <v>#REF!</v>
      </c>
      <c r="CF180" s="5" t="e">
        <f t="shared" si="126"/>
        <v>#REF!</v>
      </c>
      <c r="CG180" s="5" t="e">
        <f t="shared" si="126"/>
        <v>#REF!</v>
      </c>
      <c r="CH180" s="5" t="e">
        <f t="shared" si="126"/>
        <v>#REF!</v>
      </c>
      <c r="CI180" s="5" t="e">
        <f t="shared" si="126"/>
        <v>#REF!</v>
      </c>
      <c r="CJ180" s="5" t="e">
        <f t="shared" si="126"/>
        <v>#REF!</v>
      </c>
      <c r="CK180" s="5" t="e">
        <f t="shared" si="126"/>
        <v>#REF!</v>
      </c>
      <c r="CL180" s="5" t="e">
        <f t="shared" si="126"/>
        <v>#REF!</v>
      </c>
      <c r="CM180" s="5" t="e">
        <f t="shared" si="126"/>
        <v>#REF!</v>
      </c>
      <c r="CN180" s="5" t="e">
        <f t="shared" si="126"/>
        <v>#REF!</v>
      </c>
      <c r="CO180" s="5"/>
    </row>
    <row r="181" spans="1:93" ht="12.75" customHeight="1" outlineLevel="1">
      <c r="A181" s="112"/>
      <c r="B181" s="112" t="s">
        <v>246</v>
      </c>
      <c r="C181" s="112"/>
      <c r="D181" s="116" t="e">
        <f t="shared" ref="D181:CN181" si="127">D182</f>
        <v>#REF!</v>
      </c>
      <c r="E181" s="112" t="e">
        <f t="shared" si="127"/>
        <v>#REF!</v>
      </c>
      <c r="F181" s="112" t="e">
        <f t="shared" si="127"/>
        <v>#REF!</v>
      </c>
      <c r="G181" s="112" t="e">
        <f t="shared" si="127"/>
        <v>#REF!</v>
      </c>
      <c r="H181" s="112" t="e">
        <f t="shared" si="127"/>
        <v>#REF!</v>
      </c>
      <c r="I181" s="112" t="e">
        <f t="shared" si="127"/>
        <v>#REF!</v>
      </c>
      <c r="J181" s="112" t="e">
        <f t="shared" si="127"/>
        <v>#REF!</v>
      </c>
      <c r="K181" s="112" t="e">
        <f t="shared" si="127"/>
        <v>#REF!</v>
      </c>
      <c r="L181" s="112" t="e">
        <f t="shared" si="127"/>
        <v>#REF!</v>
      </c>
      <c r="M181" s="112" t="e">
        <f t="shared" si="127"/>
        <v>#REF!</v>
      </c>
      <c r="N181" s="112" t="e">
        <f t="shared" si="127"/>
        <v>#REF!</v>
      </c>
      <c r="O181" s="112" t="e">
        <f t="shared" si="127"/>
        <v>#REF!</v>
      </c>
      <c r="P181" s="112" t="e">
        <f t="shared" si="127"/>
        <v>#REF!</v>
      </c>
      <c r="Q181" s="112" t="e">
        <f t="shared" si="127"/>
        <v>#REF!</v>
      </c>
      <c r="R181" s="112" t="e">
        <f t="shared" si="127"/>
        <v>#REF!</v>
      </c>
      <c r="S181" s="112" t="e">
        <f t="shared" si="127"/>
        <v>#REF!</v>
      </c>
      <c r="T181" s="112" t="e">
        <f t="shared" si="127"/>
        <v>#REF!</v>
      </c>
      <c r="U181" s="112" t="e">
        <f t="shared" si="127"/>
        <v>#REF!</v>
      </c>
      <c r="V181" s="112" t="e">
        <f t="shared" si="127"/>
        <v>#REF!</v>
      </c>
      <c r="W181" s="112" t="e">
        <f t="shared" si="127"/>
        <v>#REF!</v>
      </c>
      <c r="X181" s="112" t="e">
        <f t="shared" si="127"/>
        <v>#REF!</v>
      </c>
      <c r="Y181" s="112" t="e">
        <f t="shared" si="127"/>
        <v>#REF!</v>
      </c>
      <c r="Z181" s="112" t="e">
        <f t="shared" si="127"/>
        <v>#REF!</v>
      </c>
      <c r="AA181" s="112" t="e">
        <f t="shared" si="127"/>
        <v>#REF!</v>
      </c>
      <c r="AB181" s="112" t="e">
        <f t="shared" si="127"/>
        <v>#REF!</v>
      </c>
      <c r="AC181" s="112" t="e">
        <f t="shared" si="127"/>
        <v>#REF!</v>
      </c>
      <c r="AD181" s="112" t="e">
        <f t="shared" si="127"/>
        <v>#REF!</v>
      </c>
      <c r="AE181" s="112" t="e">
        <f t="shared" si="127"/>
        <v>#REF!</v>
      </c>
      <c r="AF181" s="112" t="e">
        <f t="shared" si="127"/>
        <v>#REF!</v>
      </c>
      <c r="AG181" s="112" t="e">
        <f t="shared" si="127"/>
        <v>#REF!</v>
      </c>
      <c r="AH181" s="112" t="e">
        <f t="shared" si="127"/>
        <v>#REF!</v>
      </c>
      <c r="AI181" s="112" t="e">
        <f t="shared" si="127"/>
        <v>#REF!</v>
      </c>
      <c r="AJ181" s="112" t="e">
        <f t="shared" si="127"/>
        <v>#REF!</v>
      </c>
      <c r="AK181" s="112" t="e">
        <f t="shared" si="127"/>
        <v>#REF!</v>
      </c>
      <c r="AL181" s="112" t="e">
        <f t="shared" si="127"/>
        <v>#REF!</v>
      </c>
      <c r="AM181" s="112" t="e">
        <f t="shared" si="127"/>
        <v>#REF!</v>
      </c>
      <c r="AN181" s="112" t="e">
        <f t="shared" si="127"/>
        <v>#REF!</v>
      </c>
      <c r="AO181" s="112" t="e">
        <f t="shared" si="127"/>
        <v>#REF!</v>
      </c>
      <c r="AP181" s="112" t="e">
        <f t="shared" si="127"/>
        <v>#REF!</v>
      </c>
      <c r="AQ181" s="112" t="e">
        <f t="shared" si="127"/>
        <v>#REF!</v>
      </c>
      <c r="AR181" s="112" t="e">
        <f t="shared" si="127"/>
        <v>#REF!</v>
      </c>
      <c r="AS181" s="112" t="e">
        <f t="shared" si="127"/>
        <v>#REF!</v>
      </c>
      <c r="AT181" s="112" t="e">
        <f t="shared" si="127"/>
        <v>#REF!</v>
      </c>
      <c r="AU181" s="112" t="e">
        <f t="shared" si="127"/>
        <v>#REF!</v>
      </c>
      <c r="AV181" s="112" t="e">
        <f t="shared" si="127"/>
        <v>#REF!</v>
      </c>
      <c r="AW181" s="112" t="e">
        <f t="shared" si="127"/>
        <v>#REF!</v>
      </c>
      <c r="AX181" s="112" t="e">
        <f t="shared" si="127"/>
        <v>#REF!</v>
      </c>
      <c r="AY181" s="112" t="e">
        <f t="shared" si="127"/>
        <v>#REF!</v>
      </c>
      <c r="AZ181" s="112" t="e">
        <f t="shared" si="127"/>
        <v>#REF!</v>
      </c>
      <c r="BA181" s="112" t="e">
        <f t="shared" si="127"/>
        <v>#REF!</v>
      </c>
      <c r="BB181" s="112" t="e">
        <f t="shared" si="127"/>
        <v>#REF!</v>
      </c>
      <c r="BC181" s="112" t="e">
        <f t="shared" si="127"/>
        <v>#REF!</v>
      </c>
      <c r="BD181" s="112" t="e">
        <f t="shared" si="127"/>
        <v>#REF!</v>
      </c>
      <c r="BE181" s="112" t="e">
        <f t="shared" si="127"/>
        <v>#REF!</v>
      </c>
      <c r="BF181" s="112" t="e">
        <f t="shared" si="127"/>
        <v>#REF!</v>
      </c>
      <c r="BG181" s="112" t="e">
        <f t="shared" si="127"/>
        <v>#REF!</v>
      </c>
      <c r="BH181" s="112" t="e">
        <f t="shared" si="127"/>
        <v>#REF!</v>
      </c>
      <c r="BI181" s="112" t="e">
        <f t="shared" si="127"/>
        <v>#REF!</v>
      </c>
      <c r="BJ181" s="112" t="e">
        <f t="shared" si="127"/>
        <v>#REF!</v>
      </c>
      <c r="BK181" s="112" t="e">
        <f t="shared" si="127"/>
        <v>#REF!</v>
      </c>
      <c r="BL181" s="112" t="e">
        <f t="shared" si="127"/>
        <v>#REF!</v>
      </c>
      <c r="BM181" s="112" t="e">
        <f t="shared" si="127"/>
        <v>#REF!</v>
      </c>
      <c r="BN181" s="112" t="e">
        <f t="shared" si="127"/>
        <v>#REF!</v>
      </c>
      <c r="BO181" s="112" t="e">
        <f t="shared" si="127"/>
        <v>#REF!</v>
      </c>
      <c r="BP181" s="112" t="e">
        <f t="shared" si="127"/>
        <v>#REF!</v>
      </c>
      <c r="BQ181" s="112" t="e">
        <f t="shared" si="127"/>
        <v>#REF!</v>
      </c>
      <c r="BR181" s="112" t="e">
        <f t="shared" si="127"/>
        <v>#REF!</v>
      </c>
      <c r="BS181" s="112" t="e">
        <f t="shared" si="127"/>
        <v>#REF!</v>
      </c>
      <c r="BT181" s="112" t="e">
        <f t="shared" si="127"/>
        <v>#REF!</v>
      </c>
      <c r="BU181" s="112" t="e">
        <f t="shared" si="127"/>
        <v>#REF!</v>
      </c>
      <c r="BV181" s="112" t="e">
        <f t="shared" si="127"/>
        <v>#REF!</v>
      </c>
      <c r="BW181" s="112" t="e">
        <f t="shared" si="127"/>
        <v>#REF!</v>
      </c>
      <c r="BX181" s="112" t="e">
        <f t="shared" si="127"/>
        <v>#REF!</v>
      </c>
      <c r="BY181" s="112" t="e">
        <f t="shared" si="127"/>
        <v>#REF!</v>
      </c>
      <c r="BZ181" s="112" t="e">
        <f t="shared" si="127"/>
        <v>#REF!</v>
      </c>
      <c r="CA181" s="112" t="e">
        <f t="shared" si="127"/>
        <v>#REF!</v>
      </c>
      <c r="CB181" s="112" t="e">
        <f t="shared" si="127"/>
        <v>#REF!</v>
      </c>
      <c r="CC181" s="112" t="e">
        <f t="shared" si="127"/>
        <v>#REF!</v>
      </c>
      <c r="CD181" s="112" t="e">
        <f t="shared" si="127"/>
        <v>#REF!</v>
      </c>
      <c r="CE181" s="112" t="e">
        <f t="shared" si="127"/>
        <v>#REF!</v>
      </c>
      <c r="CF181" s="112" t="e">
        <f t="shared" si="127"/>
        <v>#REF!</v>
      </c>
      <c r="CG181" s="112" t="e">
        <f t="shared" si="127"/>
        <v>#REF!</v>
      </c>
      <c r="CH181" s="112" t="e">
        <f t="shared" si="127"/>
        <v>#REF!</v>
      </c>
      <c r="CI181" s="112" t="e">
        <f t="shared" si="127"/>
        <v>#REF!</v>
      </c>
      <c r="CJ181" s="112" t="e">
        <f t="shared" si="127"/>
        <v>#REF!</v>
      </c>
      <c r="CK181" s="112" t="e">
        <f t="shared" si="127"/>
        <v>#REF!</v>
      </c>
      <c r="CL181" s="112" t="e">
        <f t="shared" si="127"/>
        <v>#REF!</v>
      </c>
      <c r="CM181" s="112" t="e">
        <f t="shared" si="127"/>
        <v>#REF!</v>
      </c>
      <c r="CN181" s="112" t="e">
        <f t="shared" si="127"/>
        <v>#REF!</v>
      </c>
      <c r="CO181" s="112"/>
    </row>
    <row r="182" spans="1:93" ht="12.75" customHeight="1" outlineLevel="1">
      <c r="A182" s="117"/>
      <c r="B182" s="26" t="s">
        <v>247</v>
      </c>
      <c r="C182" s="117"/>
      <c r="D182" s="118" t="e">
        <f>-D85+D63+D158</f>
        <v>#REF!</v>
      </c>
      <c r="E182" s="5" t="e">
        <f>IF(E$9&lt;Assump!$D$54,(-E$167+D$182-E$85-E$79+E$63+E$158-E172),(D$182-E$85-E$79+E$63+E$158-E172))</f>
        <v>#REF!</v>
      </c>
      <c r="F182" s="5" t="e">
        <f>IF(F$9&lt;Assump!$D$54,(-F$167+E$182-F$85-F$79+F$63+F$158-F172),(E$182-F$85-F$79+F$63+F$158-F172))</f>
        <v>#REF!</v>
      </c>
      <c r="G182" s="5" t="e">
        <f>IF(G$9&lt;Assump!$D$54,(-G$167+F$182-G$85-G$79+G$63+G$158-G172),(F$182-G$85-G$79+G$63+G$158-G172))</f>
        <v>#REF!</v>
      </c>
      <c r="H182" s="5" t="e">
        <f>IF(H$9&lt;Assump!$D$54,(-H$167+G$182-H$85-H$79+H$63+H$158-H172),(G$182-H$85-H$79+H$63+H$158-H172))</f>
        <v>#REF!</v>
      </c>
      <c r="I182" s="5" t="e">
        <f>IF(I$9&lt;Assump!$D$54,(-I$167+H$182-I$85-I$79+I$63+I$158-I172),(H$182-I$85-I$79+I$63+I$158-I172))</f>
        <v>#REF!</v>
      </c>
      <c r="J182" s="5" t="e">
        <f>IF(J$9&lt;Assump!$D$54,(-J$167+I$182-J$85-J$79+J$63+J$158-J172),(I$182-J$85-J$79+J$63+J$158-J172))</f>
        <v>#REF!</v>
      </c>
      <c r="K182" s="5" t="e">
        <f>IF(K$9&lt;Assump!$D$54,(-K$167+J$182-K$85-K$79+K$63+K$158-K172),(J$182-K$85-K$79+K$63+K$158-K172))</f>
        <v>#REF!</v>
      </c>
      <c r="L182" s="5" t="e">
        <f>IF(L$9&lt;Assump!$D$54,(-L$167+K$182-L$85-L$79+L$63+L$158-L172),(K$182-L$85-L$79+L$63+L$158-L172))</f>
        <v>#REF!</v>
      </c>
      <c r="M182" s="5" t="e">
        <f>IF(M$9&lt;Assump!$D$54,(-M$167+L$182-M$85-M$79+M$63+M$158-M172),(L$182-M$85-M$79+M$63+M$158-M172))</f>
        <v>#REF!</v>
      </c>
      <c r="N182" s="5" t="e">
        <f>IF(N$9&lt;Assump!$D$54,(-N$167+M$182-N$85-N$79+N$63+N$158-N172),(M$182-N$85-N$79+N$63+N$158-N172))</f>
        <v>#REF!</v>
      </c>
      <c r="O182" s="5" t="e">
        <f>IF(O$9&lt;Assump!$D$54,(-O$167+N$182-O$85-O$79+O$63+O$158-O172),(N$182-O$85-O$79+O$63+O$158-O172))</f>
        <v>#REF!</v>
      </c>
      <c r="P182" s="5" t="e">
        <f>IF(P$9&lt;Assump!$D$54,(-P$167+O$182-P$85-P$79+P$63+P$158-P172),(O$182-P$85-P$79+P$63+P$158-P172))</f>
        <v>#REF!</v>
      </c>
      <c r="Q182" s="5" t="e">
        <f>IF(Q$9&lt;Assump!$D$54,(-Q$167+P$182-Q$85-Q$79+Q$63+Q$158-Q172),(P$182-Q$85-Q$79+Q$63+Q$158-Q172))</f>
        <v>#REF!</v>
      </c>
      <c r="R182" s="5" t="e">
        <f>IF(R$9&lt;Assump!$D$54,(-R$167+Q$182-R$85-R$79+R$63+R$158-R172),(Q$182-R$85-R$79+R$63+R$158-R172))</f>
        <v>#REF!</v>
      </c>
      <c r="S182" s="5" t="e">
        <f>IF(S$9&lt;Assump!$D$54,(-S$167+R$182-S$85-S$79+S$63+S$158-S172),(R$182-S$85-S$79+S$63+S$158-S172))</f>
        <v>#REF!</v>
      </c>
      <c r="T182" s="5" t="e">
        <f>IF(T$9&lt;Assump!$D$54,(-T$167+S$182-T$85-T$79+T$63+T$158-T172),(S$182-T$85-T$79+T$63+T$158-T172))</f>
        <v>#REF!</v>
      </c>
      <c r="U182" s="5" t="e">
        <f>IF(U$9&lt;Assump!$D$54,(-U$167+T$182-U$85-U$79+U$63+U$158-U172),(T$182-U$85-U$79+U$63+U$158-U172))</f>
        <v>#REF!</v>
      </c>
      <c r="V182" s="5" t="e">
        <f>IF(V$9&lt;Assump!$D$54,(-V$167+U$182-V$85-V$79+V$63+V$158-V172),(U$182-V$85-V$79+V$63+V$158-V172))</f>
        <v>#REF!</v>
      </c>
      <c r="W182" s="5" t="e">
        <f>IF(W$9&lt;Assump!$D$54,(-W$167+V$182-W$85-W$79+W$63+W$158-W172),(V$182-W$85-W$79+W$63+W$158-W172))</f>
        <v>#REF!</v>
      </c>
      <c r="X182" s="5" t="e">
        <f>IF(X$9&lt;Assump!$D$54,(-X$167+W$182-X$85-X$79+X$63+X$158-X172),(W$182-X$85-X$79+X$63+X$158-X172))</f>
        <v>#REF!</v>
      </c>
      <c r="Y182" s="5" t="e">
        <f>IF(Y$9&lt;Assump!$D$54,(-Y$167+X$182-Y$85-Y$79+Y$63+Y$158-Y172),(X$182-Y$85-Y$79+Y$63+Y$158-Y172))</f>
        <v>#REF!</v>
      </c>
      <c r="Z182" s="5" t="e">
        <f>IF(Z$9&lt;Assump!$D$54,(-Z$167+Y$182-Z$85-Z$79+Z$63+Z$158-Z172),(Y$182-Z$85-Z$79+Z$63+Z$158-Z172))</f>
        <v>#REF!</v>
      </c>
      <c r="AA182" s="5" t="e">
        <f>IF(AA$9&lt;Assump!$D$54,(-AA$167+Z$182-AA$85-AA$79+AA$63+AA$158-AA172),(Z$182-AA$85-AA$79+AA$63+AA$158-AA172))</f>
        <v>#REF!</v>
      </c>
      <c r="AB182" s="5" t="e">
        <f>IF(AB$9&lt;Assump!$D$54,(-AB$167+AA$182-AB$85-AB$79+AB$63+AB$158-AB172),(AA$182-AB$85-AB$79+AB$63+AB$158-AB172))</f>
        <v>#REF!</v>
      </c>
      <c r="AC182" s="5" t="e">
        <f>IF(AC$9&lt;Assump!$D$54,(-AC$167+AB$182-AC$85-AC$79+AC$63+AC$158-AC172),(AB$182-AC$85-AC$79+AC$63+AC$158-AC172))</f>
        <v>#REF!</v>
      </c>
      <c r="AD182" s="5" t="e">
        <f>IF(AD$9&lt;Assump!$D$54,(-AD$167+AC$182-AD$85-AD$79+AD$63+AD$158-AD172),(AC$182-AD$85-AD$79+AD$63+AD$158-AD172))</f>
        <v>#REF!</v>
      </c>
      <c r="AE182" s="5" t="e">
        <f>IF(AE$9&lt;Assump!$D$54,(-AE$167+AD$182-AE$85-AE$79+AE$63+AE$158-AE172),(AD$182-AE$85-AE$79+AE$63+AE$158-AE172))</f>
        <v>#REF!</v>
      </c>
      <c r="AF182" s="5" t="e">
        <f>IF(AF$9&lt;Assump!$D$54,(-AF$167+AE$182-AF$85-AF$79+AF$63+AF$158-AF172),(AE$182-AF$85-AF$79+AF$63+AF$158-AF172))</f>
        <v>#REF!</v>
      </c>
      <c r="AG182" s="5" t="e">
        <f>IF(AG$9&lt;Assump!$D$54,(-AG$167+AF$182-AG$85-AG$79+AG$63+AG$158-AG172),(AF$182-AG$85-AG$79+AG$63+AG$158-AG172))</f>
        <v>#REF!</v>
      </c>
      <c r="AH182" s="5" t="e">
        <f>IF(AH$9&lt;Assump!$D$54,(-AH$167+AG$182-AH$85-AH$79+AH$63+AH$158-AH172),(AG$182-AH$85-AH$79+AH$63+AH$158-AH172))</f>
        <v>#REF!</v>
      </c>
      <c r="AI182" s="5" t="e">
        <f>IF(AI$9&lt;Assump!$D$54,(-AI$167+AH$182-AI$85-AI$79+AI$63+AI$158-AI172),(AH$182-AI$85-AI$79+AI$63+AI$158-AI172))</f>
        <v>#REF!</v>
      </c>
      <c r="AJ182" s="5" t="e">
        <f>IF(AJ$9&lt;Assump!$D$54,(-AJ$167+AI$182-AJ$85-AJ$79+AJ$63+AJ$158-AJ172),(AI$182-AJ$85-AJ$79+AJ$63+AJ$158-AJ172))</f>
        <v>#REF!</v>
      </c>
      <c r="AK182" s="5" t="e">
        <f>IF(AK$9&lt;Assump!$D$54,(-AK$167+AJ$182-AK$85-AK$79+AK$63+AK$158-AK172),(AJ$182-AK$85-AK$79+AK$63+AK$158-AK172))</f>
        <v>#REF!</v>
      </c>
      <c r="AL182" s="5" t="e">
        <f>IF(AL$9&lt;Assump!$D$54,(-AL$167+AK$182-AL$85-AL$79+AL$63+AL$158-AL172),(AK$182-AL$85-AL$79+AL$63+AL$158-AL172))</f>
        <v>#REF!</v>
      </c>
      <c r="AM182" s="5" t="e">
        <f>IF(AM$9&lt;Assump!$D$54,(-AM$167+AL$182-AM$85-AM$79+AM$63+AM$158-AM172),(AL$182-AM$85-AM$79+AM$63+AM$158-AM172))</f>
        <v>#REF!</v>
      </c>
      <c r="AN182" s="5" t="e">
        <f>IF(AN$9&lt;Assump!$D$54,(-AN$167+AM$182-AN$85-AN$79+AN$63+AN$158-AN172),(AM$182-AN$85-AN$79+AN$63+AN$158-AN172))</f>
        <v>#REF!</v>
      </c>
      <c r="AO182" s="5" t="e">
        <f>IF(AO$9&lt;Assump!$D$54,(-AO$167+AN$182-AO$85-AO$79+AO$63+AO$158-AO172),(AN$182-AO$85-AO$79+AO$63+AO$158-AO172))</f>
        <v>#REF!</v>
      </c>
      <c r="AP182" s="5" t="e">
        <f>IF(AP$9&lt;Assump!$D$54,(-AP$167+AO$182-AP$85-AP$79+AP$63+AP$158-AP172),(AO$182-AP$85-AP$79+AP$63+AP$158-AP172))</f>
        <v>#REF!</v>
      </c>
      <c r="AQ182" s="5" t="e">
        <f>IF(AQ$9&lt;Assump!$D$54,(-AQ$167+AP$182-AQ$85-AQ$79+AQ$63+AQ$158-AQ172),(AP$182-AQ$85-AQ$79+AQ$63+AQ$158-AQ172))</f>
        <v>#REF!</v>
      </c>
      <c r="AR182" s="5" t="e">
        <f>IF(AR$9&lt;Assump!$D$54,(-AR$167+AQ$182-AR$85-AR$79+AR$63+AR$158-AR172),(AQ$182-AR$85-AR$79+AR$63+AR$158-AR172))</f>
        <v>#REF!</v>
      </c>
      <c r="AS182" s="5" t="e">
        <f>IF(AS$9&lt;Assump!$D$54,(-AS$167+AR$182-AS$85-AS$79+AS$63+AS$158-AS172),(AR$182-AS$85-AS$79+AS$63+AS$158-AS172))</f>
        <v>#REF!</v>
      </c>
      <c r="AT182" s="5" t="e">
        <f>IF(AT$9&lt;Assump!$D$54,(-AT$167+AS$182-AT$85-AT$79+AT$63+AT$158-AT172),(AS$182-AT$85-AT$79+AT$63+AT$158-AT172))</f>
        <v>#REF!</v>
      </c>
      <c r="AU182" s="5" t="e">
        <f>IF(AU$9&lt;Assump!$D$54,(-AU$167+AT$182-AU$85-AU$79+AU$63+AU$158-AU172),(AT$182-AU$85-AU$79+AU$63+AU$158-AU172))</f>
        <v>#REF!</v>
      </c>
      <c r="AV182" s="5" t="e">
        <f>IF(AV$9&lt;Assump!$D$54,(-AV$167+AU$182-AV$85-AV$79+AV$63+AV$158-AV172),(AU$182-AV$85-AV$79+AV$63+AV$158-AV172))</f>
        <v>#REF!</v>
      </c>
      <c r="AW182" s="5" t="e">
        <f>IF(AW$9&lt;Assump!$D$54,(-AW$167+AV$182-AW$85-AW$79+AW$63+AW$158-AW172),(AV$182-AW$85-AW$79+AW$63+AW$158-AW172))</f>
        <v>#REF!</v>
      </c>
      <c r="AX182" s="5" t="e">
        <f>IF(AX$9&lt;Assump!$D$54,(-AX$167+AW$182-AX$85-AX$79+AX$63+AX$158-AX172),(AW$182-AX$85-AX$79+AX$63+AX$158-AX172))</f>
        <v>#REF!</v>
      </c>
      <c r="AY182" s="5" t="e">
        <f>IF(AY$9&lt;Assump!$D$54,(-AY$167+AX$182-AY$85-AY$79+AY$63+AY$158-AY172),(AX$182-AY$85-AY$79+AY$63+AY$158-AY172))</f>
        <v>#REF!</v>
      </c>
      <c r="AZ182" s="5" t="e">
        <f>IF(AZ$9&lt;Assump!$D$54,(-AZ$167+AY$182-AZ$85-AZ$79+AZ$63+AZ$158-AZ172),(AY$182-AZ$85-AZ$79+AZ$63+AZ$158-AZ172))</f>
        <v>#REF!</v>
      </c>
      <c r="BA182" s="5" t="e">
        <f>IF(BA$9&lt;Assump!$D$54,(-BA$167+AZ$182-BA$85-BA$79+BA$63+BA$158-BA172),(AZ$182-BA$85-BA$79+BA$63+BA$158-BA172))</f>
        <v>#REF!</v>
      </c>
      <c r="BB182" s="5" t="e">
        <f>IF(BB$9&lt;Assump!$D$54,(-BB$167+BA$182-BB$85-BB$79+BB$63+BB$158-BB172),(BA$182-BB$85-BB$79+BB$63+BB$158-BB172))</f>
        <v>#REF!</v>
      </c>
      <c r="BC182" s="5" t="e">
        <f>IF(BC$9&lt;Assump!$D$54,(-BC$167+BB$182-BC$85-BC$79+BC$63+BC$158-BC172),(BB$182-BC$85-BC$79+BC$63+BC$158-BC172))</f>
        <v>#REF!</v>
      </c>
      <c r="BD182" s="5" t="e">
        <f>IF(BD$9&lt;Assump!$D$54,(-BD$167+BC$182-BD$85-BD$79+BD$63+BD$158-BD172),(BC$182-BD$85-BD$79+BD$63+BD$158-BD172))</f>
        <v>#REF!</v>
      </c>
      <c r="BE182" s="5" t="e">
        <f>IF(BE$9&lt;Assump!$D$54,(-BE$167+BD$182-BE$85-BE$79+BE$63+BE$158-BE172),(BD$182-BE$85-BE$79+BE$63+BE$158-BE172))</f>
        <v>#REF!</v>
      </c>
      <c r="BF182" s="5" t="e">
        <f>IF(BF$9&lt;Assump!$D$54,(-BF$167+BE$182-BF$85-BF$79+BF$63+BF$158-BF172),(BE$182-BF$85-BF$79+BF$63+BF$158-BF172))</f>
        <v>#REF!</v>
      </c>
      <c r="BG182" s="5" t="e">
        <f>IF(BG$9&lt;Assump!$D$54,(-BG$167+BF$182-BG$85-BG$79+BG$63+BG$158-BG172),(BF$182-BG$85-BG$79+BG$63+BG$158-BG172))</f>
        <v>#REF!</v>
      </c>
      <c r="BH182" s="5" t="e">
        <f>IF(BH$9&lt;Assump!$D$54,(-BH$167+BG$182-BH$85-BH$79+BH$63+BH$158-BH172),(BG$182-BH$85-BH$79+BH$63+BH$158-BH172))</f>
        <v>#REF!</v>
      </c>
      <c r="BI182" s="5" t="e">
        <f>IF(BI$9&lt;Assump!$D$54,(-BI$167+BH$182-BI$85-BI$79+BI$63+BI$158-BI172),(BH$182-BI$85-BI$79+BI$63+BI$158-BI172))</f>
        <v>#REF!</v>
      </c>
      <c r="BJ182" s="5" t="e">
        <f>IF(BJ$9&lt;Assump!$D$54,(-BJ$167+BI$182-BJ$85-BJ$79+BJ$63+BJ$158-BJ172),(BI$182-BJ$85-BJ$79+BJ$63+BJ$158-BJ172))</f>
        <v>#REF!</v>
      </c>
      <c r="BK182" s="5" t="e">
        <f>IF(BK$9&lt;Assump!$D$54,(-BK$167+BJ$182-BK$85-BK$79+BK$63+BK$158-BK172),(BJ$182-BK$85-BK$79+BK$63+BK$158-BK172))</f>
        <v>#REF!</v>
      </c>
      <c r="BL182" s="5" t="e">
        <f>IF(BL$9&lt;Assump!$D$54,(-BL$167+BK$182-BL$85-BL$79+BL$63+BL$158-BL172),(BK$182-BL$85-BL$79+BL$63+BL$158-BL172))</f>
        <v>#REF!</v>
      </c>
      <c r="BM182" s="5" t="e">
        <f>IF(BM$9&lt;Assump!$D$54,(-BM$167+BL$182-BM$85-BM$79+BM$63+BM$158-BM172),(BL$182-BM$85-BM$79+BM$63+BM$158-BM172))</f>
        <v>#REF!</v>
      </c>
      <c r="BN182" s="5" t="e">
        <f>IF(BN$9&lt;Assump!$D$54,(-BN$167+BM$182-BN$85-BN$79+BN$63+BN$158-BN172),(BM$182-BN$85-BN$79+BN$63+BN$158-BN172))</f>
        <v>#REF!</v>
      </c>
      <c r="BO182" s="5" t="e">
        <f>IF(BO$9&lt;Assump!$D$54,(-BO$167+BN$182-BO$85-BO$79+BO$63+BO$158-BO172),(BN$182-BO$85-BO$79+BO$63+BO$158-BO172))</f>
        <v>#REF!</v>
      </c>
      <c r="BP182" s="5" t="e">
        <f>IF(BP$9&lt;Assump!$D$54,(-BP$167+BO$182-BP$85-BP$79+BP$63+BP$158-BP172),(BO$182-BP$85-BP$79+BP$63+BP$158-BP172))</f>
        <v>#REF!</v>
      </c>
      <c r="BQ182" s="5" t="e">
        <f>IF(BQ$9&lt;Assump!$D$54,(-BQ$167+BP$182-BQ$85-BQ$79+BQ$63+BQ$158-BQ172),(BP$182-BQ$85-BQ$79+BQ$63+BQ$158-BQ172))</f>
        <v>#REF!</v>
      </c>
      <c r="BR182" s="5" t="e">
        <f>IF(BR$9&lt;Assump!$D$54,(-BR$167+BQ$182-BR$85-BR$79+BR$63+BR$158-BR172),(BQ$182-BR$85-BR$79+BR$63+BR$158-BR172))</f>
        <v>#REF!</v>
      </c>
      <c r="BS182" s="5" t="e">
        <f>IF(BS$9&lt;Assump!$D$54,(-BS$167+BR$182-BS$85-BS$79+BS$63+BS$158-BS172),(BR$182-BS$85-BS$79+BS$63+BS$158-BS172))</f>
        <v>#REF!</v>
      </c>
      <c r="BT182" s="5" t="e">
        <f>IF(BT$9&lt;Assump!$D$54,(-BT$167+BS$182-BT$85-BT$79+BT$63+BT$158-BT172),(BS$182-BT$85-BT$79+BT$63+BT$158-BT172))</f>
        <v>#REF!</v>
      </c>
      <c r="BU182" s="5" t="e">
        <f>IF(BU$9&lt;Assump!$D$54,(-BU$167+BT$182-BU$85-BU$79+BU$63+BU$158-BU172),(BT$182-BU$85-BU$79+BU$63+BU$158-BU172))</f>
        <v>#REF!</v>
      </c>
      <c r="BV182" s="5" t="e">
        <f>IF(BV$9&lt;Assump!$D$54,(-BV$167+BU$182-BV$85-BV$79+BV$63+BV$158-BV172),(BU$182-BV$85-BV$79+BV$63+BV$158-BV172))</f>
        <v>#REF!</v>
      </c>
      <c r="BW182" s="5" t="e">
        <f>IF(BW$9&lt;Assump!$D$54,(-BW$167+BV$182-BW$85-BW$79+BW$63+BW$158-BW172),(BV$182-BW$85-BW$79+BW$63+BW$158-BW172))</f>
        <v>#REF!</v>
      </c>
      <c r="BX182" s="5" t="e">
        <f>IF(BX$9&lt;Assump!$D$54,(-BX$167+BW$182-BX$85-BX$79+BX$63+BX$158-BX172),(BW$182-BX$85-BX$79+BX$63+BX$158-BX172))</f>
        <v>#REF!</v>
      </c>
      <c r="BY182" s="5" t="e">
        <f>IF(BY$9&lt;Assump!$D$54,(-BY$167+BX$182-BY$85-BY$79+BY$63+BY$158-BY172),(BX$182-BY$85-BY$79+BY$63+BY$158-BY172))</f>
        <v>#REF!</v>
      </c>
      <c r="BZ182" s="5" t="e">
        <f>IF(BZ$9&lt;Assump!$D$54,(-BZ$167+BY$182-BZ$85-BZ$79+BZ$63+BZ$158-BZ172),(BY$182-BZ$85-BZ$79+BZ$63+BZ$158-BZ172))</f>
        <v>#REF!</v>
      </c>
      <c r="CA182" s="5" t="e">
        <f>IF(CA$9&lt;Assump!$D$54,(-CA$167+BZ$182-CA$85-CA$79+CA$63+CA$158-CA172),(BZ$182-CA$85-CA$79+CA$63+CA$158-CA172))</f>
        <v>#REF!</v>
      </c>
      <c r="CB182" s="5" t="e">
        <f>IF(CB$9&lt;Assump!$D$54,(-CB$167+CA$182-CB$85-CB$79+CB$63+CB$158-CB172),(CA$182-CB$85-CB$79+CB$63+CB$158-CB172))</f>
        <v>#REF!</v>
      </c>
      <c r="CC182" s="5" t="e">
        <f>IF(CC$9&lt;Assump!$D$54,(-CC$167+CB$182-CC$85-CC$79+CC$63+CC$158-CC172),(CB$182-CC$85-CC$79+CC$63+CC$158-CC172))</f>
        <v>#REF!</v>
      </c>
      <c r="CD182" s="5" t="e">
        <f>IF(CD$9&lt;Assump!$D$54,(-CD$167+CC$182-CD$85-CD$79+CD$63+CD$158-CD172),(CC$182-CD$85-CD$79+CD$63+CD$158-CD172))</f>
        <v>#REF!</v>
      </c>
      <c r="CE182" s="5" t="e">
        <f>IF(CE$9&lt;Assump!$D$54,(-CE$167+CD$182-CE$85-CE$79+CE$63+CE$158-CE172),(CD$182-CE$85-CE$79+CE$63+CE$158-CE172))</f>
        <v>#REF!</v>
      </c>
      <c r="CF182" s="5" t="e">
        <f>IF(CF$9&lt;Assump!$D$54,(-CF$167+CE$182-CF$85-CF$79+CF$63+CF$158-CF172),(CE$182-CF$85-CF$79+CF$63+CF$158-CF172))</f>
        <v>#REF!</v>
      </c>
      <c r="CG182" s="5" t="e">
        <f>IF(CG$9&lt;Assump!$D$54,(-CG$167+CF$182-CG$85-CG$79+CG$63+CG$158-CG172),(CF$182-CG$85-CG$79+CG$63+CG$158-CG172))</f>
        <v>#REF!</v>
      </c>
      <c r="CH182" s="5" t="e">
        <f>IF(CH$9&lt;Assump!$D$54,(-CH$167+CG$182-CH$85-CH$79+CH$63+CH$158-CH172),(CG$182-CH$85-CH$79+CH$63+CH$158-CH172))</f>
        <v>#REF!</v>
      </c>
      <c r="CI182" s="5" t="e">
        <f>IF(CI$9&lt;Assump!$D$54,(-CI$167+CH$182-CI$85-CI$79+CI$63+CI$158-CI172),(CH$182-CI$85-CI$79+CI$63+CI$158-CI172))</f>
        <v>#REF!</v>
      </c>
      <c r="CJ182" s="5" t="e">
        <f>IF(CJ$9&lt;Assump!$D$54,(-CJ$167+CI$182-CJ$85-CJ$79+CJ$63+CJ$158-CJ172),(CI$182-CJ$85-CJ$79+CJ$63+CJ$158-CJ172))</f>
        <v>#REF!</v>
      </c>
      <c r="CK182" s="5" t="e">
        <f>IF(CK$9&lt;Assump!$D$54,(-CK$167+CJ$182-CK$85-CK$79+CK$63+CK$158-CK172),(CJ$182-CK$85-CK$79+CK$63+CK$158-CK172))</f>
        <v>#REF!</v>
      </c>
      <c r="CL182" s="5" t="e">
        <f>IF(CL$9&lt;Assump!$D$54,(-CL$167+CK$182-CL$85-CL$79+CL$63+CL$158-CL172),(CK$182-CL$85-CL$79+CL$63+CL$158-CL172))</f>
        <v>#REF!</v>
      </c>
      <c r="CM182" s="5" t="e">
        <f>IF(CM$9&lt;Assump!$D$54,(-CM$167+CL$182-CM$85-CM$79+CM$63+CM$158-CM172),(CL$182-CM$85-CM$79+CM$63+CM$158-CM172))</f>
        <v>#REF!</v>
      </c>
      <c r="CN182" s="5" t="e">
        <f>IF(CN$9&lt;Assump!$D$54,(-CN$167+CM$182-CN$85-CN$79+CN$63+CN$158-CN172),(CM$182-CN$85-CN$79+CN$63+CN$158-CN172))</f>
        <v>#REF!</v>
      </c>
      <c r="CO182" s="5"/>
    </row>
    <row r="183" spans="1:93" ht="12.75" customHeight="1" outlineLevel="1">
      <c r="A183" s="112"/>
      <c r="B183" s="119" t="s">
        <v>248</v>
      </c>
      <c r="C183" s="120"/>
      <c r="D183" s="121" t="e">
        <f t="shared" ref="D183:CN183" si="128">D176+D181</f>
        <v>#REF!</v>
      </c>
      <c r="E183" s="120" t="e">
        <f t="shared" si="128"/>
        <v>#REF!</v>
      </c>
      <c r="F183" s="120" t="e">
        <f t="shared" si="128"/>
        <v>#REF!</v>
      </c>
      <c r="G183" s="120" t="e">
        <f t="shared" si="128"/>
        <v>#REF!</v>
      </c>
      <c r="H183" s="120" t="e">
        <f t="shared" si="128"/>
        <v>#REF!</v>
      </c>
      <c r="I183" s="120" t="e">
        <f t="shared" si="128"/>
        <v>#REF!</v>
      </c>
      <c r="J183" s="120" t="e">
        <f t="shared" si="128"/>
        <v>#REF!</v>
      </c>
      <c r="K183" s="120" t="e">
        <f t="shared" si="128"/>
        <v>#REF!</v>
      </c>
      <c r="L183" s="120" t="e">
        <f t="shared" si="128"/>
        <v>#REF!</v>
      </c>
      <c r="M183" s="120" t="e">
        <f t="shared" si="128"/>
        <v>#REF!</v>
      </c>
      <c r="N183" s="120" t="e">
        <f t="shared" si="128"/>
        <v>#REF!</v>
      </c>
      <c r="O183" s="120" t="e">
        <f t="shared" si="128"/>
        <v>#REF!</v>
      </c>
      <c r="P183" s="120" t="e">
        <f t="shared" si="128"/>
        <v>#REF!</v>
      </c>
      <c r="Q183" s="120" t="e">
        <f t="shared" si="128"/>
        <v>#REF!</v>
      </c>
      <c r="R183" s="120" t="e">
        <f t="shared" si="128"/>
        <v>#REF!</v>
      </c>
      <c r="S183" s="120" t="e">
        <f t="shared" si="128"/>
        <v>#REF!</v>
      </c>
      <c r="T183" s="120" t="e">
        <f t="shared" si="128"/>
        <v>#REF!</v>
      </c>
      <c r="U183" s="120" t="e">
        <f t="shared" si="128"/>
        <v>#REF!</v>
      </c>
      <c r="V183" s="120" t="e">
        <f t="shared" si="128"/>
        <v>#REF!</v>
      </c>
      <c r="W183" s="120" t="e">
        <f t="shared" si="128"/>
        <v>#REF!</v>
      </c>
      <c r="X183" s="120" t="e">
        <f t="shared" si="128"/>
        <v>#REF!</v>
      </c>
      <c r="Y183" s="120" t="e">
        <f t="shared" si="128"/>
        <v>#REF!</v>
      </c>
      <c r="Z183" s="120" t="e">
        <f t="shared" si="128"/>
        <v>#REF!</v>
      </c>
      <c r="AA183" s="120" t="e">
        <f t="shared" si="128"/>
        <v>#REF!</v>
      </c>
      <c r="AB183" s="120" t="e">
        <f t="shared" si="128"/>
        <v>#REF!</v>
      </c>
      <c r="AC183" s="120" t="e">
        <f t="shared" si="128"/>
        <v>#REF!</v>
      </c>
      <c r="AD183" s="120" t="e">
        <f t="shared" si="128"/>
        <v>#REF!</v>
      </c>
      <c r="AE183" s="120" t="e">
        <f t="shared" si="128"/>
        <v>#REF!</v>
      </c>
      <c r="AF183" s="120" t="e">
        <f t="shared" si="128"/>
        <v>#REF!</v>
      </c>
      <c r="AG183" s="120" t="e">
        <f t="shared" si="128"/>
        <v>#REF!</v>
      </c>
      <c r="AH183" s="120" t="e">
        <f t="shared" si="128"/>
        <v>#REF!</v>
      </c>
      <c r="AI183" s="120" t="e">
        <f t="shared" si="128"/>
        <v>#REF!</v>
      </c>
      <c r="AJ183" s="120" t="e">
        <f t="shared" si="128"/>
        <v>#REF!</v>
      </c>
      <c r="AK183" s="120" t="e">
        <f t="shared" si="128"/>
        <v>#REF!</v>
      </c>
      <c r="AL183" s="120" t="e">
        <f t="shared" si="128"/>
        <v>#REF!</v>
      </c>
      <c r="AM183" s="120" t="e">
        <f t="shared" si="128"/>
        <v>#REF!</v>
      </c>
      <c r="AN183" s="120" t="e">
        <f t="shared" si="128"/>
        <v>#REF!</v>
      </c>
      <c r="AO183" s="120" t="e">
        <f t="shared" si="128"/>
        <v>#REF!</v>
      </c>
      <c r="AP183" s="120" t="e">
        <f t="shared" si="128"/>
        <v>#REF!</v>
      </c>
      <c r="AQ183" s="120" t="e">
        <f t="shared" si="128"/>
        <v>#REF!</v>
      </c>
      <c r="AR183" s="120" t="e">
        <f t="shared" si="128"/>
        <v>#REF!</v>
      </c>
      <c r="AS183" s="120" t="e">
        <f t="shared" si="128"/>
        <v>#REF!</v>
      </c>
      <c r="AT183" s="120" t="e">
        <f t="shared" si="128"/>
        <v>#REF!</v>
      </c>
      <c r="AU183" s="120" t="e">
        <f t="shared" si="128"/>
        <v>#REF!</v>
      </c>
      <c r="AV183" s="120" t="e">
        <f t="shared" si="128"/>
        <v>#REF!</v>
      </c>
      <c r="AW183" s="120" t="e">
        <f t="shared" si="128"/>
        <v>#REF!</v>
      </c>
      <c r="AX183" s="120" t="e">
        <f t="shared" si="128"/>
        <v>#REF!</v>
      </c>
      <c r="AY183" s="120" t="e">
        <f t="shared" si="128"/>
        <v>#REF!</v>
      </c>
      <c r="AZ183" s="120" t="e">
        <f t="shared" si="128"/>
        <v>#REF!</v>
      </c>
      <c r="BA183" s="120" t="e">
        <f t="shared" si="128"/>
        <v>#REF!</v>
      </c>
      <c r="BB183" s="120" t="e">
        <f t="shared" si="128"/>
        <v>#REF!</v>
      </c>
      <c r="BC183" s="120" t="e">
        <f t="shared" si="128"/>
        <v>#REF!</v>
      </c>
      <c r="BD183" s="120" t="e">
        <f t="shared" si="128"/>
        <v>#REF!</v>
      </c>
      <c r="BE183" s="120" t="e">
        <f t="shared" si="128"/>
        <v>#REF!</v>
      </c>
      <c r="BF183" s="120" t="e">
        <f t="shared" si="128"/>
        <v>#REF!</v>
      </c>
      <c r="BG183" s="120" t="e">
        <f t="shared" si="128"/>
        <v>#REF!</v>
      </c>
      <c r="BH183" s="120" t="e">
        <f t="shared" si="128"/>
        <v>#REF!</v>
      </c>
      <c r="BI183" s="120" t="e">
        <f t="shared" si="128"/>
        <v>#REF!</v>
      </c>
      <c r="BJ183" s="120" t="e">
        <f t="shared" si="128"/>
        <v>#REF!</v>
      </c>
      <c r="BK183" s="120" t="e">
        <f t="shared" si="128"/>
        <v>#REF!</v>
      </c>
      <c r="BL183" s="120" t="e">
        <f t="shared" si="128"/>
        <v>#REF!</v>
      </c>
      <c r="BM183" s="120" t="e">
        <f t="shared" si="128"/>
        <v>#REF!</v>
      </c>
      <c r="BN183" s="120" t="e">
        <f t="shared" si="128"/>
        <v>#REF!</v>
      </c>
      <c r="BO183" s="120" t="e">
        <f t="shared" si="128"/>
        <v>#REF!</v>
      </c>
      <c r="BP183" s="120" t="e">
        <f t="shared" si="128"/>
        <v>#REF!</v>
      </c>
      <c r="BQ183" s="120" t="e">
        <f t="shared" si="128"/>
        <v>#REF!</v>
      </c>
      <c r="BR183" s="120" t="e">
        <f t="shared" si="128"/>
        <v>#REF!</v>
      </c>
      <c r="BS183" s="120" t="e">
        <f t="shared" si="128"/>
        <v>#REF!</v>
      </c>
      <c r="BT183" s="120" t="e">
        <f t="shared" si="128"/>
        <v>#REF!</v>
      </c>
      <c r="BU183" s="120" t="e">
        <f t="shared" si="128"/>
        <v>#REF!</v>
      </c>
      <c r="BV183" s="120" t="e">
        <f t="shared" si="128"/>
        <v>#REF!</v>
      </c>
      <c r="BW183" s="120" t="e">
        <f t="shared" si="128"/>
        <v>#REF!</v>
      </c>
      <c r="BX183" s="120" t="e">
        <f t="shared" si="128"/>
        <v>#REF!</v>
      </c>
      <c r="BY183" s="120" t="e">
        <f t="shared" si="128"/>
        <v>#REF!</v>
      </c>
      <c r="BZ183" s="120" t="e">
        <f t="shared" si="128"/>
        <v>#REF!</v>
      </c>
      <c r="CA183" s="120" t="e">
        <f t="shared" si="128"/>
        <v>#REF!</v>
      </c>
      <c r="CB183" s="120" t="e">
        <f t="shared" si="128"/>
        <v>#REF!</v>
      </c>
      <c r="CC183" s="120" t="e">
        <f t="shared" si="128"/>
        <v>#REF!</v>
      </c>
      <c r="CD183" s="120" t="e">
        <f t="shared" si="128"/>
        <v>#REF!</v>
      </c>
      <c r="CE183" s="120" t="e">
        <f t="shared" si="128"/>
        <v>#REF!</v>
      </c>
      <c r="CF183" s="120" t="e">
        <f t="shared" si="128"/>
        <v>#REF!</v>
      </c>
      <c r="CG183" s="120" t="e">
        <f t="shared" si="128"/>
        <v>#REF!</v>
      </c>
      <c r="CH183" s="120" t="e">
        <f t="shared" si="128"/>
        <v>#REF!</v>
      </c>
      <c r="CI183" s="120" t="e">
        <f t="shared" si="128"/>
        <v>#REF!</v>
      </c>
      <c r="CJ183" s="120" t="e">
        <f t="shared" si="128"/>
        <v>#REF!</v>
      </c>
      <c r="CK183" s="120" t="e">
        <f t="shared" si="128"/>
        <v>#REF!</v>
      </c>
      <c r="CL183" s="120" t="e">
        <f t="shared" si="128"/>
        <v>#REF!</v>
      </c>
      <c r="CM183" s="120" t="e">
        <f t="shared" si="128"/>
        <v>#REF!</v>
      </c>
      <c r="CN183" s="120" t="e">
        <f t="shared" si="128"/>
        <v>#REF!</v>
      </c>
      <c r="CO183" s="120"/>
    </row>
    <row r="184" spans="1:93" ht="12.75" customHeight="1" outlineLevel="1">
      <c r="A184" s="112"/>
      <c r="B184" s="122" t="s">
        <v>249</v>
      </c>
      <c r="C184" s="112"/>
      <c r="D184" s="118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123"/>
      <c r="BL184" s="123"/>
      <c r="BM184" s="123"/>
      <c r="BN184" s="123"/>
      <c r="BO184" s="123"/>
      <c r="BP184" s="123"/>
      <c r="BQ184" s="123"/>
      <c r="BR184" s="123"/>
      <c r="BS184" s="123"/>
      <c r="BT184" s="123"/>
      <c r="BU184" s="123"/>
      <c r="BV184" s="123"/>
      <c r="BW184" s="123"/>
      <c r="BX184" s="123"/>
      <c r="BY184" s="123"/>
      <c r="BZ184" s="123"/>
      <c r="CA184" s="123"/>
      <c r="CB184" s="123"/>
      <c r="CC184" s="123"/>
      <c r="CD184" s="123"/>
      <c r="CE184" s="123"/>
      <c r="CF184" s="123"/>
      <c r="CG184" s="123"/>
      <c r="CH184" s="123"/>
      <c r="CI184" s="123"/>
      <c r="CJ184" s="123"/>
      <c r="CK184" s="123"/>
      <c r="CL184" s="123"/>
      <c r="CM184" s="123"/>
      <c r="CN184" s="123"/>
      <c r="CO184" s="123"/>
    </row>
    <row r="185" spans="1:93" ht="12.75" customHeight="1" outlineLevel="1">
      <c r="A185" s="112"/>
      <c r="B185" s="112" t="s">
        <v>250</v>
      </c>
      <c r="C185" s="112"/>
      <c r="D185" s="116">
        <f>D186+D187</f>
        <v>0</v>
      </c>
      <c r="E185" s="112" t="e">
        <f t="shared" ref="E185:BP185" si="129">E186+E187</f>
        <v>#REF!</v>
      </c>
      <c r="F185" s="112" t="e">
        <f t="shared" si="129"/>
        <v>#REF!</v>
      </c>
      <c r="G185" s="112" t="e">
        <f t="shared" si="129"/>
        <v>#REF!</v>
      </c>
      <c r="H185" s="112" t="e">
        <f t="shared" si="129"/>
        <v>#REF!</v>
      </c>
      <c r="I185" s="112" t="e">
        <f t="shared" si="129"/>
        <v>#REF!</v>
      </c>
      <c r="J185" s="112" t="e">
        <f t="shared" si="129"/>
        <v>#REF!</v>
      </c>
      <c r="K185" s="112" t="e">
        <f t="shared" si="129"/>
        <v>#REF!</v>
      </c>
      <c r="L185" s="112" t="e">
        <f t="shared" si="129"/>
        <v>#REF!</v>
      </c>
      <c r="M185" s="112" t="e">
        <f t="shared" si="129"/>
        <v>#REF!</v>
      </c>
      <c r="N185" s="112" t="e">
        <f t="shared" si="129"/>
        <v>#REF!</v>
      </c>
      <c r="O185" s="112" t="e">
        <f t="shared" si="129"/>
        <v>#REF!</v>
      </c>
      <c r="P185" s="112" t="e">
        <f t="shared" si="129"/>
        <v>#REF!</v>
      </c>
      <c r="Q185" s="112" t="e">
        <f t="shared" si="129"/>
        <v>#REF!</v>
      </c>
      <c r="R185" s="112" t="e">
        <f t="shared" si="129"/>
        <v>#REF!</v>
      </c>
      <c r="S185" s="112" t="e">
        <f t="shared" si="129"/>
        <v>#REF!</v>
      </c>
      <c r="T185" s="112" t="e">
        <f t="shared" si="129"/>
        <v>#REF!</v>
      </c>
      <c r="U185" s="112" t="e">
        <f t="shared" si="129"/>
        <v>#REF!</v>
      </c>
      <c r="V185" s="112" t="e">
        <f t="shared" si="129"/>
        <v>#REF!</v>
      </c>
      <c r="W185" s="112" t="e">
        <f t="shared" si="129"/>
        <v>#REF!</v>
      </c>
      <c r="X185" s="112" t="e">
        <f t="shared" si="129"/>
        <v>#REF!</v>
      </c>
      <c r="Y185" s="112" t="e">
        <f t="shared" si="129"/>
        <v>#REF!</v>
      </c>
      <c r="Z185" s="112" t="e">
        <f t="shared" si="129"/>
        <v>#REF!</v>
      </c>
      <c r="AA185" s="112" t="e">
        <f t="shared" si="129"/>
        <v>#REF!</v>
      </c>
      <c r="AB185" s="112" t="e">
        <f t="shared" si="129"/>
        <v>#REF!</v>
      </c>
      <c r="AC185" s="112" t="e">
        <f t="shared" si="129"/>
        <v>#REF!</v>
      </c>
      <c r="AD185" s="112" t="e">
        <f t="shared" si="129"/>
        <v>#REF!</v>
      </c>
      <c r="AE185" s="112" t="e">
        <f t="shared" si="129"/>
        <v>#REF!</v>
      </c>
      <c r="AF185" s="112" t="e">
        <f t="shared" si="129"/>
        <v>#REF!</v>
      </c>
      <c r="AG185" s="112" t="e">
        <f t="shared" si="129"/>
        <v>#REF!</v>
      </c>
      <c r="AH185" s="112" t="e">
        <f t="shared" si="129"/>
        <v>#REF!</v>
      </c>
      <c r="AI185" s="112" t="e">
        <f t="shared" si="129"/>
        <v>#REF!</v>
      </c>
      <c r="AJ185" s="112" t="e">
        <f t="shared" si="129"/>
        <v>#REF!</v>
      </c>
      <c r="AK185" s="112" t="e">
        <f t="shared" si="129"/>
        <v>#REF!</v>
      </c>
      <c r="AL185" s="112" t="e">
        <f t="shared" si="129"/>
        <v>#REF!</v>
      </c>
      <c r="AM185" s="112" t="e">
        <f t="shared" si="129"/>
        <v>#REF!</v>
      </c>
      <c r="AN185" s="112" t="e">
        <f t="shared" si="129"/>
        <v>#REF!</v>
      </c>
      <c r="AO185" s="112" t="e">
        <f t="shared" si="129"/>
        <v>#REF!</v>
      </c>
      <c r="AP185" s="112" t="e">
        <f t="shared" si="129"/>
        <v>#REF!</v>
      </c>
      <c r="AQ185" s="112" t="e">
        <f t="shared" si="129"/>
        <v>#REF!</v>
      </c>
      <c r="AR185" s="112" t="e">
        <f t="shared" si="129"/>
        <v>#REF!</v>
      </c>
      <c r="AS185" s="112" t="e">
        <f t="shared" si="129"/>
        <v>#REF!</v>
      </c>
      <c r="AT185" s="112" t="e">
        <f t="shared" si="129"/>
        <v>#REF!</v>
      </c>
      <c r="AU185" s="112" t="e">
        <f t="shared" si="129"/>
        <v>#REF!</v>
      </c>
      <c r="AV185" s="112" t="e">
        <f t="shared" si="129"/>
        <v>#REF!</v>
      </c>
      <c r="AW185" s="112" t="e">
        <f t="shared" si="129"/>
        <v>#REF!</v>
      </c>
      <c r="AX185" s="112" t="e">
        <f t="shared" si="129"/>
        <v>#REF!</v>
      </c>
      <c r="AY185" s="112" t="e">
        <f t="shared" si="129"/>
        <v>#REF!</v>
      </c>
      <c r="AZ185" s="112" t="e">
        <f t="shared" si="129"/>
        <v>#REF!</v>
      </c>
      <c r="BA185" s="112" t="e">
        <f t="shared" si="129"/>
        <v>#REF!</v>
      </c>
      <c r="BB185" s="112" t="e">
        <f t="shared" si="129"/>
        <v>#REF!</v>
      </c>
      <c r="BC185" s="112" t="e">
        <f t="shared" si="129"/>
        <v>#REF!</v>
      </c>
      <c r="BD185" s="112" t="e">
        <f t="shared" si="129"/>
        <v>#REF!</v>
      </c>
      <c r="BE185" s="112" t="e">
        <f t="shared" si="129"/>
        <v>#REF!</v>
      </c>
      <c r="BF185" s="112" t="e">
        <f t="shared" si="129"/>
        <v>#REF!</v>
      </c>
      <c r="BG185" s="112" t="e">
        <f t="shared" si="129"/>
        <v>#REF!</v>
      </c>
      <c r="BH185" s="112" t="e">
        <f t="shared" si="129"/>
        <v>#REF!</v>
      </c>
      <c r="BI185" s="112" t="e">
        <f t="shared" si="129"/>
        <v>#REF!</v>
      </c>
      <c r="BJ185" s="112" t="e">
        <f t="shared" si="129"/>
        <v>#REF!</v>
      </c>
      <c r="BK185" s="112" t="e">
        <f t="shared" si="129"/>
        <v>#REF!</v>
      </c>
      <c r="BL185" s="112" t="e">
        <f t="shared" si="129"/>
        <v>#REF!</v>
      </c>
      <c r="BM185" s="112" t="e">
        <f t="shared" si="129"/>
        <v>#REF!</v>
      </c>
      <c r="BN185" s="112" t="e">
        <f t="shared" si="129"/>
        <v>#REF!</v>
      </c>
      <c r="BO185" s="112" t="e">
        <f t="shared" si="129"/>
        <v>#REF!</v>
      </c>
      <c r="BP185" s="112" t="e">
        <f t="shared" si="129"/>
        <v>#REF!</v>
      </c>
      <c r="BQ185" s="112" t="e">
        <f t="shared" ref="BQ185:CN185" si="130">BQ186+BQ187</f>
        <v>#REF!</v>
      </c>
      <c r="BR185" s="112" t="e">
        <f t="shared" si="130"/>
        <v>#REF!</v>
      </c>
      <c r="BS185" s="112" t="e">
        <f t="shared" si="130"/>
        <v>#REF!</v>
      </c>
      <c r="BT185" s="112" t="e">
        <f t="shared" si="130"/>
        <v>#REF!</v>
      </c>
      <c r="BU185" s="112" t="e">
        <f t="shared" si="130"/>
        <v>#REF!</v>
      </c>
      <c r="BV185" s="112" t="e">
        <f t="shared" si="130"/>
        <v>#REF!</v>
      </c>
      <c r="BW185" s="112" t="e">
        <f t="shared" si="130"/>
        <v>#REF!</v>
      </c>
      <c r="BX185" s="112" t="e">
        <f t="shared" si="130"/>
        <v>#REF!</v>
      </c>
      <c r="BY185" s="112" t="e">
        <f t="shared" si="130"/>
        <v>#REF!</v>
      </c>
      <c r="BZ185" s="112" t="e">
        <f t="shared" si="130"/>
        <v>#REF!</v>
      </c>
      <c r="CA185" s="112" t="e">
        <f t="shared" si="130"/>
        <v>#REF!</v>
      </c>
      <c r="CB185" s="112" t="e">
        <f t="shared" si="130"/>
        <v>#REF!</v>
      </c>
      <c r="CC185" s="112" t="e">
        <f t="shared" si="130"/>
        <v>#REF!</v>
      </c>
      <c r="CD185" s="112" t="e">
        <f t="shared" si="130"/>
        <v>#REF!</v>
      </c>
      <c r="CE185" s="112" t="e">
        <f t="shared" si="130"/>
        <v>#REF!</v>
      </c>
      <c r="CF185" s="112" t="e">
        <f t="shared" si="130"/>
        <v>#REF!</v>
      </c>
      <c r="CG185" s="112" t="e">
        <f t="shared" si="130"/>
        <v>#REF!</v>
      </c>
      <c r="CH185" s="112" t="e">
        <f t="shared" si="130"/>
        <v>#REF!</v>
      </c>
      <c r="CI185" s="112" t="e">
        <f t="shared" si="130"/>
        <v>#REF!</v>
      </c>
      <c r="CJ185" s="112" t="e">
        <f t="shared" si="130"/>
        <v>#REF!</v>
      </c>
      <c r="CK185" s="112" t="e">
        <f t="shared" si="130"/>
        <v>#REF!</v>
      </c>
      <c r="CL185" s="112" t="e">
        <f t="shared" si="130"/>
        <v>#REF!</v>
      </c>
      <c r="CM185" s="112" t="e">
        <f t="shared" si="130"/>
        <v>#REF!</v>
      </c>
      <c r="CN185" s="112" t="e">
        <f t="shared" si="130"/>
        <v>#REF!</v>
      </c>
      <c r="CO185" s="112"/>
    </row>
    <row r="186" spans="1:93" ht="12.75" customHeight="1">
      <c r="A186" s="117"/>
      <c r="B186" s="26" t="s">
        <v>251</v>
      </c>
      <c r="C186" s="117"/>
      <c r="D186" s="118">
        <f>D74+D77+D78</f>
        <v>0</v>
      </c>
      <c r="E186" s="5" t="e">
        <f t="shared" ref="E186:AJ186" si="131">E74+E77+E78+D186</f>
        <v>#REF!</v>
      </c>
      <c r="F186" s="5" t="e">
        <f t="shared" si="131"/>
        <v>#REF!</v>
      </c>
      <c r="G186" s="5" t="e">
        <f t="shared" si="131"/>
        <v>#REF!</v>
      </c>
      <c r="H186" s="5" t="e">
        <f t="shared" si="131"/>
        <v>#REF!</v>
      </c>
      <c r="I186" s="5" t="e">
        <f t="shared" si="131"/>
        <v>#REF!</v>
      </c>
      <c r="J186" s="5" t="e">
        <f t="shared" si="131"/>
        <v>#REF!</v>
      </c>
      <c r="K186" s="5" t="e">
        <f t="shared" si="131"/>
        <v>#REF!</v>
      </c>
      <c r="L186" s="5" t="e">
        <f t="shared" si="131"/>
        <v>#REF!</v>
      </c>
      <c r="M186" s="5" t="e">
        <f t="shared" si="131"/>
        <v>#REF!</v>
      </c>
      <c r="N186" s="5" t="e">
        <f t="shared" si="131"/>
        <v>#REF!</v>
      </c>
      <c r="O186" s="5" t="e">
        <f t="shared" si="131"/>
        <v>#REF!</v>
      </c>
      <c r="P186" s="5" t="e">
        <f t="shared" si="131"/>
        <v>#REF!</v>
      </c>
      <c r="Q186" s="5" t="e">
        <f t="shared" si="131"/>
        <v>#REF!</v>
      </c>
      <c r="R186" s="5" t="e">
        <f t="shared" si="131"/>
        <v>#REF!</v>
      </c>
      <c r="S186" s="5" t="e">
        <f t="shared" si="131"/>
        <v>#REF!</v>
      </c>
      <c r="T186" s="5" t="e">
        <f t="shared" si="131"/>
        <v>#REF!</v>
      </c>
      <c r="U186" s="5" t="e">
        <f t="shared" si="131"/>
        <v>#REF!</v>
      </c>
      <c r="V186" s="5" t="e">
        <f t="shared" si="131"/>
        <v>#REF!</v>
      </c>
      <c r="W186" s="5" t="e">
        <f t="shared" si="131"/>
        <v>#REF!</v>
      </c>
      <c r="X186" s="5" t="e">
        <f t="shared" si="131"/>
        <v>#REF!</v>
      </c>
      <c r="Y186" s="5" t="e">
        <f t="shared" si="131"/>
        <v>#REF!</v>
      </c>
      <c r="Z186" s="5" t="e">
        <f t="shared" si="131"/>
        <v>#REF!</v>
      </c>
      <c r="AA186" s="5" t="e">
        <f t="shared" si="131"/>
        <v>#REF!</v>
      </c>
      <c r="AB186" s="5" t="e">
        <f t="shared" si="131"/>
        <v>#REF!</v>
      </c>
      <c r="AC186" s="5" t="e">
        <f t="shared" si="131"/>
        <v>#REF!</v>
      </c>
      <c r="AD186" s="5" t="e">
        <f t="shared" si="131"/>
        <v>#REF!</v>
      </c>
      <c r="AE186" s="5" t="e">
        <f t="shared" si="131"/>
        <v>#REF!</v>
      </c>
      <c r="AF186" s="5" t="e">
        <f t="shared" si="131"/>
        <v>#REF!</v>
      </c>
      <c r="AG186" s="5" t="e">
        <f t="shared" si="131"/>
        <v>#REF!</v>
      </c>
      <c r="AH186" s="5" t="e">
        <f t="shared" si="131"/>
        <v>#REF!</v>
      </c>
      <c r="AI186" s="5" t="e">
        <f t="shared" si="131"/>
        <v>#REF!</v>
      </c>
      <c r="AJ186" s="5" t="e">
        <f t="shared" si="131"/>
        <v>#REF!</v>
      </c>
      <c r="AK186" s="5" t="e">
        <f t="shared" ref="AK186:BP186" si="132">AK74+AK77+AK78+AJ186</f>
        <v>#REF!</v>
      </c>
      <c r="AL186" s="5" t="e">
        <f t="shared" si="132"/>
        <v>#REF!</v>
      </c>
      <c r="AM186" s="5" t="e">
        <f t="shared" si="132"/>
        <v>#REF!</v>
      </c>
      <c r="AN186" s="5" t="e">
        <f t="shared" si="132"/>
        <v>#REF!</v>
      </c>
      <c r="AO186" s="5" t="e">
        <f t="shared" si="132"/>
        <v>#REF!</v>
      </c>
      <c r="AP186" s="5" t="e">
        <f t="shared" si="132"/>
        <v>#REF!</v>
      </c>
      <c r="AQ186" s="5" t="e">
        <f t="shared" si="132"/>
        <v>#REF!</v>
      </c>
      <c r="AR186" s="5" t="e">
        <f t="shared" si="132"/>
        <v>#REF!</v>
      </c>
      <c r="AS186" s="5" t="e">
        <f t="shared" si="132"/>
        <v>#REF!</v>
      </c>
      <c r="AT186" s="5" t="e">
        <f t="shared" si="132"/>
        <v>#REF!</v>
      </c>
      <c r="AU186" s="5" t="e">
        <f t="shared" si="132"/>
        <v>#REF!</v>
      </c>
      <c r="AV186" s="5" t="e">
        <f t="shared" si="132"/>
        <v>#REF!</v>
      </c>
      <c r="AW186" s="5" t="e">
        <f t="shared" si="132"/>
        <v>#REF!</v>
      </c>
      <c r="AX186" s="5" t="e">
        <f t="shared" si="132"/>
        <v>#REF!</v>
      </c>
      <c r="AY186" s="5" t="e">
        <f t="shared" si="132"/>
        <v>#REF!</v>
      </c>
      <c r="AZ186" s="5" t="e">
        <f t="shared" si="132"/>
        <v>#REF!</v>
      </c>
      <c r="BA186" s="5" t="e">
        <f t="shared" si="132"/>
        <v>#REF!</v>
      </c>
      <c r="BB186" s="5" t="e">
        <f t="shared" si="132"/>
        <v>#REF!</v>
      </c>
      <c r="BC186" s="5" t="e">
        <f t="shared" si="132"/>
        <v>#REF!</v>
      </c>
      <c r="BD186" s="5" t="e">
        <f t="shared" si="132"/>
        <v>#REF!</v>
      </c>
      <c r="BE186" s="5" t="e">
        <f t="shared" si="132"/>
        <v>#REF!</v>
      </c>
      <c r="BF186" s="5" t="e">
        <f t="shared" si="132"/>
        <v>#REF!</v>
      </c>
      <c r="BG186" s="5" t="e">
        <f t="shared" si="132"/>
        <v>#REF!</v>
      </c>
      <c r="BH186" s="5" t="e">
        <f t="shared" si="132"/>
        <v>#REF!</v>
      </c>
      <c r="BI186" s="5" t="e">
        <f t="shared" si="132"/>
        <v>#REF!</v>
      </c>
      <c r="BJ186" s="5" t="e">
        <f t="shared" si="132"/>
        <v>#REF!</v>
      </c>
      <c r="BK186" s="5" t="e">
        <f t="shared" si="132"/>
        <v>#REF!</v>
      </c>
      <c r="BL186" s="5" t="e">
        <f t="shared" si="132"/>
        <v>#REF!</v>
      </c>
      <c r="BM186" s="5" t="e">
        <f t="shared" si="132"/>
        <v>#REF!</v>
      </c>
      <c r="BN186" s="5" t="e">
        <f t="shared" si="132"/>
        <v>#REF!</v>
      </c>
      <c r="BO186" s="5" t="e">
        <f t="shared" si="132"/>
        <v>#REF!</v>
      </c>
      <c r="BP186" s="5" t="e">
        <f t="shared" si="132"/>
        <v>#REF!</v>
      </c>
      <c r="BQ186" s="5" t="e">
        <f t="shared" ref="BQ186:CN186" si="133">BQ74+BQ77+BQ78+BP186</f>
        <v>#REF!</v>
      </c>
      <c r="BR186" s="5" t="e">
        <f t="shared" si="133"/>
        <v>#REF!</v>
      </c>
      <c r="BS186" s="5" t="e">
        <f t="shared" si="133"/>
        <v>#REF!</v>
      </c>
      <c r="BT186" s="5" t="e">
        <f t="shared" si="133"/>
        <v>#REF!</v>
      </c>
      <c r="BU186" s="5" t="e">
        <f t="shared" si="133"/>
        <v>#REF!</v>
      </c>
      <c r="BV186" s="5" t="e">
        <f t="shared" si="133"/>
        <v>#REF!</v>
      </c>
      <c r="BW186" s="5" t="e">
        <f t="shared" si="133"/>
        <v>#REF!</v>
      </c>
      <c r="BX186" s="5" t="e">
        <f t="shared" si="133"/>
        <v>#REF!</v>
      </c>
      <c r="BY186" s="5" t="e">
        <f t="shared" si="133"/>
        <v>#REF!</v>
      </c>
      <c r="BZ186" s="5" t="e">
        <f t="shared" si="133"/>
        <v>#REF!</v>
      </c>
      <c r="CA186" s="5" t="e">
        <f t="shared" si="133"/>
        <v>#REF!</v>
      </c>
      <c r="CB186" s="5" t="e">
        <f t="shared" si="133"/>
        <v>#REF!</v>
      </c>
      <c r="CC186" s="5" t="e">
        <f t="shared" si="133"/>
        <v>#REF!</v>
      </c>
      <c r="CD186" s="5" t="e">
        <f t="shared" si="133"/>
        <v>#REF!</v>
      </c>
      <c r="CE186" s="5" t="e">
        <f t="shared" si="133"/>
        <v>#REF!</v>
      </c>
      <c r="CF186" s="5" t="e">
        <f t="shared" si="133"/>
        <v>#REF!</v>
      </c>
      <c r="CG186" s="5" t="e">
        <f t="shared" si="133"/>
        <v>#REF!</v>
      </c>
      <c r="CH186" s="5" t="e">
        <f t="shared" si="133"/>
        <v>#REF!</v>
      </c>
      <c r="CI186" s="5" t="e">
        <f t="shared" si="133"/>
        <v>#REF!</v>
      </c>
      <c r="CJ186" s="5" t="e">
        <f t="shared" si="133"/>
        <v>#REF!</v>
      </c>
      <c r="CK186" s="5" t="e">
        <f t="shared" si="133"/>
        <v>#REF!</v>
      </c>
      <c r="CL186" s="5" t="e">
        <f t="shared" si="133"/>
        <v>#REF!</v>
      </c>
      <c r="CM186" s="5" t="e">
        <f t="shared" si="133"/>
        <v>#REF!</v>
      </c>
      <c r="CN186" s="5" t="e">
        <f t="shared" si="133"/>
        <v>#REF!</v>
      </c>
      <c r="CO186" s="5"/>
    </row>
    <row r="187" spans="1:93" ht="12.75" customHeight="1">
      <c r="A187" s="117"/>
      <c r="B187" s="26" t="s">
        <v>631</v>
      </c>
      <c r="C187" s="117"/>
      <c r="D187" s="445">
        <f>-D142</f>
        <v>0</v>
      </c>
      <c r="E187" s="5" t="e">
        <f t="shared" ref="E187:AJ187" si="134">-E142+D187</f>
        <v>#REF!</v>
      </c>
      <c r="F187" s="5" t="e">
        <f t="shared" si="134"/>
        <v>#REF!</v>
      </c>
      <c r="G187" s="5" t="e">
        <f t="shared" si="134"/>
        <v>#REF!</v>
      </c>
      <c r="H187" s="5" t="e">
        <f t="shared" si="134"/>
        <v>#REF!</v>
      </c>
      <c r="I187" s="5" t="e">
        <f t="shared" si="134"/>
        <v>#REF!</v>
      </c>
      <c r="J187" s="5" t="e">
        <f t="shared" si="134"/>
        <v>#REF!</v>
      </c>
      <c r="K187" s="5" t="e">
        <f t="shared" si="134"/>
        <v>#REF!</v>
      </c>
      <c r="L187" s="5" t="e">
        <f t="shared" si="134"/>
        <v>#REF!</v>
      </c>
      <c r="M187" s="5" t="e">
        <f t="shared" si="134"/>
        <v>#REF!</v>
      </c>
      <c r="N187" s="5" t="e">
        <f t="shared" si="134"/>
        <v>#REF!</v>
      </c>
      <c r="O187" s="5" t="e">
        <f t="shared" si="134"/>
        <v>#REF!</v>
      </c>
      <c r="P187" s="5" t="e">
        <f t="shared" si="134"/>
        <v>#REF!</v>
      </c>
      <c r="Q187" s="5" t="e">
        <f t="shared" si="134"/>
        <v>#REF!</v>
      </c>
      <c r="R187" s="5" t="e">
        <f t="shared" si="134"/>
        <v>#REF!</v>
      </c>
      <c r="S187" s="5" t="e">
        <f t="shared" si="134"/>
        <v>#REF!</v>
      </c>
      <c r="T187" s="5" t="e">
        <f t="shared" si="134"/>
        <v>#REF!</v>
      </c>
      <c r="U187" s="5" t="e">
        <f t="shared" si="134"/>
        <v>#REF!</v>
      </c>
      <c r="V187" s="5" t="e">
        <f t="shared" si="134"/>
        <v>#REF!</v>
      </c>
      <c r="W187" s="5" t="e">
        <f t="shared" si="134"/>
        <v>#REF!</v>
      </c>
      <c r="X187" s="5" t="e">
        <f t="shared" si="134"/>
        <v>#REF!</v>
      </c>
      <c r="Y187" s="5" t="e">
        <f t="shared" si="134"/>
        <v>#REF!</v>
      </c>
      <c r="Z187" s="5" t="e">
        <f t="shared" si="134"/>
        <v>#REF!</v>
      </c>
      <c r="AA187" s="5" t="e">
        <f t="shared" si="134"/>
        <v>#REF!</v>
      </c>
      <c r="AB187" s="5" t="e">
        <f t="shared" si="134"/>
        <v>#REF!</v>
      </c>
      <c r="AC187" s="5" t="e">
        <f t="shared" si="134"/>
        <v>#REF!</v>
      </c>
      <c r="AD187" s="5" t="e">
        <f t="shared" si="134"/>
        <v>#REF!</v>
      </c>
      <c r="AE187" s="5" t="e">
        <f t="shared" si="134"/>
        <v>#REF!</v>
      </c>
      <c r="AF187" s="5" t="e">
        <f t="shared" si="134"/>
        <v>#REF!</v>
      </c>
      <c r="AG187" s="5" t="e">
        <f t="shared" si="134"/>
        <v>#REF!</v>
      </c>
      <c r="AH187" s="5" t="e">
        <f t="shared" si="134"/>
        <v>#REF!</v>
      </c>
      <c r="AI187" s="5" t="e">
        <f t="shared" si="134"/>
        <v>#REF!</v>
      </c>
      <c r="AJ187" s="5" t="e">
        <f t="shared" si="134"/>
        <v>#REF!</v>
      </c>
      <c r="AK187" s="5" t="e">
        <f t="shared" ref="AK187:BP187" si="135">-AK142+AJ187</f>
        <v>#REF!</v>
      </c>
      <c r="AL187" s="5" t="e">
        <f t="shared" si="135"/>
        <v>#REF!</v>
      </c>
      <c r="AM187" s="5" t="e">
        <f t="shared" si="135"/>
        <v>#REF!</v>
      </c>
      <c r="AN187" s="5" t="e">
        <f t="shared" si="135"/>
        <v>#REF!</v>
      </c>
      <c r="AO187" s="5" t="e">
        <f t="shared" si="135"/>
        <v>#REF!</v>
      </c>
      <c r="AP187" s="5" t="e">
        <f t="shared" si="135"/>
        <v>#REF!</v>
      </c>
      <c r="AQ187" s="5" t="e">
        <f t="shared" si="135"/>
        <v>#REF!</v>
      </c>
      <c r="AR187" s="5" t="e">
        <f t="shared" si="135"/>
        <v>#REF!</v>
      </c>
      <c r="AS187" s="5" t="e">
        <f t="shared" si="135"/>
        <v>#REF!</v>
      </c>
      <c r="AT187" s="5" t="e">
        <f t="shared" si="135"/>
        <v>#REF!</v>
      </c>
      <c r="AU187" s="5" t="e">
        <f t="shared" si="135"/>
        <v>#REF!</v>
      </c>
      <c r="AV187" s="5" t="e">
        <f t="shared" si="135"/>
        <v>#REF!</v>
      </c>
      <c r="AW187" s="5" t="e">
        <f t="shared" si="135"/>
        <v>#REF!</v>
      </c>
      <c r="AX187" s="5" t="e">
        <f t="shared" si="135"/>
        <v>#REF!</v>
      </c>
      <c r="AY187" s="5" t="e">
        <f t="shared" si="135"/>
        <v>#REF!</v>
      </c>
      <c r="AZ187" s="5" t="e">
        <f t="shared" si="135"/>
        <v>#REF!</v>
      </c>
      <c r="BA187" s="5" t="e">
        <f t="shared" si="135"/>
        <v>#REF!</v>
      </c>
      <c r="BB187" s="5" t="e">
        <f t="shared" si="135"/>
        <v>#REF!</v>
      </c>
      <c r="BC187" s="5" t="e">
        <f t="shared" si="135"/>
        <v>#REF!</v>
      </c>
      <c r="BD187" s="5" t="e">
        <f t="shared" si="135"/>
        <v>#REF!</v>
      </c>
      <c r="BE187" s="5" t="e">
        <f t="shared" si="135"/>
        <v>#REF!</v>
      </c>
      <c r="BF187" s="5" t="e">
        <f t="shared" si="135"/>
        <v>#REF!</v>
      </c>
      <c r="BG187" s="5" t="e">
        <f t="shared" si="135"/>
        <v>#REF!</v>
      </c>
      <c r="BH187" s="5" t="e">
        <f t="shared" si="135"/>
        <v>#REF!</v>
      </c>
      <c r="BI187" s="5" t="e">
        <f t="shared" si="135"/>
        <v>#REF!</v>
      </c>
      <c r="BJ187" s="5" t="e">
        <f t="shared" si="135"/>
        <v>#REF!</v>
      </c>
      <c r="BK187" s="5" t="e">
        <f t="shared" si="135"/>
        <v>#REF!</v>
      </c>
      <c r="BL187" s="5" t="e">
        <f t="shared" si="135"/>
        <v>#REF!</v>
      </c>
      <c r="BM187" s="5" t="e">
        <f t="shared" si="135"/>
        <v>#REF!</v>
      </c>
      <c r="BN187" s="5" t="e">
        <f t="shared" si="135"/>
        <v>#REF!</v>
      </c>
      <c r="BO187" s="5" t="e">
        <f t="shared" si="135"/>
        <v>#REF!</v>
      </c>
      <c r="BP187" s="5" t="e">
        <f t="shared" si="135"/>
        <v>#REF!</v>
      </c>
      <c r="BQ187" s="5" t="e">
        <f t="shared" ref="BQ187:CN187" si="136">-BQ142+BP187</f>
        <v>#REF!</v>
      </c>
      <c r="BR187" s="5" t="e">
        <f t="shared" si="136"/>
        <v>#REF!</v>
      </c>
      <c r="BS187" s="5" t="e">
        <f t="shared" si="136"/>
        <v>#REF!</v>
      </c>
      <c r="BT187" s="5" t="e">
        <f t="shared" si="136"/>
        <v>#REF!</v>
      </c>
      <c r="BU187" s="5" t="e">
        <f t="shared" si="136"/>
        <v>#REF!</v>
      </c>
      <c r="BV187" s="5" t="e">
        <f t="shared" si="136"/>
        <v>#REF!</v>
      </c>
      <c r="BW187" s="5" t="e">
        <f t="shared" si="136"/>
        <v>#REF!</v>
      </c>
      <c r="BX187" s="5" t="e">
        <f t="shared" si="136"/>
        <v>#REF!</v>
      </c>
      <c r="BY187" s="5" t="e">
        <f t="shared" si="136"/>
        <v>#REF!</v>
      </c>
      <c r="BZ187" s="5" t="e">
        <f t="shared" si="136"/>
        <v>#REF!</v>
      </c>
      <c r="CA187" s="5" t="e">
        <f t="shared" si="136"/>
        <v>#REF!</v>
      </c>
      <c r="CB187" s="5" t="e">
        <f t="shared" si="136"/>
        <v>#REF!</v>
      </c>
      <c r="CC187" s="5" t="e">
        <f t="shared" si="136"/>
        <v>#REF!</v>
      </c>
      <c r="CD187" s="5" t="e">
        <f t="shared" si="136"/>
        <v>#REF!</v>
      </c>
      <c r="CE187" s="5" t="e">
        <f t="shared" si="136"/>
        <v>#REF!</v>
      </c>
      <c r="CF187" s="5" t="e">
        <f t="shared" si="136"/>
        <v>#REF!</v>
      </c>
      <c r="CG187" s="5" t="e">
        <f t="shared" si="136"/>
        <v>#REF!</v>
      </c>
      <c r="CH187" s="5" t="e">
        <f t="shared" si="136"/>
        <v>#REF!</v>
      </c>
      <c r="CI187" s="5" t="e">
        <f t="shared" si="136"/>
        <v>#REF!</v>
      </c>
      <c r="CJ187" s="5" t="e">
        <f t="shared" si="136"/>
        <v>#REF!</v>
      </c>
      <c r="CK187" s="5" t="e">
        <f t="shared" si="136"/>
        <v>#REF!</v>
      </c>
      <c r="CL187" s="5" t="e">
        <f t="shared" si="136"/>
        <v>#REF!</v>
      </c>
      <c r="CM187" s="5" t="e">
        <f t="shared" si="136"/>
        <v>#REF!</v>
      </c>
      <c r="CN187" s="5" t="e">
        <f t="shared" si="136"/>
        <v>#REF!</v>
      </c>
      <c r="CO187" s="5"/>
    </row>
    <row r="188" spans="1:93" ht="12.75" customHeight="1" outlineLevel="1">
      <c r="A188" s="112"/>
      <c r="B188" s="112" t="s">
        <v>252</v>
      </c>
      <c r="C188" s="112"/>
      <c r="D188" s="116" t="e">
        <f t="shared" ref="D188:CN188" si="137">D189</f>
        <v>#REF!</v>
      </c>
      <c r="E188" s="112" t="e">
        <f t="shared" si="137"/>
        <v>#REF!</v>
      </c>
      <c r="F188" s="112" t="e">
        <f t="shared" si="137"/>
        <v>#REF!</v>
      </c>
      <c r="G188" s="112" t="e">
        <f t="shared" si="137"/>
        <v>#REF!</v>
      </c>
      <c r="H188" s="112" t="e">
        <f t="shared" si="137"/>
        <v>#REF!</v>
      </c>
      <c r="I188" s="112" t="e">
        <f t="shared" si="137"/>
        <v>#REF!</v>
      </c>
      <c r="J188" s="112" t="e">
        <f t="shared" si="137"/>
        <v>#REF!</v>
      </c>
      <c r="K188" s="112" t="e">
        <f t="shared" si="137"/>
        <v>#REF!</v>
      </c>
      <c r="L188" s="112" t="e">
        <f t="shared" si="137"/>
        <v>#REF!</v>
      </c>
      <c r="M188" s="112" t="e">
        <f t="shared" si="137"/>
        <v>#REF!</v>
      </c>
      <c r="N188" s="112" t="e">
        <f t="shared" si="137"/>
        <v>#REF!</v>
      </c>
      <c r="O188" s="112" t="e">
        <f t="shared" si="137"/>
        <v>#REF!</v>
      </c>
      <c r="P188" s="112" t="e">
        <f t="shared" si="137"/>
        <v>#REF!</v>
      </c>
      <c r="Q188" s="112" t="e">
        <f t="shared" si="137"/>
        <v>#REF!</v>
      </c>
      <c r="R188" s="112" t="e">
        <f t="shared" si="137"/>
        <v>#REF!</v>
      </c>
      <c r="S188" s="112" t="e">
        <f t="shared" si="137"/>
        <v>#REF!</v>
      </c>
      <c r="T188" s="112" t="e">
        <f t="shared" si="137"/>
        <v>#REF!</v>
      </c>
      <c r="U188" s="112" t="e">
        <f t="shared" si="137"/>
        <v>#REF!</v>
      </c>
      <c r="V188" s="112" t="e">
        <f t="shared" si="137"/>
        <v>#REF!</v>
      </c>
      <c r="W188" s="112" t="e">
        <f t="shared" si="137"/>
        <v>#REF!</v>
      </c>
      <c r="X188" s="112" t="e">
        <f t="shared" si="137"/>
        <v>#REF!</v>
      </c>
      <c r="Y188" s="112" t="e">
        <f t="shared" si="137"/>
        <v>#REF!</v>
      </c>
      <c r="Z188" s="112" t="e">
        <f t="shared" si="137"/>
        <v>#REF!</v>
      </c>
      <c r="AA188" s="112" t="e">
        <f t="shared" si="137"/>
        <v>#REF!</v>
      </c>
      <c r="AB188" s="112" t="e">
        <f t="shared" si="137"/>
        <v>#REF!</v>
      </c>
      <c r="AC188" s="112" t="e">
        <f t="shared" si="137"/>
        <v>#REF!</v>
      </c>
      <c r="AD188" s="112" t="e">
        <f t="shared" si="137"/>
        <v>#REF!</v>
      </c>
      <c r="AE188" s="112" t="e">
        <f t="shared" si="137"/>
        <v>#REF!</v>
      </c>
      <c r="AF188" s="112" t="e">
        <f t="shared" si="137"/>
        <v>#REF!</v>
      </c>
      <c r="AG188" s="112" t="e">
        <f t="shared" si="137"/>
        <v>#REF!</v>
      </c>
      <c r="AH188" s="112" t="e">
        <f t="shared" si="137"/>
        <v>#REF!</v>
      </c>
      <c r="AI188" s="112" t="e">
        <f t="shared" si="137"/>
        <v>#REF!</v>
      </c>
      <c r="AJ188" s="112" t="e">
        <f t="shared" si="137"/>
        <v>#REF!</v>
      </c>
      <c r="AK188" s="112" t="e">
        <f t="shared" si="137"/>
        <v>#REF!</v>
      </c>
      <c r="AL188" s="112" t="e">
        <f t="shared" si="137"/>
        <v>#REF!</v>
      </c>
      <c r="AM188" s="112" t="e">
        <f t="shared" si="137"/>
        <v>#REF!</v>
      </c>
      <c r="AN188" s="112" t="e">
        <f t="shared" si="137"/>
        <v>#REF!</v>
      </c>
      <c r="AO188" s="112" t="e">
        <f t="shared" si="137"/>
        <v>#REF!</v>
      </c>
      <c r="AP188" s="112" t="e">
        <f t="shared" si="137"/>
        <v>#REF!</v>
      </c>
      <c r="AQ188" s="112" t="e">
        <f t="shared" si="137"/>
        <v>#REF!</v>
      </c>
      <c r="AR188" s="112" t="e">
        <f t="shared" si="137"/>
        <v>#REF!</v>
      </c>
      <c r="AS188" s="112" t="e">
        <f t="shared" si="137"/>
        <v>#REF!</v>
      </c>
      <c r="AT188" s="112" t="e">
        <f t="shared" si="137"/>
        <v>#REF!</v>
      </c>
      <c r="AU188" s="112" t="e">
        <f t="shared" si="137"/>
        <v>#REF!</v>
      </c>
      <c r="AV188" s="112" t="e">
        <f t="shared" si="137"/>
        <v>#REF!</v>
      </c>
      <c r="AW188" s="112" t="e">
        <f t="shared" si="137"/>
        <v>#REF!</v>
      </c>
      <c r="AX188" s="112" t="e">
        <f t="shared" si="137"/>
        <v>#REF!</v>
      </c>
      <c r="AY188" s="112" t="e">
        <f t="shared" si="137"/>
        <v>#REF!</v>
      </c>
      <c r="AZ188" s="112" t="e">
        <f t="shared" si="137"/>
        <v>#REF!</v>
      </c>
      <c r="BA188" s="112" t="e">
        <f t="shared" si="137"/>
        <v>#REF!</v>
      </c>
      <c r="BB188" s="112" t="e">
        <f t="shared" si="137"/>
        <v>#REF!</v>
      </c>
      <c r="BC188" s="112" t="e">
        <f t="shared" si="137"/>
        <v>#REF!</v>
      </c>
      <c r="BD188" s="112" t="e">
        <f t="shared" si="137"/>
        <v>#REF!</v>
      </c>
      <c r="BE188" s="112" t="e">
        <f t="shared" si="137"/>
        <v>#REF!</v>
      </c>
      <c r="BF188" s="112" t="e">
        <f t="shared" si="137"/>
        <v>#REF!</v>
      </c>
      <c r="BG188" s="112" t="e">
        <f t="shared" si="137"/>
        <v>#REF!</v>
      </c>
      <c r="BH188" s="112" t="e">
        <f t="shared" si="137"/>
        <v>#REF!</v>
      </c>
      <c r="BI188" s="112" t="e">
        <f t="shared" si="137"/>
        <v>#REF!</v>
      </c>
      <c r="BJ188" s="112" t="e">
        <f t="shared" si="137"/>
        <v>#REF!</v>
      </c>
      <c r="BK188" s="112" t="e">
        <f t="shared" si="137"/>
        <v>#REF!</v>
      </c>
      <c r="BL188" s="112" t="e">
        <f t="shared" si="137"/>
        <v>#REF!</v>
      </c>
      <c r="BM188" s="112" t="e">
        <f t="shared" si="137"/>
        <v>#REF!</v>
      </c>
      <c r="BN188" s="112" t="e">
        <f t="shared" si="137"/>
        <v>#REF!</v>
      </c>
      <c r="BO188" s="112" t="e">
        <f t="shared" si="137"/>
        <v>#REF!</v>
      </c>
      <c r="BP188" s="112" t="e">
        <f t="shared" si="137"/>
        <v>#REF!</v>
      </c>
      <c r="BQ188" s="112" t="e">
        <f t="shared" si="137"/>
        <v>#REF!</v>
      </c>
      <c r="BR188" s="112" t="e">
        <f t="shared" si="137"/>
        <v>#REF!</v>
      </c>
      <c r="BS188" s="112" t="e">
        <f t="shared" si="137"/>
        <v>#REF!</v>
      </c>
      <c r="BT188" s="112" t="e">
        <f t="shared" si="137"/>
        <v>#REF!</v>
      </c>
      <c r="BU188" s="112" t="e">
        <f t="shared" si="137"/>
        <v>#REF!</v>
      </c>
      <c r="BV188" s="112" t="e">
        <f t="shared" si="137"/>
        <v>#REF!</v>
      </c>
      <c r="BW188" s="112" t="e">
        <f t="shared" si="137"/>
        <v>#REF!</v>
      </c>
      <c r="BX188" s="112" t="e">
        <f t="shared" si="137"/>
        <v>#REF!</v>
      </c>
      <c r="BY188" s="112" t="e">
        <f t="shared" si="137"/>
        <v>#REF!</v>
      </c>
      <c r="BZ188" s="112" t="e">
        <f t="shared" si="137"/>
        <v>#REF!</v>
      </c>
      <c r="CA188" s="112" t="e">
        <f t="shared" si="137"/>
        <v>#REF!</v>
      </c>
      <c r="CB188" s="112" t="e">
        <f t="shared" si="137"/>
        <v>#REF!</v>
      </c>
      <c r="CC188" s="112" t="e">
        <f t="shared" si="137"/>
        <v>#REF!</v>
      </c>
      <c r="CD188" s="112" t="e">
        <f t="shared" si="137"/>
        <v>#REF!</v>
      </c>
      <c r="CE188" s="112" t="e">
        <f t="shared" si="137"/>
        <v>#REF!</v>
      </c>
      <c r="CF188" s="112" t="e">
        <f t="shared" si="137"/>
        <v>#REF!</v>
      </c>
      <c r="CG188" s="112" t="e">
        <f t="shared" si="137"/>
        <v>#REF!</v>
      </c>
      <c r="CH188" s="112" t="e">
        <f t="shared" si="137"/>
        <v>#REF!</v>
      </c>
      <c r="CI188" s="112" t="e">
        <f t="shared" si="137"/>
        <v>#REF!</v>
      </c>
      <c r="CJ188" s="112" t="e">
        <f t="shared" si="137"/>
        <v>#REF!</v>
      </c>
      <c r="CK188" s="112" t="e">
        <f t="shared" si="137"/>
        <v>#REF!</v>
      </c>
      <c r="CL188" s="112" t="e">
        <f t="shared" si="137"/>
        <v>#REF!</v>
      </c>
      <c r="CM188" s="112" t="e">
        <f t="shared" si="137"/>
        <v>#REF!</v>
      </c>
      <c r="CN188" s="112" t="e">
        <f t="shared" si="137"/>
        <v>#REF!</v>
      </c>
      <c r="CO188" s="112"/>
    </row>
    <row r="189" spans="1:93" ht="12.75" customHeight="1" outlineLevel="1">
      <c r="A189" s="117"/>
      <c r="B189" s="26" t="s">
        <v>253</v>
      </c>
      <c r="C189" s="117"/>
      <c r="D189" s="118" t="e">
        <f t="shared" ref="D189:AI189" si="138">D166</f>
        <v>#REF!</v>
      </c>
      <c r="E189" s="5" t="e">
        <f t="shared" si="138"/>
        <v>#REF!</v>
      </c>
      <c r="F189" s="5" t="e">
        <f t="shared" si="138"/>
        <v>#REF!</v>
      </c>
      <c r="G189" s="5" t="e">
        <f t="shared" si="138"/>
        <v>#REF!</v>
      </c>
      <c r="H189" s="5" t="e">
        <f t="shared" si="138"/>
        <v>#REF!</v>
      </c>
      <c r="I189" s="5" t="e">
        <f t="shared" si="138"/>
        <v>#REF!</v>
      </c>
      <c r="J189" s="5" t="e">
        <f t="shared" si="138"/>
        <v>#REF!</v>
      </c>
      <c r="K189" s="5" t="e">
        <f t="shared" si="138"/>
        <v>#REF!</v>
      </c>
      <c r="L189" s="5" t="e">
        <f t="shared" si="138"/>
        <v>#REF!</v>
      </c>
      <c r="M189" s="5" t="e">
        <f t="shared" si="138"/>
        <v>#REF!</v>
      </c>
      <c r="N189" s="5" t="e">
        <f t="shared" si="138"/>
        <v>#REF!</v>
      </c>
      <c r="O189" s="5" t="e">
        <f t="shared" si="138"/>
        <v>#REF!</v>
      </c>
      <c r="P189" s="5" t="e">
        <f t="shared" si="138"/>
        <v>#REF!</v>
      </c>
      <c r="Q189" s="5" t="e">
        <f t="shared" si="138"/>
        <v>#REF!</v>
      </c>
      <c r="R189" s="5" t="e">
        <f t="shared" si="138"/>
        <v>#REF!</v>
      </c>
      <c r="S189" s="5" t="e">
        <f t="shared" si="138"/>
        <v>#REF!</v>
      </c>
      <c r="T189" s="5" t="e">
        <f t="shared" si="138"/>
        <v>#REF!</v>
      </c>
      <c r="U189" s="5" t="e">
        <f t="shared" si="138"/>
        <v>#REF!</v>
      </c>
      <c r="V189" s="5" t="e">
        <f t="shared" si="138"/>
        <v>#REF!</v>
      </c>
      <c r="W189" s="5" t="e">
        <f t="shared" si="138"/>
        <v>#REF!</v>
      </c>
      <c r="X189" s="5" t="e">
        <f t="shared" si="138"/>
        <v>#REF!</v>
      </c>
      <c r="Y189" s="5" t="e">
        <f t="shared" si="138"/>
        <v>#REF!</v>
      </c>
      <c r="Z189" s="5" t="e">
        <f t="shared" si="138"/>
        <v>#REF!</v>
      </c>
      <c r="AA189" s="5" t="e">
        <f t="shared" si="138"/>
        <v>#REF!</v>
      </c>
      <c r="AB189" s="5" t="e">
        <f t="shared" si="138"/>
        <v>#REF!</v>
      </c>
      <c r="AC189" s="5" t="e">
        <f t="shared" si="138"/>
        <v>#REF!</v>
      </c>
      <c r="AD189" s="5" t="e">
        <f t="shared" si="138"/>
        <v>#REF!</v>
      </c>
      <c r="AE189" s="5" t="e">
        <f t="shared" si="138"/>
        <v>#REF!</v>
      </c>
      <c r="AF189" s="5" t="e">
        <f t="shared" si="138"/>
        <v>#REF!</v>
      </c>
      <c r="AG189" s="5" t="e">
        <f t="shared" si="138"/>
        <v>#REF!</v>
      </c>
      <c r="AH189" s="5" t="e">
        <f t="shared" si="138"/>
        <v>#REF!</v>
      </c>
      <c r="AI189" s="5" t="e">
        <f t="shared" si="138"/>
        <v>#REF!</v>
      </c>
      <c r="AJ189" s="5" t="e">
        <f t="shared" ref="AJ189:BO189" si="139">AJ166</f>
        <v>#REF!</v>
      </c>
      <c r="AK189" s="5" t="e">
        <f t="shared" si="139"/>
        <v>#REF!</v>
      </c>
      <c r="AL189" s="5" t="e">
        <f t="shared" si="139"/>
        <v>#REF!</v>
      </c>
      <c r="AM189" s="5" t="e">
        <f t="shared" si="139"/>
        <v>#REF!</v>
      </c>
      <c r="AN189" s="5" t="e">
        <f t="shared" si="139"/>
        <v>#REF!</v>
      </c>
      <c r="AO189" s="5" t="e">
        <f t="shared" si="139"/>
        <v>#REF!</v>
      </c>
      <c r="AP189" s="5" t="e">
        <f t="shared" si="139"/>
        <v>#REF!</v>
      </c>
      <c r="AQ189" s="5" t="e">
        <f t="shared" si="139"/>
        <v>#REF!</v>
      </c>
      <c r="AR189" s="5" t="e">
        <f t="shared" si="139"/>
        <v>#REF!</v>
      </c>
      <c r="AS189" s="5" t="e">
        <f t="shared" si="139"/>
        <v>#REF!</v>
      </c>
      <c r="AT189" s="5" t="e">
        <f t="shared" si="139"/>
        <v>#REF!</v>
      </c>
      <c r="AU189" s="5" t="e">
        <f t="shared" si="139"/>
        <v>#REF!</v>
      </c>
      <c r="AV189" s="5" t="e">
        <f t="shared" si="139"/>
        <v>#REF!</v>
      </c>
      <c r="AW189" s="5" t="e">
        <f t="shared" si="139"/>
        <v>#REF!</v>
      </c>
      <c r="AX189" s="5" t="e">
        <f t="shared" si="139"/>
        <v>#REF!</v>
      </c>
      <c r="AY189" s="5" t="e">
        <f t="shared" si="139"/>
        <v>#REF!</v>
      </c>
      <c r="AZ189" s="5" t="e">
        <f t="shared" si="139"/>
        <v>#REF!</v>
      </c>
      <c r="BA189" s="5" t="e">
        <f t="shared" si="139"/>
        <v>#REF!</v>
      </c>
      <c r="BB189" s="5" t="e">
        <f t="shared" si="139"/>
        <v>#REF!</v>
      </c>
      <c r="BC189" s="5" t="e">
        <f t="shared" si="139"/>
        <v>#REF!</v>
      </c>
      <c r="BD189" s="5" t="e">
        <f t="shared" si="139"/>
        <v>#REF!</v>
      </c>
      <c r="BE189" s="5" t="e">
        <f t="shared" si="139"/>
        <v>#REF!</v>
      </c>
      <c r="BF189" s="5" t="e">
        <f t="shared" si="139"/>
        <v>#REF!</v>
      </c>
      <c r="BG189" s="5" t="e">
        <f t="shared" si="139"/>
        <v>#REF!</v>
      </c>
      <c r="BH189" s="5" t="e">
        <f t="shared" si="139"/>
        <v>#REF!</v>
      </c>
      <c r="BI189" s="5" t="e">
        <f t="shared" si="139"/>
        <v>#REF!</v>
      </c>
      <c r="BJ189" s="5" t="e">
        <f t="shared" si="139"/>
        <v>#REF!</v>
      </c>
      <c r="BK189" s="5" t="e">
        <f t="shared" si="139"/>
        <v>#REF!</v>
      </c>
      <c r="BL189" s="5" t="e">
        <f t="shared" si="139"/>
        <v>#REF!</v>
      </c>
      <c r="BM189" s="5" t="e">
        <f t="shared" si="139"/>
        <v>#REF!</v>
      </c>
      <c r="BN189" s="5" t="e">
        <f t="shared" si="139"/>
        <v>#REF!</v>
      </c>
      <c r="BO189" s="5" t="e">
        <f t="shared" si="139"/>
        <v>#REF!</v>
      </c>
      <c r="BP189" s="5" t="e">
        <f t="shared" ref="BP189:CN189" si="140">BP166</f>
        <v>#REF!</v>
      </c>
      <c r="BQ189" s="5" t="e">
        <f t="shared" si="140"/>
        <v>#REF!</v>
      </c>
      <c r="BR189" s="5" t="e">
        <f t="shared" si="140"/>
        <v>#REF!</v>
      </c>
      <c r="BS189" s="5" t="e">
        <f t="shared" si="140"/>
        <v>#REF!</v>
      </c>
      <c r="BT189" s="5" t="e">
        <f t="shared" si="140"/>
        <v>#REF!</v>
      </c>
      <c r="BU189" s="5" t="e">
        <f t="shared" si="140"/>
        <v>#REF!</v>
      </c>
      <c r="BV189" s="5" t="e">
        <f t="shared" si="140"/>
        <v>#REF!</v>
      </c>
      <c r="BW189" s="5" t="e">
        <f t="shared" si="140"/>
        <v>#REF!</v>
      </c>
      <c r="BX189" s="5" t="e">
        <f t="shared" si="140"/>
        <v>#REF!</v>
      </c>
      <c r="BY189" s="5" t="e">
        <f t="shared" si="140"/>
        <v>#REF!</v>
      </c>
      <c r="BZ189" s="5" t="e">
        <f t="shared" si="140"/>
        <v>#REF!</v>
      </c>
      <c r="CA189" s="5" t="e">
        <f t="shared" si="140"/>
        <v>#REF!</v>
      </c>
      <c r="CB189" s="5" t="e">
        <f t="shared" si="140"/>
        <v>#REF!</v>
      </c>
      <c r="CC189" s="5" t="e">
        <f t="shared" si="140"/>
        <v>#REF!</v>
      </c>
      <c r="CD189" s="5" t="e">
        <f t="shared" si="140"/>
        <v>#REF!</v>
      </c>
      <c r="CE189" s="5" t="e">
        <f t="shared" si="140"/>
        <v>#REF!</v>
      </c>
      <c r="CF189" s="5" t="e">
        <f t="shared" si="140"/>
        <v>#REF!</v>
      </c>
      <c r="CG189" s="5" t="e">
        <f t="shared" si="140"/>
        <v>#REF!</v>
      </c>
      <c r="CH189" s="5" t="e">
        <f t="shared" si="140"/>
        <v>#REF!</v>
      </c>
      <c r="CI189" s="5" t="e">
        <f t="shared" si="140"/>
        <v>#REF!</v>
      </c>
      <c r="CJ189" s="5" t="e">
        <f t="shared" si="140"/>
        <v>#REF!</v>
      </c>
      <c r="CK189" s="5" t="e">
        <f t="shared" si="140"/>
        <v>#REF!</v>
      </c>
      <c r="CL189" s="5" t="e">
        <f t="shared" si="140"/>
        <v>#REF!</v>
      </c>
      <c r="CM189" s="5" t="e">
        <f t="shared" si="140"/>
        <v>#REF!</v>
      </c>
      <c r="CN189" s="5" t="e">
        <f t="shared" si="140"/>
        <v>#REF!</v>
      </c>
      <c r="CO189" s="5"/>
    </row>
    <row r="190" spans="1:93" ht="12.75" customHeight="1" outlineLevel="1">
      <c r="A190" s="112"/>
      <c r="B190" s="112" t="s">
        <v>254</v>
      </c>
      <c r="C190" s="112"/>
      <c r="D190" s="116" t="e">
        <f t="shared" ref="D190:CN190" si="141">SUM(D191:D192)</f>
        <v>#REF!</v>
      </c>
      <c r="E190" s="112" t="e">
        <f t="shared" si="141"/>
        <v>#REF!</v>
      </c>
      <c r="F190" s="112" t="e">
        <f t="shared" si="141"/>
        <v>#REF!</v>
      </c>
      <c r="G190" s="112" t="e">
        <f t="shared" si="141"/>
        <v>#REF!</v>
      </c>
      <c r="H190" s="112" t="e">
        <f t="shared" si="141"/>
        <v>#REF!</v>
      </c>
      <c r="I190" s="112" t="e">
        <f t="shared" si="141"/>
        <v>#REF!</v>
      </c>
      <c r="J190" s="112" t="e">
        <f t="shared" si="141"/>
        <v>#REF!</v>
      </c>
      <c r="K190" s="112" t="e">
        <f t="shared" si="141"/>
        <v>#REF!</v>
      </c>
      <c r="L190" s="112" t="e">
        <f t="shared" si="141"/>
        <v>#REF!</v>
      </c>
      <c r="M190" s="112" t="e">
        <f t="shared" si="141"/>
        <v>#REF!</v>
      </c>
      <c r="N190" s="112" t="e">
        <f t="shared" si="141"/>
        <v>#REF!</v>
      </c>
      <c r="O190" s="112" t="e">
        <f t="shared" si="141"/>
        <v>#REF!</v>
      </c>
      <c r="P190" s="112" t="e">
        <f t="shared" si="141"/>
        <v>#REF!</v>
      </c>
      <c r="Q190" s="112" t="e">
        <f t="shared" si="141"/>
        <v>#REF!</v>
      </c>
      <c r="R190" s="112" t="e">
        <f t="shared" si="141"/>
        <v>#REF!</v>
      </c>
      <c r="S190" s="112" t="e">
        <f t="shared" si="141"/>
        <v>#REF!</v>
      </c>
      <c r="T190" s="112" t="e">
        <f t="shared" si="141"/>
        <v>#REF!</v>
      </c>
      <c r="U190" s="112" t="e">
        <f t="shared" si="141"/>
        <v>#REF!</v>
      </c>
      <c r="V190" s="112" t="e">
        <f t="shared" si="141"/>
        <v>#REF!</v>
      </c>
      <c r="W190" s="112" t="e">
        <f t="shared" si="141"/>
        <v>#REF!</v>
      </c>
      <c r="X190" s="112" t="e">
        <f t="shared" si="141"/>
        <v>#REF!</v>
      </c>
      <c r="Y190" s="112" t="e">
        <f t="shared" si="141"/>
        <v>#REF!</v>
      </c>
      <c r="Z190" s="112" t="e">
        <f t="shared" si="141"/>
        <v>#REF!</v>
      </c>
      <c r="AA190" s="112" t="e">
        <f t="shared" si="141"/>
        <v>#REF!</v>
      </c>
      <c r="AB190" s="112" t="e">
        <f t="shared" si="141"/>
        <v>#REF!</v>
      </c>
      <c r="AC190" s="112" t="e">
        <f t="shared" si="141"/>
        <v>#REF!</v>
      </c>
      <c r="AD190" s="112" t="e">
        <f t="shared" si="141"/>
        <v>#REF!</v>
      </c>
      <c r="AE190" s="112" t="e">
        <f t="shared" si="141"/>
        <v>#REF!</v>
      </c>
      <c r="AF190" s="112" t="e">
        <f t="shared" si="141"/>
        <v>#REF!</v>
      </c>
      <c r="AG190" s="112" t="e">
        <f t="shared" si="141"/>
        <v>#REF!</v>
      </c>
      <c r="AH190" s="112" t="e">
        <f t="shared" si="141"/>
        <v>#REF!</v>
      </c>
      <c r="AI190" s="112" t="e">
        <f t="shared" si="141"/>
        <v>#REF!</v>
      </c>
      <c r="AJ190" s="112" t="e">
        <f t="shared" si="141"/>
        <v>#REF!</v>
      </c>
      <c r="AK190" s="112" t="e">
        <f t="shared" si="141"/>
        <v>#REF!</v>
      </c>
      <c r="AL190" s="112" t="e">
        <f t="shared" si="141"/>
        <v>#REF!</v>
      </c>
      <c r="AM190" s="112" t="e">
        <f t="shared" si="141"/>
        <v>#REF!</v>
      </c>
      <c r="AN190" s="112" t="e">
        <f t="shared" si="141"/>
        <v>#REF!</v>
      </c>
      <c r="AO190" s="112" t="e">
        <f t="shared" si="141"/>
        <v>#REF!</v>
      </c>
      <c r="AP190" s="112" t="e">
        <f t="shared" si="141"/>
        <v>#REF!</v>
      </c>
      <c r="AQ190" s="112" t="e">
        <f t="shared" si="141"/>
        <v>#REF!</v>
      </c>
      <c r="AR190" s="112" t="e">
        <f t="shared" si="141"/>
        <v>#REF!</v>
      </c>
      <c r="AS190" s="112" t="e">
        <f t="shared" si="141"/>
        <v>#REF!</v>
      </c>
      <c r="AT190" s="112" t="e">
        <f t="shared" si="141"/>
        <v>#REF!</v>
      </c>
      <c r="AU190" s="112" t="e">
        <f t="shared" si="141"/>
        <v>#REF!</v>
      </c>
      <c r="AV190" s="112" t="e">
        <f t="shared" si="141"/>
        <v>#REF!</v>
      </c>
      <c r="AW190" s="112" t="e">
        <f t="shared" si="141"/>
        <v>#REF!</v>
      </c>
      <c r="AX190" s="112" t="e">
        <f t="shared" si="141"/>
        <v>#REF!</v>
      </c>
      <c r="AY190" s="112" t="e">
        <f t="shared" si="141"/>
        <v>#REF!</v>
      </c>
      <c r="AZ190" s="112" t="e">
        <f t="shared" si="141"/>
        <v>#REF!</v>
      </c>
      <c r="BA190" s="112" t="e">
        <f t="shared" si="141"/>
        <v>#REF!</v>
      </c>
      <c r="BB190" s="112" t="e">
        <f t="shared" si="141"/>
        <v>#REF!</v>
      </c>
      <c r="BC190" s="112" t="e">
        <f t="shared" si="141"/>
        <v>#REF!</v>
      </c>
      <c r="BD190" s="112" t="e">
        <f t="shared" si="141"/>
        <v>#REF!</v>
      </c>
      <c r="BE190" s="112" t="e">
        <f t="shared" si="141"/>
        <v>#REF!</v>
      </c>
      <c r="BF190" s="112" t="e">
        <f t="shared" si="141"/>
        <v>#REF!</v>
      </c>
      <c r="BG190" s="112" t="e">
        <f t="shared" si="141"/>
        <v>#REF!</v>
      </c>
      <c r="BH190" s="112" t="e">
        <f t="shared" si="141"/>
        <v>#REF!</v>
      </c>
      <c r="BI190" s="112" t="e">
        <f t="shared" si="141"/>
        <v>#REF!</v>
      </c>
      <c r="BJ190" s="112" t="e">
        <f t="shared" si="141"/>
        <v>#REF!</v>
      </c>
      <c r="BK190" s="112" t="e">
        <f t="shared" si="141"/>
        <v>#REF!</v>
      </c>
      <c r="BL190" s="112" t="e">
        <f t="shared" si="141"/>
        <v>#REF!</v>
      </c>
      <c r="BM190" s="112" t="e">
        <f t="shared" si="141"/>
        <v>#REF!</v>
      </c>
      <c r="BN190" s="112" t="e">
        <f t="shared" si="141"/>
        <v>#REF!</v>
      </c>
      <c r="BO190" s="112" t="e">
        <f t="shared" si="141"/>
        <v>#REF!</v>
      </c>
      <c r="BP190" s="112" t="e">
        <f t="shared" si="141"/>
        <v>#REF!</v>
      </c>
      <c r="BQ190" s="112" t="e">
        <f t="shared" si="141"/>
        <v>#REF!</v>
      </c>
      <c r="BR190" s="112" t="e">
        <f t="shared" si="141"/>
        <v>#REF!</v>
      </c>
      <c r="BS190" s="112" t="e">
        <f t="shared" si="141"/>
        <v>#REF!</v>
      </c>
      <c r="BT190" s="112" t="e">
        <f t="shared" si="141"/>
        <v>#REF!</v>
      </c>
      <c r="BU190" s="112" t="e">
        <f t="shared" si="141"/>
        <v>#REF!</v>
      </c>
      <c r="BV190" s="112" t="e">
        <f t="shared" si="141"/>
        <v>#REF!</v>
      </c>
      <c r="BW190" s="112" t="e">
        <f t="shared" si="141"/>
        <v>#REF!</v>
      </c>
      <c r="BX190" s="112" t="e">
        <f t="shared" si="141"/>
        <v>#REF!</v>
      </c>
      <c r="BY190" s="112" t="e">
        <f t="shared" si="141"/>
        <v>#REF!</v>
      </c>
      <c r="BZ190" s="112" t="e">
        <f t="shared" si="141"/>
        <v>#REF!</v>
      </c>
      <c r="CA190" s="112" t="e">
        <f t="shared" si="141"/>
        <v>#REF!</v>
      </c>
      <c r="CB190" s="112" t="e">
        <f t="shared" si="141"/>
        <v>#REF!</v>
      </c>
      <c r="CC190" s="112" t="e">
        <f t="shared" si="141"/>
        <v>#REF!</v>
      </c>
      <c r="CD190" s="112" t="e">
        <f t="shared" si="141"/>
        <v>#REF!</v>
      </c>
      <c r="CE190" s="112" t="e">
        <f t="shared" si="141"/>
        <v>#REF!</v>
      </c>
      <c r="CF190" s="112" t="e">
        <f t="shared" si="141"/>
        <v>#REF!</v>
      </c>
      <c r="CG190" s="112" t="e">
        <f t="shared" si="141"/>
        <v>#REF!</v>
      </c>
      <c r="CH190" s="112" t="e">
        <f t="shared" si="141"/>
        <v>#REF!</v>
      </c>
      <c r="CI190" s="112" t="e">
        <f t="shared" si="141"/>
        <v>#REF!</v>
      </c>
      <c r="CJ190" s="112" t="e">
        <f t="shared" si="141"/>
        <v>#REF!</v>
      </c>
      <c r="CK190" s="112" t="e">
        <f t="shared" si="141"/>
        <v>#REF!</v>
      </c>
      <c r="CL190" s="112" t="e">
        <f t="shared" si="141"/>
        <v>#REF!</v>
      </c>
      <c r="CM190" s="112" t="e">
        <f t="shared" si="141"/>
        <v>#REF!</v>
      </c>
      <c r="CN190" s="112" t="e">
        <f t="shared" si="141"/>
        <v>#REF!</v>
      </c>
      <c r="CO190" s="112"/>
    </row>
    <row r="191" spans="1:93" ht="12.75" customHeight="1" outlineLevel="1">
      <c r="A191" s="117"/>
      <c r="B191" s="26" t="s">
        <v>255</v>
      </c>
      <c r="C191" s="117"/>
      <c r="D191" s="118" t="e">
        <f>D67+D90</f>
        <v>#REF!</v>
      </c>
      <c r="E191" s="5" t="e">
        <f>IF(E9&lt;Assump!$D$54,(D191+E67+E90-E167*(1-Assump!$D$27)-E172*(1-Assump!$D$27)),(D191+E67+E90-E172*(1-Assump!$D$27)))</f>
        <v>#REF!</v>
      </c>
      <c r="F191" s="5" t="e">
        <f>IF(F9&lt;Assump!$D$54,(E191+F67+F90-F167*(1-Assump!$D$27)-F172*(1-Assump!$D$27)),(E191+F67+F90-F172*(1-Assump!$D$27)))</f>
        <v>#REF!</v>
      </c>
      <c r="G191" s="5" t="e">
        <f>IF(G9&lt;Assump!$D$54,(F191+G67+G90-G167*(1-Assump!$D$27)-G172*(1-Assump!$D$27)),(F191+G67+G90-G172*(1-Assump!$D$27)))</f>
        <v>#REF!</v>
      </c>
      <c r="H191" s="5" t="e">
        <f>IF(H9&lt;Assump!$D$54,(G191+H67+H90-H167*(1-Assump!$D$27)-H172*(1-Assump!$D$27)),(G191+H67+H90-H172*(1-Assump!$D$27)))</f>
        <v>#REF!</v>
      </c>
      <c r="I191" s="5" t="e">
        <f>IF(I9&lt;Assump!$D$54,(H191+I67+I90-I167*(1-Assump!$D$27)-I172*(1-Assump!$D$27)),(H191+I67+I90-I172*(1-Assump!$D$27)))</f>
        <v>#REF!</v>
      </c>
      <c r="J191" s="5" t="e">
        <f>IF(J9&lt;Assump!$D$54,(I191+J67+J90-J167*(1-Assump!$D$27)-J172*(1-Assump!$D$27)),(I191+J67+J90-J172*(1-Assump!$D$27)))</f>
        <v>#REF!</v>
      </c>
      <c r="K191" s="5" t="e">
        <f>IF(K9&lt;Assump!$D$54,(J191+K67+K90-K167*(1-Assump!$D$27)-K172*(1-Assump!$D$27)),(J191+K67+K90-K172*(1-Assump!$D$27)))</f>
        <v>#REF!</v>
      </c>
      <c r="L191" s="5" t="e">
        <f>IF(L9&lt;Assump!$D$54,(K191+L67+L90-L167*(1-Assump!$D$27)-L172*(1-Assump!$D$27)),(K191+L67+L90-L172*(1-Assump!$D$27)))</f>
        <v>#REF!</v>
      </c>
      <c r="M191" s="5" t="e">
        <f>IF(M9&lt;Assump!$D$54,(L191+M67+M90-M167*(1-Assump!$D$27)-M172*(1-Assump!$D$27)),(L191+M67+M90-M172*(1-Assump!$D$27)))</f>
        <v>#REF!</v>
      </c>
      <c r="N191" s="5" t="e">
        <f>IF(N9&lt;Assump!$D$54,(M191+N67+N90-N167*(1-Assump!$D$27)-N172*(1-Assump!$D$27)),(M191+N67+N90-N172*(1-Assump!$D$27)))</f>
        <v>#REF!</v>
      </c>
      <c r="O191" s="5" t="e">
        <f>IF(O9&lt;Assump!$D$54,(N191+O67+O90-O167*(1-Assump!$D$27)-O172*(1-Assump!$D$27)),(N191+O67+O90-O172*(1-Assump!$D$27)))</f>
        <v>#REF!</v>
      </c>
      <c r="P191" s="5" t="e">
        <f>IF(P9&lt;Assump!$D$54,(O191+P67+P90-P167*(1-Assump!$D$27)-P172*(1-Assump!$D$27)),(O191+P67+P90-P172*(1-Assump!$D$27)))</f>
        <v>#REF!</v>
      </c>
      <c r="Q191" s="5" t="e">
        <f>IF(Q9&lt;Assump!$D$54,(P191+Q67+Q90-Q167*(1-Assump!$D$27)-Q172*(1-Assump!$D$27)),(P191+Q67+Q90-Q172*(1-Assump!$D$27)))</f>
        <v>#REF!</v>
      </c>
      <c r="R191" s="5" t="e">
        <f>IF(R9&lt;Assump!$D$54,(Q191+R67+R90-R167*(1-Assump!$D$27)-R172*(1-Assump!$D$27)),(Q191+R67+R90-R172*(1-Assump!$D$27)))</f>
        <v>#REF!</v>
      </c>
      <c r="S191" s="5" t="e">
        <f>IF(S9&lt;Assump!$D$54,(R191+S67+S90-S167*(1-Assump!$D$27)-S172*(1-Assump!$D$27)),(R191+S67+S90-S172*(1-Assump!$D$27)))</f>
        <v>#REF!</v>
      </c>
      <c r="T191" s="5" t="e">
        <f>IF(T9&lt;Assump!$D$54,(S191+T67+T90-T167*(1-Assump!$D$27)-T172*(1-Assump!$D$27)),(S191+T67+T90-T172*(1-Assump!$D$27)))</f>
        <v>#REF!</v>
      </c>
      <c r="U191" s="5" t="e">
        <f>IF(U9&lt;Assump!$D$54,(T191+U67+U90-U167*(1-Assump!$D$27)-U172*(1-Assump!$D$27)),(T191+U67+U90-U172*(1-Assump!$D$27)))</f>
        <v>#REF!</v>
      </c>
      <c r="V191" s="5" t="e">
        <f>IF(V9&lt;Assump!$D$54,(U191+V67+V90-V167*(1-Assump!$D$27)-V172*(1-Assump!$D$27)),(U191+V67+V90-V172*(1-Assump!$D$27)))</f>
        <v>#REF!</v>
      </c>
      <c r="W191" s="5" t="e">
        <f>IF(W9&lt;Assump!$D$54,(V191+W67+W90-W167*(1-Assump!$D$27)-W172*(1-Assump!$D$27)),(V191+W67+W90-W172*(1-Assump!$D$27)))</f>
        <v>#REF!</v>
      </c>
      <c r="X191" s="5" t="e">
        <f>IF(X9&lt;Assump!$D$54,(W191+X67+X90-X167*(1-Assump!$D$27)-X172*(1-Assump!$D$27)),(W191+X67+X90-X172*(1-Assump!$D$27)))</f>
        <v>#REF!</v>
      </c>
      <c r="Y191" s="5" t="e">
        <f>IF(Y9&lt;Assump!$D$54,(X191+Y67+Y90-Y167*(1-Assump!$D$27)-Y172*(1-Assump!$D$27)),(X191+Y67+Y90-Y172*(1-Assump!$D$27)))</f>
        <v>#REF!</v>
      </c>
      <c r="Z191" s="5" t="e">
        <f>IF(Z9&lt;Assump!$D$54,(Y191+Z67+Z90-Z167*(1-Assump!$D$27)-Z172*(1-Assump!$D$27)),(Y191+Z67+Z90-Z172*(1-Assump!$D$27)))</f>
        <v>#REF!</v>
      </c>
      <c r="AA191" s="5" t="e">
        <f>IF(AA9&lt;Assump!$D$54,(Z191+AA67+AA90-AA167*(1-Assump!$D$27)-AA172*(1-Assump!$D$27)),(Z191+AA67+AA90-AA172*(1-Assump!$D$27)))</f>
        <v>#REF!</v>
      </c>
      <c r="AB191" s="5" t="e">
        <f>IF(AB9&lt;Assump!$D$54,(AA191+AB67+AB90-AB167*(1-Assump!$D$27)-AB172*(1-Assump!$D$27)),(AA191+AB67+AB90-AB172*(1-Assump!$D$27)))</f>
        <v>#REF!</v>
      </c>
      <c r="AC191" s="5" t="e">
        <f>IF(AC9&lt;Assump!$D$54,(AB191+AC67+AC90-AC167*(1-Assump!$D$27)-AC172*(1-Assump!$D$27)),(AB191+AC67+AC90-AC172*(1-Assump!$D$27)))</f>
        <v>#REF!</v>
      </c>
      <c r="AD191" s="5" t="e">
        <f>IF(AD9&lt;Assump!$D$54,(AC191+AD67+AD90-AD167*(1-Assump!$D$27)-AD172*(1-Assump!$D$27)),(AC191+AD67+AD90-AD172*(1-Assump!$D$27)))</f>
        <v>#REF!</v>
      </c>
      <c r="AE191" s="5" t="e">
        <f>IF(AE9&lt;Assump!$D$54,(AD191+AE67+AE90-AE167*(1-Assump!$D$27)-AE172*(1-Assump!$D$27)),(AD191+AE67+AE90-AE172*(1-Assump!$D$27)))</f>
        <v>#REF!</v>
      </c>
      <c r="AF191" s="5" t="e">
        <f>IF(AF9&lt;Assump!$D$54,(AE191+AF67+AF90-AF167*(1-Assump!$D$27)-AF172*(1-Assump!$D$27)),(AE191+AF67+AF90-AF172*(1-Assump!$D$27)))</f>
        <v>#REF!</v>
      </c>
      <c r="AG191" s="5" t="e">
        <f>IF(AG9&lt;Assump!$D$54,(AF191+AG67+AG90-AG167*(1-Assump!$D$27)-AG172*(1-Assump!$D$27)),(AF191+AG67+AG90-AG172*(1-Assump!$D$27)))</f>
        <v>#REF!</v>
      </c>
      <c r="AH191" s="5" t="e">
        <f>IF(AH9&lt;Assump!$D$54,(AG191+AH67+AH90-AH167*(1-Assump!$D$27)-AH172*(1-Assump!$D$27)),(AG191+AH67+AH90-AH172*(1-Assump!$D$27)))</f>
        <v>#REF!</v>
      </c>
      <c r="AI191" s="5" t="e">
        <f>IF(AI9&lt;Assump!$D$54,(AH191+AI67+AI90-AI167*(1-Assump!$D$27)-AI172*(1-Assump!$D$27)),(AH191+AI67+AI90-AI172*(1-Assump!$D$27)))</f>
        <v>#REF!</v>
      </c>
      <c r="AJ191" s="5" t="e">
        <f>IF(AJ9&lt;Assump!$D$54,(AI191+AJ67+AJ90-AJ167*(1-Assump!$D$27)-AJ172*(1-Assump!$D$27)),(AI191+AJ67+AJ90-AJ172*(1-Assump!$D$27)))</f>
        <v>#REF!</v>
      </c>
      <c r="AK191" s="5" t="e">
        <f>IF(AK9&lt;Assump!$D$54,(AJ191+AK67+AK90-AK167*(1-Assump!$D$27)-AK172*(1-Assump!$D$27)),(AJ191+AK67+AK90-AK172*(1-Assump!$D$27)))</f>
        <v>#REF!</v>
      </c>
      <c r="AL191" s="5" t="e">
        <f>IF(AL9&lt;Assump!$D$54,(AK191+AL67+AL90-AL167*(1-Assump!$D$27)-AL172*(1-Assump!$D$27)),(AK191+AL67+AL90-AL172*(1-Assump!$D$27)))</f>
        <v>#REF!</v>
      </c>
      <c r="AM191" s="5" t="e">
        <f>IF(AM9&lt;Assump!$D$54,(AL191+AM67+AM90-AM167*(1-Assump!$D$27)-AM172*(1-Assump!$D$27)),(AL191+AM67+AM90-AM172*(1-Assump!$D$27)))</f>
        <v>#REF!</v>
      </c>
      <c r="AN191" s="5" t="e">
        <f>IF(AN9&lt;Assump!$D$54,(AM191+AN67+AN90-AN167*(1-Assump!$D$27)-AN172*(1-Assump!$D$27)),(AM191+AN67+AN90-AN172*(1-Assump!$D$27)))</f>
        <v>#REF!</v>
      </c>
      <c r="AO191" s="5" t="e">
        <f>IF(AO9&lt;Assump!$D$54,(AN191+AO67+AO90-AO167*(1-Assump!$D$27)-AO172*(1-Assump!$D$27)),(AN191+AO67+AO90-AO172*(1-Assump!$D$27)))</f>
        <v>#REF!</v>
      </c>
      <c r="AP191" s="5" t="e">
        <f>IF(AP9&lt;Assump!$D$54,(AO191+AP67+AP90-AP167*(1-Assump!$D$27)-AP172*(1-Assump!$D$27)),(AO191+AP67+AP90-AP172*(1-Assump!$D$27)))</f>
        <v>#REF!</v>
      </c>
      <c r="AQ191" s="5" t="e">
        <f>IF(AQ9&lt;Assump!$D$54,(AP191+AQ67+AQ90-AQ167*(1-Assump!$D$27)-AQ172*(1-Assump!$D$27)),(AP191+AQ67+AQ90-AQ172*(1-Assump!$D$27)))</f>
        <v>#REF!</v>
      </c>
      <c r="AR191" s="5" t="e">
        <f>IF(AR9&lt;Assump!$D$54,(AQ191+AR67+AR90-AR167*(1-Assump!$D$27)-AR172*(1-Assump!$D$27)),(AQ191+AR67+AR90-AR172*(1-Assump!$D$27)))</f>
        <v>#REF!</v>
      </c>
      <c r="AS191" s="5" t="e">
        <f>IF(AS9&lt;Assump!$D$54,(AR191+AS67+AS90-AS167*(1-Assump!$D$27)-AS172*(1-Assump!$D$27)),(AR191+AS67+AS90-AS172*(1-Assump!$D$27)))</f>
        <v>#REF!</v>
      </c>
      <c r="AT191" s="5" t="e">
        <f>IF(AT9&lt;Assump!$D$54,(AS191+AT67+AT90-AT167*(1-Assump!$D$27)-AT172*(1-Assump!$D$27)),(AS191+AT67+AT90-AT172*(1-Assump!$D$27)))</f>
        <v>#REF!</v>
      </c>
      <c r="AU191" s="5" t="e">
        <f>IF(AU9&lt;Assump!$D$54,(AT191+AU67+AU90-AU167*(1-Assump!$D$27)-AU172*(1-Assump!$D$27)),(AT191+AU67+AU90-AU172*(1-Assump!$D$27)))</f>
        <v>#REF!</v>
      </c>
      <c r="AV191" s="5" t="e">
        <f>IF(AV9&lt;Assump!$D$54,(AU191+AV67+AV90-AV167*(1-Assump!$D$27)-AV172*(1-Assump!$D$27)),(AU191+AV67+AV90-AV172*(1-Assump!$D$27)))</f>
        <v>#REF!</v>
      </c>
      <c r="AW191" s="5" t="e">
        <f>IF(AW9&lt;Assump!$D$54,(AV191+AW67+AW90-AW167*(1-Assump!$D$27)-AW172*(1-Assump!$D$27)),(AV191+AW67+AW90-AW172*(1-Assump!$D$27)))</f>
        <v>#REF!</v>
      </c>
      <c r="AX191" s="5" t="e">
        <f>IF(AX9&lt;Assump!$D$54,(AW191+AX67+AX90-AX167*(1-Assump!$D$27)-AX172*(1-Assump!$D$27)),(AW191+AX67+AX90-AX172*(1-Assump!$D$27)))</f>
        <v>#REF!</v>
      </c>
      <c r="AY191" s="5" t="e">
        <f>IF(AY9&lt;Assump!$D$54,(AX191+AY67+AY90-AY167*(1-Assump!$D$27)-AY172*(1-Assump!$D$27)),(AX191+AY67+AY90-AY172*(1-Assump!$D$27)))</f>
        <v>#REF!</v>
      </c>
      <c r="AZ191" s="5" t="e">
        <f>IF(AZ9&lt;Assump!$D$54,(AY191+AZ67+AZ90-AZ167*(1-Assump!$D$27)-AZ172*(1-Assump!$D$27)),(AY191+AZ67+AZ90-AZ172*(1-Assump!$D$27)))</f>
        <v>#REF!</v>
      </c>
      <c r="BA191" s="5" t="e">
        <f>IF(BA9&lt;Assump!$D$54,(AZ191+BA67+BA90-BA167*(1-Assump!$D$27)-BA172*(1-Assump!$D$27)),(AZ191+BA67+BA90-BA172*(1-Assump!$D$27)))</f>
        <v>#REF!</v>
      </c>
      <c r="BB191" s="5" t="e">
        <f>IF(BB9&lt;Assump!$D$54,(BA191+BB67+BB90-BB167*(1-Assump!$D$27)-BB172*(1-Assump!$D$27)),(BA191+BB67+BB90-BB172*(1-Assump!$D$27)))</f>
        <v>#REF!</v>
      </c>
      <c r="BC191" s="5" t="e">
        <f>IF(BC9&lt;Assump!$D$54,(BB191+BC67+BC90-BC167*(1-Assump!$D$27)-BC172*(1-Assump!$D$27)),(BB191+BC67+BC90-BC172*(1-Assump!$D$27)))</f>
        <v>#REF!</v>
      </c>
      <c r="BD191" s="5" t="e">
        <f>IF(BD9&lt;Assump!$D$54,(BC191+BD67+BD90-BD167*(1-Assump!$D$27)-BD172*(1-Assump!$D$27)),(BC191+BD67+BD90-BD172*(1-Assump!$D$27)))</f>
        <v>#REF!</v>
      </c>
      <c r="BE191" s="5" t="e">
        <f>IF(BE9&lt;Assump!$D$54,(BD191+BE67+BE90-BE167*(1-Assump!$D$27)-BE172*(1-Assump!$D$27)),(BD191+BE67+BE90-BE172*(1-Assump!$D$27)))</f>
        <v>#REF!</v>
      </c>
      <c r="BF191" s="5" t="e">
        <f>IF(BF9&lt;Assump!$D$54,(BE191+BF67+BF90-BF167*(1-Assump!$D$27)-BF172*(1-Assump!$D$27)),(BE191+BF67+BF90-BF172*(1-Assump!$D$27)))</f>
        <v>#REF!</v>
      </c>
      <c r="BG191" s="5" t="e">
        <f>IF(BG9&lt;Assump!$D$54,(BF191+BG67+BG90-BG167*(1-Assump!$D$27)-BG172*(1-Assump!$D$27)),(BF191+BG67+BG90-BG172*(1-Assump!$D$27)))</f>
        <v>#REF!</v>
      </c>
      <c r="BH191" s="5" t="e">
        <f>IF(BH9&lt;Assump!$D$54,(BG191+BH67+BH90-BH167*(1-Assump!$D$27)-BH172*(1-Assump!$D$27)),(BG191+BH67+BH90-BH172*(1-Assump!$D$27)))</f>
        <v>#REF!</v>
      </c>
      <c r="BI191" s="5" t="e">
        <f>IF(BI9&lt;Assump!$D$54,(BH191+BI67+BI90-BI167*(1-Assump!$D$27)-BI172*(1-Assump!$D$27)),(BH191+BI67+BI90-BI172*(1-Assump!$D$27)))</f>
        <v>#REF!</v>
      </c>
      <c r="BJ191" s="5" t="e">
        <f>IF(BJ9&lt;Assump!$D$54,(BI191+BJ67+BJ90-BJ167*(1-Assump!$D$27)-BJ172*(1-Assump!$D$27)),(BI191+BJ67+BJ90-BJ172*(1-Assump!$D$27)))</f>
        <v>#REF!</v>
      </c>
      <c r="BK191" s="5" t="e">
        <f>IF(BK9&lt;Assump!$D$54,(BJ191+BK67+BK90-BK167*(1-Assump!$D$27)-BK172*(1-Assump!$D$27)),(BJ191+BK67+BK90-BK172*(1-Assump!$D$27)))</f>
        <v>#REF!</v>
      </c>
      <c r="BL191" s="5" t="e">
        <f>IF(BL9&lt;Assump!$D$54,(BK191+BL67+BL90-BL167*(1-Assump!$D$27)-BL172*(1-Assump!$D$27)),(BK191+BL67+BL90-BL172*(1-Assump!$D$27)))</f>
        <v>#REF!</v>
      </c>
      <c r="BM191" s="5" t="e">
        <f>IF(BM9&lt;Assump!$D$54,(BL191+BM67+BM90-BM167*(1-Assump!$D$27)-BM172*(1-Assump!$D$27)),(BL191+BM67+BM90-BM172*(1-Assump!$D$27)))</f>
        <v>#REF!</v>
      </c>
      <c r="BN191" s="5" t="e">
        <f>IF(BN9&lt;Assump!$D$54,(BM191+BN67+BN90-BN167*(1-Assump!$D$27)-BN172*(1-Assump!$D$27)),(BM191+BN67+BN90-BN172*(1-Assump!$D$27)))</f>
        <v>#REF!</v>
      </c>
      <c r="BO191" s="5" t="e">
        <f>IF(BO9&lt;Assump!$D$54,(BN191+BO67+BO90-BO167*(1-Assump!$D$27)-BO172*(1-Assump!$D$27)),(BN191+BO67+BO90-BO172*(1-Assump!$D$27)))</f>
        <v>#REF!</v>
      </c>
      <c r="BP191" s="5" t="e">
        <f>IF(BP9&lt;Assump!$D$54,(BO191+BP67+BP90-BP167*(1-Assump!$D$27)-BP172*(1-Assump!$D$27)),(BO191+BP67+BP90-BP172*(1-Assump!$D$27)))</f>
        <v>#REF!</v>
      </c>
      <c r="BQ191" s="5" t="e">
        <f>IF(BQ9&lt;Assump!$D$54,(BP191+BQ67+BQ90-BQ167*(1-Assump!$D$27)-BQ172*(1-Assump!$D$27)),(BP191+BQ67+BQ90-BQ172*(1-Assump!$D$27)))</f>
        <v>#REF!</v>
      </c>
      <c r="BR191" s="5" t="e">
        <f>IF(BR9&lt;Assump!$D$54,(BQ191+BR67+BR90-BR167*(1-Assump!$D$27)-BR172*(1-Assump!$D$27)),(BQ191+BR67+BR90-BR172*(1-Assump!$D$27)))</f>
        <v>#REF!</v>
      </c>
      <c r="BS191" s="5" t="e">
        <f>IF(BS9&lt;Assump!$D$54,(BR191+BS67+BS90-BS167*(1-Assump!$D$27)-BS172*(1-Assump!$D$27)),(BR191+BS67+BS90-BS172*(1-Assump!$D$27)))</f>
        <v>#REF!</v>
      </c>
      <c r="BT191" s="5" t="e">
        <f>IF(BT9&lt;Assump!$D$54,(BS191+BT67+BT90-BT167*(1-Assump!$D$27)-BT172*(1-Assump!$D$27)),(BS191+BT67+BT90-BT172*(1-Assump!$D$27)))</f>
        <v>#REF!</v>
      </c>
      <c r="BU191" s="5" t="e">
        <f>IF(BU9&lt;Assump!$D$54,(BT191+BU67+BU90-BU167*(1-Assump!$D$27)-BU172*(1-Assump!$D$27)),(BT191+BU67+BU90-BU172*(1-Assump!$D$27)))</f>
        <v>#REF!</v>
      </c>
      <c r="BV191" s="5" t="e">
        <f>IF(BV9&lt;Assump!$D$54,(BU191+BV67+BV90-BV167*(1-Assump!$D$27)-BV172*(1-Assump!$D$27)),(BU191+BV67+BV90-BV172*(1-Assump!$D$27)))</f>
        <v>#REF!</v>
      </c>
      <c r="BW191" s="5" t="e">
        <f>IF(BW9&lt;Assump!$D$54,(BV191+BW67+BW90-BW167*(1-Assump!$D$27)-BW172*(1-Assump!$D$27)),(BV191+BW67+BW90-BW172*(1-Assump!$D$27)))</f>
        <v>#REF!</v>
      </c>
      <c r="BX191" s="5" t="e">
        <f>IF(BX9&lt;Assump!$D$54,(BW191+BX67+BX90-BX167*(1-Assump!$D$27)-BX172*(1-Assump!$D$27)),(BW191+BX67+BX90-BX172*(1-Assump!$D$27)))</f>
        <v>#REF!</v>
      </c>
      <c r="BY191" s="5" t="e">
        <f>IF(BY9&lt;Assump!$D$54,(BX191+BY67+BY90-BY167*(1-Assump!$D$27)-BY172*(1-Assump!$D$27)),(BX191+BY67+BY90-BY172*(1-Assump!$D$27)))</f>
        <v>#REF!</v>
      </c>
      <c r="BZ191" s="5" t="e">
        <f>IF(BZ9&lt;Assump!$D$54,(BY191+BZ67+BZ90-BZ167*(1-Assump!$D$27)-BZ172*(1-Assump!$D$27)),(BY191+BZ67+BZ90-BZ172*(1-Assump!$D$27)))</f>
        <v>#REF!</v>
      </c>
      <c r="CA191" s="5" t="e">
        <f>IF(CA9&lt;Assump!$D$54,(BZ191+CA67+CA90-CA167*(1-Assump!$D$27)-CA172*(1-Assump!$D$27)),(BZ191+CA67+CA90-CA172*(1-Assump!$D$27)))</f>
        <v>#REF!</v>
      </c>
      <c r="CB191" s="5" t="e">
        <f>IF(CB9&lt;Assump!$D$54,(CA191+CB67+CB90-CB167*(1-Assump!$D$27)-CB172*(1-Assump!$D$27)),(CA191+CB67+CB90-CB172*(1-Assump!$D$27)))</f>
        <v>#REF!</v>
      </c>
      <c r="CC191" s="5" t="e">
        <f>IF(CC9&lt;Assump!$D$54,(CB191+CC67+CC90-CC167*(1-Assump!$D$27)-CC172*(1-Assump!$D$27)),(CB191+CC67+CC90-CC172*(1-Assump!$D$27)))</f>
        <v>#REF!</v>
      </c>
      <c r="CD191" s="5" t="e">
        <f>IF(CD9&lt;Assump!$D$54,(CC191+CD67+CD90-CD167*(1-Assump!$D$27)-CD172*(1-Assump!$D$27)),(CC191+CD67+CD90-CD172*(1-Assump!$D$27)))</f>
        <v>#REF!</v>
      </c>
      <c r="CE191" s="5" t="e">
        <f>IF(CE9&lt;Assump!$D$54,(CD191+CE67+CE90-CE167*(1-Assump!$D$27)-CE172*(1-Assump!$D$27)),(CD191+CE67+CE90-CE172*(1-Assump!$D$27)))</f>
        <v>#REF!</v>
      </c>
      <c r="CF191" s="5" t="e">
        <f>IF(CF9&lt;Assump!$D$54,(CE191+CF67+CF90-CF167*(1-Assump!$D$27)-CF172*(1-Assump!$D$27)),(CE191+CF67+CF90-CF172*(1-Assump!$D$27)))</f>
        <v>#REF!</v>
      </c>
      <c r="CG191" s="5" t="e">
        <f>IF(CG9&lt;Assump!$D$54,(CF191+CG67+CG90-CG167*(1-Assump!$D$27)-CG172*(1-Assump!$D$27)),(CF191+CG67+CG90-CG172*(1-Assump!$D$27)))</f>
        <v>#REF!</v>
      </c>
      <c r="CH191" s="5" t="e">
        <f>IF(CH9&lt;Assump!$D$54,(CG191+CH67+CH90-CH167*(1-Assump!$D$27)-CH172*(1-Assump!$D$27)),(CG191+CH67+CH90-CH172*(1-Assump!$D$27)))</f>
        <v>#REF!</v>
      </c>
      <c r="CI191" s="5" t="e">
        <f>IF(CI9&lt;Assump!$D$54,(CH191+CI67+CI90-CI167*(1-Assump!$D$27)-CI172*(1-Assump!$D$27)),(CH191+CI67+CI90-CI172*(1-Assump!$D$27)))</f>
        <v>#REF!</v>
      </c>
      <c r="CJ191" s="5" t="e">
        <f>IF(CJ9&lt;Assump!$D$54,(CI191+CJ67+CJ90-CJ167*(1-Assump!$D$27)-CJ172*(1-Assump!$D$27)),(CI191+CJ67+CJ90-CJ172*(1-Assump!$D$27)))</f>
        <v>#REF!</v>
      </c>
      <c r="CK191" s="5" t="e">
        <f>IF(CK9&lt;Assump!$D$54,(CJ191+CK67+CK90-CK167*(1-Assump!$D$27)-CK172*(1-Assump!$D$27)),(CJ191+CK67+CK90-CK172*(1-Assump!$D$27)))</f>
        <v>#REF!</v>
      </c>
      <c r="CL191" s="5" t="e">
        <f>IF(CL9&lt;Assump!$D$54,(CK191+CL67+CL90-CL167*(1-Assump!$D$27)-CL172*(1-Assump!$D$27)),(CK191+CL67+CL90-CL172*(1-Assump!$D$27)))</f>
        <v>#REF!</v>
      </c>
      <c r="CM191" s="5" t="e">
        <f>IF(CM9&lt;Assump!$D$54,(CL191+CM67+CM90-CM167*(1-Assump!$D$27)-CM172*(1-Assump!$D$27)),(CL191+CM67+CM90-CM172*(1-Assump!$D$27)))</f>
        <v>#REF!</v>
      </c>
      <c r="CN191" s="5" t="e">
        <f>IF(CN9&lt;Assump!$D$54,(CM191+CN67+CN90-CN167*(1-Assump!$D$27)-CN172*(1-Assump!$D$27)),(CM191+CN67+CN90-CN172*(1-Assump!$D$27)))</f>
        <v>#REF!</v>
      </c>
      <c r="CO191" s="5"/>
    </row>
    <row r="192" spans="1:93" ht="12.75" customHeight="1" outlineLevel="1">
      <c r="A192" s="117"/>
      <c r="B192" s="26" t="s">
        <v>256</v>
      </c>
      <c r="C192" s="117"/>
      <c r="D192" s="118">
        <f>D89</f>
        <v>2200549.9500000002</v>
      </c>
      <c r="E192" s="5">
        <f t="shared" ref="E192:AJ192" si="142">D192+E89</f>
        <v>2200549.9500000002</v>
      </c>
      <c r="F192" s="5">
        <f t="shared" si="142"/>
        <v>2200549.9500000002</v>
      </c>
      <c r="G192" s="5">
        <f t="shared" si="142"/>
        <v>2200549.9500000002</v>
      </c>
      <c r="H192" s="5">
        <f t="shared" si="142"/>
        <v>2200549.9500000002</v>
      </c>
      <c r="I192" s="5">
        <f t="shared" si="142"/>
        <v>2200549.9500000002</v>
      </c>
      <c r="J192" s="5">
        <f t="shared" si="142"/>
        <v>2200549.9500000002</v>
      </c>
      <c r="K192" s="5">
        <f t="shared" si="142"/>
        <v>2200549.9500000002</v>
      </c>
      <c r="L192" s="5">
        <f t="shared" si="142"/>
        <v>2200549.9500000002</v>
      </c>
      <c r="M192" s="5">
        <f t="shared" si="142"/>
        <v>2200549.9500000002</v>
      </c>
      <c r="N192" s="5">
        <f t="shared" si="142"/>
        <v>2200549.9500000002</v>
      </c>
      <c r="O192" s="5">
        <f t="shared" si="142"/>
        <v>2200549.9500000002</v>
      </c>
      <c r="P192" s="5">
        <f t="shared" si="142"/>
        <v>2200549.9500000002</v>
      </c>
      <c r="Q192" s="5">
        <f t="shared" si="142"/>
        <v>2200549.9500000002</v>
      </c>
      <c r="R192" s="5">
        <f t="shared" si="142"/>
        <v>2200549.9500000002</v>
      </c>
      <c r="S192" s="5">
        <f t="shared" si="142"/>
        <v>2200549.9500000002</v>
      </c>
      <c r="T192" s="5">
        <f t="shared" si="142"/>
        <v>2200549.9500000002</v>
      </c>
      <c r="U192" s="5">
        <f t="shared" si="142"/>
        <v>2200549.9500000002</v>
      </c>
      <c r="V192" s="5">
        <f t="shared" si="142"/>
        <v>2200549.9500000002</v>
      </c>
      <c r="W192" s="5">
        <f t="shared" si="142"/>
        <v>2200549.9500000002</v>
      </c>
      <c r="X192" s="5">
        <f t="shared" si="142"/>
        <v>2200549.9500000002</v>
      </c>
      <c r="Y192" s="5">
        <f t="shared" si="142"/>
        <v>2200549.9500000002</v>
      </c>
      <c r="Z192" s="5">
        <f t="shared" si="142"/>
        <v>2200549.9500000002</v>
      </c>
      <c r="AA192" s="5">
        <f t="shared" si="142"/>
        <v>2200549.9500000002</v>
      </c>
      <c r="AB192" s="5">
        <f t="shared" si="142"/>
        <v>2200549.9500000002</v>
      </c>
      <c r="AC192" s="5">
        <f t="shared" si="142"/>
        <v>2200549.9500000002</v>
      </c>
      <c r="AD192" s="5">
        <f t="shared" si="142"/>
        <v>2200549.9500000002</v>
      </c>
      <c r="AE192" s="5">
        <f t="shared" si="142"/>
        <v>2200549.9500000002</v>
      </c>
      <c r="AF192" s="5">
        <f t="shared" si="142"/>
        <v>2200549.9500000002</v>
      </c>
      <c r="AG192" s="5">
        <f t="shared" si="142"/>
        <v>2200549.9500000002</v>
      </c>
      <c r="AH192" s="5">
        <f t="shared" si="142"/>
        <v>2200549.9500000002</v>
      </c>
      <c r="AI192" s="5">
        <f t="shared" si="142"/>
        <v>2200549.9500000002</v>
      </c>
      <c r="AJ192" s="5">
        <f t="shared" si="142"/>
        <v>2200549.9500000002</v>
      </c>
      <c r="AK192" s="5">
        <f t="shared" ref="AK192:BP192" si="143">AJ192+AK89</f>
        <v>2200549.9500000002</v>
      </c>
      <c r="AL192" s="5">
        <f t="shared" si="143"/>
        <v>2200549.9500000002</v>
      </c>
      <c r="AM192" s="5">
        <f t="shared" si="143"/>
        <v>2200549.9500000002</v>
      </c>
      <c r="AN192" s="5">
        <f t="shared" si="143"/>
        <v>2200549.9500000002</v>
      </c>
      <c r="AO192" s="5">
        <f t="shared" si="143"/>
        <v>2200549.9500000002</v>
      </c>
      <c r="AP192" s="5">
        <f t="shared" si="143"/>
        <v>2200549.9500000002</v>
      </c>
      <c r="AQ192" s="5">
        <f t="shared" si="143"/>
        <v>2200549.9500000002</v>
      </c>
      <c r="AR192" s="5">
        <f t="shared" si="143"/>
        <v>2200549.9500000002</v>
      </c>
      <c r="AS192" s="5">
        <f t="shared" si="143"/>
        <v>2200549.9500000002</v>
      </c>
      <c r="AT192" s="5">
        <f t="shared" si="143"/>
        <v>2200549.9500000002</v>
      </c>
      <c r="AU192" s="5">
        <f t="shared" si="143"/>
        <v>2200549.9500000002</v>
      </c>
      <c r="AV192" s="5">
        <f t="shared" si="143"/>
        <v>2200549.9500000002</v>
      </c>
      <c r="AW192" s="5">
        <f t="shared" si="143"/>
        <v>2200549.9500000002</v>
      </c>
      <c r="AX192" s="5">
        <f t="shared" si="143"/>
        <v>2200549.9500000002</v>
      </c>
      <c r="AY192" s="5">
        <f t="shared" si="143"/>
        <v>2200549.9500000002</v>
      </c>
      <c r="AZ192" s="5">
        <f t="shared" si="143"/>
        <v>2200549.9500000002</v>
      </c>
      <c r="BA192" s="5">
        <f t="shared" si="143"/>
        <v>2200549.9500000002</v>
      </c>
      <c r="BB192" s="5">
        <f t="shared" si="143"/>
        <v>2200549.9500000002</v>
      </c>
      <c r="BC192" s="5">
        <f t="shared" si="143"/>
        <v>2200549.9500000002</v>
      </c>
      <c r="BD192" s="5">
        <f t="shared" si="143"/>
        <v>2200549.9500000002</v>
      </c>
      <c r="BE192" s="5">
        <f t="shared" si="143"/>
        <v>2200549.9500000002</v>
      </c>
      <c r="BF192" s="5">
        <f t="shared" si="143"/>
        <v>2200549.9500000002</v>
      </c>
      <c r="BG192" s="5">
        <f t="shared" si="143"/>
        <v>2200549.9500000002</v>
      </c>
      <c r="BH192" s="5">
        <f t="shared" si="143"/>
        <v>2200549.9500000002</v>
      </c>
      <c r="BI192" s="5">
        <f t="shared" si="143"/>
        <v>2200549.9500000002</v>
      </c>
      <c r="BJ192" s="5">
        <f t="shared" si="143"/>
        <v>2200549.9500000002</v>
      </c>
      <c r="BK192" s="5">
        <f t="shared" si="143"/>
        <v>2200549.9500000002</v>
      </c>
      <c r="BL192" s="5">
        <f t="shared" si="143"/>
        <v>2200549.9500000002</v>
      </c>
      <c r="BM192" s="5">
        <f t="shared" si="143"/>
        <v>2200549.9500000002</v>
      </c>
      <c r="BN192" s="5">
        <f t="shared" si="143"/>
        <v>2200549.9500000002</v>
      </c>
      <c r="BO192" s="5">
        <f t="shared" si="143"/>
        <v>2200549.9500000002</v>
      </c>
      <c r="BP192" s="5">
        <f t="shared" si="143"/>
        <v>2200549.9500000002</v>
      </c>
      <c r="BQ192" s="5">
        <f t="shared" ref="BQ192:CN192" si="144">BP192+BQ89</f>
        <v>2200549.9500000002</v>
      </c>
      <c r="BR192" s="5">
        <f t="shared" si="144"/>
        <v>2200549.9500000002</v>
      </c>
      <c r="BS192" s="5">
        <f t="shared" si="144"/>
        <v>2200549.9500000002</v>
      </c>
      <c r="BT192" s="5">
        <f t="shared" si="144"/>
        <v>2200549.9500000002</v>
      </c>
      <c r="BU192" s="5">
        <f t="shared" si="144"/>
        <v>2200549.9500000002</v>
      </c>
      <c r="BV192" s="5">
        <f t="shared" si="144"/>
        <v>2200549.9500000002</v>
      </c>
      <c r="BW192" s="5">
        <f t="shared" si="144"/>
        <v>2200549.9500000002</v>
      </c>
      <c r="BX192" s="5">
        <f t="shared" si="144"/>
        <v>2200549.9500000002</v>
      </c>
      <c r="BY192" s="5">
        <f t="shared" si="144"/>
        <v>2200549.9500000002</v>
      </c>
      <c r="BZ192" s="5">
        <f t="shared" si="144"/>
        <v>2200549.9500000002</v>
      </c>
      <c r="CA192" s="5">
        <f t="shared" si="144"/>
        <v>2200549.9500000002</v>
      </c>
      <c r="CB192" s="5">
        <f t="shared" si="144"/>
        <v>2200549.9500000002</v>
      </c>
      <c r="CC192" s="5">
        <f t="shared" si="144"/>
        <v>2200549.9500000002</v>
      </c>
      <c r="CD192" s="5">
        <f t="shared" si="144"/>
        <v>2200549.9500000002</v>
      </c>
      <c r="CE192" s="5">
        <f t="shared" si="144"/>
        <v>2200549.9500000002</v>
      </c>
      <c r="CF192" s="5">
        <f t="shared" si="144"/>
        <v>2200549.9500000002</v>
      </c>
      <c r="CG192" s="5">
        <f t="shared" si="144"/>
        <v>2200549.9500000002</v>
      </c>
      <c r="CH192" s="5">
        <f t="shared" si="144"/>
        <v>2200549.9500000002</v>
      </c>
      <c r="CI192" s="5">
        <f t="shared" si="144"/>
        <v>2200549.9500000002</v>
      </c>
      <c r="CJ192" s="5">
        <f t="shared" si="144"/>
        <v>2200549.9500000002</v>
      </c>
      <c r="CK192" s="5">
        <f t="shared" si="144"/>
        <v>2200549.9500000002</v>
      </c>
      <c r="CL192" s="5">
        <f t="shared" si="144"/>
        <v>2200549.9500000002</v>
      </c>
      <c r="CM192" s="5">
        <f t="shared" si="144"/>
        <v>2200549.9500000002</v>
      </c>
      <c r="CN192" s="5">
        <f t="shared" si="144"/>
        <v>2200549.9500000002</v>
      </c>
      <c r="CO192" s="5"/>
    </row>
    <row r="193" spans="1:93" ht="12.75" customHeight="1" outlineLevel="1">
      <c r="A193" s="112"/>
      <c r="B193" s="119" t="s">
        <v>248</v>
      </c>
      <c r="C193" s="120"/>
      <c r="D193" s="121" t="e">
        <f t="shared" ref="D193:CN193" si="145">D185+D188+D190</f>
        <v>#REF!</v>
      </c>
      <c r="E193" s="120" t="e">
        <f t="shared" si="145"/>
        <v>#REF!</v>
      </c>
      <c r="F193" s="120" t="e">
        <f t="shared" si="145"/>
        <v>#REF!</v>
      </c>
      <c r="G193" s="120" t="e">
        <f t="shared" si="145"/>
        <v>#REF!</v>
      </c>
      <c r="H193" s="120" t="e">
        <f t="shared" si="145"/>
        <v>#REF!</v>
      </c>
      <c r="I193" s="120" t="e">
        <f t="shared" si="145"/>
        <v>#REF!</v>
      </c>
      <c r="J193" s="120" t="e">
        <f t="shared" si="145"/>
        <v>#REF!</v>
      </c>
      <c r="K193" s="120" t="e">
        <f t="shared" si="145"/>
        <v>#REF!</v>
      </c>
      <c r="L193" s="120" t="e">
        <f t="shared" si="145"/>
        <v>#REF!</v>
      </c>
      <c r="M193" s="120" t="e">
        <f t="shared" si="145"/>
        <v>#REF!</v>
      </c>
      <c r="N193" s="120" t="e">
        <f t="shared" si="145"/>
        <v>#REF!</v>
      </c>
      <c r="O193" s="120" t="e">
        <f t="shared" si="145"/>
        <v>#REF!</v>
      </c>
      <c r="P193" s="120" t="e">
        <f t="shared" si="145"/>
        <v>#REF!</v>
      </c>
      <c r="Q193" s="120" t="e">
        <f t="shared" si="145"/>
        <v>#REF!</v>
      </c>
      <c r="R193" s="120" t="e">
        <f t="shared" si="145"/>
        <v>#REF!</v>
      </c>
      <c r="S193" s="120" t="e">
        <f t="shared" si="145"/>
        <v>#REF!</v>
      </c>
      <c r="T193" s="120" t="e">
        <f t="shared" si="145"/>
        <v>#REF!</v>
      </c>
      <c r="U193" s="120" t="e">
        <f t="shared" si="145"/>
        <v>#REF!</v>
      </c>
      <c r="V193" s="120" t="e">
        <f t="shared" si="145"/>
        <v>#REF!</v>
      </c>
      <c r="W193" s="120" t="e">
        <f t="shared" si="145"/>
        <v>#REF!</v>
      </c>
      <c r="X193" s="120" t="e">
        <f t="shared" si="145"/>
        <v>#REF!</v>
      </c>
      <c r="Y193" s="120" t="e">
        <f t="shared" si="145"/>
        <v>#REF!</v>
      </c>
      <c r="Z193" s="120" t="e">
        <f t="shared" si="145"/>
        <v>#REF!</v>
      </c>
      <c r="AA193" s="120" t="e">
        <f t="shared" si="145"/>
        <v>#REF!</v>
      </c>
      <c r="AB193" s="120" t="e">
        <f t="shared" si="145"/>
        <v>#REF!</v>
      </c>
      <c r="AC193" s="120" t="e">
        <f t="shared" si="145"/>
        <v>#REF!</v>
      </c>
      <c r="AD193" s="120" t="e">
        <f t="shared" si="145"/>
        <v>#REF!</v>
      </c>
      <c r="AE193" s="120" t="e">
        <f t="shared" si="145"/>
        <v>#REF!</v>
      </c>
      <c r="AF193" s="120" t="e">
        <f t="shared" si="145"/>
        <v>#REF!</v>
      </c>
      <c r="AG193" s="120" t="e">
        <f t="shared" si="145"/>
        <v>#REF!</v>
      </c>
      <c r="AH193" s="120" t="e">
        <f t="shared" si="145"/>
        <v>#REF!</v>
      </c>
      <c r="AI193" s="120" t="e">
        <f t="shared" si="145"/>
        <v>#REF!</v>
      </c>
      <c r="AJ193" s="120" t="e">
        <f t="shared" si="145"/>
        <v>#REF!</v>
      </c>
      <c r="AK193" s="120" t="e">
        <f t="shared" si="145"/>
        <v>#REF!</v>
      </c>
      <c r="AL193" s="120" t="e">
        <f t="shared" si="145"/>
        <v>#REF!</v>
      </c>
      <c r="AM193" s="120" t="e">
        <f t="shared" si="145"/>
        <v>#REF!</v>
      </c>
      <c r="AN193" s="120" t="e">
        <f t="shared" si="145"/>
        <v>#REF!</v>
      </c>
      <c r="AO193" s="120" t="e">
        <f t="shared" si="145"/>
        <v>#REF!</v>
      </c>
      <c r="AP193" s="120" t="e">
        <f t="shared" si="145"/>
        <v>#REF!</v>
      </c>
      <c r="AQ193" s="120" t="e">
        <f t="shared" si="145"/>
        <v>#REF!</v>
      </c>
      <c r="AR193" s="120" t="e">
        <f t="shared" si="145"/>
        <v>#REF!</v>
      </c>
      <c r="AS193" s="120" t="e">
        <f t="shared" si="145"/>
        <v>#REF!</v>
      </c>
      <c r="AT193" s="120" t="e">
        <f t="shared" si="145"/>
        <v>#REF!</v>
      </c>
      <c r="AU193" s="120" t="e">
        <f t="shared" si="145"/>
        <v>#REF!</v>
      </c>
      <c r="AV193" s="120" t="e">
        <f t="shared" si="145"/>
        <v>#REF!</v>
      </c>
      <c r="AW193" s="120" t="e">
        <f t="shared" si="145"/>
        <v>#REF!</v>
      </c>
      <c r="AX193" s="120" t="e">
        <f t="shared" si="145"/>
        <v>#REF!</v>
      </c>
      <c r="AY193" s="120" t="e">
        <f t="shared" si="145"/>
        <v>#REF!</v>
      </c>
      <c r="AZ193" s="120" t="e">
        <f t="shared" si="145"/>
        <v>#REF!</v>
      </c>
      <c r="BA193" s="120" t="e">
        <f t="shared" si="145"/>
        <v>#REF!</v>
      </c>
      <c r="BB193" s="120" t="e">
        <f t="shared" si="145"/>
        <v>#REF!</v>
      </c>
      <c r="BC193" s="120" t="e">
        <f t="shared" si="145"/>
        <v>#REF!</v>
      </c>
      <c r="BD193" s="120" t="e">
        <f t="shared" si="145"/>
        <v>#REF!</v>
      </c>
      <c r="BE193" s="120" t="e">
        <f t="shared" si="145"/>
        <v>#REF!</v>
      </c>
      <c r="BF193" s="120" t="e">
        <f t="shared" si="145"/>
        <v>#REF!</v>
      </c>
      <c r="BG193" s="120" t="e">
        <f t="shared" si="145"/>
        <v>#REF!</v>
      </c>
      <c r="BH193" s="120" t="e">
        <f t="shared" si="145"/>
        <v>#REF!</v>
      </c>
      <c r="BI193" s="120" t="e">
        <f t="shared" si="145"/>
        <v>#REF!</v>
      </c>
      <c r="BJ193" s="120" t="e">
        <f t="shared" si="145"/>
        <v>#REF!</v>
      </c>
      <c r="BK193" s="120" t="e">
        <f t="shared" si="145"/>
        <v>#REF!</v>
      </c>
      <c r="BL193" s="120" t="e">
        <f t="shared" si="145"/>
        <v>#REF!</v>
      </c>
      <c r="BM193" s="120" t="e">
        <f t="shared" si="145"/>
        <v>#REF!</v>
      </c>
      <c r="BN193" s="120" t="e">
        <f t="shared" si="145"/>
        <v>#REF!</v>
      </c>
      <c r="BO193" s="120" t="e">
        <f t="shared" si="145"/>
        <v>#REF!</v>
      </c>
      <c r="BP193" s="120" t="e">
        <f t="shared" si="145"/>
        <v>#REF!</v>
      </c>
      <c r="BQ193" s="120" t="e">
        <f t="shared" si="145"/>
        <v>#REF!</v>
      </c>
      <c r="BR193" s="120" t="e">
        <f t="shared" si="145"/>
        <v>#REF!</v>
      </c>
      <c r="BS193" s="120" t="e">
        <f t="shared" si="145"/>
        <v>#REF!</v>
      </c>
      <c r="BT193" s="120" t="e">
        <f t="shared" si="145"/>
        <v>#REF!</v>
      </c>
      <c r="BU193" s="120" t="e">
        <f t="shared" si="145"/>
        <v>#REF!</v>
      </c>
      <c r="BV193" s="120" t="e">
        <f t="shared" si="145"/>
        <v>#REF!</v>
      </c>
      <c r="BW193" s="120" t="e">
        <f t="shared" si="145"/>
        <v>#REF!</v>
      </c>
      <c r="BX193" s="120" t="e">
        <f t="shared" si="145"/>
        <v>#REF!</v>
      </c>
      <c r="BY193" s="120" t="e">
        <f t="shared" si="145"/>
        <v>#REF!</v>
      </c>
      <c r="BZ193" s="120" t="e">
        <f t="shared" si="145"/>
        <v>#REF!</v>
      </c>
      <c r="CA193" s="120" t="e">
        <f t="shared" si="145"/>
        <v>#REF!</v>
      </c>
      <c r="CB193" s="120" t="e">
        <f t="shared" si="145"/>
        <v>#REF!</v>
      </c>
      <c r="CC193" s="120" t="e">
        <f t="shared" si="145"/>
        <v>#REF!</v>
      </c>
      <c r="CD193" s="120" t="e">
        <f t="shared" si="145"/>
        <v>#REF!</v>
      </c>
      <c r="CE193" s="120" t="e">
        <f t="shared" si="145"/>
        <v>#REF!</v>
      </c>
      <c r="CF193" s="120" t="e">
        <f t="shared" si="145"/>
        <v>#REF!</v>
      </c>
      <c r="CG193" s="120" t="e">
        <f t="shared" si="145"/>
        <v>#REF!</v>
      </c>
      <c r="CH193" s="120" t="e">
        <f t="shared" si="145"/>
        <v>#REF!</v>
      </c>
      <c r="CI193" s="120" t="e">
        <f t="shared" si="145"/>
        <v>#REF!</v>
      </c>
      <c r="CJ193" s="120" t="e">
        <f t="shared" si="145"/>
        <v>#REF!</v>
      </c>
      <c r="CK193" s="120" t="e">
        <f t="shared" si="145"/>
        <v>#REF!</v>
      </c>
      <c r="CL193" s="120" t="e">
        <f t="shared" si="145"/>
        <v>#REF!</v>
      </c>
      <c r="CM193" s="120" t="e">
        <f t="shared" si="145"/>
        <v>#REF!</v>
      </c>
      <c r="CN193" s="120" t="e">
        <f t="shared" si="145"/>
        <v>#REF!</v>
      </c>
      <c r="CO193" s="120"/>
    </row>
    <row r="194" spans="1:93" ht="12.75" customHeight="1" outlineLevel="1">
      <c r="A194" s="117"/>
      <c r="B194" s="117"/>
      <c r="C194" s="117"/>
      <c r="D194" s="116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117"/>
      <c r="BV194" s="117"/>
      <c r="BW194" s="117"/>
      <c r="BX194" s="117"/>
      <c r="BY194" s="117"/>
      <c r="BZ194" s="117"/>
      <c r="CA194" s="117"/>
      <c r="CB194" s="117"/>
      <c r="CC194" s="117"/>
      <c r="CD194" s="117"/>
      <c r="CE194" s="117"/>
      <c r="CF194" s="117"/>
      <c r="CG194" s="117"/>
      <c r="CH194" s="117"/>
      <c r="CI194" s="117"/>
      <c r="CJ194" s="117"/>
      <c r="CK194" s="117"/>
      <c r="CL194" s="117"/>
      <c r="CM194" s="117"/>
      <c r="CN194" s="117"/>
      <c r="CO194" s="117"/>
    </row>
    <row r="195" spans="1:93" ht="12.75" customHeight="1" outlineLevel="1">
      <c r="A195" s="117"/>
      <c r="B195" s="117"/>
      <c r="C195" s="124" t="s">
        <v>257</v>
      </c>
      <c r="D195" s="125" t="e">
        <f t="shared" ref="D195:CN195" si="146">IF(ROUND(D183,0)=ROUND(D193,0),"Да","Нет")</f>
        <v>#REF!</v>
      </c>
      <c r="E195" s="126" t="e">
        <f t="shared" si="146"/>
        <v>#REF!</v>
      </c>
      <c r="F195" s="126" t="e">
        <f t="shared" si="146"/>
        <v>#REF!</v>
      </c>
      <c r="G195" s="126" t="e">
        <f t="shared" si="146"/>
        <v>#REF!</v>
      </c>
      <c r="H195" s="126" t="e">
        <f t="shared" si="146"/>
        <v>#REF!</v>
      </c>
      <c r="I195" s="126" t="e">
        <f t="shared" si="146"/>
        <v>#REF!</v>
      </c>
      <c r="J195" s="126" t="e">
        <f t="shared" si="146"/>
        <v>#REF!</v>
      </c>
      <c r="K195" s="126" t="e">
        <f t="shared" si="146"/>
        <v>#REF!</v>
      </c>
      <c r="L195" s="126" t="e">
        <f t="shared" si="146"/>
        <v>#REF!</v>
      </c>
      <c r="M195" s="126" t="e">
        <f t="shared" si="146"/>
        <v>#REF!</v>
      </c>
      <c r="N195" s="126" t="e">
        <f t="shared" si="146"/>
        <v>#REF!</v>
      </c>
      <c r="O195" s="126" t="e">
        <f t="shared" si="146"/>
        <v>#REF!</v>
      </c>
      <c r="P195" s="126" t="e">
        <f t="shared" si="146"/>
        <v>#REF!</v>
      </c>
      <c r="Q195" s="126" t="e">
        <f t="shared" si="146"/>
        <v>#REF!</v>
      </c>
      <c r="R195" s="126" t="e">
        <f t="shared" si="146"/>
        <v>#REF!</v>
      </c>
      <c r="S195" s="126" t="e">
        <f t="shared" si="146"/>
        <v>#REF!</v>
      </c>
      <c r="T195" s="126" t="e">
        <f t="shared" si="146"/>
        <v>#REF!</v>
      </c>
      <c r="U195" s="126" t="e">
        <f t="shared" si="146"/>
        <v>#REF!</v>
      </c>
      <c r="V195" s="126" t="e">
        <f t="shared" si="146"/>
        <v>#REF!</v>
      </c>
      <c r="W195" s="126" t="e">
        <f t="shared" si="146"/>
        <v>#REF!</v>
      </c>
      <c r="X195" s="126" t="e">
        <f t="shared" si="146"/>
        <v>#REF!</v>
      </c>
      <c r="Y195" s="126" t="e">
        <f t="shared" si="146"/>
        <v>#REF!</v>
      </c>
      <c r="Z195" s="126" t="e">
        <f t="shared" si="146"/>
        <v>#REF!</v>
      </c>
      <c r="AA195" s="126" t="e">
        <f t="shared" si="146"/>
        <v>#REF!</v>
      </c>
      <c r="AB195" s="126" t="e">
        <f t="shared" si="146"/>
        <v>#REF!</v>
      </c>
      <c r="AC195" s="126" t="e">
        <f t="shared" si="146"/>
        <v>#REF!</v>
      </c>
      <c r="AD195" s="126" t="e">
        <f t="shared" si="146"/>
        <v>#REF!</v>
      </c>
      <c r="AE195" s="126" t="e">
        <f t="shared" si="146"/>
        <v>#REF!</v>
      </c>
      <c r="AF195" s="126" t="e">
        <f t="shared" si="146"/>
        <v>#REF!</v>
      </c>
      <c r="AG195" s="126" t="e">
        <f t="shared" si="146"/>
        <v>#REF!</v>
      </c>
      <c r="AH195" s="126" t="e">
        <f t="shared" si="146"/>
        <v>#REF!</v>
      </c>
      <c r="AI195" s="126" t="e">
        <f t="shared" si="146"/>
        <v>#REF!</v>
      </c>
      <c r="AJ195" s="126" t="e">
        <f t="shared" si="146"/>
        <v>#REF!</v>
      </c>
      <c r="AK195" s="126" t="e">
        <f t="shared" si="146"/>
        <v>#REF!</v>
      </c>
      <c r="AL195" s="126" t="e">
        <f t="shared" si="146"/>
        <v>#REF!</v>
      </c>
      <c r="AM195" s="126" t="e">
        <f t="shared" si="146"/>
        <v>#REF!</v>
      </c>
      <c r="AN195" s="126" t="e">
        <f t="shared" si="146"/>
        <v>#REF!</v>
      </c>
      <c r="AO195" s="126" t="e">
        <f t="shared" si="146"/>
        <v>#REF!</v>
      </c>
      <c r="AP195" s="126" t="e">
        <f t="shared" si="146"/>
        <v>#REF!</v>
      </c>
      <c r="AQ195" s="126" t="e">
        <f t="shared" si="146"/>
        <v>#REF!</v>
      </c>
      <c r="AR195" s="126" t="e">
        <f t="shared" si="146"/>
        <v>#REF!</v>
      </c>
      <c r="AS195" s="126" t="e">
        <f t="shared" si="146"/>
        <v>#REF!</v>
      </c>
      <c r="AT195" s="126" t="e">
        <f t="shared" si="146"/>
        <v>#REF!</v>
      </c>
      <c r="AU195" s="126" t="e">
        <f t="shared" si="146"/>
        <v>#REF!</v>
      </c>
      <c r="AV195" s="126" t="e">
        <f t="shared" si="146"/>
        <v>#REF!</v>
      </c>
      <c r="AW195" s="126" t="e">
        <f t="shared" si="146"/>
        <v>#REF!</v>
      </c>
      <c r="AX195" s="126" t="e">
        <f t="shared" si="146"/>
        <v>#REF!</v>
      </c>
      <c r="AY195" s="126" t="e">
        <f t="shared" si="146"/>
        <v>#REF!</v>
      </c>
      <c r="AZ195" s="126" t="e">
        <f t="shared" si="146"/>
        <v>#REF!</v>
      </c>
      <c r="BA195" s="126" t="e">
        <f t="shared" si="146"/>
        <v>#REF!</v>
      </c>
      <c r="BB195" s="126" t="e">
        <f t="shared" si="146"/>
        <v>#REF!</v>
      </c>
      <c r="BC195" s="126" t="e">
        <f t="shared" si="146"/>
        <v>#REF!</v>
      </c>
      <c r="BD195" s="126" t="e">
        <f t="shared" si="146"/>
        <v>#REF!</v>
      </c>
      <c r="BE195" s="126" t="e">
        <f t="shared" si="146"/>
        <v>#REF!</v>
      </c>
      <c r="BF195" s="126" t="e">
        <f t="shared" si="146"/>
        <v>#REF!</v>
      </c>
      <c r="BG195" s="126" t="e">
        <f t="shared" si="146"/>
        <v>#REF!</v>
      </c>
      <c r="BH195" s="126" t="e">
        <f t="shared" si="146"/>
        <v>#REF!</v>
      </c>
      <c r="BI195" s="126" t="e">
        <f t="shared" si="146"/>
        <v>#REF!</v>
      </c>
      <c r="BJ195" s="126" t="e">
        <f t="shared" si="146"/>
        <v>#REF!</v>
      </c>
      <c r="BK195" s="126" t="e">
        <f t="shared" si="146"/>
        <v>#REF!</v>
      </c>
      <c r="BL195" s="126" t="e">
        <f t="shared" si="146"/>
        <v>#REF!</v>
      </c>
      <c r="BM195" s="126" t="e">
        <f t="shared" si="146"/>
        <v>#REF!</v>
      </c>
      <c r="BN195" s="126" t="e">
        <f t="shared" si="146"/>
        <v>#REF!</v>
      </c>
      <c r="BO195" s="126" t="e">
        <f t="shared" si="146"/>
        <v>#REF!</v>
      </c>
      <c r="BP195" s="126" t="e">
        <f t="shared" si="146"/>
        <v>#REF!</v>
      </c>
      <c r="BQ195" s="126" t="e">
        <f t="shared" si="146"/>
        <v>#REF!</v>
      </c>
      <c r="BR195" s="126" t="e">
        <f t="shared" si="146"/>
        <v>#REF!</v>
      </c>
      <c r="BS195" s="126" t="e">
        <f t="shared" si="146"/>
        <v>#REF!</v>
      </c>
      <c r="BT195" s="126" t="e">
        <f t="shared" si="146"/>
        <v>#REF!</v>
      </c>
      <c r="BU195" s="126" t="e">
        <f t="shared" si="146"/>
        <v>#REF!</v>
      </c>
      <c r="BV195" s="126" t="e">
        <f t="shared" si="146"/>
        <v>#REF!</v>
      </c>
      <c r="BW195" s="126" t="e">
        <f t="shared" si="146"/>
        <v>#REF!</v>
      </c>
      <c r="BX195" s="126" t="e">
        <f t="shared" si="146"/>
        <v>#REF!</v>
      </c>
      <c r="BY195" s="126" t="e">
        <f t="shared" si="146"/>
        <v>#REF!</v>
      </c>
      <c r="BZ195" s="126" t="e">
        <f t="shared" si="146"/>
        <v>#REF!</v>
      </c>
      <c r="CA195" s="126" t="e">
        <f t="shared" si="146"/>
        <v>#REF!</v>
      </c>
      <c r="CB195" s="126" t="e">
        <f t="shared" si="146"/>
        <v>#REF!</v>
      </c>
      <c r="CC195" s="126" t="e">
        <f t="shared" si="146"/>
        <v>#REF!</v>
      </c>
      <c r="CD195" s="126" t="e">
        <f t="shared" si="146"/>
        <v>#REF!</v>
      </c>
      <c r="CE195" s="126" t="e">
        <f t="shared" si="146"/>
        <v>#REF!</v>
      </c>
      <c r="CF195" s="126" t="e">
        <f t="shared" si="146"/>
        <v>#REF!</v>
      </c>
      <c r="CG195" s="126" t="e">
        <f t="shared" si="146"/>
        <v>#REF!</v>
      </c>
      <c r="CH195" s="126" t="e">
        <f t="shared" si="146"/>
        <v>#REF!</v>
      </c>
      <c r="CI195" s="126" t="e">
        <f t="shared" si="146"/>
        <v>#REF!</v>
      </c>
      <c r="CJ195" s="126" t="e">
        <f t="shared" si="146"/>
        <v>#REF!</v>
      </c>
      <c r="CK195" s="126" t="e">
        <f t="shared" si="146"/>
        <v>#REF!</v>
      </c>
      <c r="CL195" s="126" t="e">
        <f t="shared" si="146"/>
        <v>#REF!</v>
      </c>
      <c r="CM195" s="126" t="e">
        <f t="shared" si="146"/>
        <v>#REF!</v>
      </c>
      <c r="CN195" s="126" t="e">
        <f t="shared" si="146"/>
        <v>#REF!</v>
      </c>
      <c r="CO195" s="126"/>
    </row>
    <row r="196" spans="1:93" ht="12.75" customHeight="1" outlineLevel="1">
      <c r="A196" s="117"/>
      <c r="B196" s="117"/>
      <c r="C196" s="124" t="s">
        <v>258</v>
      </c>
      <c r="D196" s="125" t="e">
        <f t="shared" ref="D196:CN196" si="147">ROUND(D183,0)-ROUND(D193,0)</f>
        <v>#REF!</v>
      </c>
      <c r="E196" s="126" t="e">
        <f t="shared" si="147"/>
        <v>#REF!</v>
      </c>
      <c r="F196" s="126" t="e">
        <f t="shared" si="147"/>
        <v>#REF!</v>
      </c>
      <c r="G196" s="126" t="e">
        <f t="shared" si="147"/>
        <v>#REF!</v>
      </c>
      <c r="H196" s="126" t="e">
        <f t="shared" si="147"/>
        <v>#REF!</v>
      </c>
      <c r="I196" s="126" t="e">
        <f t="shared" si="147"/>
        <v>#REF!</v>
      </c>
      <c r="J196" s="126" t="e">
        <f t="shared" si="147"/>
        <v>#REF!</v>
      </c>
      <c r="K196" s="126" t="e">
        <f t="shared" si="147"/>
        <v>#REF!</v>
      </c>
      <c r="L196" s="126" t="e">
        <f t="shared" si="147"/>
        <v>#REF!</v>
      </c>
      <c r="M196" s="126" t="e">
        <f t="shared" si="147"/>
        <v>#REF!</v>
      </c>
      <c r="N196" s="126" t="e">
        <f t="shared" si="147"/>
        <v>#REF!</v>
      </c>
      <c r="O196" s="126" t="e">
        <f t="shared" si="147"/>
        <v>#REF!</v>
      </c>
      <c r="P196" s="126" t="e">
        <f t="shared" si="147"/>
        <v>#REF!</v>
      </c>
      <c r="Q196" s="126" t="e">
        <f t="shared" si="147"/>
        <v>#REF!</v>
      </c>
      <c r="R196" s="126" t="e">
        <f t="shared" si="147"/>
        <v>#REF!</v>
      </c>
      <c r="S196" s="126" t="e">
        <f t="shared" si="147"/>
        <v>#REF!</v>
      </c>
      <c r="T196" s="126" t="e">
        <f t="shared" si="147"/>
        <v>#REF!</v>
      </c>
      <c r="U196" s="126" t="e">
        <f t="shared" si="147"/>
        <v>#REF!</v>
      </c>
      <c r="V196" s="126" t="e">
        <f t="shared" si="147"/>
        <v>#REF!</v>
      </c>
      <c r="W196" s="126" t="e">
        <f t="shared" si="147"/>
        <v>#REF!</v>
      </c>
      <c r="X196" s="126" t="e">
        <f t="shared" si="147"/>
        <v>#REF!</v>
      </c>
      <c r="Y196" s="126" t="e">
        <f t="shared" si="147"/>
        <v>#REF!</v>
      </c>
      <c r="Z196" s="126" t="e">
        <f t="shared" si="147"/>
        <v>#REF!</v>
      </c>
      <c r="AA196" s="126" t="e">
        <f t="shared" si="147"/>
        <v>#REF!</v>
      </c>
      <c r="AB196" s="126" t="e">
        <f t="shared" si="147"/>
        <v>#REF!</v>
      </c>
      <c r="AC196" s="126" t="e">
        <f t="shared" si="147"/>
        <v>#REF!</v>
      </c>
      <c r="AD196" s="126" t="e">
        <f t="shared" si="147"/>
        <v>#REF!</v>
      </c>
      <c r="AE196" s="126" t="e">
        <f t="shared" si="147"/>
        <v>#REF!</v>
      </c>
      <c r="AF196" s="126" t="e">
        <f t="shared" si="147"/>
        <v>#REF!</v>
      </c>
      <c r="AG196" s="126" t="e">
        <f t="shared" si="147"/>
        <v>#REF!</v>
      </c>
      <c r="AH196" s="126" t="e">
        <f t="shared" si="147"/>
        <v>#REF!</v>
      </c>
      <c r="AI196" s="126" t="e">
        <f t="shared" si="147"/>
        <v>#REF!</v>
      </c>
      <c r="AJ196" s="126" t="e">
        <f t="shared" si="147"/>
        <v>#REF!</v>
      </c>
      <c r="AK196" s="126" t="e">
        <f t="shared" si="147"/>
        <v>#REF!</v>
      </c>
      <c r="AL196" s="126" t="e">
        <f t="shared" si="147"/>
        <v>#REF!</v>
      </c>
      <c r="AM196" s="126" t="e">
        <f t="shared" si="147"/>
        <v>#REF!</v>
      </c>
      <c r="AN196" s="126" t="e">
        <f t="shared" si="147"/>
        <v>#REF!</v>
      </c>
      <c r="AO196" s="126" t="e">
        <f t="shared" si="147"/>
        <v>#REF!</v>
      </c>
      <c r="AP196" s="126" t="e">
        <f t="shared" si="147"/>
        <v>#REF!</v>
      </c>
      <c r="AQ196" s="126" t="e">
        <f t="shared" si="147"/>
        <v>#REF!</v>
      </c>
      <c r="AR196" s="126" t="e">
        <f t="shared" si="147"/>
        <v>#REF!</v>
      </c>
      <c r="AS196" s="126" t="e">
        <f t="shared" si="147"/>
        <v>#REF!</v>
      </c>
      <c r="AT196" s="126" t="e">
        <f t="shared" si="147"/>
        <v>#REF!</v>
      </c>
      <c r="AU196" s="126" t="e">
        <f t="shared" si="147"/>
        <v>#REF!</v>
      </c>
      <c r="AV196" s="126" t="e">
        <f t="shared" si="147"/>
        <v>#REF!</v>
      </c>
      <c r="AW196" s="126" t="e">
        <f t="shared" si="147"/>
        <v>#REF!</v>
      </c>
      <c r="AX196" s="126" t="e">
        <f t="shared" si="147"/>
        <v>#REF!</v>
      </c>
      <c r="AY196" s="126" t="e">
        <f t="shared" si="147"/>
        <v>#REF!</v>
      </c>
      <c r="AZ196" s="126" t="e">
        <f t="shared" si="147"/>
        <v>#REF!</v>
      </c>
      <c r="BA196" s="126" t="e">
        <f t="shared" si="147"/>
        <v>#REF!</v>
      </c>
      <c r="BB196" s="126" t="e">
        <f t="shared" si="147"/>
        <v>#REF!</v>
      </c>
      <c r="BC196" s="126" t="e">
        <f t="shared" si="147"/>
        <v>#REF!</v>
      </c>
      <c r="BD196" s="126" t="e">
        <f t="shared" si="147"/>
        <v>#REF!</v>
      </c>
      <c r="BE196" s="126" t="e">
        <f t="shared" si="147"/>
        <v>#REF!</v>
      </c>
      <c r="BF196" s="126" t="e">
        <f t="shared" si="147"/>
        <v>#REF!</v>
      </c>
      <c r="BG196" s="126" t="e">
        <f t="shared" si="147"/>
        <v>#REF!</v>
      </c>
      <c r="BH196" s="126" t="e">
        <f t="shared" si="147"/>
        <v>#REF!</v>
      </c>
      <c r="BI196" s="126" t="e">
        <f t="shared" si="147"/>
        <v>#REF!</v>
      </c>
      <c r="BJ196" s="126" t="e">
        <f t="shared" si="147"/>
        <v>#REF!</v>
      </c>
      <c r="BK196" s="126" t="e">
        <f t="shared" si="147"/>
        <v>#REF!</v>
      </c>
      <c r="BL196" s="126" t="e">
        <f t="shared" si="147"/>
        <v>#REF!</v>
      </c>
      <c r="BM196" s="126" t="e">
        <f t="shared" si="147"/>
        <v>#REF!</v>
      </c>
      <c r="BN196" s="126" t="e">
        <f t="shared" si="147"/>
        <v>#REF!</v>
      </c>
      <c r="BO196" s="126" t="e">
        <f t="shared" si="147"/>
        <v>#REF!</v>
      </c>
      <c r="BP196" s="126" t="e">
        <f t="shared" si="147"/>
        <v>#REF!</v>
      </c>
      <c r="BQ196" s="126" t="e">
        <f t="shared" si="147"/>
        <v>#REF!</v>
      </c>
      <c r="BR196" s="126" t="e">
        <f t="shared" si="147"/>
        <v>#REF!</v>
      </c>
      <c r="BS196" s="126" t="e">
        <f t="shared" si="147"/>
        <v>#REF!</v>
      </c>
      <c r="BT196" s="126" t="e">
        <f t="shared" si="147"/>
        <v>#REF!</v>
      </c>
      <c r="BU196" s="126" t="e">
        <f t="shared" si="147"/>
        <v>#REF!</v>
      </c>
      <c r="BV196" s="126" t="e">
        <f t="shared" si="147"/>
        <v>#REF!</v>
      </c>
      <c r="BW196" s="126" t="e">
        <f t="shared" si="147"/>
        <v>#REF!</v>
      </c>
      <c r="BX196" s="126" t="e">
        <f t="shared" si="147"/>
        <v>#REF!</v>
      </c>
      <c r="BY196" s="126" t="e">
        <f t="shared" si="147"/>
        <v>#REF!</v>
      </c>
      <c r="BZ196" s="126" t="e">
        <f t="shared" si="147"/>
        <v>#REF!</v>
      </c>
      <c r="CA196" s="126" t="e">
        <f t="shared" si="147"/>
        <v>#REF!</v>
      </c>
      <c r="CB196" s="126" t="e">
        <f t="shared" si="147"/>
        <v>#REF!</v>
      </c>
      <c r="CC196" s="126" t="e">
        <f t="shared" si="147"/>
        <v>#REF!</v>
      </c>
      <c r="CD196" s="126" t="e">
        <f t="shared" si="147"/>
        <v>#REF!</v>
      </c>
      <c r="CE196" s="126" t="e">
        <f t="shared" si="147"/>
        <v>#REF!</v>
      </c>
      <c r="CF196" s="126" t="e">
        <f t="shared" si="147"/>
        <v>#REF!</v>
      </c>
      <c r="CG196" s="126" t="e">
        <f t="shared" si="147"/>
        <v>#REF!</v>
      </c>
      <c r="CH196" s="126" t="e">
        <f t="shared" si="147"/>
        <v>#REF!</v>
      </c>
      <c r="CI196" s="126" t="e">
        <f t="shared" si="147"/>
        <v>#REF!</v>
      </c>
      <c r="CJ196" s="126" t="e">
        <f t="shared" si="147"/>
        <v>#REF!</v>
      </c>
      <c r="CK196" s="126" t="e">
        <f t="shared" si="147"/>
        <v>#REF!</v>
      </c>
      <c r="CL196" s="126" t="e">
        <f t="shared" si="147"/>
        <v>#REF!</v>
      </c>
      <c r="CM196" s="126" t="e">
        <f t="shared" si="147"/>
        <v>#REF!</v>
      </c>
      <c r="CN196" s="126" t="e">
        <f t="shared" si="147"/>
        <v>#REF!</v>
      </c>
      <c r="CO196" s="126"/>
    </row>
    <row r="197" spans="1:93" ht="12.75" customHeight="1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</row>
    <row r="198" spans="1:93" ht="12.75" customHeight="1">
      <c r="A198" s="35"/>
      <c r="B198" s="134" t="s">
        <v>259</v>
      </c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</row>
    <row r="199" spans="1:93" ht="12.75" customHeight="1">
      <c r="A199" s="35"/>
      <c r="B199" s="428" t="s">
        <v>260</v>
      </c>
      <c r="C199" s="429">
        <v>0</v>
      </c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</row>
    <row r="200" spans="1:93" ht="12.75" customHeight="1">
      <c r="A200" s="35"/>
      <c r="B200" s="430" t="s">
        <v>261</v>
      </c>
      <c r="C200" s="431">
        <v>0</v>
      </c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</row>
    <row r="201" spans="1:93" ht="12.75" customHeight="1">
      <c r="A201" s="35"/>
      <c r="B201" s="430" t="s">
        <v>262</v>
      </c>
      <c r="C201" s="431">
        <v>0</v>
      </c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</row>
    <row r="202" spans="1:93" ht="12.75" customHeight="1">
      <c r="A202" s="35"/>
      <c r="B202" s="430" t="s">
        <v>263</v>
      </c>
      <c r="C202" s="431">
        <v>0</v>
      </c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</row>
    <row r="203" spans="1:93" ht="12.75" customHeight="1">
      <c r="A203" s="35"/>
      <c r="B203" s="430" t="s">
        <v>601</v>
      </c>
      <c r="C203" s="432">
        <f>11.5%/4</f>
        <v>2.8750000000000001E-2</v>
      </c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</row>
    <row r="204" spans="1:93" ht="12.75" customHeight="1">
      <c r="A204" s="35"/>
      <c r="B204" s="433" t="s">
        <v>264</v>
      </c>
      <c r="C204" s="434">
        <v>0.4</v>
      </c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</row>
  </sheetData>
  <pageMargins left="0.70866141732283472" right="0.70866141732283472" top="0.74803149606299213" bottom="0.74803149606299213" header="0" footer="0"/>
  <pageSetup paperSize="9" orientation="landscape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rgb="FF0000FF"/>
  </sheetPr>
  <dimension ref="A1:AA200"/>
  <sheetViews>
    <sheetView topLeftCell="B1" workbookViewId="0">
      <pane xSplit="2" ySplit="6" topLeftCell="D178" activePane="bottomRight" state="frozen"/>
      <selection activeCell="B1" sqref="B1"/>
      <selection pane="topRight" activeCell="D1" sqref="D1"/>
      <selection pane="bottomLeft" activeCell="B7" sqref="B7"/>
      <selection pane="bottomRight" activeCell="B1" sqref="A1:XFD1048576"/>
    </sheetView>
  </sheetViews>
  <sheetFormatPr defaultRowHeight="12.5" outlineLevelRow="4"/>
  <cols>
    <col min="1" max="1" width="0" hidden="1" customWidth="1"/>
    <col min="2" max="2" width="46.26953125" customWidth="1"/>
    <col min="3" max="3" width="14.1796875" customWidth="1"/>
    <col min="4" max="4" width="12.81640625" customWidth="1"/>
    <col min="5" max="27" width="11.1796875" customWidth="1"/>
  </cols>
  <sheetData>
    <row r="1" spans="1:27" ht="13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</row>
    <row r="2" spans="1:27" ht="15.5">
      <c r="A2" s="35"/>
      <c r="B2" s="36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</row>
    <row r="3" spans="1:27" ht="13">
      <c r="A3" s="35"/>
      <c r="B3" s="37" t="s">
        <v>108</v>
      </c>
      <c r="C3" s="38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</row>
    <row r="4" spans="1:27" ht="13">
      <c r="A4" s="35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</row>
    <row r="5" spans="1:27" ht="13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</row>
    <row r="6" spans="1:27" ht="13">
      <c r="A6" s="35"/>
      <c r="B6" s="414" t="s">
        <v>607</v>
      </c>
      <c r="C6" s="43" t="s">
        <v>109</v>
      </c>
      <c r="D6" s="46" t="str">
        <f>sensitivity!D6</f>
        <v>0 период</v>
      </c>
      <c r="E6" s="47">
        <f>YEAR(sensitivity!E6)</f>
        <v>2022</v>
      </c>
      <c r="F6" s="47">
        <f t="shared" ref="F6:Z6" si="0">E6+1</f>
        <v>2023</v>
      </c>
      <c r="G6" s="47">
        <f t="shared" si="0"/>
        <v>2024</v>
      </c>
      <c r="H6" s="47">
        <f t="shared" si="0"/>
        <v>2025</v>
      </c>
      <c r="I6" s="47">
        <f t="shared" si="0"/>
        <v>2026</v>
      </c>
      <c r="J6" s="47">
        <f t="shared" si="0"/>
        <v>2027</v>
      </c>
      <c r="K6" s="47">
        <f t="shared" si="0"/>
        <v>2028</v>
      </c>
      <c r="L6" s="47">
        <f t="shared" si="0"/>
        <v>2029</v>
      </c>
      <c r="M6" s="47">
        <f t="shared" si="0"/>
        <v>2030</v>
      </c>
      <c r="N6" s="47">
        <f t="shared" si="0"/>
        <v>2031</v>
      </c>
      <c r="O6" s="47">
        <f t="shared" si="0"/>
        <v>2032</v>
      </c>
      <c r="P6" s="47">
        <f t="shared" si="0"/>
        <v>2033</v>
      </c>
      <c r="Q6" s="47">
        <f t="shared" si="0"/>
        <v>2034</v>
      </c>
      <c r="R6" s="47">
        <f t="shared" si="0"/>
        <v>2035</v>
      </c>
      <c r="S6" s="47">
        <f t="shared" si="0"/>
        <v>2036</v>
      </c>
      <c r="T6" s="47">
        <f t="shared" si="0"/>
        <v>2037</v>
      </c>
      <c r="U6" s="47">
        <f t="shared" si="0"/>
        <v>2038</v>
      </c>
      <c r="V6" s="47">
        <f t="shared" si="0"/>
        <v>2039</v>
      </c>
      <c r="W6" s="47">
        <f t="shared" si="0"/>
        <v>2040</v>
      </c>
      <c r="X6" s="47">
        <f t="shared" si="0"/>
        <v>2041</v>
      </c>
      <c r="Y6" s="47">
        <f t="shared" si="0"/>
        <v>2042</v>
      </c>
      <c r="Z6" s="47">
        <f t="shared" si="0"/>
        <v>2043</v>
      </c>
      <c r="AA6" s="48" t="s">
        <v>111</v>
      </c>
    </row>
    <row r="7" spans="1:27" ht="13">
      <c r="A7" s="35"/>
      <c r="B7" s="415"/>
      <c r="C7" s="410"/>
      <c r="D7" s="413">
        <f>sensitivity!D7</f>
        <v>0</v>
      </c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8"/>
    </row>
    <row r="8" spans="1:27" ht="13" outlineLevel="1">
      <c r="A8" s="35"/>
      <c r="B8" s="417" t="s">
        <v>609</v>
      </c>
      <c r="C8" s="50"/>
      <c r="D8" s="53">
        <f>sensitivity!D8</f>
        <v>0</v>
      </c>
      <c r="E8" s="50">
        <f>D8+1</f>
        <v>1</v>
      </c>
      <c r="F8" s="50">
        <f t="shared" ref="F8:Z8" si="1">E9+1</f>
        <v>5</v>
      </c>
      <c r="G8" s="50">
        <f t="shared" si="1"/>
        <v>9</v>
      </c>
      <c r="H8" s="50">
        <f t="shared" si="1"/>
        <v>13</v>
      </c>
      <c r="I8" s="50">
        <f t="shared" si="1"/>
        <v>17</v>
      </c>
      <c r="J8" s="50">
        <f t="shared" si="1"/>
        <v>21</v>
      </c>
      <c r="K8" s="50">
        <f t="shared" si="1"/>
        <v>25</v>
      </c>
      <c r="L8" s="50">
        <f t="shared" si="1"/>
        <v>29</v>
      </c>
      <c r="M8" s="50">
        <f t="shared" si="1"/>
        <v>33</v>
      </c>
      <c r="N8" s="50">
        <f t="shared" si="1"/>
        <v>37</v>
      </c>
      <c r="O8" s="50">
        <f t="shared" si="1"/>
        <v>41</v>
      </c>
      <c r="P8" s="50">
        <f t="shared" si="1"/>
        <v>45</v>
      </c>
      <c r="Q8" s="50">
        <f t="shared" si="1"/>
        <v>49</v>
      </c>
      <c r="R8" s="50">
        <f t="shared" si="1"/>
        <v>53</v>
      </c>
      <c r="S8" s="50">
        <f t="shared" si="1"/>
        <v>57</v>
      </c>
      <c r="T8" s="50">
        <f t="shared" si="1"/>
        <v>61</v>
      </c>
      <c r="U8" s="50">
        <f t="shared" si="1"/>
        <v>65</v>
      </c>
      <c r="V8" s="50">
        <f t="shared" si="1"/>
        <v>69</v>
      </c>
      <c r="W8" s="50">
        <f t="shared" si="1"/>
        <v>73</v>
      </c>
      <c r="X8" s="50">
        <f t="shared" si="1"/>
        <v>77</v>
      </c>
      <c r="Y8" s="50">
        <f t="shared" si="1"/>
        <v>81</v>
      </c>
      <c r="Z8" s="50">
        <f t="shared" si="1"/>
        <v>85</v>
      </c>
      <c r="AA8" s="50"/>
    </row>
    <row r="9" spans="1:27" ht="13" outlineLevel="1">
      <c r="A9" s="35"/>
      <c r="B9" s="418" t="s">
        <v>608</v>
      </c>
      <c r="C9" s="55"/>
      <c r="D9" s="58">
        <f>sensitivity!D9</f>
        <v>0</v>
      </c>
      <c r="E9" s="55">
        <f t="shared" ref="E9:Z9" si="2">E8+3</f>
        <v>4</v>
      </c>
      <c r="F9" s="55">
        <f t="shared" si="2"/>
        <v>8</v>
      </c>
      <c r="G9" s="55">
        <f t="shared" si="2"/>
        <v>12</v>
      </c>
      <c r="H9" s="55">
        <f t="shared" si="2"/>
        <v>16</v>
      </c>
      <c r="I9" s="55">
        <f t="shared" si="2"/>
        <v>20</v>
      </c>
      <c r="J9" s="55">
        <f t="shared" si="2"/>
        <v>24</v>
      </c>
      <c r="K9" s="55">
        <f t="shared" si="2"/>
        <v>28</v>
      </c>
      <c r="L9" s="55">
        <f t="shared" si="2"/>
        <v>32</v>
      </c>
      <c r="M9" s="55">
        <f t="shared" si="2"/>
        <v>36</v>
      </c>
      <c r="N9" s="55">
        <f t="shared" si="2"/>
        <v>40</v>
      </c>
      <c r="O9" s="55">
        <f t="shared" si="2"/>
        <v>44</v>
      </c>
      <c r="P9" s="55">
        <f t="shared" si="2"/>
        <v>48</v>
      </c>
      <c r="Q9" s="55">
        <f t="shared" si="2"/>
        <v>52</v>
      </c>
      <c r="R9" s="55">
        <f t="shared" si="2"/>
        <v>56</v>
      </c>
      <c r="S9" s="55">
        <f t="shared" si="2"/>
        <v>60</v>
      </c>
      <c r="T9" s="55">
        <f t="shared" si="2"/>
        <v>64</v>
      </c>
      <c r="U9" s="55">
        <f t="shared" si="2"/>
        <v>68</v>
      </c>
      <c r="V9" s="55">
        <f t="shared" si="2"/>
        <v>72</v>
      </c>
      <c r="W9" s="55">
        <f t="shared" si="2"/>
        <v>76</v>
      </c>
      <c r="X9" s="55">
        <f t="shared" si="2"/>
        <v>80</v>
      </c>
      <c r="Y9" s="55">
        <f t="shared" si="2"/>
        <v>84</v>
      </c>
      <c r="Z9" s="55">
        <f t="shared" si="2"/>
        <v>88</v>
      </c>
      <c r="AA9" s="55"/>
    </row>
    <row r="10" spans="1:27" ht="13">
      <c r="A10" s="35"/>
      <c r="B10" s="35"/>
      <c r="C10" s="35"/>
      <c r="D10" s="60">
        <f>sensitivity!D10</f>
        <v>0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</row>
    <row r="11" spans="1:27" ht="13">
      <c r="A11" s="35"/>
      <c r="B11" s="35"/>
      <c r="C11" s="35"/>
      <c r="D11" s="60">
        <f>sensitivity!D11</f>
        <v>0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</row>
    <row r="12" spans="1:27" ht="13">
      <c r="A12" s="35"/>
      <c r="B12" s="42" t="s">
        <v>114</v>
      </c>
      <c r="C12" s="42"/>
      <c r="D12" s="61">
        <f>sensitivity!D12</f>
        <v>0</v>
      </c>
      <c r="E12" s="62">
        <f t="shared" ref="E12" si="3">E6</f>
        <v>2022</v>
      </c>
      <c r="F12" s="62">
        <f t="shared" ref="F12:Z12" si="4">E12+1</f>
        <v>2023</v>
      </c>
      <c r="G12" s="62">
        <f t="shared" si="4"/>
        <v>2024</v>
      </c>
      <c r="H12" s="62">
        <f t="shared" si="4"/>
        <v>2025</v>
      </c>
      <c r="I12" s="62">
        <f t="shared" si="4"/>
        <v>2026</v>
      </c>
      <c r="J12" s="62">
        <f t="shared" si="4"/>
        <v>2027</v>
      </c>
      <c r="K12" s="62">
        <f t="shared" si="4"/>
        <v>2028</v>
      </c>
      <c r="L12" s="62">
        <f t="shared" si="4"/>
        <v>2029</v>
      </c>
      <c r="M12" s="62">
        <f t="shared" si="4"/>
        <v>2030</v>
      </c>
      <c r="N12" s="62">
        <f t="shared" si="4"/>
        <v>2031</v>
      </c>
      <c r="O12" s="62">
        <f t="shared" si="4"/>
        <v>2032</v>
      </c>
      <c r="P12" s="62">
        <f t="shared" si="4"/>
        <v>2033</v>
      </c>
      <c r="Q12" s="62">
        <f t="shared" si="4"/>
        <v>2034</v>
      </c>
      <c r="R12" s="62">
        <f t="shared" si="4"/>
        <v>2035</v>
      </c>
      <c r="S12" s="62">
        <f t="shared" si="4"/>
        <v>2036</v>
      </c>
      <c r="T12" s="62">
        <f t="shared" si="4"/>
        <v>2037</v>
      </c>
      <c r="U12" s="62">
        <f t="shared" si="4"/>
        <v>2038</v>
      </c>
      <c r="V12" s="62">
        <f t="shared" si="4"/>
        <v>2039</v>
      </c>
      <c r="W12" s="62">
        <f t="shared" si="4"/>
        <v>2040</v>
      </c>
      <c r="X12" s="62">
        <f t="shared" si="4"/>
        <v>2041</v>
      </c>
      <c r="Y12" s="62">
        <f t="shared" si="4"/>
        <v>2042</v>
      </c>
      <c r="Z12" s="62">
        <f t="shared" si="4"/>
        <v>2043</v>
      </c>
      <c r="AA12" s="62"/>
    </row>
    <row r="13" spans="1:27" ht="13">
      <c r="A13" s="35"/>
      <c r="B13" s="63" t="s">
        <v>100</v>
      </c>
      <c r="C13" s="35">
        <f t="shared" ref="C13" si="5">SUM(D13:AA13)</f>
        <v>8035</v>
      </c>
      <c r="D13" s="60">
        <f>sensitivity!D13</f>
        <v>0</v>
      </c>
      <c r="E13" s="35">
        <f>SUMPRODUCT(--(E$8&lt;=sensitivity!$D$9:'sensitivity'!$CN$9),--(E$9&gt;=sensitivity!$D$9:'sensitivity'!$CN$9),sensitivity!$D13:'sensitivity'!$CN13)</f>
        <v>365</v>
      </c>
      <c r="F13" s="35">
        <f>SUMPRODUCT(--(F$8&lt;=sensitivity!$D$9:'sensitivity'!$CN$9),--(F$9&gt;=sensitivity!$D$9:'sensitivity'!$CN$9),sensitivity!$D13:'sensitivity'!$CN13)</f>
        <v>365</v>
      </c>
      <c r="G13" s="35">
        <f>SUMPRODUCT(--(G$8&lt;=sensitivity!$D$9:'sensitivity'!$CN$9),--(G$9&gt;=sensitivity!$D$9:'sensitivity'!$CN$9),sensitivity!$D13:'sensitivity'!$CN13)</f>
        <v>366</v>
      </c>
      <c r="H13" s="35">
        <f>SUMPRODUCT(--(H$8&lt;=sensitivity!$D$9:'sensitivity'!$CN$9),--(H$9&gt;=sensitivity!$D$9:'sensitivity'!$CN$9),sensitivity!$D13:'sensitivity'!$CN13)</f>
        <v>365</v>
      </c>
      <c r="I13" s="35">
        <f>SUMPRODUCT(--(I$8&lt;=sensitivity!$D$9:'sensitivity'!$CN$9),--(I$9&gt;=sensitivity!$D$9:'sensitivity'!$CN$9),sensitivity!$D13:'sensitivity'!$CN13)</f>
        <v>365</v>
      </c>
      <c r="J13" s="35">
        <f>SUMPRODUCT(--(J$8&lt;=sensitivity!$D$9:'sensitivity'!$CN$9),--(J$9&gt;=sensitivity!$D$9:'sensitivity'!$CN$9),sensitivity!$D13:'sensitivity'!$CN13)</f>
        <v>365</v>
      </c>
      <c r="K13" s="35">
        <f>SUMPRODUCT(--(K$8&lt;=sensitivity!$D$9:'sensitivity'!$CN$9),--(K$9&gt;=sensitivity!$D$9:'sensitivity'!$CN$9),sensitivity!$D13:'sensitivity'!$CN13)</f>
        <v>366</v>
      </c>
      <c r="L13" s="35">
        <f>SUMPRODUCT(--(L$8&lt;=sensitivity!$D$9:'sensitivity'!$CN$9),--(L$9&gt;=sensitivity!$D$9:'sensitivity'!$CN$9),sensitivity!$D13:'sensitivity'!$CN13)</f>
        <v>365</v>
      </c>
      <c r="M13" s="35">
        <f>SUMPRODUCT(--(M$8&lt;=sensitivity!$D$9:'sensitivity'!$CN$9),--(M$9&gt;=sensitivity!$D$9:'sensitivity'!$CN$9),sensitivity!$D13:'sensitivity'!$CN13)</f>
        <v>365</v>
      </c>
      <c r="N13" s="35">
        <f>SUMPRODUCT(--(N$8&lt;=sensitivity!$D$9:'sensitivity'!$CN$9),--(N$9&gt;=sensitivity!$D$9:'sensitivity'!$CN$9),sensitivity!$D13:'sensitivity'!$CN13)</f>
        <v>365</v>
      </c>
      <c r="O13" s="35">
        <f>SUMPRODUCT(--(O$8&lt;=sensitivity!$D$9:'sensitivity'!$CN$9),--(O$9&gt;=sensitivity!$D$9:'sensitivity'!$CN$9),sensitivity!$D13:'sensitivity'!$CN13)</f>
        <v>366</v>
      </c>
      <c r="P13" s="35">
        <f>SUMPRODUCT(--(P$8&lt;=sensitivity!$D$9:'sensitivity'!$CN$9),--(P$9&gt;=sensitivity!$D$9:'sensitivity'!$CN$9),sensitivity!$D13:'sensitivity'!$CN13)</f>
        <v>365</v>
      </c>
      <c r="Q13" s="35">
        <f>SUMPRODUCT(--(Q$8&lt;=sensitivity!$D$9:'sensitivity'!$CN$9),--(Q$9&gt;=sensitivity!$D$9:'sensitivity'!$CN$9),sensitivity!$D13:'sensitivity'!$CN13)</f>
        <v>365</v>
      </c>
      <c r="R13" s="35">
        <f>SUMPRODUCT(--(R$8&lt;=sensitivity!$D$9:'sensitivity'!$CN$9),--(R$9&gt;=sensitivity!$D$9:'sensitivity'!$CN$9),sensitivity!$D13:'sensitivity'!$CN13)</f>
        <v>365</v>
      </c>
      <c r="S13" s="35">
        <f>SUMPRODUCT(--(S$8&lt;=sensitivity!$D$9:'sensitivity'!$CN$9),--(S$9&gt;=sensitivity!$D$9:'sensitivity'!$CN$9),sensitivity!$D13:'sensitivity'!$CN13)</f>
        <v>366</v>
      </c>
      <c r="T13" s="35">
        <f>SUMPRODUCT(--(T$8&lt;=sensitivity!$D$9:'sensitivity'!$CN$9),--(T$9&gt;=sensitivity!$D$9:'sensitivity'!$CN$9),sensitivity!$D13:'sensitivity'!$CN13)</f>
        <v>365</v>
      </c>
      <c r="U13" s="35">
        <f>SUMPRODUCT(--(U$8&lt;=sensitivity!$D$9:'sensitivity'!$CN$9),--(U$9&gt;=sensitivity!$D$9:'sensitivity'!$CN$9),sensitivity!$D13:'sensitivity'!$CN13)</f>
        <v>365</v>
      </c>
      <c r="V13" s="35">
        <f>SUMPRODUCT(--(V$8&lt;=sensitivity!$D$9:'sensitivity'!$CN$9),--(V$9&gt;=sensitivity!$D$9:'sensitivity'!$CN$9),sensitivity!$D13:'sensitivity'!$CN13)</f>
        <v>365</v>
      </c>
      <c r="W13" s="35">
        <f>SUMPRODUCT(--(W$8&lt;=sensitivity!$D$9:'sensitivity'!$CN$9),--(W$9&gt;=sensitivity!$D$9:'sensitivity'!$CN$9),sensitivity!$D13:'sensitivity'!$CN13)</f>
        <v>366</v>
      </c>
      <c r="X13" s="35">
        <f>SUMPRODUCT(--(X$8&lt;=sensitivity!$D$9:'sensitivity'!$CN$9),--(X$9&gt;=sensitivity!$D$9:'sensitivity'!$CN$9),sensitivity!$D13:'sensitivity'!$CN13)</f>
        <v>365</v>
      </c>
      <c r="Y13" s="35">
        <f>SUMPRODUCT(--(Y$8&lt;=sensitivity!$D$9:'sensitivity'!$CN$9),--(Y$9&gt;=sensitivity!$D$9:'sensitivity'!$CN$9),sensitivity!$D13:'sensitivity'!$CN13)</f>
        <v>365</v>
      </c>
      <c r="Z13" s="35">
        <f>SUMPRODUCT(--(Z$8&lt;=sensitivity!$D$9:'sensitivity'!$CN$9),--(Z$9&gt;=sensitivity!$D$9:'sensitivity'!$CN$9),sensitivity!$D13:'sensitivity'!$CN13)</f>
        <v>365</v>
      </c>
      <c r="AA13" s="35"/>
    </row>
    <row r="14" spans="1:27" ht="13">
      <c r="A14" s="35"/>
      <c r="B14" s="63" t="s">
        <v>115</v>
      </c>
      <c r="C14" s="35"/>
      <c r="D14" s="64">
        <f>sensitivity!D14</f>
        <v>0</v>
      </c>
      <c r="E14" s="39"/>
      <c r="F14" s="39"/>
      <c r="G14" s="39"/>
      <c r="H14" s="39"/>
      <c r="I14" s="39"/>
      <c r="J14" s="65">
        <v>1</v>
      </c>
      <c r="K14" s="65">
        <f>'выручка номеров'!C3+100%</f>
        <v>1.05</v>
      </c>
      <c r="L14" s="65">
        <f>'выручка номеров'!D3+100%</f>
        <v>1.05</v>
      </c>
      <c r="M14" s="65">
        <f>'выручка номеров'!E3+100%</f>
        <v>1.05</v>
      </c>
      <c r="N14" s="65">
        <f>'выручка номеров'!F3+100%</f>
        <v>1.05</v>
      </c>
      <c r="O14" s="65">
        <f>'выручка номеров'!G3+100%</f>
        <v>1.05</v>
      </c>
      <c r="P14" s="65">
        <f>'выручка номеров'!H3+100%</f>
        <v>1.05</v>
      </c>
      <c r="Q14" s="65">
        <f>'выручка номеров'!I3+100%</f>
        <v>1.05</v>
      </c>
      <c r="R14" s="65">
        <f>'выручка номеров'!J3+100%</f>
        <v>1.05</v>
      </c>
      <c r="S14" s="65">
        <f>'выручка номеров'!K3+100%</f>
        <v>1.05</v>
      </c>
      <c r="T14" s="65">
        <f>'выручка номеров'!L3+100%</f>
        <v>1.05</v>
      </c>
      <c r="U14" s="65">
        <f>'выручка номеров'!M3+100%</f>
        <v>1.05</v>
      </c>
      <c r="V14" s="65">
        <f>'выручка номеров'!N3+100%</f>
        <v>1.05</v>
      </c>
      <c r="W14" s="65">
        <f>'выручка номеров'!$O$3+100%</f>
        <v>1.05</v>
      </c>
      <c r="X14" s="65">
        <f>'выручка номеров'!$O$3+100%</f>
        <v>1.05</v>
      </c>
      <c r="Y14" s="65">
        <f>'выручка номеров'!$O$3+100%</f>
        <v>1.05</v>
      </c>
      <c r="Z14" s="65">
        <f>'выручка номеров'!$O$3+100%</f>
        <v>1.05</v>
      </c>
      <c r="AA14" s="65"/>
    </row>
    <row r="15" spans="1:27" ht="13">
      <c r="A15" s="35"/>
      <c r="B15" s="63" t="s">
        <v>116</v>
      </c>
      <c r="C15" s="35"/>
      <c r="D15" s="64">
        <f>sensitivity!D15</f>
        <v>0</v>
      </c>
      <c r="E15" s="39"/>
      <c r="F15" s="39"/>
      <c r="G15" s="39"/>
      <c r="H15" s="39"/>
      <c r="I15" s="39"/>
      <c r="J15" s="39">
        <f>'выручка номеров'!$O12</f>
        <v>0.66666666666666663</v>
      </c>
      <c r="K15" s="39">
        <f>'выручка номеров'!$O48</f>
        <v>0.66666666666666663</v>
      </c>
      <c r="L15" s="39">
        <f>'выручка номеров'!$O84</f>
        <v>0.71666666666666679</v>
      </c>
      <c r="M15" s="39">
        <f t="shared" ref="M15:Z15" si="6">L15</f>
        <v>0.71666666666666679</v>
      </c>
      <c r="N15" s="39">
        <f t="shared" si="6"/>
        <v>0.71666666666666679</v>
      </c>
      <c r="O15" s="39">
        <f t="shared" si="6"/>
        <v>0.71666666666666679</v>
      </c>
      <c r="P15" s="39">
        <f t="shared" si="6"/>
        <v>0.71666666666666679</v>
      </c>
      <c r="Q15" s="39">
        <f t="shared" si="6"/>
        <v>0.71666666666666679</v>
      </c>
      <c r="R15" s="39">
        <f t="shared" si="6"/>
        <v>0.71666666666666679</v>
      </c>
      <c r="S15" s="39">
        <f t="shared" si="6"/>
        <v>0.71666666666666679</v>
      </c>
      <c r="T15" s="39">
        <f t="shared" si="6"/>
        <v>0.71666666666666679</v>
      </c>
      <c r="U15" s="39">
        <f t="shared" si="6"/>
        <v>0.71666666666666679</v>
      </c>
      <c r="V15" s="39">
        <f t="shared" si="6"/>
        <v>0.71666666666666679</v>
      </c>
      <c r="W15" s="39">
        <f t="shared" si="6"/>
        <v>0.71666666666666679</v>
      </c>
      <c r="X15" s="39">
        <f t="shared" si="6"/>
        <v>0.71666666666666679</v>
      </c>
      <c r="Y15" s="39">
        <f t="shared" si="6"/>
        <v>0.71666666666666679</v>
      </c>
      <c r="Z15" s="39">
        <f t="shared" si="6"/>
        <v>0.71666666666666679</v>
      </c>
      <c r="AA15" s="39"/>
    </row>
    <row r="16" spans="1:27" ht="13">
      <c r="A16" s="35"/>
      <c r="B16" s="63" t="s">
        <v>117</v>
      </c>
      <c r="C16" s="35"/>
      <c r="D16" s="64">
        <f>sensitivity!D16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</row>
    <row r="17" spans="1:27" ht="13">
      <c r="A17" s="35"/>
      <c r="B17" s="35"/>
      <c r="C17" s="35"/>
      <c r="D17" s="60">
        <f>sensitivity!D17</f>
        <v>0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</row>
    <row r="18" spans="1:27" ht="13">
      <c r="A18" s="35"/>
      <c r="B18" s="67" t="s">
        <v>118</v>
      </c>
      <c r="C18" s="68"/>
      <c r="D18" s="61" t="str">
        <f>sensitivity!D18</f>
        <v>0 период</v>
      </c>
      <c r="E18" s="62">
        <f t="shared" ref="E18" si="7">E6</f>
        <v>2022</v>
      </c>
      <c r="F18" s="62">
        <f t="shared" ref="F18:Z18" si="8">E18+1</f>
        <v>2023</v>
      </c>
      <c r="G18" s="62">
        <f t="shared" si="8"/>
        <v>2024</v>
      </c>
      <c r="H18" s="62">
        <f t="shared" si="8"/>
        <v>2025</v>
      </c>
      <c r="I18" s="62">
        <f t="shared" si="8"/>
        <v>2026</v>
      </c>
      <c r="J18" s="62">
        <f t="shared" si="8"/>
        <v>2027</v>
      </c>
      <c r="K18" s="62">
        <f t="shared" si="8"/>
        <v>2028</v>
      </c>
      <c r="L18" s="62">
        <f t="shared" si="8"/>
        <v>2029</v>
      </c>
      <c r="M18" s="62">
        <f t="shared" si="8"/>
        <v>2030</v>
      </c>
      <c r="N18" s="62">
        <f t="shared" si="8"/>
        <v>2031</v>
      </c>
      <c r="O18" s="62">
        <f t="shared" si="8"/>
        <v>2032</v>
      </c>
      <c r="P18" s="62">
        <f t="shared" si="8"/>
        <v>2033</v>
      </c>
      <c r="Q18" s="62">
        <f t="shared" si="8"/>
        <v>2034</v>
      </c>
      <c r="R18" s="62">
        <f t="shared" si="8"/>
        <v>2035</v>
      </c>
      <c r="S18" s="62">
        <f t="shared" si="8"/>
        <v>2036</v>
      </c>
      <c r="T18" s="62">
        <f t="shared" si="8"/>
        <v>2037</v>
      </c>
      <c r="U18" s="62">
        <f t="shared" si="8"/>
        <v>2038</v>
      </c>
      <c r="V18" s="62">
        <f t="shared" si="8"/>
        <v>2039</v>
      </c>
      <c r="W18" s="62">
        <f t="shared" si="8"/>
        <v>2040</v>
      </c>
      <c r="X18" s="62">
        <f t="shared" si="8"/>
        <v>2041</v>
      </c>
      <c r="Y18" s="62">
        <f t="shared" si="8"/>
        <v>2042</v>
      </c>
      <c r="Z18" s="62">
        <f t="shared" si="8"/>
        <v>2043</v>
      </c>
      <c r="AA18" s="62"/>
    </row>
    <row r="19" spans="1:27" ht="13" outlineLevel="4">
      <c r="A19" s="35"/>
      <c r="B19" s="63" t="s">
        <v>119</v>
      </c>
      <c r="C19" s="35" t="e">
        <f t="shared" ref="C19:C61" si="9">SUM(D19:AA19)</f>
        <v>#REF!</v>
      </c>
      <c r="D19" s="60">
        <f>sensitivity!D19</f>
        <v>0</v>
      </c>
      <c r="E19" s="35" t="e">
        <f>SUMPRODUCT(--(E$8&lt;=sensitivity!$D$9:'sensitivity'!$CN$9),--(E$9&gt;=sensitivity!$D$9:'sensitivity'!$CN$9),sensitivity!$D19:'sensitivity'!$CN19)</f>
        <v>#REF!</v>
      </c>
      <c r="F19" s="35" t="e">
        <f>SUMPRODUCT(--(F$8&lt;=sensitivity!$D$9:'sensitivity'!$CN$9),--(F$9&gt;=sensitivity!$D$9:'sensitivity'!$CN$9),sensitivity!$D19:'sensitivity'!$CN19)</f>
        <v>#REF!</v>
      </c>
      <c r="G19" s="35" t="e">
        <f>SUMPRODUCT(--(G$8&lt;=sensitivity!$D$9:'sensitivity'!$CN$9),--(G$9&gt;=sensitivity!$D$9:'sensitivity'!$CN$9),sensitivity!$D19:'sensitivity'!$CN19)</f>
        <v>#REF!</v>
      </c>
      <c r="H19" s="35" t="e">
        <f>SUMPRODUCT(--(H$8&lt;=sensitivity!$D$9:'sensitivity'!$CN$9),--(H$9&gt;=sensitivity!$D$9:'sensitivity'!$CN$9),sensitivity!$D19:'sensitivity'!$CN19)</f>
        <v>#REF!</v>
      </c>
      <c r="I19" s="35" t="e">
        <f>SUMPRODUCT(--(I$8&lt;=sensitivity!$D$9:'sensitivity'!$CN$9),--(I$9&gt;=sensitivity!$D$9:'sensitivity'!$CN$9),sensitivity!$D19:'sensitivity'!$CN19)</f>
        <v>#REF!</v>
      </c>
      <c r="J19" s="35" t="e">
        <f>SUMPRODUCT(--(J$8&lt;=sensitivity!$D$9:'sensitivity'!$CN$9),--(J$9&gt;=sensitivity!$D$9:'sensitivity'!$CN$9),sensitivity!$D19:'sensitivity'!$CN19)</f>
        <v>#REF!</v>
      </c>
      <c r="K19" s="35" t="e">
        <f>SUMPRODUCT(--(K$8&lt;=sensitivity!$D$9:'sensitivity'!$CN$9),--(K$9&gt;=sensitivity!$D$9:'sensitivity'!$CN$9),sensitivity!$D19:'sensitivity'!$CN19)</f>
        <v>#REF!</v>
      </c>
      <c r="L19" s="35" t="e">
        <f>SUMPRODUCT(--(L$8&lt;=sensitivity!$D$9:'sensitivity'!$CN$9),--(L$9&gt;=sensitivity!$D$9:'sensitivity'!$CN$9),sensitivity!$D19:'sensitivity'!$CN19)</f>
        <v>#REF!</v>
      </c>
      <c r="M19" s="35" t="e">
        <f>SUMPRODUCT(--(M$8&lt;=sensitivity!$D$9:'sensitivity'!$CN$9),--(M$9&gt;=sensitivity!$D$9:'sensitivity'!$CN$9),sensitivity!$D19:'sensitivity'!$CN19)</f>
        <v>#REF!</v>
      </c>
      <c r="N19" s="35" t="e">
        <f>SUMPRODUCT(--(N$8&lt;=sensitivity!$D$9:'sensitivity'!$CN$9),--(N$9&gt;=sensitivity!$D$9:'sensitivity'!$CN$9),sensitivity!$D19:'sensitivity'!$CN19)</f>
        <v>#REF!</v>
      </c>
      <c r="O19" s="35" t="e">
        <f>SUMPRODUCT(--(O$8&lt;=sensitivity!$D$9:'sensitivity'!$CN$9),--(O$9&gt;=sensitivity!$D$9:'sensitivity'!$CN$9),sensitivity!$D19:'sensitivity'!$CN19)</f>
        <v>#REF!</v>
      </c>
      <c r="P19" s="35" t="e">
        <f>SUMPRODUCT(--(P$8&lt;=sensitivity!$D$9:'sensitivity'!$CN$9),--(P$9&gt;=sensitivity!$D$9:'sensitivity'!$CN$9),sensitivity!$D19:'sensitivity'!$CN19)</f>
        <v>#REF!</v>
      </c>
      <c r="Q19" s="35" t="e">
        <f>SUMPRODUCT(--(Q$8&lt;=sensitivity!$D$9:'sensitivity'!$CN$9),--(Q$9&gt;=sensitivity!$D$9:'sensitivity'!$CN$9),sensitivity!$D19:'sensitivity'!$CN19)</f>
        <v>#REF!</v>
      </c>
      <c r="R19" s="35" t="e">
        <f>SUMPRODUCT(--(R$8&lt;=sensitivity!$D$9:'sensitivity'!$CN$9),--(R$9&gt;=sensitivity!$D$9:'sensitivity'!$CN$9),sensitivity!$D19:'sensitivity'!$CN19)</f>
        <v>#REF!</v>
      </c>
      <c r="S19" s="35" t="e">
        <f>SUMPRODUCT(--(S$8&lt;=sensitivity!$D$9:'sensitivity'!$CN$9),--(S$9&gt;=sensitivity!$D$9:'sensitivity'!$CN$9),sensitivity!$D19:'sensitivity'!$CN19)</f>
        <v>#REF!</v>
      </c>
      <c r="T19" s="35" t="e">
        <f>SUMPRODUCT(--(T$8&lt;=sensitivity!$D$9:'sensitivity'!$CN$9),--(T$9&gt;=sensitivity!$D$9:'sensitivity'!$CN$9),sensitivity!$D19:'sensitivity'!$CN19)</f>
        <v>#REF!</v>
      </c>
      <c r="U19" s="35" t="e">
        <f>SUMPRODUCT(--(U$8&lt;=sensitivity!$D$9:'sensitivity'!$CN$9),--(U$9&gt;=sensitivity!$D$9:'sensitivity'!$CN$9),sensitivity!$D19:'sensitivity'!$CN19)</f>
        <v>#REF!</v>
      </c>
      <c r="V19" s="35" t="e">
        <f>SUMPRODUCT(--(V$8&lt;=sensitivity!$D$9:'sensitivity'!$CN$9),--(V$9&gt;=sensitivity!$D$9:'sensitivity'!$CN$9),sensitivity!$D19:'sensitivity'!$CN19)</f>
        <v>#REF!</v>
      </c>
      <c r="W19" s="35" t="e">
        <f>SUMPRODUCT(--(W$8&lt;=sensitivity!$D$9:'sensitivity'!$CN$9),--(W$9&gt;=sensitivity!$D$9:'sensitivity'!$CN$9),sensitivity!$D19:'sensitivity'!$CN19)</f>
        <v>#REF!</v>
      </c>
      <c r="X19" s="35" t="e">
        <f>SUMPRODUCT(--(X$8&lt;=sensitivity!$D$9:'sensitivity'!$CN$9),--(X$9&gt;=sensitivity!$D$9:'sensitivity'!$CN$9),sensitivity!$D19:'sensitivity'!$CN19)</f>
        <v>#REF!</v>
      </c>
      <c r="Y19" s="35" t="e">
        <f>SUMPRODUCT(--(Y$8&lt;=sensitivity!$D$9:'sensitivity'!$CN$9),--(Y$9&gt;=sensitivity!$D$9:'sensitivity'!$CN$9),sensitivity!$D19:'sensitivity'!$CN19)</f>
        <v>#REF!</v>
      </c>
      <c r="Z19" s="35" t="e">
        <f>SUMPRODUCT(--(Z$8&lt;=sensitivity!$D$9:'sensitivity'!$CN$9),--(Z$9&gt;=sensitivity!$D$9:'sensitivity'!$CN$9),sensitivity!$D19:'sensitivity'!$CN19)</f>
        <v>#REF!</v>
      </c>
      <c r="AA19" s="35"/>
    </row>
    <row r="20" spans="1:27" ht="13" outlineLevel="4">
      <c r="A20" s="35"/>
      <c r="B20" s="63" t="s">
        <v>120</v>
      </c>
      <c r="C20" s="35" t="e">
        <f t="shared" si="9"/>
        <v>#REF!</v>
      </c>
      <c r="D20" s="60">
        <f>sensitivity!D20</f>
        <v>0</v>
      </c>
      <c r="E20" s="35" t="e">
        <f>SUMPRODUCT(--(E$8&lt;=sensitivity!$D$9:'sensitivity'!$CN$9),--(E$9&gt;=sensitivity!$D$9:'sensitivity'!$CN$9),sensitivity!$D20:'sensitivity'!$CN20)</f>
        <v>#REF!</v>
      </c>
      <c r="F20" s="35" t="e">
        <f>SUMPRODUCT(--(F$8&lt;=sensitivity!$D$9:'sensitivity'!$CN$9),--(F$9&gt;=sensitivity!$D$9:'sensitivity'!$CN$9),sensitivity!$D20:'sensitivity'!$CN20)</f>
        <v>#REF!</v>
      </c>
      <c r="G20" s="35" t="e">
        <f>SUMPRODUCT(--(G$8&lt;=sensitivity!$D$9:'sensitivity'!$CN$9),--(G$9&gt;=sensitivity!$D$9:'sensitivity'!$CN$9),sensitivity!$D20:'sensitivity'!$CN20)</f>
        <v>#REF!</v>
      </c>
      <c r="H20" s="35" t="e">
        <f>SUMPRODUCT(--(H$8&lt;=sensitivity!$D$9:'sensitivity'!$CN$9),--(H$9&gt;=sensitivity!$D$9:'sensitivity'!$CN$9),sensitivity!$D20:'sensitivity'!$CN20)</f>
        <v>#REF!</v>
      </c>
      <c r="I20" s="35" t="e">
        <f>SUMPRODUCT(--(I$8&lt;=sensitivity!$D$9:'sensitivity'!$CN$9),--(I$9&gt;=sensitivity!$D$9:'sensitivity'!$CN$9),sensitivity!$D20:'sensitivity'!$CN20)</f>
        <v>#REF!</v>
      </c>
      <c r="J20" s="35" t="e">
        <f>SUMPRODUCT(--(J$8&lt;=sensitivity!$D$9:'sensitivity'!$CN$9),--(J$9&gt;=sensitivity!$D$9:'sensitivity'!$CN$9),sensitivity!$D20:'sensitivity'!$CN20)</f>
        <v>#REF!</v>
      </c>
      <c r="K20" s="35" t="e">
        <f>SUMPRODUCT(--(K$8&lt;=sensitivity!$D$9:'sensitivity'!$CN$9),--(K$9&gt;=sensitivity!$D$9:'sensitivity'!$CN$9),sensitivity!$D20:'sensitivity'!$CN20)</f>
        <v>#REF!</v>
      </c>
      <c r="L20" s="35" t="e">
        <f>SUMPRODUCT(--(L$8&lt;=sensitivity!$D$9:'sensitivity'!$CN$9),--(L$9&gt;=sensitivity!$D$9:'sensitivity'!$CN$9),sensitivity!$D20:'sensitivity'!$CN20)</f>
        <v>#REF!</v>
      </c>
      <c r="M20" s="35" t="e">
        <f>SUMPRODUCT(--(M$8&lt;=sensitivity!$D$9:'sensitivity'!$CN$9),--(M$9&gt;=sensitivity!$D$9:'sensitivity'!$CN$9),sensitivity!$D20:'sensitivity'!$CN20)</f>
        <v>#REF!</v>
      </c>
      <c r="N20" s="35" t="e">
        <f>SUMPRODUCT(--(N$8&lt;=sensitivity!$D$9:'sensitivity'!$CN$9),--(N$9&gt;=sensitivity!$D$9:'sensitivity'!$CN$9),sensitivity!$D20:'sensitivity'!$CN20)</f>
        <v>#REF!</v>
      </c>
      <c r="O20" s="35" t="e">
        <f>SUMPRODUCT(--(O$8&lt;=sensitivity!$D$9:'sensitivity'!$CN$9),--(O$9&gt;=sensitivity!$D$9:'sensitivity'!$CN$9),sensitivity!$D20:'sensitivity'!$CN20)</f>
        <v>#REF!</v>
      </c>
      <c r="P20" s="35" t="e">
        <f>SUMPRODUCT(--(P$8&lt;=sensitivity!$D$9:'sensitivity'!$CN$9),--(P$9&gt;=sensitivity!$D$9:'sensitivity'!$CN$9),sensitivity!$D20:'sensitivity'!$CN20)</f>
        <v>#REF!</v>
      </c>
      <c r="Q20" s="35" t="e">
        <f>SUMPRODUCT(--(Q$8&lt;=sensitivity!$D$9:'sensitivity'!$CN$9),--(Q$9&gt;=sensitivity!$D$9:'sensitivity'!$CN$9),sensitivity!$D20:'sensitivity'!$CN20)</f>
        <v>#REF!</v>
      </c>
      <c r="R20" s="35" t="e">
        <f>SUMPRODUCT(--(R$8&lt;=sensitivity!$D$9:'sensitivity'!$CN$9),--(R$9&gt;=sensitivity!$D$9:'sensitivity'!$CN$9),sensitivity!$D20:'sensitivity'!$CN20)</f>
        <v>#REF!</v>
      </c>
      <c r="S20" s="35" t="e">
        <f>SUMPRODUCT(--(S$8&lt;=sensitivity!$D$9:'sensitivity'!$CN$9),--(S$9&gt;=sensitivity!$D$9:'sensitivity'!$CN$9),sensitivity!$D20:'sensitivity'!$CN20)</f>
        <v>#REF!</v>
      </c>
      <c r="T20" s="35" t="e">
        <f>SUMPRODUCT(--(T$8&lt;=sensitivity!$D$9:'sensitivity'!$CN$9),--(T$9&gt;=sensitivity!$D$9:'sensitivity'!$CN$9),sensitivity!$D20:'sensitivity'!$CN20)</f>
        <v>#REF!</v>
      </c>
      <c r="U20" s="35" t="e">
        <f>SUMPRODUCT(--(U$8&lt;=sensitivity!$D$9:'sensitivity'!$CN$9),--(U$9&gt;=sensitivity!$D$9:'sensitivity'!$CN$9),sensitivity!$D20:'sensitivity'!$CN20)</f>
        <v>#REF!</v>
      </c>
      <c r="V20" s="35" t="e">
        <f>SUMPRODUCT(--(V$8&lt;=sensitivity!$D$9:'sensitivity'!$CN$9),--(V$9&gt;=sensitivity!$D$9:'sensitivity'!$CN$9),sensitivity!$D20:'sensitivity'!$CN20)</f>
        <v>#REF!</v>
      </c>
      <c r="W20" s="35" t="e">
        <f>SUMPRODUCT(--(W$8&lt;=sensitivity!$D$9:'sensitivity'!$CN$9),--(W$9&gt;=sensitivity!$D$9:'sensitivity'!$CN$9),sensitivity!$D20:'sensitivity'!$CN20)</f>
        <v>#REF!</v>
      </c>
      <c r="X20" s="35" t="e">
        <f>SUMPRODUCT(--(X$8&lt;=sensitivity!$D$9:'sensitivity'!$CN$9),--(X$9&gt;=sensitivity!$D$9:'sensitivity'!$CN$9),sensitivity!$D20:'sensitivity'!$CN20)</f>
        <v>#REF!</v>
      </c>
      <c r="Y20" s="35" t="e">
        <f>SUMPRODUCT(--(Y$8&lt;=sensitivity!$D$9:'sensitivity'!$CN$9),--(Y$9&gt;=sensitivity!$D$9:'sensitivity'!$CN$9),sensitivity!$D20:'sensitivity'!$CN20)</f>
        <v>#REF!</v>
      </c>
      <c r="Z20" s="35" t="e">
        <f>SUMPRODUCT(--(Z$8&lt;=sensitivity!$D$9:'sensitivity'!$CN$9),--(Z$9&gt;=sensitivity!$D$9:'sensitivity'!$CN$9),sensitivity!$D20:'sensitivity'!$CN20)</f>
        <v>#REF!</v>
      </c>
      <c r="AA20" s="35"/>
    </row>
    <row r="21" spans="1:27" ht="13" outlineLevel="4">
      <c r="A21" s="35"/>
      <c r="B21" s="63" t="s">
        <v>121</v>
      </c>
      <c r="C21" s="35" t="e">
        <f t="shared" si="9"/>
        <v>#REF!</v>
      </c>
      <c r="D21" s="60">
        <f>sensitivity!D21</f>
        <v>0</v>
      </c>
      <c r="E21" s="35" t="e">
        <f>SUMPRODUCT(--(E$8&lt;=sensitivity!$D$9:'sensitivity'!$CN$9),--(E$9&gt;=sensitivity!$D$9:'sensitivity'!$CN$9),sensitivity!$D21:'sensitivity'!$CN21)</f>
        <v>#REF!</v>
      </c>
      <c r="F21" s="35" t="e">
        <f>SUMPRODUCT(--(F$8&lt;=sensitivity!$D$9:'sensitivity'!$CN$9),--(F$9&gt;=sensitivity!$D$9:'sensitivity'!$CN$9),sensitivity!$D21:'sensitivity'!$CN21)</f>
        <v>#REF!</v>
      </c>
      <c r="G21" s="35" t="e">
        <f>SUMPRODUCT(--(G$8&lt;=sensitivity!$D$9:'sensitivity'!$CN$9),--(G$9&gt;=sensitivity!$D$9:'sensitivity'!$CN$9),sensitivity!$D21:'sensitivity'!$CN21)</f>
        <v>#REF!</v>
      </c>
      <c r="H21" s="35" t="e">
        <f>SUMPRODUCT(--(H$8&lt;=sensitivity!$D$9:'sensitivity'!$CN$9),--(H$9&gt;=sensitivity!$D$9:'sensitivity'!$CN$9),sensitivity!$D21:'sensitivity'!$CN21)</f>
        <v>#REF!</v>
      </c>
      <c r="I21" s="35" t="e">
        <f>SUMPRODUCT(--(I$8&lt;=sensitivity!$D$9:'sensitivity'!$CN$9),--(I$9&gt;=sensitivity!$D$9:'sensitivity'!$CN$9),sensitivity!$D21:'sensitivity'!$CN21)</f>
        <v>#REF!</v>
      </c>
      <c r="J21" s="35" t="e">
        <f>SUMPRODUCT(--(J$8&lt;=sensitivity!$D$9:'sensitivity'!$CN$9),--(J$9&gt;=sensitivity!$D$9:'sensitivity'!$CN$9),sensitivity!$D21:'sensitivity'!$CN21)</f>
        <v>#REF!</v>
      </c>
      <c r="K21" s="35" t="e">
        <f>SUMPRODUCT(--(K$8&lt;=sensitivity!$D$9:'sensitivity'!$CN$9),--(K$9&gt;=sensitivity!$D$9:'sensitivity'!$CN$9),sensitivity!$D21:'sensitivity'!$CN21)</f>
        <v>#REF!</v>
      </c>
      <c r="L21" s="35" t="e">
        <f>SUMPRODUCT(--(L$8&lt;=sensitivity!$D$9:'sensitivity'!$CN$9),--(L$9&gt;=sensitivity!$D$9:'sensitivity'!$CN$9),sensitivity!$D21:'sensitivity'!$CN21)</f>
        <v>#REF!</v>
      </c>
      <c r="M21" s="35" t="e">
        <f>SUMPRODUCT(--(M$8&lt;=sensitivity!$D$9:'sensitivity'!$CN$9),--(M$9&gt;=sensitivity!$D$9:'sensitivity'!$CN$9),sensitivity!$D21:'sensitivity'!$CN21)</f>
        <v>#REF!</v>
      </c>
      <c r="N21" s="35" t="e">
        <f>SUMPRODUCT(--(N$8&lt;=sensitivity!$D$9:'sensitivity'!$CN$9),--(N$9&gt;=sensitivity!$D$9:'sensitivity'!$CN$9),sensitivity!$D21:'sensitivity'!$CN21)</f>
        <v>#REF!</v>
      </c>
      <c r="O21" s="35" t="e">
        <f>SUMPRODUCT(--(O$8&lt;=sensitivity!$D$9:'sensitivity'!$CN$9),--(O$9&gt;=sensitivity!$D$9:'sensitivity'!$CN$9),sensitivity!$D21:'sensitivity'!$CN21)</f>
        <v>#REF!</v>
      </c>
      <c r="P21" s="35" t="e">
        <f>SUMPRODUCT(--(P$8&lt;=sensitivity!$D$9:'sensitivity'!$CN$9),--(P$9&gt;=sensitivity!$D$9:'sensitivity'!$CN$9),sensitivity!$D21:'sensitivity'!$CN21)</f>
        <v>#REF!</v>
      </c>
      <c r="Q21" s="35" t="e">
        <f>SUMPRODUCT(--(Q$8&lt;=sensitivity!$D$9:'sensitivity'!$CN$9),--(Q$9&gt;=sensitivity!$D$9:'sensitivity'!$CN$9),sensitivity!$D21:'sensitivity'!$CN21)</f>
        <v>#REF!</v>
      </c>
      <c r="R21" s="35" t="e">
        <f>SUMPRODUCT(--(R$8&lt;=sensitivity!$D$9:'sensitivity'!$CN$9),--(R$9&gt;=sensitivity!$D$9:'sensitivity'!$CN$9),sensitivity!$D21:'sensitivity'!$CN21)</f>
        <v>#REF!</v>
      </c>
      <c r="S21" s="35" t="e">
        <f>SUMPRODUCT(--(S$8&lt;=sensitivity!$D$9:'sensitivity'!$CN$9),--(S$9&gt;=sensitivity!$D$9:'sensitivity'!$CN$9),sensitivity!$D21:'sensitivity'!$CN21)</f>
        <v>#REF!</v>
      </c>
      <c r="T21" s="35" t="e">
        <f>SUMPRODUCT(--(T$8&lt;=sensitivity!$D$9:'sensitivity'!$CN$9),--(T$9&gt;=sensitivity!$D$9:'sensitivity'!$CN$9),sensitivity!$D21:'sensitivity'!$CN21)</f>
        <v>#REF!</v>
      </c>
      <c r="U21" s="35" t="e">
        <f>SUMPRODUCT(--(U$8&lt;=sensitivity!$D$9:'sensitivity'!$CN$9),--(U$9&gt;=sensitivity!$D$9:'sensitivity'!$CN$9),sensitivity!$D21:'sensitivity'!$CN21)</f>
        <v>#REF!</v>
      </c>
      <c r="V21" s="35" t="e">
        <f>SUMPRODUCT(--(V$8&lt;=sensitivity!$D$9:'sensitivity'!$CN$9),--(V$9&gt;=sensitivity!$D$9:'sensitivity'!$CN$9),sensitivity!$D21:'sensitivity'!$CN21)</f>
        <v>#REF!</v>
      </c>
      <c r="W21" s="35" t="e">
        <f>SUMPRODUCT(--(W$8&lt;=sensitivity!$D$9:'sensitivity'!$CN$9),--(W$9&gt;=sensitivity!$D$9:'sensitivity'!$CN$9),sensitivity!$D21:'sensitivity'!$CN21)</f>
        <v>#REF!</v>
      </c>
      <c r="X21" s="35" t="e">
        <f>SUMPRODUCT(--(X$8&lt;=sensitivity!$D$9:'sensitivity'!$CN$9),--(X$9&gt;=sensitivity!$D$9:'sensitivity'!$CN$9),sensitivity!$D21:'sensitivity'!$CN21)</f>
        <v>#REF!</v>
      </c>
      <c r="Y21" s="35" t="e">
        <f>SUMPRODUCT(--(Y$8&lt;=sensitivity!$D$9:'sensitivity'!$CN$9),--(Y$9&gt;=sensitivity!$D$9:'sensitivity'!$CN$9),sensitivity!$D21:'sensitivity'!$CN21)</f>
        <v>#REF!</v>
      </c>
      <c r="Z21" s="35" t="e">
        <f>SUMPRODUCT(--(Z$8&lt;=sensitivity!$D$9:'sensitivity'!$CN$9),--(Z$9&gt;=sensitivity!$D$9:'sensitivity'!$CN$9),sensitivity!$D21:'sensitivity'!$CN21)</f>
        <v>#REF!</v>
      </c>
      <c r="AA21" s="35"/>
    </row>
    <row r="22" spans="1:27" ht="13" outlineLevel="4">
      <c r="A22" s="35"/>
      <c r="B22" s="63" t="s">
        <v>122</v>
      </c>
      <c r="C22" s="35">
        <f t="shared" si="9"/>
        <v>4066860.919403879</v>
      </c>
      <c r="D22" s="60">
        <f>sensitivity!D22</f>
        <v>0</v>
      </c>
      <c r="E22" s="35">
        <f>SUMPRODUCT(--(E$8&lt;=sensitivity!$D$9:'sensitivity'!$CN$9),--(E$9&gt;=sensitivity!$D$9:'sensitivity'!$CN$9),sensitivity!$D22:'sensitivity'!$CN22)</f>
        <v>0</v>
      </c>
      <c r="F22" s="35">
        <f>SUMPRODUCT(--(F$8&lt;=sensitivity!$D$9:'sensitivity'!$CN$9),--(F$9&gt;=sensitivity!$D$9:'sensitivity'!$CN$9),sensitivity!$D22:'sensitivity'!$CN22)</f>
        <v>0</v>
      </c>
      <c r="G22" s="35">
        <f>SUMPRODUCT(--(G$8&lt;=sensitivity!$D$9:'sensitivity'!$CN$9),--(G$9&gt;=sensitivity!$D$9:'sensitivity'!$CN$9),sensitivity!$D22:'sensitivity'!$CN22)</f>
        <v>0</v>
      </c>
      <c r="H22" s="35">
        <f>SUMPRODUCT(--(H$8&lt;=sensitivity!$D$9:'sensitivity'!$CN$9),--(H$9&gt;=sensitivity!$D$9:'sensitivity'!$CN$9),sensitivity!$D22:'sensitivity'!$CN22)</f>
        <v>0</v>
      </c>
      <c r="I22" s="35">
        <f>SUMPRODUCT(--(I$8&lt;=sensitivity!$D$9:'sensitivity'!$CN$9),--(I$9&gt;=sensitivity!$D$9:'sensitivity'!$CN$9),sensitivity!$D22:'sensitivity'!$CN22)</f>
        <v>100891.24032000001</v>
      </c>
      <c r="J22" s="35">
        <f>SUMPRODUCT(--(J$8&lt;=sensitivity!$D$9:'sensitivity'!$CN$9),--(J$9&gt;=sensitivity!$D$9:'sensitivity'!$CN$9),sensitivity!$D22:'sensitivity'!$CN22)</f>
        <v>179646.45245700004</v>
      </c>
      <c r="K22" s="35">
        <f>SUMPRODUCT(--(K$8&lt;=sensitivity!$D$9:'sensitivity'!$CN$9),--(K$9&gt;=sensitivity!$D$9:'sensitivity'!$CN$9),sensitivity!$D22:'sensitivity'!$CN22)</f>
        <v>188628.77507984999</v>
      </c>
      <c r="L22" s="35">
        <f>SUMPRODUCT(--(L$8&lt;=sensitivity!$D$9:'sensitivity'!$CN$9),--(L$9&gt;=sensitivity!$D$9:'sensitivity'!$CN$9),sensitivity!$D22:'sensitivity'!$CN22)</f>
        <v>187989.12029835</v>
      </c>
      <c r="M22" s="35">
        <f>SUMPRODUCT(--(M$8&lt;=sensitivity!$D$9:'sensitivity'!$CN$9),--(M$9&gt;=sensitivity!$D$9:'sensitivity'!$CN$9),sensitivity!$D22:'sensitivity'!$CN22)</f>
        <v>199979.12702998123</v>
      </c>
      <c r="N22" s="35">
        <f>SUMPRODUCT(--(N$8&lt;=sensitivity!$D$9:'sensitivity'!$CN$9),--(N$9&gt;=sensitivity!$D$9:'sensitivity'!$CN$9),sensitivity!$D22:'sensitivity'!$CN22)</f>
        <v>202123.51342176268</v>
      </c>
      <c r="O22" s="35">
        <f>SUMPRODUCT(--(O$8&lt;=sensitivity!$D$9:'sensitivity'!$CN$9),--(O$9&gt;=sensitivity!$D$9:'sensitivity'!$CN$9),sensitivity!$D22:'sensitivity'!$CN22)</f>
        <v>221636.36337927211</v>
      </c>
      <c r="P22" s="35">
        <f>SUMPRODUCT(--(P$8&lt;=sensitivity!$D$9:'sensitivity'!$CN$9),--(P$9&gt;=sensitivity!$D$9:'sensitivity'!$CN$9),sensitivity!$D22:'sensitivity'!$CN22)</f>
        <v>215064.20880411079</v>
      </c>
      <c r="Q22" s="35">
        <f>SUMPRODUCT(--(Q$8&lt;=sensitivity!$D$9:'sensitivity'!$CN$9),--(Q$9&gt;=sensitivity!$D$9:'sensitivity'!$CN$9),sensitivity!$D22:'sensitivity'!$CN22)</f>
        <v>242433.98351348692</v>
      </c>
      <c r="R22" s="35">
        <f>SUMPRODUCT(--(R$8&lt;=sensitivity!$D$9:'sensitivity'!$CN$9),--(R$9&gt;=sensitivity!$D$9:'sensitivity'!$CN$9),sensitivity!$D22:'sensitivity'!$CN22)</f>
        <v>229279.45503940195</v>
      </c>
      <c r="S22" s="35">
        <f>SUMPRODUCT(--(S$8&lt;=sensitivity!$D$9:'sensitivity'!$CN$9),--(S$9&gt;=sensitivity!$D$9:'sensitivity'!$CN$9),sensitivity!$D22:'sensitivity'!$CN22)</f>
        <v>228501.95065464635</v>
      </c>
      <c r="T22" s="35">
        <f>SUMPRODUCT(--(T$8&lt;=sensitivity!$D$9:'sensitivity'!$CN$9),--(T$9&gt;=sensitivity!$D$9:'sensitivity'!$CN$9),sensitivity!$D22:'sensitivity'!$CN22)</f>
        <v>243075.87877448619</v>
      </c>
      <c r="U22" s="35">
        <f>SUMPRODUCT(--(U$8&lt;=sensitivity!$D$9:'sensitivity'!$CN$9),--(U$9&gt;=sensitivity!$D$9:'sensitivity'!$CN$9),sensitivity!$D22:'sensitivity'!$CN22)</f>
        <v>245682.39383611141</v>
      </c>
      <c r="V22" s="35">
        <f>SUMPRODUCT(--(V$8&lt;=sensitivity!$D$9:'sensitivity'!$CN$9),--(V$9&gt;=sensitivity!$D$9:'sensitivity'!$CN$9),sensitivity!$D22:'sensitivity'!$CN22)</f>
        <v>269400.38491477643</v>
      </c>
      <c r="W22" s="35">
        <f>SUMPRODUCT(--(W$8&lt;=sensitivity!$D$9:'sensitivity'!$CN$9),--(W$9&gt;=sensitivity!$D$9:'sensitivity'!$CN$9),sensitivity!$D22:'sensitivity'!$CN22)</f>
        <v>261411.88995270175</v>
      </c>
      <c r="X22" s="35">
        <f>SUMPRODUCT(--(X$8&lt;=sensitivity!$D$9:'sensitivity'!$CN$9),--(X$9&gt;=sensitivity!$D$9:'sensitivity'!$CN$9),sensitivity!$D22:'sensitivity'!$CN22)</f>
        <v>294680.02217304037</v>
      </c>
      <c r="Y22" s="35">
        <f>SUMPRODUCT(--(Y$8&lt;=sensitivity!$D$9:'sensitivity'!$CN$9),--(Y$9&gt;=sensitivity!$D$9:'sensitivity'!$CN$9),sensitivity!$D22:'sensitivity'!$CN22)</f>
        <v>278690.61059698713</v>
      </c>
      <c r="Z22" s="35">
        <f>SUMPRODUCT(--(Z$8&lt;=sensitivity!$D$9:'sensitivity'!$CN$9),--(Z$9&gt;=sensitivity!$D$9:'sensitivity'!$CN$9),sensitivity!$D22:'sensitivity'!$CN22)</f>
        <v>277745.54915791424</v>
      </c>
      <c r="AA22" s="35"/>
    </row>
    <row r="23" spans="1:27" ht="13" outlineLevel="4">
      <c r="A23" s="35"/>
      <c r="B23" s="63" t="s">
        <v>123</v>
      </c>
      <c r="C23" s="35">
        <f t="shared" si="9"/>
        <v>4195806.646444466</v>
      </c>
      <c r="D23" s="60">
        <f>sensitivity!D23</f>
        <v>0</v>
      </c>
      <c r="E23" s="35">
        <f>SUMPRODUCT(--(E$8&lt;=sensitivity!$D$9:'sensitivity'!$CN$9),--(E$9&gt;=sensitivity!$D$9:'sensitivity'!$CN$9),sensitivity!$D23:'sensitivity'!$CN23)</f>
        <v>0</v>
      </c>
      <c r="F23" s="35">
        <f>SUMPRODUCT(--(F$8&lt;=sensitivity!$D$9:'sensitivity'!$CN$9),--(F$9&gt;=sensitivity!$D$9:'sensitivity'!$CN$9),sensitivity!$D23:'sensitivity'!$CN23)</f>
        <v>0</v>
      </c>
      <c r="G23" s="35">
        <f>SUMPRODUCT(--(G$8&lt;=sensitivity!$D$9:'sensitivity'!$CN$9),--(G$9&gt;=sensitivity!$D$9:'sensitivity'!$CN$9),sensitivity!$D23:'sensitivity'!$CN23)</f>
        <v>0</v>
      </c>
      <c r="H23" s="35">
        <f>SUMPRODUCT(--(H$8&lt;=sensitivity!$D$9:'sensitivity'!$CN$9),--(H$9&gt;=sensitivity!$D$9:'sensitivity'!$CN$9),sensitivity!$D23:'sensitivity'!$CN23)</f>
        <v>0</v>
      </c>
      <c r="I23" s="35">
        <f>SUMPRODUCT(--(I$8&lt;=sensitivity!$D$9:'sensitivity'!$CN$9),--(I$9&gt;=sensitivity!$D$9:'sensitivity'!$CN$9),sensitivity!$D23:'sensitivity'!$CN23)</f>
        <v>112687.66303683823</v>
      </c>
      <c r="J23" s="35">
        <f>SUMPRODUCT(--(J$8&lt;=sensitivity!$D$9:'sensitivity'!$CN$9),--(J$9&gt;=sensitivity!$D$9:'sensitivity'!$CN$9),sensitivity!$D23:'sensitivity'!$CN23)</f>
        <v>186426.877183295</v>
      </c>
      <c r="K23" s="35">
        <f>SUMPRODUCT(--(K$8&lt;=sensitivity!$D$9:'sensitivity'!$CN$9),--(K$9&gt;=sensitivity!$D$9:'sensitivity'!$CN$9),sensitivity!$D23:'sensitivity'!$CN23)</f>
        <v>195748.22104245974</v>
      </c>
      <c r="L23" s="35">
        <f>SUMPRODUCT(--(L$8&lt;=sensitivity!$D$9:'sensitivity'!$CN$9),--(L$9&gt;=sensitivity!$D$9:'sensitivity'!$CN$9),sensitivity!$D23:'sensitivity'!$CN23)</f>
        <v>183153.89368571449</v>
      </c>
      <c r="M23" s="35">
        <f>SUMPRODUCT(--(M$8&lt;=sensitivity!$D$9:'sensitivity'!$CN$9),--(M$9&gt;=sensitivity!$D$9:'sensitivity'!$CN$9),sensitivity!$D23:'sensitivity'!$CN23)</f>
        <v>207008.52572427277</v>
      </c>
      <c r="N23" s="35">
        <f>SUMPRODUCT(--(N$8&lt;=sensitivity!$D$9:'sensitivity'!$CN$9),--(N$9&gt;=sensitivity!$D$9:'sensitivity'!$CN$9),sensitivity!$D23:'sensitivity'!$CN23)</f>
        <v>209289.91090316093</v>
      </c>
      <c r="O23" s="35">
        <f>SUMPRODUCT(--(O$8&lt;=sensitivity!$D$9:'sensitivity'!$CN$9),--(O$9&gt;=sensitivity!$D$9:'sensitivity'!$CN$9),sensitivity!$D23:'sensitivity'!$CN23)</f>
        <v>229508.38779692302</v>
      </c>
      <c r="P23" s="35">
        <f>SUMPRODUCT(--(P$8&lt;=sensitivity!$D$9:'sensitivity'!$CN$9),--(P$9&gt;=sensitivity!$D$9:'sensitivity'!$CN$9),sensitivity!$D23:'sensitivity'!$CN23)</f>
        <v>222757.33267547333</v>
      </c>
      <c r="Q23" s="35">
        <f>SUMPRODUCT(--(Q$8&lt;=sensitivity!$D$9:'sensitivity'!$CN$9),--(Q$9&gt;=sensitivity!$D$9:'sensitivity'!$CN$9),sensitivity!$D23:'sensitivity'!$CN23)</f>
        <v>258682.09230141487</v>
      </c>
      <c r="R23" s="35">
        <f>SUMPRODUCT(--(R$8&lt;=sensitivity!$D$9:'sensitivity'!$CN$9),--(R$9&gt;=sensitivity!$D$9:'sensitivity'!$CN$9),sensitivity!$D23:'sensitivity'!$CN23)</f>
        <v>237933.18610349135</v>
      </c>
      <c r="S23" s="35">
        <f>SUMPRODUCT(--(S$8&lt;=sensitivity!$D$9:'sensitivity'!$CN$9),--(S$9&gt;=sensitivity!$D$9:'sensitivity'!$CN$9),sensitivity!$D23:'sensitivity'!$CN23)</f>
        <v>222624.70248682154</v>
      </c>
      <c r="T23" s="35">
        <f>SUMPRODUCT(--(T$8&lt;=sensitivity!$D$9:'sensitivity'!$CN$9),--(T$9&gt;=sensitivity!$D$9:'sensitivity'!$CN$9),sensitivity!$D23:'sensitivity'!$CN23)</f>
        <v>251620.15682113936</v>
      </c>
      <c r="U23" s="35">
        <f>SUMPRODUCT(--(U$8&lt;=sensitivity!$D$9:'sensitivity'!$CN$9),--(U$9&gt;=sensitivity!$D$9:'sensitivity'!$CN$9),sensitivity!$D23:'sensitivity'!$CN23)</f>
        <v>254393.19476473524</v>
      </c>
      <c r="V23" s="35">
        <f>SUMPRODUCT(--(V$8&lt;=sensitivity!$D$9:'sensitivity'!$CN$9),--(V$9&gt;=sensitivity!$D$9:'sensitivity'!$CN$9),sensitivity!$D23:'sensitivity'!$CN23)</f>
        <v>278968.87979458377</v>
      </c>
      <c r="W23" s="35">
        <f>SUMPRODUCT(--(W$8&lt;=sensitivity!$D$9:'sensitivity'!$CN$9),--(W$9&gt;=sensitivity!$D$9:'sensitivity'!$CN$9),sensitivity!$D23:'sensitivity'!$CN23)</f>
        <v>270762.93010036711</v>
      </c>
      <c r="X23" s="35">
        <f>SUMPRODUCT(--(X$8&lt;=sensitivity!$D$9:'sensitivity'!$CN$9),--(X$9&gt;=sensitivity!$D$9:'sensitivity'!$CN$9),sensitivity!$D23:'sensitivity'!$CN23)</f>
        <v>314429.69995544676</v>
      </c>
      <c r="Y23" s="35">
        <f>SUMPRODUCT(--(Y$8&lt;=sensitivity!$D$9:'sensitivity'!$CN$9),--(Y$9&gt;=sensitivity!$D$9:'sensitivity'!$CN$9),sensitivity!$D23:'sensitivity'!$CN23)</f>
        <v>289209.27479120699</v>
      </c>
      <c r="Z23" s="35">
        <f>SUMPRODUCT(--(Z$8&lt;=sensitivity!$D$9:'sensitivity'!$CN$9),--(Z$9&gt;=sensitivity!$D$9:'sensitivity'!$CN$9),sensitivity!$D23:'sensitivity'!$CN23)</f>
        <v>270601.7172771222</v>
      </c>
      <c r="AA23" s="35"/>
    </row>
    <row r="24" spans="1:27" ht="13" outlineLevel="4">
      <c r="A24" s="35"/>
      <c r="B24" s="63" t="s">
        <v>124</v>
      </c>
      <c r="C24" s="35">
        <f t="shared" si="9"/>
        <v>3186086.9813057082</v>
      </c>
      <c r="D24" s="60">
        <f>sensitivity!D24</f>
        <v>0</v>
      </c>
      <c r="E24" s="35">
        <f>SUMPRODUCT(--(E$8&lt;=sensitivity!$D$9:'sensitivity'!$CN$9),--(E$9&gt;=sensitivity!$D$9:'sensitivity'!$CN$9),sensitivity!$D24:'sensitivity'!$CN24)</f>
        <v>0</v>
      </c>
      <c r="F24" s="35">
        <f>SUMPRODUCT(--(F$8&lt;=sensitivity!$D$9:'sensitivity'!$CN$9),--(F$9&gt;=sensitivity!$D$9:'sensitivity'!$CN$9),sensitivity!$D24:'sensitivity'!$CN24)</f>
        <v>0</v>
      </c>
      <c r="G24" s="35">
        <f>SUMPRODUCT(--(G$8&lt;=sensitivity!$D$9:'sensitivity'!$CN$9),--(G$9&gt;=sensitivity!$D$9:'sensitivity'!$CN$9),sensitivity!$D24:'sensitivity'!$CN24)</f>
        <v>0</v>
      </c>
      <c r="H24" s="35">
        <f>SUMPRODUCT(--(H$8&lt;=sensitivity!$D$9:'sensitivity'!$CN$9),--(H$9&gt;=sensitivity!$D$9:'sensitivity'!$CN$9),sensitivity!$D24:'sensitivity'!$CN24)</f>
        <v>0</v>
      </c>
      <c r="I24" s="35">
        <f>SUMPRODUCT(--(I$8&lt;=sensitivity!$D$9:'sensitivity'!$CN$9),--(I$9&gt;=sensitivity!$D$9:'sensitivity'!$CN$9),sensitivity!$D24:'sensitivity'!$CN24)</f>
        <v>69936.107611764717</v>
      </c>
      <c r="J24" s="35">
        <f>SUMPRODUCT(--(J$8&lt;=sensitivity!$D$9:'sensitivity'!$CN$9),--(J$9&gt;=sensitivity!$D$9:'sensitivity'!$CN$9),sensitivity!$D24:'sensitivity'!$CN24)</f>
        <v>139514.85725294118</v>
      </c>
      <c r="K24" s="35">
        <f>SUMPRODUCT(--(K$8&lt;=sensitivity!$D$9:'sensitivity'!$CN$9),--(K$9&gt;=sensitivity!$D$9:'sensitivity'!$CN$9),sensitivity!$D24:'sensitivity'!$CN24)</f>
        <v>152641.29998439178</v>
      </c>
      <c r="L24" s="35">
        <f>SUMPRODUCT(--(L$8&lt;=sensitivity!$D$9:'sensitivity'!$CN$9),--(L$9&gt;=sensitivity!$D$9:'sensitivity'!$CN$9),sensitivity!$D24:'sensitivity'!$CN24)</f>
        <v>148828.02928193266</v>
      </c>
      <c r="M24" s="35">
        <f>SUMPRODUCT(--(M$8&lt;=sensitivity!$D$9:'sensitivity'!$CN$9),--(M$9&gt;=sensitivity!$D$9:'sensitivity'!$CN$9),sensitivity!$D24:'sensitivity'!$CN24)</f>
        <v>164829.53567834652</v>
      </c>
      <c r="N24" s="35">
        <f>SUMPRODUCT(--(N$8&lt;=sensitivity!$D$9:'sensitivity'!$CN$9),--(N$9&gt;=sensitivity!$D$9:'sensitivity'!$CN$9),sensitivity!$D24:'sensitivity'!$CN24)</f>
        <v>158634.4307353328</v>
      </c>
      <c r="O24" s="35">
        <f>SUMPRODUCT(--(O$8&lt;=sensitivity!$D$9:'sensitivity'!$CN$9),--(O$9&gt;=sensitivity!$D$9:'sensitivity'!$CN$9),sensitivity!$D24:'sensitivity'!$CN24)</f>
        <v>169800.2084898458</v>
      </c>
      <c r="P24" s="35">
        <f>SUMPRODUCT(--(P$8&lt;=sensitivity!$D$9:'sensitivity'!$CN$9),--(P$9&gt;=sensitivity!$D$9:'sensitivity'!$CN$9),sensitivity!$D24:'sensitivity'!$CN24)</f>
        <v>171579.306826905</v>
      </c>
      <c r="Q24" s="35">
        <f>SUMPRODUCT(--(Q$8&lt;=sensitivity!$D$9:'sensitivity'!$CN$9),--(Q$9&gt;=sensitivity!$D$9:'sensitivity'!$CN$9),sensitivity!$D24:'sensitivity'!$CN24)</f>
        <v>176192.88709415938</v>
      </c>
      <c r="R24" s="35">
        <f>SUMPRODUCT(--(R$8&lt;=sensitivity!$D$9:'sensitivity'!$CN$9),--(R$9&gt;=sensitivity!$D$9:'sensitivity'!$CN$9),sensitivity!$D24:'sensitivity'!$CN24)</f>
        <v>185536.45413915315</v>
      </c>
      <c r="S24" s="35">
        <f>SUMPRODUCT(--(S$8&lt;=sensitivity!$D$9:'sensitivity'!$CN$9),--(S$9&gt;=sensitivity!$D$9:'sensitivity'!$CN$9),sensitivity!$D24:'sensitivity'!$CN24)</f>
        <v>180901.39976737218</v>
      </c>
      <c r="T24" s="35">
        <f>SUMPRODUCT(--(T$8&lt;=sensitivity!$D$9:'sensitivity'!$CN$9),--(T$9&gt;=sensitivity!$D$9:'sensitivity'!$CN$9),sensitivity!$D24:'sensitivity'!$CN24)</f>
        <v>200351.33080162824</v>
      </c>
      <c r="U24" s="35">
        <f>SUMPRODUCT(--(U$8&lt;=sensitivity!$D$9:'sensitivity'!$CN$9),--(U$9&gt;=sensitivity!$D$9:'sensitivity'!$CN$9),sensitivity!$D24:'sensitivity'!$CN24)</f>
        <v>192821.14202398914</v>
      </c>
      <c r="V24" s="35">
        <f>SUMPRODUCT(--(V$8&lt;=sensitivity!$D$9:'sensitivity'!$CN$9),--(V$9&gt;=sensitivity!$D$9:'sensitivity'!$CN$9),sensitivity!$D24:'sensitivity'!$CN24)</f>
        <v>206393.21467071067</v>
      </c>
      <c r="W24" s="35">
        <f>SUMPRODUCT(--(W$8&lt;=sensitivity!$D$9:'sensitivity'!$CN$9),--(W$9&gt;=sensitivity!$D$9:'sensitivity'!$CN$9),sensitivity!$D24:'sensitivity'!$CN24)</f>
        <v>208555.71981877074</v>
      </c>
      <c r="X24" s="35">
        <f>SUMPRODUCT(--(X$8&lt;=sensitivity!$D$9:'sensitivity'!$CN$9),--(X$9&gt;=sensitivity!$D$9:'sensitivity'!$CN$9),sensitivity!$D24:'sensitivity'!$CN24)</f>
        <v>214163.55546849515</v>
      </c>
      <c r="Y24" s="35">
        <f>SUMPRODUCT(--(Y$8&lt;=sensitivity!$D$9:'sensitivity'!$CN$9),--(Y$9&gt;=sensitivity!$D$9:'sensitivity'!$CN$9),sensitivity!$D24:'sensitivity'!$CN24)</f>
        <v>225520.7196089791</v>
      </c>
      <c r="Z24" s="35">
        <f>SUMPRODUCT(--(Z$8&lt;=sensitivity!$D$9:'sensitivity'!$CN$9),--(Z$9&gt;=sensitivity!$D$9:'sensitivity'!$CN$9),sensitivity!$D24:'sensitivity'!$CN24)</f>
        <v>219886.78205098945</v>
      </c>
      <c r="AA24" s="35"/>
    </row>
    <row r="25" spans="1:27" ht="13" outlineLevel="4">
      <c r="A25" s="35"/>
      <c r="B25" s="63" t="s">
        <v>125</v>
      </c>
      <c r="C25" s="35">
        <f t="shared" si="9"/>
        <v>0</v>
      </c>
      <c r="D25" s="60">
        <f>sensitivity!D25</f>
        <v>0</v>
      </c>
      <c r="E25" s="35">
        <f>SUMPRODUCT(--(E$8&lt;=sensitivity!$D$9:'sensitivity'!$CN$9),--(E$9&gt;=sensitivity!$D$9:'sensitivity'!$CN$9),sensitivity!$D25:'sensitivity'!$CN25)</f>
        <v>0</v>
      </c>
      <c r="F25" s="35">
        <f>SUMPRODUCT(--(F$8&lt;=sensitivity!$D$9:'sensitivity'!$CN$9),--(F$9&gt;=sensitivity!$D$9:'sensitivity'!$CN$9),sensitivity!$D25:'sensitivity'!$CN25)</f>
        <v>0</v>
      </c>
      <c r="G25" s="35">
        <f>SUMPRODUCT(--(G$8&lt;=sensitivity!$D$9:'sensitivity'!$CN$9),--(G$9&gt;=sensitivity!$D$9:'sensitivity'!$CN$9),sensitivity!$D25:'sensitivity'!$CN25)</f>
        <v>0</v>
      </c>
      <c r="H25" s="35">
        <f>SUMPRODUCT(--(H$8&lt;=sensitivity!$D$9:'sensitivity'!$CN$9),--(H$9&gt;=sensitivity!$D$9:'sensitivity'!$CN$9),sensitivity!$D25:'sensitivity'!$CN25)</f>
        <v>0</v>
      </c>
      <c r="I25" s="35">
        <f>SUMPRODUCT(--(I$8&lt;=sensitivity!$D$9:'sensitivity'!$CN$9),--(I$9&gt;=sensitivity!$D$9:'sensitivity'!$CN$9),sensitivity!$D25:'sensitivity'!$CN25)</f>
        <v>0</v>
      </c>
      <c r="J25" s="35">
        <f>SUMPRODUCT(--(J$8&lt;=sensitivity!$D$9:'sensitivity'!$CN$9),--(J$9&gt;=sensitivity!$D$9:'sensitivity'!$CN$9),sensitivity!$D25:'sensitivity'!$CN25)</f>
        <v>0</v>
      </c>
      <c r="K25" s="35">
        <f>SUMPRODUCT(--(K$8&lt;=sensitivity!$D$9:'sensitivity'!$CN$9),--(K$9&gt;=sensitivity!$D$9:'sensitivity'!$CN$9),sensitivity!$D25:'sensitivity'!$CN25)</f>
        <v>0</v>
      </c>
      <c r="L25" s="35">
        <f>SUMPRODUCT(--(L$8&lt;=sensitivity!$D$9:'sensitivity'!$CN$9),--(L$9&gt;=sensitivity!$D$9:'sensitivity'!$CN$9),sensitivity!$D25:'sensitivity'!$CN25)</f>
        <v>0</v>
      </c>
      <c r="M25" s="35">
        <f>SUMPRODUCT(--(M$8&lt;=sensitivity!$D$9:'sensitivity'!$CN$9),--(M$9&gt;=sensitivity!$D$9:'sensitivity'!$CN$9),sensitivity!$D25:'sensitivity'!$CN25)</f>
        <v>0</v>
      </c>
      <c r="N25" s="35">
        <f>SUMPRODUCT(--(N$8&lt;=sensitivity!$D$9:'sensitivity'!$CN$9),--(N$9&gt;=sensitivity!$D$9:'sensitivity'!$CN$9),sensitivity!$D25:'sensitivity'!$CN25)</f>
        <v>0</v>
      </c>
      <c r="O25" s="35">
        <f>SUMPRODUCT(--(O$8&lt;=sensitivity!$D$9:'sensitivity'!$CN$9),--(O$9&gt;=sensitivity!$D$9:'sensitivity'!$CN$9),sensitivity!$D25:'sensitivity'!$CN25)</f>
        <v>0</v>
      </c>
      <c r="P25" s="35">
        <f>SUMPRODUCT(--(P$8&lt;=sensitivity!$D$9:'sensitivity'!$CN$9),--(P$9&gt;=sensitivity!$D$9:'sensitivity'!$CN$9),sensitivity!$D25:'sensitivity'!$CN25)</f>
        <v>0</v>
      </c>
      <c r="Q25" s="35">
        <f>SUMPRODUCT(--(Q$8&lt;=sensitivity!$D$9:'sensitivity'!$CN$9),--(Q$9&gt;=sensitivity!$D$9:'sensitivity'!$CN$9),sensitivity!$D25:'sensitivity'!$CN25)</f>
        <v>0</v>
      </c>
      <c r="R25" s="35">
        <f>SUMPRODUCT(--(R$8&lt;=sensitivity!$D$9:'sensitivity'!$CN$9),--(R$9&gt;=sensitivity!$D$9:'sensitivity'!$CN$9),sensitivity!$D25:'sensitivity'!$CN25)</f>
        <v>0</v>
      </c>
      <c r="S25" s="35">
        <f>SUMPRODUCT(--(S$8&lt;=sensitivity!$D$9:'sensitivity'!$CN$9),--(S$9&gt;=sensitivity!$D$9:'sensitivity'!$CN$9),sensitivity!$D25:'sensitivity'!$CN25)</f>
        <v>0</v>
      </c>
      <c r="T25" s="35">
        <f>SUMPRODUCT(--(T$8&lt;=sensitivity!$D$9:'sensitivity'!$CN$9),--(T$9&gt;=sensitivity!$D$9:'sensitivity'!$CN$9),sensitivity!$D25:'sensitivity'!$CN25)</f>
        <v>0</v>
      </c>
      <c r="U25" s="35">
        <f>SUMPRODUCT(--(U$8&lt;=sensitivity!$D$9:'sensitivity'!$CN$9),--(U$9&gt;=sensitivity!$D$9:'sensitivity'!$CN$9),sensitivity!$D25:'sensitivity'!$CN25)</f>
        <v>0</v>
      </c>
      <c r="V25" s="35">
        <f>SUMPRODUCT(--(V$8&lt;=sensitivity!$D$9:'sensitivity'!$CN$9),--(V$9&gt;=sensitivity!$D$9:'sensitivity'!$CN$9),sensitivity!$D25:'sensitivity'!$CN25)</f>
        <v>0</v>
      </c>
      <c r="W25" s="35">
        <f>SUMPRODUCT(--(W$8&lt;=sensitivity!$D$9:'sensitivity'!$CN$9),--(W$9&gt;=sensitivity!$D$9:'sensitivity'!$CN$9),sensitivity!$D25:'sensitivity'!$CN25)</f>
        <v>0</v>
      </c>
      <c r="X25" s="35">
        <f>SUMPRODUCT(--(X$8&lt;=sensitivity!$D$9:'sensitivity'!$CN$9),--(X$9&gt;=sensitivity!$D$9:'sensitivity'!$CN$9),sensitivity!$D25:'sensitivity'!$CN25)</f>
        <v>0</v>
      </c>
      <c r="Y25" s="35">
        <f>SUMPRODUCT(--(Y$8&lt;=sensitivity!$D$9:'sensitivity'!$CN$9),--(Y$9&gt;=sensitivity!$D$9:'sensitivity'!$CN$9),sensitivity!$D25:'sensitivity'!$CN25)</f>
        <v>0</v>
      </c>
      <c r="Z25" s="35">
        <f>SUMPRODUCT(--(Z$8&lt;=sensitivity!$D$9:'sensitivity'!$CN$9),--(Z$9&gt;=sensitivity!$D$9:'sensitivity'!$CN$9),sensitivity!$D25:'sensitivity'!$CN25)</f>
        <v>0</v>
      </c>
      <c r="AA25" s="35"/>
    </row>
    <row r="26" spans="1:27" ht="13" outlineLevel="4">
      <c r="A26" s="35"/>
      <c r="B26" s="63" t="s">
        <v>126</v>
      </c>
      <c r="C26" s="35" t="e">
        <f t="shared" si="9"/>
        <v>#REF!</v>
      </c>
      <c r="D26" s="60">
        <f>sensitivity!D26</f>
        <v>0</v>
      </c>
      <c r="E26" s="35" t="e">
        <f>SUMPRODUCT(--(E$8&lt;=sensitivity!$D$9:'sensitivity'!$CN$9),--(E$9&gt;=sensitivity!$D$9:'sensitivity'!$CN$9),sensitivity!$D26:'sensitivity'!$CN26)</f>
        <v>#REF!</v>
      </c>
      <c r="F26" s="35" t="e">
        <f>SUMPRODUCT(--(F$8&lt;=sensitivity!$D$9:'sensitivity'!$CN$9),--(F$9&gt;=sensitivity!$D$9:'sensitivity'!$CN$9),sensitivity!$D26:'sensitivity'!$CN26)</f>
        <v>#REF!</v>
      </c>
      <c r="G26" s="35" t="e">
        <f>SUMPRODUCT(--(G$8&lt;=sensitivity!$D$9:'sensitivity'!$CN$9),--(G$9&gt;=sensitivity!$D$9:'sensitivity'!$CN$9),sensitivity!$D26:'sensitivity'!$CN26)</f>
        <v>#REF!</v>
      </c>
      <c r="H26" s="35" t="e">
        <f>SUMPRODUCT(--(H$8&lt;=sensitivity!$D$9:'sensitivity'!$CN$9),--(H$9&gt;=sensitivity!$D$9:'sensitivity'!$CN$9),sensitivity!$D26:'sensitivity'!$CN26)</f>
        <v>#REF!</v>
      </c>
      <c r="I26" s="35" t="e">
        <f>SUMPRODUCT(--(I$8&lt;=sensitivity!$D$9:'sensitivity'!$CN$9),--(I$9&gt;=sensitivity!$D$9:'sensitivity'!$CN$9),sensitivity!$D26:'sensitivity'!$CN26)</f>
        <v>#REF!</v>
      </c>
      <c r="J26" s="35" t="e">
        <f>SUMPRODUCT(--(J$8&lt;=sensitivity!$D$9:'sensitivity'!$CN$9),--(J$9&gt;=sensitivity!$D$9:'sensitivity'!$CN$9),sensitivity!$D26:'sensitivity'!$CN26)</f>
        <v>#REF!</v>
      </c>
      <c r="K26" s="35" t="e">
        <f>SUMPRODUCT(--(K$8&lt;=sensitivity!$D$9:'sensitivity'!$CN$9),--(K$9&gt;=sensitivity!$D$9:'sensitivity'!$CN$9),sensitivity!$D26:'sensitivity'!$CN26)</f>
        <v>#REF!</v>
      </c>
      <c r="L26" s="35" t="e">
        <f>SUMPRODUCT(--(L$8&lt;=sensitivity!$D$9:'sensitivity'!$CN$9),--(L$9&gt;=sensitivity!$D$9:'sensitivity'!$CN$9),sensitivity!$D26:'sensitivity'!$CN26)</f>
        <v>#REF!</v>
      </c>
      <c r="M26" s="35" t="e">
        <f>SUMPRODUCT(--(M$8&lt;=sensitivity!$D$9:'sensitivity'!$CN$9),--(M$9&gt;=sensitivity!$D$9:'sensitivity'!$CN$9),sensitivity!$D26:'sensitivity'!$CN26)</f>
        <v>#REF!</v>
      </c>
      <c r="N26" s="35" t="e">
        <f>SUMPRODUCT(--(N$8&lt;=sensitivity!$D$9:'sensitivity'!$CN$9),--(N$9&gt;=sensitivity!$D$9:'sensitivity'!$CN$9),sensitivity!$D26:'sensitivity'!$CN26)</f>
        <v>#REF!</v>
      </c>
      <c r="O26" s="35" t="e">
        <f>SUMPRODUCT(--(O$8&lt;=sensitivity!$D$9:'sensitivity'!$CN$9),--(O$9&gt;=sensitivity!$D$9:'sensitivity'!$CN$9),sensitivity!$D26:'sensitivity'!$CN26)</f>
        <v>#REF!</v>
      </c>
      <c r="P26" s="35" t="e">
        <f>SUMPRODUCT(--(P$8&lt;=sensitivity!$D$9:'sensitivity'!$CN$9),--(P$9&gt;=sensitivity!$D$9:'sensitivity'!$CN$9),sensitivity!$D26:'sensitivity'!$CN26)</f>
        <v>#REF!</v>
      </c>
      <c r="Q26" s="35" t="e">
        <f>SUMPRODUCT(--(Q$8&lt;=sensitivity!$D$9:'sensitivity'!$CN$9),--(Q$9&gt;=sensitivity!$D$9:'sensitivity'!$CN$9),sensitivity!$D26:'sensitivity'!$CN26)</f>
        <v>#REF!</v>
      </c>
      <c r="R26" s="35" t="e">
        <f>SUMPRODUCT(--(R$8&lt;=sensitivity!$D$9:'sensitivity'!$CN$9),--(R$9&gt;=sensitivity!$D$9:'sensitivity'!$CN$9),sensitivity!$D26:'sensitivity'!$CN26)</f>
        <v>#REF!</v>
      </c>
      <c r="S26" s="35" t="e">
        <f>SUMPRODUCT(--(S$8&lt;=sensitivity!$D$9:'sensitivity'!$CN$9),--(S$9&gt;=sensitivity!$D$9:'sensitivity'!$CN$9),sensitivity!$D26:'sensitivity'!$CN26)</f>
        <v>#REF!</v>
      </c>
      <c r="T26" s="35" t="e">
        <f>SUMPRODUCT(--(T$8&lt;=sensitivity!$D$9:'sensitivity'!$CN$9),--(T$9&gt;=sensitivity!$D$9:'sensitivity'!$CN$9),sensitivity!$D26:'sensitivity'!$CN26)</f>
        <v>#REF!</v>
      </c>
      <c r="U26" s="35" t="e">
        <f>SUMPRODUCT(--(U$8&lt;=sensitivity!$D$9:'sensitivity'!$CN$9),--(U$9&gt;=sensitivity!$D$9:'sensitivity'!$CN$9),sensitivity!$D26:'sensitivity'!$CN26)</f>
        <v>#REF!</v>
      </c>
      <c r="V26" s="35" t="e">
        <f>SUMPRODUCT(--(V$8&lt;=sensitivity!$D$9:'sensitivity'!$CN$9),--(V$9&gt;=sensitivity!$D$9:'sensitivity'!$CN$9),sensitivity!$D26:'sensitivity'!$CN26)</f>
        <v>#REF!</v>
      </c>
      <c r="W26" s="35" t="e">
        <f>SUMPRODUCT(--(W$8&lt;=sensitivity!$D$9:'sensitivity'!$CN$9),--(W$9&gt;=sensitivity!$D$9:'sensitivity'!$CN$9),sensitivity!$D26:'sensitivity'!$CN26)</f>
        <v>#REF!</v>
      </c>
      <c r="X26" s="35" t="e">
        <f>SUMPRODUCT(--(X$8&lt;=sensitivity!$D$9:'sensitivity'!$CN$9),--(X$9&gt;=sensitivity!$D$9:'sensitivity'!$CN$9),sensitivity!$D26:'sensitivity'!$CN26)</f>
        <v>#REF!</v>
      </c>
      <c r="Y26" s="35" t="e">
        <f>SUMPRODUCT(--(Y$8&lt;=sensitivity!$D$9:'sensitivity'!$CN$9),--(Y$9&gt;=sensitivity!$D$9:'sensitivity'!$CN$9),sensitivity!$D26:'sensitivity'!$CN26)</f>
        <v>#REF!</v>
      </c>
      <c r="Z26" s="35" t="e">
        <f>SUMPRODUCT(--(Z$8&lt;=sensitivity!$D$9:'sensitivity'!$CN$9),--(Z$9&gt;=sensitivity!$D$9:'sensitivity'!$CN$9),sensitivity!$D26:'sensitivity'!$CN26)</f>
        <v>#REF!</v>
      </c>
      <c r="AA26" s="35"/>
    </row>
    <row r="27" spans="1:27" ht="13" outlineLevel="4">
      <c r="A27" s="35"/>
      <c r="B27" s="63" t="s">
        <v>127</v>
      </c>
      <c r="C27" s="35">
        <f t="shared" si="9"/>
        <v>0</v>
      </c>
      <c r="D27" s="60">
        <f>sensitivity!D27</f>
        <v>0</v>
      </c>
      <c r="E27" s="35">
        <f>SUMPRODUCT(--(E$8&lt;=sensitivity!$D$9:'sensitivity'!$CN$9),--(E$9&gt;=sensitivity!$D$9:'sensitivity'!$CN$9),sensitivity!$D27:'sensitivity'!$CN27)</f>
        <v>0</v>
      </c>
      <c r="F27" s="35">
        <f>SUMPRODUCT(--(F$8&lt;=sensitivity!$D$9:'sensitivity'!$CN$9),--(F$9&gt;=sensitivity!$D$9:'sensitivity'!$CN$9),sensitivity!$D27:'sensitivity'!$CN27)</f>
        <v>0</v>
      </c>
      <c r="G27" s="35">
        <f>SUMPRODUCT(--(G$8&lt;=sensitivity!$D$9:'sensitivity'!$CN$9),--(G$9&gt;=sensitivity!$D$9:'sensitivity'!$CN$9),sensitivity!$D27:'sensitivity'!$CN27)</f>
        <v>0</v>
      </c>
      <c r="H27" s="35">
        <f>SUMPRODUCT(--(H$8&lt;=sensitivity!$D$9:'sensitivity'!$CN$9),--(H$9&gt;=sensitivity!$D$9:'sensitivity'!$CN$9),sensitivity!$D27:'sensitivity'!$CN27)</f>
        <v>0</v>
      </c>
      <c r="I27" s="35">
        <f>SUMPRODUCT(--(I$8&lt;=sensitivity!$D$9:'sensitivity'!$CN$9),--(I$9&gt;=sensitivity!$D$9:'sensitivity'!$CN$9),sensitivity!$D27:'sensitivity'!$CN27)</f>
        <v>0</v>
      </c>
      <c r="J27" s="35">
        <f>SUMPRODUCT(--(J$8&lt;=sensitivity!$D$9:'sensitivity'!$CN$9),--(J$9&gt;=sensitivity!$D$9:'sensitivity'!$CN$9),sensitivity!$D27:'sensitivity'!$CN27)</f>
        <v>0</v>
      </c>
      <c r="K27" s="35">
        <f>SUMPRODUCT(--(K$8&lt;=sensitivity!$D$9:'sensitivity'!$CN$9),--(K$9&gt;=sensitivity!$D$9:'sensitivity'!$CN$9),sensitivity!$D27:'sensitivity'!$CN27)</f>
        <v>0</v>
      </c>
      <c r="L27" s="35">
        <f>SUMPRODUCT(--(L$8&lt;=sensitivity!$D$9:'sensitivity'!$CN$9),--(L$9&gt;=sensitivity!$D$9:'sensitivity'!$CN$9),sensitivity!$D27:'sensitivity'!$CN27)</f>
        <v>0</v>
      </c>
      <c r="M27" s="35">
        <f>SUMPRODUCT(--(M$8&lt;=sensitivity!$D$9:'sensitivity'!$CN$9),--(M$9&gt;=sensitivity!$D$9:'sensitivity'!$CN$9),sensitivity!$D27:'sensitivity'!$CN27)</f>
        <v>0</v>
      </c>
      <c r="N27" s="35">
        <f>SUMPRODUCT(--(N$8&lt;=sensitivity!$D$9:'sensitivity'!$CN$9),--(N$9&gt;=sensitivity!$D$9:'sensitivity'!$CN$9),sensitivity!$D27:'sensitivity'!$CN27)</f>
        <v>0</v>
      </c>
      <c r="O27" s="35">
        <f>SUMPRODUCT(--(O$8&lt;=sensitivity!$D$9:'sensitivity'!$CN$9),--(O$9&gt;=sensitivity!$D$9:'sensitivity'!$CN$9),sensitivity!$D27:'sensitivity'!$CN27)</f>
        <v>0</v>
      </c>
      <c r="P27" s="35">
        <f>SUMPRODUCT(--(P$8&lt;=sensitivity!$D$9:'sensitivity'!$CN$9),--(P$9&gt;=sensitivity!$D$9:'sensitivity'!$CN$9),sensitivity!$D27:'sensitivity'!$CN27)</f>
        <v>0</v>
      </c>
      <c r="Q27" s="35">
        <f>SUMPRODUCT(--(Q$8&lt;=sensitivity!$D$9:'sensitivity'!$CN$9),--(Q$9&gt;=sensitivity!$D$9:'sensitivity'!$CN$9),sensitivity!$D27:'sensitivity'!$CN27)</f>
        <v>0</v>
      </c>
      <c r="R27" s="35">
        <f>SUMPRODUCT(--(R$8&lt;=sensitivity!$D$9:'sensitivity'!$CN$9),--(R$9&gt;=sensitivity!$D$9:'sensitivity'!$CN$9),sensitivity!$D27:'sensitivity'!$CN27)</f>
        <v>0</v>
      </c>
      <c r="S27" s="35">
        <f>SUMPRODUCT(--(S$8&lt;=sensitivity!$D$9:'sensitivity'!$CN$9),--(S$9&gt;=sensitivity!$D$9:'sensitivity'!$CN$9),sensitivity!$D27:'sensitivity'!$CN27)</f>
        <v>0</v>
      </c>
      <c r="T27" s="35">
        <f>SUMPRODUCT(--(T$8&lt;=sensitivity!$D$9:'sensitivity'!$CN$9),--(T$9&gt;=sensitivity!$D$9:'sensitivity'!$CN$9),sensitivity!$D27:'sensitivity'!$CN27)</f>
        <v>0</v>
      </c>
      <c r="U27" s="35">
        <f>SUMPRODUCT(--(U$8&lt;=sensitivity!$D$9:'sensitivity'!$CN$9),--(U$9&gt;=sensitivity!$D$9:'sensitivity'!$CN$9),sensitivity!$D27:'sensitivity'!$CN27)</f>
        <v>0</v>
      </c>
      <c r="V27" s="35">
        <f>SUMPRODUCT(--(V$8&lt;=sensitivity!$D$9:'sensitivity'!$CN$9),--(V$9&gt;=sensitivity!$D$9:'sensitivity'!$CN$9),sensitivity!$D27:'sensitivity'!$CN27)</f>
        <v>0</v>
      </c>
      <c r="W27" s="35">
        <f>SUMPRODUCT(--(W$8&lt;=sensitivity!$D$9:'sensitivity'!$CN$9),--(W$9&gt;=sensitivity!$D$9:'sensitivity'!$CN$9),sensitivity!$D27:'sensitivity'!$CN27)</f>
        <v>0</v>
      </c>
      <c r="X27" s="35">
        <f>SUMPRODUCT(--(X$8&lt;=sensitivity!$D$9:'sensitivity'!$CN$9),--(X$9&gt;=sensitivity!$D$9:'sensitivity'!$CN$9),sensitivity!$D27:'sensitivity'!$CN27)</f>
        <v>0</v>
      </c>
      <c r="Y27" s="35">
        <f>SUMPRODUCT(--(Y$8&lt;=sensitivity!$D$9:'sensitivity'!$CN$9),--(Y$9&gt;=sensitivity!$D$9:'sensitivity'!$CN$9),sensitivity!$D27:'sensitivity'!$CN27)</f>
        <v>0</v>
      </c>
      <c r="Z27" s="35">
        <f>SUMPRODUCT(--(Z$8&lt;=sensitivity!$D$9:'sensitivity'!$CN$9),--(Z$9&gt;=sensitivity!$D$9:'sensitivity'!$CN$9),sensitivity!$D27:'sensitivity'!$CN27)</f>
        <v>0</v>
      </c>
      <c r="AA27" s="35"/>
    </row>
    <row r="28" spans="1:27" ht="13">
      <c r="A28" s="37"/>
      <c r="B28" s="70" t="s">
        <v>128</v>
      </c>
      <c r="C28" s="70" t="e">
        <f t="shared" si="9"/>
        <v>#REF!</v>
      </c>
      <c r="D28" s="71">
        <f>sensitivity!D28</f>
        <v>0</v>
      </c>
      <c r="E28" s="70" t="e">
        <f>SUMPRODUCT(--(E$8&lt;=sensitivity!$D$9:'sensitivity'!$CN$9),--(E$9&gt;=sensitivity!$D$9:'sensitivity'!$CN$9),sensitivity!$D28:'sensitivity'!$CN28)</f>
        <v>#REF!</v>
      </c>
      <c r="F28" s="70" t="e">
        <f>SUMPRODUCT(--(F$8&lt;=sensitivity!$D$9:'sensitivity'!$CN$9),--(F$9&gt;=sensitivity!$D$9:'sensitivity'!$CN$9),sensitivity!$D28:'sensitivity'!$CN28)</f>
        <v>#REF!</v>
      </c>
      <c r="G28" s="70" t="e">
        <f>SUMPRODUCT(--(G$8&lt;=sensitivity!$D$9:'sensitivity'!$CN$9),--(G$9&gt;=sensitivity!$D$9:'sensitivity'!$CN$9),sensitivity!$D28:'sensitivity'!$CN28)</f>
        <v>#REF!</v>
      </c>
      <c r="H28" s="70" t="e">
        <f>SUMPRODUCT(--(H$8&lt;=sensitivity!$D$9:'sensitivity'!$CN$9),--(H$9&gt;=sensitivity!$D$9:'sensitivity'!$CN$9),sensitivity!$D28:'sensitivity'!$CN28)</f>
        <v>#REF!</v>
      </c>
      <c r="I28" s="70" t="e">
        <f>SUMPRODUCT(--(I$8&lt;=sensitivity!$D$9:'sensitivity'!$CN$9),--(I$9&gt;=sensitivity!$D$9:'sensitivity'!$CN$9),sensitivity!$D28:'sensitivity'!$CN28)</f>
        <v>#REF!</v>
      </c>
      <c r="J28" s="70" t="e">
        <f>SUMPRODUCT(--(J$8&lt;=sensitivity!$D$9:'sensitivity'!$CN$9),--(J$9&gt;=sensitivity!$D$9:'sensitivity'!$CN$9),sensitivity!$D28:'sensitivity'!$CN28)</f>
        <v>#REF!</v>
      </c>
      <c r="K28" s="70" t="e">
        <f>SUMPRODUCT(--(K$8&lt;=sensitivity!$D$9:'sensitivity'!$CN$9),--(K$9&gt;=sensitivity!$D$9:'sensitivity'!$CN$9),sensitivity!$D28:'sensitivity'!$CN28)</f>
        <v>#REF!</v>
      </c>
      <c r="L28" s="70" t="e">
        <f>SUMPRODUCT(--(L$8&lt;=sensitivity!$D$9:'sensitivity'!$CN$9),--(L$9&gt;=sensitivity!$D$9:'sensitivity'!$CN$9),sensitivity!$D28:'sensitivity'!$CN28)</f>
        <v>#REF!</v>
      </c>
      <c r="M28" s="70" t="e">
        <f>SUMPRODUCT(--(M$8&lt;=sensitivity!$D$9:'sensitivity'!$CN$9),--(M$9&gt;=sensitivity!$D$9:'sensitivity'!$CN$9),sensitivity!$D28:'sensitivity'!$CN28)</f>
        <v>#REF!</v>
      </c>
      <c r="N28" s="70" t="e">
        <f>SUMPRODUCT(--(N$8&lt;=sensitivity!$D$9:'sensitivity'!$CN$9),--(N$9&gt;=sensitivity!$D$9:'sensitivity'!$CN$9),sensitivity!$D28:'sensitivity'!$CN28)</f>
        <v>#REF!</v>
      </c>
      <c r="O28" s="70" t="e">
        <f>SUMPRODUCT(--(O$8&lt;=sensitivity!$D$9:'sensitivity'!$CN$9),--(O$9&gt;=sensitivity!$D$9:'sensitivity'!$CN$9),sensitivity!$D28:'sensitivity'!$CN28)</f>
        <v>#REF!</v>
      </c>
      <c r="P28" s="70" t="e">
        <f>SUMPRODUCT(--(P$8&lt;=sensitivity!$D$9:'sensitivity'!$CN$9),--(P$9&gt;=sensitivity!$D$9:'sensitivity'!$CN$9),sensitivity!$D28:'sensitivity'!$CN28)</f>
        <v>#REF!</v>
      </c>
      <c r="Q28" s="70" t="e">
        <f>SUMPRODUCT(--(Q$8&lt;=sensitivity!$D$9:'sensitivity'!$CN$9),--(Q$9&gt;=sensitivity!$D$9:'sensitivity'!$CN$9),sensitivity!$D28:'sensitivity'!$CN28)</f>
        <v>#REF!</v>
      </c>
      <c r="R28" s="70" t="e">
        <f>SUMPRODUCT(--(R$8&lt;=sensitivity!$D$9:'sensitivity'!$CN$9),--(R$9&gt;=sensitivity!$D$9:'sensitivity'!$CN$9),sensitivity!$D28:'sensitivity'!$CN28)</f>
        <v>#REF!</v>
      </c>
      <c r="S28" s="70" t="e">
        <f>SUMPRODUCT(--(S$8&lt;=sensitivity!$D$9:'sensitivity'!$CN$9),--(S$9&gt;=sensitivity!$D$9:'sensitivity'!$CN$9),sensitivity!$D28:'sensitivity'!$CN28)</f>
        <v>#REF!</v>
      </c>
      <c r="T28" s="70" t="e">
        <f>SUMPRODUCT(--(T$8&lt;=sensitivity!$D$9:'sensitivity'!$CN$9),--(T$9&gt;=sensitivity!$D$9:'sensitivity'!$CN$9),sensitivity!$D28:'sensitivity'!$CN28)</f>
        <v>#REF!</v>
      </c>
      <c r="U28" s="70" t="e">
        <f>SUMPRODUCT(--(U$8&lt;=sensitivity!$D$9:'sensitivity'!$CN$9),--(U$9&gt;=sensitivity!$D$9:'sensitivity'!$CN$9),sensitivity!$D28:'sensitivity'!$CN28)</f>
        <v>#REF!</v>
      </c>
      <c r="V28" s="70" t="e">
        <f>SUMPRODUCT(--(V$8&lt;=sensitivity!$D$9:'sensitivity'!$CN$9),--(V$9&gt;=sensitivity!$D$9:'sensitivity'!$CN$9),sensitivity!$D28:'sensitivity'!$CN28)</f>
        <v>#REF!</v>
      </c>
      <c r="W28" s="70" t="e">
        <f>SUMPRODUCT(--(W$8&lt;=sensitivity!$D$9:'sensitivity'!$CN$9),--(W$9&gt;=sensitivity!$D$9:'sensitivity'!$CN$9),sensitivity!$D28:'sensitivity'!$CN28)</f>
        <v>#REF!</v>
      </c>
      <c r="X28" s="70" t="e">
        <f>SUMPRODUCT(--(X$8&lt;=sensitivity!$D$9:'sensitivity'!$CN$9),--(X$9&gt;=sensitivity!$D$9:'sensitivity'!$CN$9),sensitivity!$D28:'sensitivity'!$CN28)</f>
        <v>#REF!</v>
      </c>
      <c r="Y28" s="70" t="e">
        <f>SUMPRODUCT(--(Y$8&lt;=sensitivity!$D$9:'sensitivity'!$CN$9),--(Y$9&gt;=sensitivity!$D$9:'sensitivity'!$CN$9),sensitivity!$D28:'sensitivity'!$CN28)</f>
        <v>#REF!</v>
      </c>
      <c r="Z28" s="70" t="e">
        <f>SUMPRODUCT(--(Z$8&lt;=sensitivity!$D$9:'sensitivity'!$CN$9),--(Z$9&gt;=sensitivity!$D$9:'sensitivity'!$CN$9),sensitivity!$D28:'sensitivity'!$CN28)</f>
        <v>#REF!</v>
      </c>
      <c r="AA28" s="70"/>
    </row>
    <row r="29" spans="1:27" ht="13">
      <c r="A29" s="35"/>
      <c r="B29" s="73" t="s">
        <v>129</v>
      </c>
      <c r="C29" s="70">
        <f t="shared" si="9"/>
        <v>0</v>
      </c>
      <c r="D29" s="60">
        <f>sensitivity!D29</f>
        <v>0</v>
      </c>
      <c r="E29" s="35">
        <f>SUMPRODUCT(--(E$8&lt;=sensitivity!$D$9:'sensitivity'!$CN$9),--(E$9&gt;=sensitivity!$D$9:'sensitivity'!$CN$9),sensitivity!$D29:'sensitivity'!$CN29)</f>
        <v>0</v>
      </c>
      <c r="F29" s="35">
        <f>SUMPRODUCT(--(F$8&lt;=sensitivity!$D$9:'sensitivity'!$CN$9),--(F$9&gt;=sensitivity!$D$9:'sensitivity'!$CN$9),sensitivity!$D29:'sensitivity'!$CN29)</f>
        <v>0</v>
      </c>
      <c r="G29" s="35">
        <f>SUMPRODUCT(--(G$8&lt;=sensitivity!$D$9:'sensitivity'!$CN$9),--(G$9&gt;=sensitivity!$D$9:'sensitivity'!$CN$9),sensitivity!$D29:'sensitivity'!$CN29)</f>
        <v>0</v>
      </c>
      <c r="H29" s="35">
        <f>SUMPRODUCT(--(H$8&lt;=sensitivity!$D$9:'sensitivity'!$CN$9),--(H$9&gt;=sensitivity!$D$9:'sensitivity'!$CN$9),sensitivity!$D29:'sensitivity'!$CN29)</f>
        <v>0</v>
      </c>
      <c r="I29" s="35">
        <f>SUMPRODUCT(--(I$8&lt;=sensitivity!$D$9:'sensitivity'!$CN$9),--(I$9&gt;=sensitivity!$D$9:'sensitivity'!$CN$9),sensitivity!$D29:'sensitivity'!$CN29)</f>
        <v>0</v>
      </c>
      <c r="J29" s="35">
        <f>SUMPRODUCT(--(J$8&lt;=sensitivity!$D$9:'sensitivity'!$CN$9),--(J$9&gt;=sensitivity!$D$9:'sensitivity'!$CN$9),sensitivity!$D29:'sensitivity'!$CN29)</f>
        <v>0</v>
      </c>
      <c r="K29" s="35">
        <f>SUMPRODUCT(--(K$8&lt;=sensitivity!$D$9:'sensitivity'!$CN$9),--(K$9&gt;=sensitivity!$D$9:'sensitivity'!$CN$9),sensitivity!$D29:'sensitivity'!$CN29)</f>
        <v>0</v>
      </c>
      <c r="L29" s="35">
        <f>SUMPRODUCT(--(L$8&lt;=sensitivity!$D$9:'sensitivity'!$CN$9),--(L$9&gt;=sensitivity!$D$9:'sensitivity'!$CN$9),sensitivity!$D29:'sensitivity'!$CN29)</f>
        <v>0</v>
      </c>
      <c r="M29" s="35">
        <f>SUMPRODUCT(--(M$8&lt;=sensitivity!$D$9:'sensitivity'!$CN$9),--(M$9&gt;=sensitivity!$D$9:'sensitivity'!$CN$9),sensitivity!$D29:'sensitivity'!$CN29)</f>
        <v>0</v>
      </c>
      <c r="N29" s="35">
        <f>SUMPRODUCT(--(N$8&lt;=sensitivity!$D$9:'sensitivity'!$CN$9),--(N$9&gt;=sensitivity!$D$9:'sensitivity'!$CN$9),sensitivity!$D29:'sensitivity'!$CN29)</f>
        <v>0</v>
      </c>
      <c r="O29" s="35">
        <f>SUMPRODUCT(--(O$8&lt;=sensitivity!$D$9:'sensitivity'!$CN$9),--(O$9&gt;=sensitivity!$D$9:'sensitivity'!$CN$9),sensitivity!$D29:'sensitivity'!$CN29)</f>
        <v>0</v>
      </c>
      <c r="P29" s="35">
        <f>SUMPRODUCT(--(P$8&lt;=sensitivity!$D$9:'sensitivity'!$CN$9),--(P$9&gt;=sensitivity!$D$9:'sensitivity'!$CN$9),sensitivity!$D29:'sensitivity'!$CN29)</f>
        <v>0</v>
      </c>
      <c r="Q29" s="35">
        <f>SUMPRODUCT(--(Q$8&lt;=sensitivity!$D$9:'sensitivity'!$CN$9),--(Q$9&gt;=sensitivity!$D$9:'sensitivity'!$CN$9),sensitivity!$D29:'sensitivity'!$CN29)</f>
        <v>0</v>
      </c>
      <c r="R29" s="35">
        <f>SUMPRODUCT(--(R$8&lt;=sensitivity!$D$9:'sensitivity'!$CN$9),--(R$9&gt;=sensitivity!$D$9:'sensitivity'!$CN$9),sensitivity!$D29:'sensitivity'!$CN29)</f>
        <v>0</v>
      </c>
      <c r="S29" s="35">
        <f>SUMPRODUCT(--(S$8&lt;=sensitivity!$D$9:'sensitivity'!$CN$9),--(S$9&gt;=sensitivity!$D$9:'sensitivity'!$CN$9),sensitivity!$D29:'sensitivity'!$CN29)</f>
        <v>0</v>
      </c>
      <c r="T29" s="35">
        <f>SUMPRODUCT(--(T$8&lt;=sensitivity!$D$9:'sensitivity'!$CN$9),--(T$9&gt;=sensitivity!$D$9:'sensitivity'!$CN$9),sensitivity!$D29:'sensitivity'!$CN29)</f>
        <v>0</v>
      </c>
      <c r="U29" s="35">
        <f>SUMPRODUCT(--(U$8&lt;=sensitivity!$D$9:'sensitivity'!$CN$9),--(U$9&gt;=sensitivity!$D$9:'sensitivity'!$CN$9),sensitivity!$D29:'sensitivity'!$CN29)</f>
        <v>0</v>
      </c>
      <c r="V29" s="35">
        <f>SUMPRODUCT(--(V$8&lt;=sensitivity!$D$9:'sensitivity'!$CN$9),--(V$9&gt;=sensitivity!$D$9:'sensitivity'!$CN$9),sensitivity!$D29:'sensitivity'!$CN29)</f>
        <v>0</v>
      </c>
      <c r="W29" s="35">
        <f>SUMPRODUCT(--(W$8&lt;=sensitivity!$D$9:'sensitivity'!$CN$9),--(W$9&gt;=sensitivity!$D$9:'sensitivity'!$CN$9),sensitivity!$D29:'sensitivity'!$CN29)</f>
        <v>0</v>
      </c>
      <c r="X29" s="35">
        <f>SUMPRODUCT(--(X$8&lt;=sensitivity!$D$9:'sensitivity'!$CN$9),--(X$9&gt;=sensitivity!$D$9:'sensitivity'!$CN$9),sensitivity!$D29:'sensitivity'!$CN29)</f>
        <v>0</v>
      </c>
      <c r="Y29" s="35">
        <f>SUMPRODUCT(--(Y$8&lt;=sensitivity!$D$9:'sensitivity'!$CN$9),--(Y$9&gt;=sensitivity!$D$9:'sensitivity'!$CN$9),sensitivity!$D29:'sensitivity'!$CN29)</f>
        <v>0</v>
      </c>
      <c r="Z29" s="35">
        <f>SUMPRODUCT(--(Z$8&lt;=sensitivity!$D$9:'sensitivity'!$CN$9),--(Z$9&gt;=sensitivity!$D$9:'sensitivity'!$CN$9),sensitivity!$D29:'sensitivity'!$CN29)</f>
        <v>0</v>
      </c>
      <c r="AA29" s="35"/>
    </row>
    <row r="30" spans="1:27" ht="13" outlineLevel="2">
      <c r="A30" s="35"/>
      <c r="B30" s="63" t="s">
        <v>130</v>
      </c>
      <c r="C30" s="74" t="e">
        <f t="shared" si="9"/>
        <v>#REF!</v>
      </c>
      <c r="D30" s="60">
        <f>sensitivity!D30</f>
        <v>0</v>
      </c>
      <c r="E30" s="35" t="e">
        <f>SUMPRODUCT(--(E$8&lt;=sensitivity!$D$9:'sensitivity'!$CN$9),--(E$9&gt;=sensitivity!$D$9:'sensitivity'!$CN$9),sensitivity!$D30:'sensitivity'!$CN30)</f>
        <v>#REF!</v>
      </c>
      <c r="F30" s="35" t="e">
        <f>SUMPRODUCT(--(F$8&lt;=sensitivity!$D$9:'sensitivity'!$CN$9),--(F$9&gt;=sensitivity!$D$9:'sensitivity'!$CN$9),sensitivity!$D30:'sensitivity'!$CN30)</f>
        <v>#REF!</v>
      </c>
      <c r="G30" s="35" t="e">
        <f>SUMPRODUCT(--(G$8&lt;=sensitivity!$D$9:'sensitivity'!$CN$9),--(G$9&gt;=sensitivity!$D$9:'sensitivity'!$CN$9),sensitivity!$D30:'sensitivity'!$CN30)</f>
        <v>#REF!</v>
      </c>
      <c r="H30" s="35" t="e">
        <f>SUMPRODUCT(--(H$8&lt;=sensitivity!$D$9:'sensitivity'!$CN$9),--(H$9&gt;=sensitivity!$D$9:'sensitivity'!$CN$9),sensitivity!$D30:'sensitivity'!$CN30)</f>
        <v>#REF!</v>
      </c>
      <c r="I30" s="35" t="e">
        <f>SUMPRODUCT(--(I$8&lt;=sensitivity!$D$9:'sensitivity'!$CN$9),--(I$9&gt;=sensitivity!$D$9:'sensitivity'!$CN$9),sensitivity!$D30:'sensitivity'!$CN30)</f>
        <v>#REF!</v>
      </c>
      <c r="J30" s="35" t="e">
        <f>SUMPRODUCT(--(J$8&lt;=sensitivity!$D$9:'sensitivity'!$CN$9),--(J$9&gt;=sensitivity!$D$9:'sensitivity'!$CN$9),sensitivity!$D30:'sensitivity'!$CN30)</f>
        <v>#REF!</v>
      </c>
      <c r="K30" s="35" t="e">
        <f>SUMPRODUCT(--(K$8&lt;=sensitivity!$D$9:'sensitivity'!$CN$9),--(K$9&gt;=sensitivity!$D$9:'sensitivity'!$CN$9),sensitivity!$D30:'sensitivity'!$CN30)</f>
        <v>#REF!</v>
      </c>
      <c r="L30" s="35" t="e">
        <f>SUMPRODUCT(--(L$8&lt;=sensitivity!$D$9:'sensitivity'!$CN$9),--(L$9&gt;=sensitivity!$D$9:'sensitivity'!$CN$9),sensitivity!$D30:'sensitivity'!$CN30)</f>
        <v>#REF!</v>
      </c>
      <c r="M30" s="35" t="e">
        <f>SUMPRODUCT(--(M$8&lt;=sensitivity!$D$9:'sensitivity'!$CN$9),--(M$9&gt;=sensitivity!$D$9:'sensitivity'!$CN$9),sensitivity!$D30:'sensitivity'!$CN30)</f>
        <v>#REF!</v>
      </c>
      <c r="N30" s="35" t="e">
        <f>SUMPRODUCT(--(N$8&lt;=sensitivity!$D$9:'sensitivity'!$CN$9),--(N$9&gt;=sensitivity!$D$9:'sensitivity'!$CN$9),sensitivity!$D30:'sensitivity'!$CN30)</f>
        <v>#REF!</v>
      </c>
      <c r="O30" s="35" t="e">
        <f>SUMPRODUCT(--(O$8&lt;=sensitivity!$D$9:'sensitivity'!$CN$9),--(O$9&gt;=sensitivity!$D$9:'sensitivity'!$CN$9),sensitivity!$D30:'sensitivity'!$CN30)</f>
        <v>#REF!</v>
      </c>
      <c r="P30" s="35" t="e">
        <f>SUMPRODUCT(--(P$8&lt;=sensitivity!$D$9:'sensitivity'!$CN$9),--(P$9&gt;=sensitivity!$D$9:'sensitivity'!$CN$9),sensitivity!$D30:'sensitivity'!$CN30)</f>
        <v>#REF!</v>
      </c>
      <c r="Q30" s="35" t="e">
        <f>SUMPRODUCT(--(Q$8&lt;=sensitivity!$D$9:'sensitivity'!$CN$9),--(Q$9&gt;=sensitivity!$D$9:'sensitivity'!$CN$9),sensitivity!$D30:'sensitivity'!$CN30)</f>
        <v>#REF!</v>
      </c>
      <c r="R30" s="35" t="e">
        <f>SUMPRODUCT(--(R$8&lt;=sensitivity!$D$9:'sensitivity'!$CN$9),--(R$9&gt;=sensitivity!$D$9:'sensitivity'!$CN$9),sensitivity!$D30:'sensitivity'!$CN30)</f>
        <v>#REF!</v>
      </c>
      <c r="S30" s="35" t="e">
        <f>SUMPRODUCT(--(S$8&lt;=sensitivity!$D$9:'sensitivity'!$CN$9),--(S$9&gt;=sensitivity!$D$9:'sensitivity'!$CN$9),sensitivity!$D30:'sensitivity'!$CN30)</f>
        <v>#REF!</v>
      </c>
      <c r="T30" s="35" t="e">
        <f>SUMPRODUCT(--(T$8&lt;=sensitivity!$D$9:'sensitivity'!$CN$9),--(T$9&gt;=sensitivity!$D$9:'sensitivity'!$CN$9),sensitivity!$D30:'sensitivity'!$CN30)</f>
        <v>#REF!</v>
      </c>
      <c r="U30" s="35" t="e">
        <f>SUMPRODUCT(--(U$8&lt;=sensitivity!$D$9:'sensitivity'!$CN$9),--(U$9&gt;=sensitivity!$D$9:'sensitivity'!$CN$9),sensitivity!$D30:'sensitivity'!$CN30)</f>
        <v>#REF!</v>
      </c>
      <c r="V30" s="35" t="e">
        <f>SUMPRODUCT(--(V$8&lt;=sensitivity!$D$9:'sensitivity'!$CN$9),--(V$9&gt;=sensitivity!$D$9:'sensitivity'!$CN$9),sensitivity!$D30:'sensitivity'!$CN30)</f>
        <v>#REF!</v>
      </c>
      <c r="W30" s="35" t="e">
        <f>SUMPRODUCT(--(W$8&lt;=sensitivity!$D$9:'sensitivity'!$CN$9),--(W$9&gt;=sensitivity!$D$9:'sensitivity'!$CN$9),sensitivity!$D30:'sensitivity'!$CN30)</f>
        <v>#REF!</v>
      </c>
      <c r="X30" s="35" t="e">
        <f>SUMPRODUCT(--(X$8&lt;=sensitivity!$D$9:'sensitivity'!$CN$9),--(X$9&gt;=sensitivity!$D$9:'sensitivity'!$CN$9),sensitivity!$D30:'sensitivity'!$CN30)</f>
        <v>#REF!</v>
      </c>
      <c r="Y30" s="35" t="e">
        <f>SUMPRODUCT(--(Y$8&lt;=sensitivity!$D$9:'sensitivity'!$CN$9),--(Y$9&gt;=sensitivity!$D$9:'sensitivity'!$CN$9),sensitivity!$D30:'sensitivity'!$CN30)</f>
        <v>#REF!</v>
      </c>
      <c r="Z30" s="35" t="e">
        <f>SUMPRODUCT(--(Z$8&lt;=sensitivity!$D$9:'sensitivity'!$CN$9),--(Z$9&gt;=sensitivity!$D$9:'sensitivity'!$CN$9),sensitivity!$D30:'sensitivity'!$CN30)</f>
        <v>#REF!</v>
      </c>
      <c r="AA30" s="35"/>
    </row>
    <row r="31" spans="1:27" ht="13" outlineLevel="2">
      <c r="A31" s="35"/>
      <c r="B31" s="63" t="s">
        <v>131</v>
      </c>
      <c r="C31" s="74" t="e">
        <f t="shared" si="9"/>
        <v>#REF!</v>
      </c>
      <c r="D31" s="60">
        <f>sensitivity!D31</f>
        <v>0</v>
      </c>
      <c r="E31" s="35" t="e">
        <f>SUMPRODUCT(--(E$8&lt;=sensitivity!$D$9:'sensitivity'!$CN$9),--(E$9&gt;=sensitivity!$D$9:'sensitivity'!$CN$9),sensitivity!$D31:'sensitivity'!$CN31)</f>
        <v>#REF!</v>
      </c>
      <c r="F31" s="35" t="e">
        <f>SUMPRODUCT(--(F$8&lt;=sensitivity!$D$9:'sensitivity'!$CN$9),--(F$9&gt;=sensitivity!$D$9:'sensitivity'!$CN$9),sensitivity!$D31:'sensitivity'!$CN31)</f>
        <v>#REF!</v>
      </c>
      <c r="G31" s="35" t="e">
        <f>SUMPRODUCT(--(G$8&lt;=sensitivity!$D$9:'sensitivity'!$CN$9),--(G$9&gt;=sensitivity!$D$9:'sensitivity'!$CN$9),sensitivity!$D31:'sensitivity'!$CN31)</f>
        <v>#REF!</v>
      </c>
      <c r="H31" s="35" t="e">
        <f>SUMPRODUCT(--(H$8&lt;=sensitivity!$D$9:'sensitivity'!$CN$9),--(H$9&gt;=sensitivity!$D$9:'sensitivity'!$CN$9),sensitivity!$D31:'sensitivity'!$CN31)</f>
        <v>#REF!</v>
      </c>
      <c r="I31" s="35" t="e">
        <f>SUMPRODUCT(--(I$8&lt;=sensitivity!$D$9:'sensitivity'!$CN$9),--(I$9&gt;=sensitivity!$D$9:'sensitivity'!$CN$9),sensitivity!$D31:'sensitivity'!$CN31)</f>
        <v>#REF!</v>
      </c>
      <c r="J31" s="35" t="e">
        <f>SUMPRODUCT(--(J$8&lt;=sensitivity!$D$9:'sensitivity'!$CN$9),--(J$9&gt;=sensitivity!$D$9:'sensitivity'!$CN$9),sensitivity!$D31:'sensitivity'!$CN31)</f>
        <v>#REF!</v>
      </c>
      <c r="K31" s="35" t="e">
        <f>SUMPRODUCT(--(K$8&lt;=sensitivity!$D$9:'sensitivity'!$CN$9),--(K$9&gt;=sensitivity!$D$9:'sensitivity'!$CN$9),sensitivity!$D31:'sensitivity'!$CN31)</f>
        <v>#REF!</v>
      </c>
      <c r="L31" s="35" t="e">
        <f>SUMPRODUCT(--(L$8&lt;=sensitivity!$D$9:'sensitivity'!$CN$9),--(L$9&gt;=sensitivity!$D$9:'sensitivity'!$CN$9),sensitivity!$D31:'sensitivity'!$CN31)</f>
        <v>#REF!</v>
      </c>
      <c r="M31" s="35" t="e">
        <f>SUMPRODUCT(--(M$8&lt;=sensitivity!$D$9:'sensitivity'!$CN$9),--(M$9&gt;=sensitivity!$D$9:'sensitivity'!$CN$9),sensitivity!$D31:'sensitivity'!$CN31)</f>
        <v>#REF!</v>
      </c>
      <c r="N31" s="35" t="e">
        <f>SUMPRODUCT(--(N$8&lt;=sensitivity!$D$9:'sensitivity'!$CN$9),--(N$9&gt;=sensitivity!$D$9:'sensitivity'!$CN$9),sensitivity!$D31:'sensitivity'!$CN31)</f>
        <v>#REF!</v>
      </c>
      <c r="O31" s="35" t="e">
        <f>SUMPRODUCT(--(O$8&lt;=sensitivity!$D$9:'sensitivity'!$CN$9),--(O$9&gt;=sensitivity!$D$9:'sensitivity'!$CN$9),sensitivity!$D31:'sensitivity'!$CN31)</f>
        <v>#REF!</v>
      </c>
      <c r="P31" s="35" t="e">
        <f>SUMPRODUCT(--(P$8&lt;=sensitivity!$D$9:'sensitivity'!$CN$9),--(P$9&gt;=sensitivity!$D$9:'sensitivity'!$CN$9),sensitivity!$D31:'sensitivity'!$CN31)</f>
        <v>#REF!</v>
      </c>
      <c r="Q31" s="35" t="e">
        <f>SUMPRODUCT(--(Q$8&lt;=sensitivity!$D$9:'sensitivity'!$CN$9),--(Q$9&gt;=sensitivity!$D$9:'sensitivity'!$CN$9),sensitivity!$D31:'sensitivity'!$CN31)</f>
        <v>#REF!</v>
      </c>
      <c r="R31" s="35" t="e">
        <f>SUMPRODUCT(--(R$8&lt;=sensitivity!$D$9:'sensitivity'!$CN$9),--(R$9&gt;=sensitivity!$D$9:'sensitivity'!$CN$9),sensitivity!$D31:'sensitivity'!$CN31)</f>
        <v>#REF!</v>
      </c>
      <c r="S31" s="35" t="e">
        <f>SUMPRODUCT(--(S$8&lt;=sensitivity!$D$9:'sensitivity'!$CN$9),--(S$9&gt;=sensitivity!$D$9:'sensitivity'!$CN$9),sensitivity!$D31:'sensitivity'!$CN31)</f>
        <v>#REF!</v>
      </c>
      <c r="T31" s="35" t="e">
        <f>SUMPRODUCT(--(T$8&lt;=sensitivity!$D$9:'sensitivity'!$CN$9),--(T$9&gt;=sensitivity!$D$9:'sensitivity'!$CN$9),sensitivity!$D31:'sensitivity'!$CN31)</f>
        <v>#REF!</v>
      </c>
      <c r="U31" s="35" t="e">
        <f>SUMPRODUCT(--(U$8&lt;=sensitivity!$D$9:'sensitivity'!$CN$9),--(U$9&gt;=sensitivity!$D$9:'sensitivity'!$CN$9),sensitivity!$D31:'sensitivity'!$CN31)</f>
        <v>#REF!</v>
      </c>
      <c r="V31" s="35" t="e">
        <f>SUMPRODUCT(--(V$8&lt;=sensitivity!$D$9:'sensitivity'!$CN$9),--(V$9&gt;=sensitivity!$D$9:'sensitivity'!$CN$9),sensitivity!$D31:'sensitivity'!$CN31)</f>
        <v>#REF!</v>
      </c>
      <c r="W31" s="35" t="e">
        <f>SUMPRODUCT(--(W$8&lt;=sensitivity!$D$9:'sensitivity'!$CN$9),--(W$9&gt;=sensitivity!$D$9:'sensitivity'!$CN$9),sensitivity!$D31:'sensitivity'!$CN31)</f>
        <v>#REF!</v>
      </c>
      <c r="X31" s="35" t="e">
        <f>SUMPRODUCT(--(X$8&lt;=sensitivity!$D$9:'sensitivity'!$CN$9),--(X$9&gt;=sensitivity!$D$9:'sensitivity'!$CN$9),sensitivity!$D31:'sensitivity'!$CN31)</f>
        <v>#REF!</v>
      </c>
      <c r="Y31" s="35" t="e">
        <f>SUMPRODUCT(--(Y$8&lt;=sensitivity!$D$9:'sensitivity'!$CN$9),--(Y$9&gt;=sensitivity!$D$9:'sensitivity'!$CN$9),sensitivity!$D31:'sensitivity'!$CN31)</f>
        <v>#REF!</v>
      </c>
      <c r="Z31" s="35" t="e">
        <f>SUMPRODUCT(--(Z$8&lt;=sensitivity!$D$9:'sensitivity'!$CN$9),--(Z$9&gt;=sensitivity!$D$9:'sensitivity'!$CN$9),sensitivity!$D31:'sensitivity'!$CN31)</f>
        <v>#REF!</v>
      </c>
      <c r="AA31" s="35"/>
    </row>
    <row r="32" spans="1:27" ht="13" outlineLevel="2">
      <c r="A32" s="35"/>
      <c r="B32" s="63" t="s">
        <v>132</v>
      </c>
      <c r="C32" s="74" t="e">
        <f t="shared" si="9"/>
        <v>#REF!</v>
      </c>
      <c r="D32" s="60">
        <f>sensitivity!D32</f>
        <v>0</v>
      </c>
      <c r="E32" s="35" t="e">
        <f>SUMPRODUCT(--(E$8&lt;=sensitivity!$D$9:'sensitivity'!$CN$9),--(E$9&gt;=sensitivity!$D$9:'sensitivity'!$CN$9),sensitivity!$D32:'sensitivity'!$CN32)</f>
        <v>#REF!</v>
      </c>
      <c r="F32" s="35" t="e">
        <f>SUMPRODUCT(--(F$8&lt;=sensitivity!$D$9:'sensitivity'!$CN$9),--(F$9&gt;=sensitivity!$D$9:'sensitivity'!$CN$9),sensitivity!$D32:'sensitivity'!$CN32)</f>
        <v>#REF!</v>
      </c>
      <c r="G32" s="35" t="e">
        <f>SUMPRODUCT(--(G$8&lt;=sensitivity!$D$9:'sensitivity'!$CN$9),--(G$9&gt;=sensitivity!$D$9:'sensitivity'!$CN$9),sensitivity!$D32:'sensitivity'!$CN32)</f>
        <v>#REF!</v>
      </c>
      <c r="H32" s="35" t="e">
        <f>SUMPRODUCT(--(H$8&lt;=sensitivity!$D$9:'sensitivity'!$CN$9),--(H$9&gt;=sensitivity!$D$9:'sensitivity'!$CN$9),sensitivity!$D32:'sensitivity'!$CN32)</f>
        <v>#REF!</v>
      </c>
      <c r="I32" s="35" t="e">
        <f>SUMPRODUCT(--(I$8&lt;=sensitivity!$D$9:'sensitivity'!$CN$9),--(I$9&gt;=sensitivity!$D$9:'sensitivity'!$CN$9),sensitivity!$D32:'sensitivity'!$CN32)</f>
        <v>#REF!</v>
      </c>
      <c r="J32" s="35" t="e">
        <f>SUMPRODUCT(--(J$8&lt;=sensitivity!$D$9:'sensitivity'!$CN$9),--(J$9&gt;=sensitivity!$D$9:'sensitivity'!$CN$9),sensitivity!$D32:'sensitivity'!$CN32)</f>
        <v>#REF!</v>
      </c>
      <c r="K32" s="35" t="e">
        <f>SUMPRODUCT(--(K$8&lt;=sensitivity!$D$9:'sensitivity'!$CN$9),--(K$9&gt;=sensitivity!$D$9:'sensitivity'!$CN$9),sensitivity!$D32:'sensitivity'!$CN32)</f>
        <v>#REF!</v>
      </c>
      <c r="L32" s="35" t="e">
        <f>SUMPRODUCT(--(L$8&lt;=sensitivity!$D$9:'sensitivity'!$CN$9),--(L$9&gt;=sensitivity!$D$9:'sensitivity'!$CN$9),sensitivity!$D32:'sensitivity'!$CN32)</f>
        <v>#REF!</v>
      </c>
      <c r="M32" s="35" t="e">
        <f>SUMPRODUCT(--(M$8&lt;=sensitivity!$D$9:'sensitivity'!$CN$9),--(M$9&gt;=sensitivity!$D$9:'sensitivity'!$CN$9),sensitivity!$D32:'sensitivity'!$CN32)</f>
        <v>#REF!</v>
      </c>
      <c r="N32" s="35" t="e">
        <f>SUMPRODUCT(--(N$8&lt;=sensitivity!$D$9:'sensitivity'!$CN$9),--(N$9&gt;=sensitivity!$D$9:'sensitivity'!$CN$9),sensitivity!$D32:'sensitivity'!$CN32)</f>
        <v>#REF!</v>
      </c>
      <c r="O32" s="35" t="e">
        <f>SUMPRODUCT(--(O$8&lt;=sensitivity!$D$9:'sensitivity'!$CN$9),--(O$9&gt;=sensitivity!$D$9:'sensitivity'!$CN$9),sensitivity!$D32:'sensitivity'!$CN32)</f>
        <v>#REF!</v>
      </c>
      <c r="P32" s="35" t="e">
        <f>SUMPRODUCT(--(P$8&lt;=sensitivity!$D$9:'sensitivity'!$CN$9),--(P$9&gt;=sensitivity!$D$9:'sensitivity'!$CN$9),sensitivity!$D32:'sensitivity'!$CN32)</f>
        <v>#REF!</v>
      </c>
      <c r="Q32" s="35" t="e">
        <f>SUMPRODUCT(--(Q$8&lt;=sensitivity!$D$9:'sensitivity'!$CN$9),--(Q$9&gt;=sensitivity!$D$9:'sensitivity'!$CN$9),sensitivity!$D32:'sensitivity'!$CN32)</f>
        <v>#REF!</v>
      </c>
      <c r="R32" s="35" t="e">
        <f>SUMPRODUCT(--(R$8&lt;=sensitivity!$D$9:'sensitivity'!$CN$9),--(R$9&gt;=sensitivity!$D$9:'sensitivity'!$CN$9),sensitivity!$D32:'sensitivity'!$CN32)</f>
        <v>#REF!</v>
      </c>
      <c r="S32" s="35" t="e">
        <f>SUMPRODUCT(--(S$8&lt;=sensitivity!$D$9:'sensitivity'!$CN$9),--(S$9&gt;=sensitivity!$D$9:'sensitivity'!$CN$9),sensitivity!$D32:'sensitivity'!$CN32)</f>
        <v>#REF!</v>
      </c>
      <c r="T32" s="35" t="e">
        <f>SUMPRODUCT(--(T$8&lt;=sensitivity!$D$9:'sensitivity'!$CN$9),--(T$9&gt;=sensitivity!$D$9:'sensitivity'!$CN$9),sensitivity!$D32:'sensitivity'!$CN32)</f>
        <v>#REF!</v>
      </c>
      <c r="U32" s="35" t="e">
        <f>SUMPRODUCT(--(U$8&lt;=sensitivity!$D$9:'sensitivity'!$CN$9),--(U$9&gt;=sensitivity!$D$9:'sensitivity'!$CN$9),sensitivity!$D32:'sensitivity'!$CN32)</f>
        <v>#REF!</v>
      </c>
      <c r="V32" s="35" t="e">
        <f>SUMPRODUCT(--(V$8&lt;=sensitivity!$D$9:'sensitivity'!$CN$9),--(V$9&gt;=sensitivity!$D$9:'sensitivity'!$CN$9),sensitivity!$D32:'sensitivity'!$CN32)</f>
        <v>#REF!</v>
      </c>
      <c r="W32" s="35" t="e">
        <f>SUMPRODUCT(--(W$8&lt;=sensitivity!$D$9:'sensitivity'!$CN$9),--(W$9&gt;=sensitivity!$D$9:'sensitivity'!$CN$9),sensitivity!$D32:'sensitivity'!$CN32)</f>
        <v>#REF!</v>
      </c>
      <c r="X32" s="35" t="e">
        <f>SUMPRODUCT(--(X$8&lt;=sensitivity!$D$9:'sensitivity'!$CN$9),--(X$9&gt;=sensitivity!$D$9:'sensitivity'!$CN$9),sensitivity!$D32:'sensitivity'!$CN32)</f>
        <v>#REF!</v>
      </c>
      <c r="Y32" s="35" t="e">
        <f>SUMPRODUCT(--(Y$8&lt;=sensitivity!$D$9:'sensitivity'!$CN$9),--(Y$9&gt;=sensitivity!$D$9:'sensitivity'!$CN$9),sensitivity!$D32:'sensitivity'!$CN32)</f>
        <v>#REF!</v>
      </c>
      <c r="Z32" s="35" t="e">
        <f>SUMPRODUCT(--(Z$8&lt;=sensitivity!$D$9:'sensitivity'!$CN$9),--(Z$9&gt;=sensitivity!$D$9:'sensitivity'!$CN$9),sensitivity!$D32:'sensitivity'!$CN32)</f>
        <v>#REF!</v>
      </c>
      <c r="AA32" s="35"/>
    </row>
    <row r="33" spans="1:27" ht="13" outlineLevel="2">
      <c r="A33" s="35"/>
      <c r="B33" s="63" t="s">
        <v>133</v>
      </c>
      <c r="C33" s="74">
        <f t="shared" si="9"/>
        <v>-1138721.0574330867</v>
      </c>
      <c r="D33" s="60">
        <f>sensitivity!D33</f>
        <v>0</v>
      </c>
      <c r="E33" s="35">
        <f>SUMPRODUCT(--(E$8&lt;=sensitivity!$D$9:'sensitivity'!$CN$9),--(E$9&gt;=sensitivity!$D$9:'sensitivity'!$CN$9),sensitivity!$D33:'sensitivity'!$CN33)</f>
        <v>0</v>
      </c>
      <c r="F33" s="35">
        <f>SUMPRODUCT(--(F$8&lt;=sensitivity!$D$9:'sensitivity'!$CN$9),--(F$9&gt;=sensitivity!$D$9:'sensitivity'!$CN$9),sensitivity!$D33:'sensitivity'!$CN33)</f>
        <v>0</v>
      </c>
      <c r="G33" s="35">
        <f>SUMPRODUCT(--(G$8&lt;=sensitivity!$D$9:'sensitivity'!$CN$9),--(G$9&gt;=sensitivity!$D$9:'sensitivity'!$CN$9),sensitivity!$D33:'sensitivity'!$CN33)</f>
        <v>0</v>
      </c>
      <c r="H33" s="35">
        <f>SUMPRODUCT(--(H$8&lt;=sensitivity!$D$9:'sensitivity'!$CN$9),--(H$9&gt;=sensitivity!$D$9:'sensitivity'!$CN$9),sensitivity!$D33:'sensitivity'!$CN33)</f>
        <v>0</v>
      </c>
      <c r="I33" s="35">
        <f>SUMPRODUCT(--(I$8&lt;=sensitivity!$D$9:'sensitivity'!$CN$9),--(I$9&gt;=sensitivity!$D$9:'sensitivity'!$CN$9),sensitivity!$D33:'sensitivity'!$CN33)</f>
        <v>-28249.547289600003</v>
      </c>
      <c r="J33" s="35">
        <f>SUMPRODUCT(--(J$8&lt;=sensitivity!$D$9:'sensitivity'!$CN$9),--(J$9&gt;=sensitivity!$D$9:'sensitivity'!$CN$9),sensitivity!$D33:'sensitivity'!$CN33)</f>
        <v>-50301.006687960013</v>
      </c>
      <c r="K33" s="35">
        <f>SUMPRODUCT(--(K$8&lt;=sensitivity!$D$9:'sensitivity'!$CN$9),--(K$9&gt;=sensitivity!$D$9:'sensitivity'!$CN$9),sensitivity!$D33:'sensitivity'!$CN33)</f>
        <v>-52816.057022358</v>
      </c>
      <c r="L33" s="35">
        <f>SUMPRODUCT(--(L$8&lt;=sensitivity!$D$9:'sensitivity'!$CN$9),--(L$9&gt;=sensitivity!$D$9:'sensitivity'!$CN$9),sensitivity!$D33:'sensitivity'!$CN33)</f>
        <v>-52636.953683538006</v>
      </c>
      <c r="M33" s="35">
        <f>SUMPRODUCT(--(M$8&lt;=sensitivity!$D$9:'sensitivity'!$CN$9),--(M$9&gt;=sensitivity!$D$9:'sensitivity'!$CN$9),sensitivity!$D33:'sensitivity'!$CN33)</f>
        <v>-55994.155568394752</v>
      </c>
      <c r="N33" s="35">
        <f>SUMPRODUCT(--(N$8&lt;=sensitivity!$D$9:'sensitivity'!$CN$9),--(N$9&gt;=sensitivity!$D$9:'sensitivity'!$CN$9),sensitivity!$D33:'sensitivity'!$CN33)</f>
        <v>-56594.583758093548</v>
      </c>
      <c r="O33" s="35">
        <f>SUMPRODUCT(--(O$8&lt;=sensitivity!$D$9:'sensitivity'!$CN$9),--(O$9&gt;=sensitivity!$D$9:'sensitivity'!$CN$9),sensitivity!$D33:'sensitivity'!$CN33)</f>
        <v>-62058.181746196191</v>
      </c>
      <c r="P33" s="35">
        <f>SUMPRODUCT(--(P$8&lt;=sensitivity!$D$9:'sensitivity'!$CN$9),--(P$9&gt;=sensitivity!$D$9:'sensitivity'!$CN$9),sensitivity!$D33:'sensitivity'!$CN33)</f>
        <v>-60217.978465151034</v>
      </c>
      <c r="Q33" s="35">
        <f>SUMPRODUCT(--(Q$8&lt;=sensitivity!$D$9:'sensitivity'!$CN$9),--(Q$9&gt;=sensitivity!$D$9:'sensitivity'!$CN$9),sensitivity!$D33:'sensitivity'!$CN33)</f>
        <v>-67881.51538377635</v>
      </c>
      <c r="R33" s="35">
        <f>SUMPRODUCT(--(R$8&lt;=sensitivity!$D$9:'sensitivity'!$CN$9),--(R$9&gt;=sensitivity!$D$9:'sensitivity'!$CN$9),sensitivity!$D33:'sensitivity'!$CN33)</f>
        <v>-64198.247411032557</v>
      </c>
      <c r="S33" s="35">
        <f>SUMPRODUCT(--(S$8&lt;=sensitivity!$D$9:'sensitivity'!$CN$9),--(S$9&gt;=sensitivity!$D$9:'sensitivity'!$CN$9),sensitivity!$D33:'sensitivity'!$CN33)</f>
        <v>-63980.54618330099</v>
      </c>
      <c r="T33" s="35">
        <f>SUMPRODUCT(--(T$8&lt;=sensitivity!$D$9:'sensitivity'!$CN$9),--(T$9&gt;=sensitivity!$D$9:'sensitivity'!$CN$9),sensitivity!$D33:'sensitivity'!$CN33)</f>
        <v>-68061.246056856136</v>
      </c>
      <c r="U33" s="35">
        <f>SUMPRODUCT(--(U$8&lt;=sensitivity!$D$9:'sensitivity'!$CN$9),--(U$9&gt;=sensitivity!$D$9:'sensitivity'!$CN$9),sensitivity!$D33:'sensitivity'!$CN33)</f>
        <v>-68791.070274111204</v>
      </c>
      <c r="V33" s="35">
        <f>SUMPRODUCT(--(V$8&lt;=sensitivity!$D$9:'sensitivity'!$CN$9),--(V$9&gt;=sensitivity!$D$9:'sensitivity'!$CN$9),sensitivity!$D33:'sensitivity'!$CN33)</f>
        <v>-75432.107776137404</v>
      </c>
      <c r="W33" s="35">
        <f>SUMPRODUCT(--(W$8&lt;=sensitivity!$D$9:'sensitivity'!$CN$9),--(W$9&gt;=sensitivity!$D$9:'sensitivity'!$CN$9),sensitivity!$D33:'sensitivity'!$CN33)</f>
        <v>-73195.329186756499</v>
      </c>
      <c r="X33" s="35">
        <f>SUMPRODUCT(--(X$8&lt;=sensitivity!$D$9:'sensitivity'!$CN$9),--(X$9&gt;=sensitivity!$D$9:'sensitivity'!$CN$9),sensitivity!$D33:'sensitivity'!$CN33)</f>
        <v>-82510.406208451313</v>
      </c>
      <c r="Y33" s="35">
        <f>SUMPRODUCT(--(Y$8&lt;=sensitivity!$D$9:'sensitivity'!$CN$9),--(Y$9&gt;=sensitivity!$D$9:'sensitivity'!$CN$9),sensitivity!$D33:'sensitivity'!$CN33)</f>
        <v>-78033.370967156399</v>
      </c>
      <c r="Z33" s="35">
        <f>SUMPRODUCT(--(Z$8&lt;=sensitivity!$D$9:'sensitivity'!$CN$9),--(Z$9&gt;=sensitivity!$D$9:'sensitivity'!$CN$9),sensitivity!$D33:'sensitivity'!$CN33)</f>
        <v>-77768.753764216002</v>
      </c>
      <c r="AA33" s="35"/>
    </row>
    <row r="34" spans="1:27" ht="13" outlineLevel="2">
      <c r="A34" s="35"/>
      <c r="B34" s="63" t="s">
        <v>134</v>
      </c>
      <c r="C34" s="74" t="e">
        <f t="shared" si="9"/>
        <v>#REF!</v>
      </c>
      <c r="D34" s="60">
        <f>sensitivity!D34</f>
        <v>0</v>
      </c>
      <c r="E34" s="35" t="e">
        <f>SUMPRODUCT(--(E$8&lt;=sensitivity!$D$9:'sensitivity'!$CN$9),--(E$9&gt;=sensitivity!$D$9:'sensitivity'!$CN$9),sensitivity!$D34:'sensitivity'!$CN34)</f>
        <v>#REF!</v>
      </c>
      <c r="F34" s="35" t="e">
        <f>SUMPRODUCT(--(F$8&lt;=sensitivity!$D$9:'sensitivity'!$CN$9),--(F$9&gt;=sensitivity!$D$9:'sensitivity'!$CN$9),sensitivity!$D34:'sensitivity'!$CN34)</f>
        <v>#REF!</v>
      </c>
      <c r="G34" s="35" t="e">
        <f>SUMPRODUCT(--(G$8&lt;=sensitivity!$D$9:'sensitivity'!$CN$9),--(G$9&gt;=sensitivity!$D$9:'sensitivity'!$CN$9),sensitivity!$D34:'sensitivity'!$CN34)</f>
        <v>#REF!</v>
      </c>
      <c r="H34" s="35" t="e">
        <f>SUMPRODUCT(--(H$8&lt;=sensitivity!$D$9:'sensitivity'!$CN$9),--(H$9&gt;=sensitivity!$D$9:'sensitivity'!$CN$9),sensitivity!$D34:'sensitivity'!$CN34)</f>
        <v>#REF!</v>
      </c>
      <c r="I34" s="35" t="e">
        <f>SUMPRODUCT(--(I$8&lt;=sensitivity!$D$9:'sensitivity'!$CN$9),--(I$9&gt;=sensitivity!$D$9:'sensitivity'!$CN$9),sensitivity!$D34:'sensitivity'!$CN34)</f>
        <v>#REF!</v>
      </c>
      <c r="J34" s="35" t="e">
        <f>SUMPRODUCT(--(J$8&lt;=sensitivity!$D$9:'sensitivity'!$CN$9),--(J$9&gt;=sensitivity!$D$9:'sensitivity'!$CN$9),sensitivity!$D34:'sensitivity'!$CN34)</f>
        <v>#REF!</v>
      </c>
      <c r="K34" s="35" t="e">
        <f>SUMPRODUCT(--(K$8&lt;=sensitivity!$D$9:'sensitivity'!$CN$9),--(K$9&gt;=sensitivity!$D$9:'sensitivity'!$CN$9),sensitivity!$D34:'sensitivity'!$CN34)</f>
        <v>#REF!</v>
      </c>
      <c r="L34" s="35" t="e">
        <f>SUMPRODUCT(--(L$8&lt;=sensitivity!$D$9:'sensitivity'!$CN$9),--(L$9&gt;=sensitivity!$D$9:'sensitivity'!$CN$9),sensitivity!$D34:'sensitivity'!$CN34)</f>
        <v>#REF!</v>
      </c>
      <c r="M34" s="35" t="e">
        <f>SUMPRODUCT(--(M$8&lt;=sensitivity!$D$9:'sensitivity'!$CN$9),--(M$9&gt;=sensitivity!$D$9:'sensitivity'!$CN$9),sensitivity!$D34:'sensitivity'!$CN34)</f>
        <v>#REF!</v>
      </c>
      <c r="N34" s="35" t="e">
        <f>SUMPRODUCT(--(N$8&lt;=sensitivity!$D$9:'sensitivity'!$CN$9),--(N$9&gt;=sensitivity!$D$9:'sensitivity'!$CN$9),sensitivity!$D34:'sensitivity'!$CN34)</f>
        <v>#REF!</v>
      </c>
      <c r="O34" s="35" t="e">
        <f>SUMPRODUCT(--(O$8&lt;=sensitivity!$D$9:'sensitivity'!$CN$9),--(O$9&gt;=sensitivity!$D$9:'sensitivity'!$CN$9),sensitivity!$D34:'sensitivity'!$CN34)</f>
        <v>#REF!</v>
      </c>
      <c r="P34" s="35" t="e">
        <f>SUMPRODUCT(--(P$8&lt;=sensitivity!$D$9:'sensitivity'!$CN$9),--(P$9&gt;=sensitivity!$D$9:'sensitivity'!$CN$9),sensitivity!$D34:'sensitivity'!$CN34)</f>
        <v>#REF!</v>
      </c>
      <c r="Q34" s="35" t="e">
        <f>SUMPRODUCT(--(Q$8&lt;=sensitivity!$D$9:'sensitivity'!$CN$9),--(Q$9&gt;=sensitivity!$D$9:'sensitivity'!$CN$9),sensitivity!$D34:'sensitivity'!$CN34)</f>
        <v>#REF!</v>
      </c>
      <c r="R34" s="35" t="e">
        <f>SUMPRODUCT(--(R$8&lt;=sensitivity!$D$9:'sensitivity'!$CN$9),--(R$9&gt;=sensitivity!$D$9:'sensitivity'!$CN$9),sensitivity!$D34:'sensitivity'!$CN34)</f>
        <v>#REF!</v>
      </c>
      <c r="S34" s="35" t="e">
        <f>SUMPRODUCT(--(S$8&lt;=sensitivity!$D$9:'sensitivity'!$CN$9),--(S$9&gt;=sensitivity!$D$9:'sensitivity'!$CN$9),sensitivity!$D34:'sensitivity'!$CN34)</f>
        <v>#REF!</v>
      </c>
      <c r="T34" s="35" t="e">
        <f>SUMPRODUCT(--(T$8&lt;=sensitivity!$D$9:'sensitivity'!$CN$9),--(T$9&gt;=sensitivity!$D$9:'sensitivity'!$CN$9),sensitivity!$D34:'sensitivity'!$CN34)</f>
        <v>#REF!</v>
      </c>
      <c r="U34" s="35" t="e">
        <f>SUMPRODUCT(--(U$8&lt;=sensitivity!$D$9:'sensitivity'!$CN$9),--(U$9&gt;=sensitivity!$D$9:'sensitivity'!$CN$9),sensitivity!$D34:'sensitivity'!$CN34)</f>
        <v>#REF!</v>
      </c>
      <c r="V34" s="35" t="e">
        <f>SUMPRODUCT(--(V$8&lt;=sensitivity!$D$9:'sensitivity'!$CN$9),--(V$9&gt;=sensitivity!$D$9:'sensitivity'!$CN$9),sensitivity!$D34:'sensitivity'!$CN34)</f>
        <v>#REF!</v>
      </c>
      <c r="W34" s="35" t="e">
        <f>SUMPRODUCT(--(W$8&lt;=sensitivity!$D$9:'sensitivity'!$CN$9),--(W$9&gt;=sensitivity!$D$9:'sensitivity'!$CN$9),sensitivity!$D34:'sensitivity'!$CN34)</f>
        <v>#REF!</v>
      </c>
      <c r="X34" s="35" t="e">
        <f>SUMPRODUCT(--(X$8&lt;=sensitivity!$D$9:'sensitivity'!$CN$9),--(X$9&gt;=sensitivity!$D$9:'sensitivity'!$CN$9),sensitivity!$D34:'sensitivity'!$CN34)</f>
        <v>#REF!</v>
      </c>
      <c r="Y34" s="35" t="e">
        <f>SUMPRODUCT(--(Y$8&lt;=sensitivity!$D$9:'sensitivity'!$CN$9),--(Y$9&gt;=sensitivity!$D$9:'sensitivity'!$CN$9),sensitivity!$D34:'sensitivity'!$CN34)</f>
        <v>#REF!</v>
      </c>
      <c r="Z34" s="35" t="e">
        <f>SUMPRODUCT(--(Z$8&lt;=sensitivity!$D$9:'sensitivity'!$CN$9),--(Z$9&gt;=sensitivity!$D$9:'sensitivity'!$CN$9),sensitivity!$D34:'sensitivity'!$CN34)</f>
        <v>#REF!</v>
      </c>
      <c r="AA34" s="35"/>
    </row>
    <row r="35" spans="1:27" ht="13" outlineLevel="2">
      <c r="A35" s="35"/>
      <c r="B35" s="63" t="s">
        <v>135</v>
      </c>
      <c r="C35" s="74" t="e">
        <f t="shared" si="9"/>
        <v>#REF!</v>
      </c>
      <c r="D35" s="60">
        <f>sensitivity!D35</f>
        <v>0</v>
      </c>
      <c r="E35" s="35" t="e">
        <f>SUMPRODUCT(--(E$8&lt;=sensitivity!$D$9:'sensitivity'!$CN$9),--(E$9&gt;=sensitivity!$D$9:'sensitivity'!$CN$9),sensitivity!$D35:'sensitivity'!$CN35)</f>
        <v>#REF!</v>
      </c>
      <c r="F35" s="35" t="e">
        <f>SUMPRODUCT(--(F$8&lt;=sensitivity!$D$9:'sensitivity'!$CN$9),--(F$9&gt;=sensitivity!$D$9:'sensitivity'!$CN$9),sensitivity!$D35:'sensitivity'!$CN35)</f>
        <v>#REF!</v>
      </c>
      <c r="G35" s="35" t="e">
        <f>SUMPRODUCT(--(G$8&lt;=sensitivity!$D$9:'sensitivity'!$CN$9),--(G$9&gt;=sensitivity!$D$9:'sensitivity'!$CN$9),sensitivity!$D35:'sensitivity'!$CN35)</f>
        <v>#REF!</v>
      </c>
      <c r="H35" s="35" t="e">
        <f>SUMPRODUCT(--(H$8&lt;=sensitivity!$D$9:'sensitivity'!$CN$9),--(H$9&gt;=sensitivity!$D$9:'sensitivity'!$CN$9),sensitivity!$D35:'sensitivity'!$CN35)</f>
        <v>#REF!</v>
      </c>
      <c r="I35" s="35" t="e">
        <f>SUMPRODUCT(--(I$8&lt;=sensitivity!$D$9:'sensitivity'!$CN$9),--(I$9&gt;=sensitivity!$D$9:'sensitivity'!$CN$9),sensitivity!$D35:'sensitivity'!$CN35)</f>
        <v>#REF!</v>
      </c>
      <c r="J35" s="35" t="e">
        <f>SUMPRODUCT(--(J$8&lt;=sensitivity!$D$9:'sensitivity'!$CN$9),--(J$9&gt;=sensitivity!$D$9:'sensitivity'!$CN$9),sensitivity!$D35:'sensitivity'!$CN35)</f>
        <v>#REF!</v>
      </c>
      <c r="K35" s="35" t="e">
        <f>SUMPRODUCT(--(K$8&lt;=sensitivity!$D$9:'sensitivity'!$CN$9),--(K$9&gt;=sensitivity!$D$9:'sensitivity'!$CN$9),sensitivity!$D35:'sensitivity'!$CN35)</f>
        <v>#REF!</v>
      </c>
      <c r="L35" s="35" t="e">
        <f>SUMPRODUCT(--(L$8&lt;=sensitivity!$D$9:'sensitivity'!$CN$9),--(L$9&gt;=sensitivity!$D$9:'sensitivity'!$CN$9),sensitivity!$D35:'sensitivity'!$CN35)</f>
        <v>#REF!</v>
      </c>
      <c r="M35" s="35" t="e">
        <f>SUMPRODUCT(--(M$8&lt;=sensitivity!$D$9:'sensitivity'!$CN$9),--(M$9&gt;=sensitivity!$D$9:'sensitivity'!$CN$9),sensitivity!$D35:'sensitivity'!$CN35)</f>
        <v>#REF!</v>
      </c>
      <c r="N35" s="35" t="e">
        <f>SUMPRODUCT(--(N$8&lt;=sensitivity!$D$9:'sensitivity'!$CN$9),--(N$9&gt;=sensitivity!$D$9:'sensitivity'!$CN$9),sensitivity!$D35:'sensitivity'!$CN35)</f>
        <v>#REF!</v>
      </c>
      <c r="O35" s="35" t="e">
        <f>SUMPRODUCT(--(O$8&lt;=sensitivity!$D$9:'sensitivity'!$CN$9),--(O$9&gt;=sensitivity!$D$9:'sensitivity'!$CN$9),sensitivity!$D35:'sensitivity'!$CN35)</f>
        <v>#REF!</v>
      </c>
      <c r="P35" s="35" t="e">
        <f>SUMPRODUCT(--(P$8&lt;=sensitivity!$D$9:'sensitivity'!$CN$9),--(P$9&gt;=sensitivity!$D$9:'sensitivity'!$CN$9),sensitivity!$D35:'sensitivity'!$CN35)</f>
        <v>#REF!</v>
      </c>
      <c r="Q35" s="35" t="e">
        <f>SUMPRODUCT(--(Q$8&lt;=sensitivity!$D$9:'sensitivity'!$CN$9),--(Q$9&gt;=sensitivity!$D$9:'sensitivity'!$CN$9),sensitivity!$D35:'sensitivity'!$CN35)</f>
        <v>#REF!</v>
      </c>
      <c r="R35" s="35" t="e">
        <f>SUMPRODUCT(--(R$8&lt;=sensitivity!$D$9:'sensitivity'!$CN$9),--(R$9&gt;=sensitivity!$D$9:'sensitivity'!$CN$9),sensitivity!$D35:'sensitivity'!$CN35)</f>
        <v>#REF!</v>
      </c>
      <c r="S35" s="35" t="e">
        <f>SUMPRODUCT(--(S$8&lt;=sensitivity!$D$9:'sensitivity'!$CN$9),--(S$9&gt;=sensitivity!$D$9:'sensitivity'!$CN$9),sensitivity!$D35:'sensitivity'!$CN35)</f>
        <v>#REF!</v>
      </c>
      <c r="T35" s="35" t="e">
        <f>SUMPRODUCT(--(T$8&lt;=sensitivity!$D$9:'sensitivity'!$CN$9),--(T$9&gt;=sensitivity!$D$9:'sensitivity'!$CN$9),sensitivity!$D35:'sensitivity'!$CN35)</f>
        <v>#REF!</v>
      </c>
      <c r="U35" s="35" t="e">
        <f>SUMPRODUCT(--(U$8&lt;=sensitivity!$D$9:'sensitivity'!$CN$9),--(U$9&gt;=sensitivity!$D$9:'sensitivity'!$CN$9),sensitivity!$D35:'sensitivity'!$CN35)</f>
        <v>#REF!</v>
      </c>
      <c r="V35" s="35" t="e">
        <f>SUMPRODUCT(--(V$8&lt;=sensitivity!$D$9:'sensitivity'!$CN$9),--(V$9&gt;=sensitivity!$D$9:'sensitivity'!$CN$9),sensitivity!$D35:'sensitivity'!$CN35)</f>
        <v>#REF!</v>
      </c>
      <c r="W35" s="35" t="e">
        <f>SUMPRODUCT(--(W$8&lt;=sensitivity!$D$9:'sensitivity'!$CN$9),--(W$9&gt;=sensitivity!$D$9:'sensitivity'!$CN$9),sensitivity!$D35:'sensitivity'!$CN35)</f>
        <v>#REF!</v>
      </c>
      <c r="X35" s="35" t="e">
        <f>SUMPRODUCT(--(X$8&lt;=sensitivity!$D$9:'sensitivity'!$CN$9),--(X$9&gt;=sensitivity!$D$9:'sensitivity'!$CN$9),sensitivity!$D35:'sensitivity'!$CN35)</f>
        <v>#REF!</v>
      </c>
      <c r="Y35" s="35" t="e">
        <f>SUMPRODUCT(--(Y$8&lt;=sensitivity!$D$9:'sensitivity'!$CN$9),--(Y$9&gt;=sensitivity!$D$9:'sensitivity'!$CN$9),sensitivity!$D35:'sensitivity'!$CN35)</f>
        <v>#REF!</v>
      </c>
      <c r="Z35" s="35" t="e">
        <f>SUMPRODUCT(--(Z$8&lt;=sensitivity!$D$9:'sensitivity'!$CN$9),--(Z$9&gt;=sensitivity!$D$9:'sensitivity'!$CN$9),sensitivity!$D35:'sensitivity'!$CN35)</f>
        <v>#REF!</v>
      </c>
      <c r="AA35" s="35"/>
    </row>
    <row r="36" spans="1:27" ht="13" outlineLevel="2">
      <c r="A36" s="35"/>
      <c r="B36" s="63" t="s">
        <v>136</v>
      </c>
      <c r="C36" s="74" t="e">
        <f t="shared" si="9"/>
        <v>#REF!</v>
      </c>
      <c r="D36" s="60">
        <f>sensitivity!D36</f>
        <v>0</v>
      </c>
      <c r="E36" s="35" t="e">
        <f>SUMPRODUCT(--(E$8&lt;=sensitivity!$D$9:'sensitivity'!$CN$9),--(E$9&gt;=sensitivity!$D$9:'sensitivity'!$CN$9),sensitivity!$D36:'sensitivity'!$CN36)</f>
        <v>#REF!</v>
      </c>
      <c r="F36" s="35" t="e">
        <f>SUMPRODUCT(--(F$8&lt;=sensitivity!$D$9:'sensitivity'!$CN$9),--(F$9&gt;=sensitivity!$D$9:'sensitivity'!$CN$9),sensitivity!$D36:'sensitivity'!$CN36)</f>
        <v>#REF!</v>
      </c>
      <c r="G36" s="35" t="e">
        <f>SUMPRODUCT(--(G$8&lt;=sensitivity!$D$9:'sensitivity'!$CN$9),--(G$9&gt;=sensitivity!$D$9:'sensitivity'!$CN$9),sensitivity!$D36:'sensitivity'!$CN36)</f>
        <v>#REF!</v>
      </c>
      <c r="H36" s="35" t="e">
        <f>SUMPRODUCT(--(H$8&lt;=sensitivity!$D$9:'sensitivity'!$CN$9),--(H$9&gt;=sensitivity!$D$9:'sensitivity'!$CN$9),sensitivity!$D36:'sensitivity'!$CN36)</f>
        <v>#REF!</v>
      </c>
      <c r="I36" s="35" t="e">
        <f>SUMPRODUCT(--(I$8&lt;=sensitivity!$D$9:'sensitivity'!$CN$9),--(I$9&gt;=sensitivity!$D$9:'sensitivity'!$CN$9),sensitivity!$D36:'sensitivity'!$CN36)</f>
        <v>#REF!</v>
      </c>
      <c r="J36" s="35" t="e">
        <f>SUMPRODUCT(--(J$8&lt;=sensitivity!$D$9:'sensitivity'!$CN$9),--(J$9&gt;=sensitivity!$D$9:'sensitivity'!$CN$9),sensitivity!$D36:'sensitivity'!$CN36)</f>
        <v>#REF!</v>
      </c>
      <c r="K36" s="35" t="e">
        <f>SUMPRODUCT(--(K$8&lt;=sensitivity!$D$9:'sensitivity'!$CN$9),--(K$9&gt;=sensitivity!$D$9:'sensitivity'!$CN$9),sensitivity!$D36:'sensitivity'!$CN36)</f>
        <v>#REF!</v>
      </c>
      <c r="L36" s="35" t="e">
        <f>SUMPRODUCT(--(L$8&lt;=sensitivity!$D$9:'sensitivity'!$CN$9),--(L$9&gt;=sensitivity!$D$9:'sensitivity'!$CN$9),sensitivity!$D36:'sensitivity'!$CN36)</f>
        <v>#REF!</v>
      </c>
      <c r="M36" s="35" t="e">
        <f>SUMPRODUCT(--(M$8&lt;=sensitivity!$D$9:'sensitivity'!$CN$9),--(M$9&gt;=sensitivity!$D$9:'sensitivity'!$CN$9),sensitivity!$D36:'sensitivity'!$CN36)</f>
        <v>#REF!</v>
      </c>
      <c r="N36" s="35" t="e">
        <f>SUMPRODUCT(--(N$8&lt;=sensitivity!$D$9:'sensitivity'!$CN$9),--(N$9&gt;=sensitivity!$D$9:'sensitivity'!$CN$9),sensitivity!$D36:'sensitivity'!$CN36)</f>
        <v>#REF!</v>
      </c>
      <c r="O36" s="35" t="e">
        <f>SUMPRODUCT(--(O$8&lt;=sensitivity!$D$9:'sensitivity'!$CN$9),--(O$9&gt;=sensitivity!$D$9:'sensitivity'!$CN$9),sensitivity!$D36:'sensitivity'!$CN36)</f>
        <v>#REF!</v>
      </c>
      <c r="P36" s="35" t="e">
        <f>SUMPRODUCT(--(P$8&lt;=sensitivity!$D$9:'sensitivity'!$CN$9),--(P$9&gt;=sensitivity!$D$9:'sensitivity'!$CN$9),sensitivity!$D36:'sensitivity'!$CN36)</f>
        <v>#REF!</v>
      </c>
      <c r="Q36" s="35" t="e">
        <f>SUMPRODUCT(--(Q$8&lt;=sensitivity!$D$9:'sensitivity'!$CN$9),--(Q$9&gt;=sensitivity!$D$9:'sensitivity'!$CN$9),sensitivity!$D36:'sensitivity'!$CN36)</f>
        <v>#REF!</v>
      </c>
      <c r="R36" s="35" t="e">
        <f>SUMPRODUCT(--(R$8&lt;=sensitivity!$D$9:'sensitivity'!$CN$9),--(R$9&gt;=sensitivity!$D$9:'sensitivity'!$CN$9),sensitivity!$D36:'sensitivity'!$CN36)</f>
        <v>#REF!</v>
      </c>
      <c r="S36" s="35" t="e">
        <f>SUMPRODUCT(--(S$8&lt;=sensitivity!$D$9:'sensitivity'!$CN$9),--(S$9&gt;=sensitivity!$D$9:'sensitivity'!$CN$9),sensitivity!$D36:'sensitivity'!$CN36)</f>
        <v>#REF!</v>
      </c>
      <c r="T36" s="35" t="e">
        <f>SUMPRODUCT(--(T$8&lt;=sensitivity!$D$9:'sensitivity'!$CN$9),--(T$9&gt;=sensitivity!$D$9:'sensitivity'!$CN$9),sensitivity!$D36:'sensitivity'!$CN36)</f>
        <v>#REF!</v>
      </c>
      <c r="U36" s="35" t="e">
        <f>SUMPRODUCT(--(U$8&lt;=sensitivity!$D$9:'sensitivity'!$CN$9),--(U$9&gt;=sensitivity!$D$9:'sensitivity'!$CN$9),sensitivity!$D36:'sensitivity'!$CN36)</f>
        <v>#REF!</v>
      </c>
      <c r="V36" s="35" t="e">
        <f>SUMPRODUCT(--(V$8&lt;=sensitivity!$D$9:'sensitivity'!$CN$9),--(V$9&gt;=sensitivity!$D$9:'sensitivity'!$CN$9),sensitivity!$D36:'sensitivity'!$CN36)</f>
        <v>#REF!</v>
      </c>
      <c r="W36" s="35" t="e">
        <f>SUMPRODUCT(--(W$8&lt;=sensitivity!$D$9:'sensitivity'!$CN$9),--(W$9&gt;=sensitivity!$D$9:'sensitivity'!$CN$9),sensitivity!$D36:'sensitivity'!$CN36)</f>
        <v>#REF!</v>
      </c>
      <c r="X36" s="35" t="e">
        <f>SUMPRODUCT(--(X$8&lt;=sensitivity!$D$9:'sensitivity'!$CN$9),--(X$9&gt;=sensitivity!$D$9:'sensitivity'!$CN$9),sensitivity!$D36:'sensitivity'!$CN36)</f>
        <v>#REF!</v>
      </c>
      <c r="Y36" s="35" t="e">
        <f>SUMPRODUCT(--(Y$8&lt;=sensitivity!$D$9:'sensitivity'!$CN$9),--(Y$9&gt;=sensitivity!$D$9:'sensitivity'!$CN$9),sensitivity!$D36:'sensitivity'!$CN36)</f>
        <v>#REF!</v>
      </c>
      <c r="Z36" s="35" t="e">
        <f>SUMPRODUCT(--(Z$8&lt;=sensitivity!$D$9:'sensitivity'!$CN$9),--(Z$9&gt;=sensitivity!$D$9:'sensitivity'!$CN$9),sensitivity!$D36:'sensitivity'!$CN36)</f>
        <v>#REF!</v>
      </c>
      <c r="AA36" s="35"/>
    </row>
    <row r="37" spans="1:27" ht="13" outlineLevel="2">
      <c r="A37" s="35"/>
      <c r="B37" s="63" t="s">
        <v>137</v>
      </c>
      <c r="C37" s="74" t="e">
        <f t="shared" si="9"/>
        <v>#REF!</v>
      </c>
      <c r="D37" s="60">
        <f>sensitivity!D37</f>
        <v>0</v>
      </c>
      <c r="E37" s="35" t="e">
        <f>SUMPRODUCT(--(E$8&lt;=sensitivity!$D$9:'sensitivity'!$CN$9),--(E$9&gt;=sensitivity!$D$9:'sensitivity'!$CN$9),sensitivity!$D37:'sensitivity'!$CN37)</f>
        <v>#REF!</v>
      </c>
      <c r="F37" s="35" t="e">
        <f>SUMPRODUCT(--(F$8&lt;=sensitivity!$D$9:'sensitivity'!$CN$9),--(F$9&gt;=sensitivity!$D$9:'sensitivity'!$CN$9),sensitivity!$D37:'sensitivity'!$CN37)</f>
        <v>#REF!</v>
      </c>
      <c r="G37" s="35" t="e">
        <f>SUMPRODUCT(--(G$8&lt;=sensitivity!$D$9:'sensitivity'!$CN$9),--(G$9&gt;=sensitivity!$D$9:'sensitivity'!$CN$9),sensitivity!$D37:'sensitivity'!$CN37)</f>
        <v>#REF!</v>
      </c>
      <c r="H37" s="35" t="e">
        <f>SUMPRODUCT(--(H$8&lt;=sensitivity!$D$9:'sensitivity'!$CN$9),--(H$9&gt;=sensitivity!$D$9:'sensitivity'!$CN$9),sensitivity!$D37:'sensitivity'!$CN37)</f>
        <v>#REF!</v>
      </c>
      <c r="I37" s="35" t="e">
        <f>SUMPRODUCT(--(I$8&lt;=sensitivity!$D$9:'sensitivity'!$CN$9),--(I$9&gt;=sensitivity!$D$9:'sensitivity'!$CN$9),sensitivity!$D37:'sensitivity'!$CN37)</f>
        <v>#REF!</v>
      </c>
      <c r="J37" s="35" t="e">
        <f>SUMPRODUCT(--(J$8&lt;=sensitivity!$D$9:'sensitivity'!$CN$9),--(J$9&gt;=sensitivity!$D$9:'sensitivity'!$CN$9),sensitivity!$D37:'sensitivity'!$CN37)</f>
        <v>#REF!</v>
      </c>
      <c r="K37" s="35" t="e">
        <f>SUMPRODUCT(--(K$8&lt;=sensitivity!$D$9:'sensitivity'!$CN$9),--(K$9&gt;=sensitivity!$D$9:'sensitivity'!$CN$9),sensitivity!$D37:'sensitivity'!$CN37)</f>
        <v>#REF!</v>
      </c>
      <c r="L37" s="35" t="e">
        <f>SUMPRODUCT(--(L$8&lt;=sensitivity!$D$9:'sensitivity'!$CN$9),--(L$9&gt;=sensitivity!$D$9:'sensitivity'!$CN$9),sensitivity!$D37:'sensitivity'!$CN37)</f>
        <v>#REF!</v>
      </c>
      <c r="M37" s="35" t="e">
        <f>SUMPRODUCT(--(M$8&lt;=sensitivity!$D$9:'sensitivity'!$CN$9),--(M$9&gt;=sensitivity!$D$9:'sensitivity'!$CN$9),sensitivity!$D37:'sensitivity'!$CN37)</f>
        <v>#REF!</v>
      </c>
      <c r="N37" s="35" t="e">
        <f>SUMPRODUCT(--(N$8&lt;=sensitivity!$D$9:'sensitivity'!$CN$9),--(N$9&gt;=sensitivity!$D$9:'sensitivity'!$CN$9),sensitivity!$D37:'sensitivity'!$CN37)</f>
        <v>#REF!</v>
      </c>
      <c r="O37" s="35" t="e">
        <f>SUMPRODUCT(--(O$8&lt;=sensitivity!$D$9:'sensitivity'!$CN$9),--(O$9&gt;=sensitivity!$D$9:'sensitivity'!$CN$9),sensitivity!$D37:'sensitivity'!$CN37)</f>
        <v>#REF!</v>
      </c>
      <c r="P37" s="35" t="e">
        <f>SUMPRODUCT(--(P$8&lt;=sensitivity!$D$9:'sensitivity'!$CN$9),--(P$9&gt;=sensitivity!$D$9:'sensitivity'!$CN$9),sensitivity!$D37:'sensitivity'!$CN37)</f>
        <v>#REF!</v>
      </c>
      <c r="Q37" s="35" t="e">
        <f>SUMPRODUCT(--(Q$8&lt;=sensitivity!$D$9:'sensitivity'!$CN$9),--(Q$9&gt;=sensitivity!$D$9:'sensitivity'!$CN$9),sensitivity!$D37:'sensitivity'!$CN37)</f>
        <v>#REF!</v>
      </c>
      <c r="R37" s="35" t="e">
        <f>SUMPRODUCT(--(R$8&lt;=sensitivity!$D$9:'sensitivity'!$CN$9),--(R$9&gt;=sensitivity!$D$9:'sensitivity'!$CN$9),sensitivity!$D37:'sensitivity'!$CN37)</f>
        <v>#REF!</v>
      </c>
      <c r="S37" s="35" t="e">
        <f>SUMPRODUCT(--(S$8&lt;=sensitivity!$D$9:'sensitivity'!$CN$9),--(S$9&gt;=sensitivity!$D$9:'sensitivity'!$CN$9),sensitivity!$D37:'sensitivity'!$CN37)</f>
        <v>#REF!</v>
      </c>
      <c r="T37" s="35" t="e">
        <f>SUMPRODUCT(--(T$8&lt;=sensitivity!$D$9:'sensitivity'!$CN$9),--(T$9&gt;=sensitivity!$D$9:'sensitivity'!$CN$9),sensitivity!$D37:'sensitivity'!$CN37)</f>
        <v>#REF!</v>
      </c>
      <c r="U37" s="35" t="e">
        <f>SUMPRODUCT(--(U$8&lt;=sensitivity!$D$9:'sensitivity'!$CN$9),--(U$9&gt;=sensitivity!$D$9:'sensitivity'!$CN$9),sensitivity!$D37:'sensitivity'!$CN37)</f>
        <v>#REF!</v>
      </c>
      <c r="V37" s="35" t="e">
        <f>SUMPRODUCT(--(V$8&lt;=sensitivity!$D$9:'sensitivity'!$CN$9),--(V$9&gt;=sensitivity!$D$9:'sensitivity'!$CN$9),sensitivity!$D37:'sensitivity'!$CN37)</f>
        <v>#REF!</v>
      </c>
      <c r="W37" s="35" t="e">
        <f>SUMPRODUCT(--(W$8&lt;=sensitivity!$D$9:'sensitivity'!$CN$9),--(W$9&gt;=sensitivity!$D$9:'sensitivity'!$CN$9),sensitivity!$D37:'sensitivity'!$CN37)</f>
        <v>#REF!</v>
      </c>
      <c r="X37" s="35" t="e">
        <f>SUMPRODUCT(--(X$8&lt;=sensitivity!$D$9:'sensitivity'!$CN$9),--(X$9&gt;=sensitivity!$D$9:'sensitivity'!$CN$9),sensitivity!$D37:'sensitivity'!$CN37)</f>
        <v>#REF!</v>
      </c>
      <c r="Y37" s="35" t="e">
        <f>SUMPRODUCT(--(Y$8&lt;=sensitivity!$D$9:'sensitivity'!$CN$9),--(Y$9&gt;=sensitivity!$D$9:'sensitivity'!$CN$9),sensitivity!$D37:'sensitivity'!$CN37)</f>
        <v>#REF!</v>
      </c>
      <c r="Z37" s="35" t="e">
        <f>SUMPRODUCT(--(Z$8&lt;=sensitivity!$D$9:'sensitivity'!$CN$9),--(Z$9&gt;=sensitivity!$D$9:'sensitivity'!$CN$9),sensitivity!$D37:'sensitivity'!$CN37)</f>
        <v>#REF!</v>
      </c>
      <c r="AA37" s="35"/>
    </row>
    <row r="38" spans="1:27" ht="13" outlineLevel="2">
      <c r="A38" s="35"/>
      <c r="B38" s="63" t="s">
        <v>138</v>
      </c>
      <c r="C38" s="74" t="e">
        <f t="shared" si="9"/>
        <v>#REF!</v>
      </c>
      <c r="D38" s="60">
        <f>sensitivity!D38</f>
        <v>0</v>
      </c>
      <c r="E38" s="35" t="e">
        <f>SUMPRODUCT(--(E$8&lt;=sensitivity!$D$9:'sensitivity'!$CN$9),--(E$9&gt;=sensitivity!$D$9:'sensitivity'!$CN$9),sensitivity!$D38:'sensitivity'!$CN38)</f>
        <v>#REF!</v>
      </c>
      <c r="F38" s="35" t="e">
        <f>SUMPRODUCT(--(F$8&lt;=sensitivity!$D$9:'sensitivity'!$CN$9),--(F$9&gt;=sensitivity!$D$9:'sensitivity'!$CN$9),sensitivity!$D38:'sensitivity'!$CN38)</f>
        <v>#REF!</v>
      </c>
      <c r="G38" s="35" t="e">
        <f>SUMPRODUCT(--(G$8&lt;=sensitivity!$D$9:'sensitivity'!$CN$9),--(G$9&gt;=sensitivity!$D$9:'sensitivity'!$CN$9),sensitivity!$D38:'sensitivity'!$CN38)</f>
        <v>#REF!</v>
      </c>
      <c r="H38" s="35" t="e">
        <f>SUMPRODUCT(--(H$8&lt;=sensitivity!$D$9:'sensitivity'!$CN$9),--(H$9&gt;=sensitivity!$D$9:'sensitivity'!$CN$9),sensitivity!$D38:'sensitivity'!$CN38)</f>
        <v>#REF!</v>
      </c>
      <c r="I38" s="35" t="e">
        <f>SUMPRODUCT(--(I$8&lt;=sensitivity!$D$9:'sensitivity'!$CN$9),--(I$9&gt;=sensitivity!$D$9:'sensitivity'!$CN$9),sensitivity!$D38:'sensitivity'!$CN38)</f>
        <v>#REF!</v>
      </c>
      <c r="J38" s="35" t="e">
        <f>SUMPRODUCT(--(J$8&lt;=sensitivity!$D$9:'sensitivity'!$CN$9),--(J$9&gt;=sensitivity!$D$9:'sensitivity'!$CN$9),sensitivity!$D38:'sensitivity'!$CN38)</f>
        <v>#REF!</v>
      </c>
      <c r="K38" s="35" t="e">
        <f>SUMPRODUCT(--(K$8&lt;=sensitivity!$D$9:'sensitivity'!$CN$9),--(K$9&gt;=sensitivity!$D$9:'sensitivity'!$CN$9),sensitivity!$D38:'sensitivity'!$CN38)</f>
        <v>#REF!</v>
      </c>
      <c r="L38" s="35" t="e">
        <f>SUMPRODUCT(--(L$8&lt;=sensitivity!$D$9:'sensitivity'!$CN$9),--(L$9&gt;=sensitivity!$D$9:'sensitivity'!$CN$9),sensitivity!$D38:'sensitivity'!$CN38)</f>
        <v>#REF!</v>
      </c>
      <c r="M38" s="35" t="e">
        <f>SUMPRODUCT(--(M$8&lt;=sensitivity!$D$9:'sensitivity'!$CN$9),--(M$9&gt;=sensitivity!$D$9:'sensitivity'!$CN$9),sensitivity!$D38:'sensitivity'!$CN38)</f>
        <v>#REF!</v>
      </c>
      <c r="N38" s="35" t="e">
        <f>SUMPRODUCT(--(N$8&lt;=sensitivity!$D$9:'sensitivity'!$CN$9),--(N$9&gt;=sensitivity!$D$9:'sensitivity'!$CN$9),sensitivity!$D38:'sensitivity'!$CN38)</f>
        <v>#REF!</v>
      </c>
      <c r="O38" s="35" t="e">
        <f>SUMPRODUCT(--(O$8&lt;=sensitivity!$D$9:'sensitivity'!$CN$9),--(O$9&gt;=sensitivity!$D$9:'sensitivity'!$CN$9),sensitivity!$D38:'sensitivity'!$CN38)</f>
        <v>#REF!</v>
      </c>
      <c r="P38" s="35" t="e">
        <f>SUMPRODUCT(--(P$8&lt;=sensitivity!$D$9:'sensitivity'!$CN$9),--(P$9&gt;=sensitivity!$D$9:'sensitivity'!$CN$9),sensitivity!$D38:'sensitivity'!$CN38)</f>
        <v>#REF!</v>
      </c>
      <c r="Q38" s="35" t="e">
        <f>SUMPRODUCT(--(Q$8&lt;=sensitivity!$D$9:'sensitivity'!$CN$9),--(Q$9&gt;=sensitivity!$D$9:'sensitivity'!$CN$9),sensitivity!$D38:'sensitivity'!$CN38)</f>
        <v>#REF!</v>
      </c>
      <c r="R38" s="35" t="e">
        <f>SUMPRODUCT(--(R$8&lt;=sensitivity!$D$9:'sensitivity'!$CN$9),--(R$9&gt;=sensitivity!$D$9:'sensitivity'!$CN$9),sensitivity!$D38:'sensitivity'!$CN38)</f>
        <v>#REF!</v>
      </c>
      <c r="S38" s="35" t="e">
        <f>SUMPRODUCT(--(S$8&lt;=sensitivity!$D$9:'sensitivity'!$CN$9),--(S$9&gt;=sensitivity!$D$9:'sensitivity'!$CN$9),sensitivity!$D38:'sensitivity'!$CN38)</f>
        <v>#REF!</v>
      </c>
      <c r="T38" s="35" t="e">
        <f>SUMPRODUCT(--(T$8&lt;=sensitivity!$D$9:'sensitivity'!$CN$9),--(T$9&gt;=sensitivity!$D$9:'sensitivity'!$CN$9),sensitivity!$D38:'sensitivity'!$CN38)</f>
        <v>#REF!</v>
      </c>
      <c r="U38" s="35" t="e">
        <f>SUMPRODUCT(--(U$8&lt;=sensitivity!$D$9:'sensitivity'!$CN$9),--(U$9&gt;=sensitivity!$D$9:'sensitivity'!$CN$9),sensitivity!$D38:'sensitivity'!$CN38)</f>
        <v>#REF!</v>
      </c>
      <c r="V38" s="35" t="e">
        <f>SUMPRODUCT(--(V$8&lt;=sensitivity!$D$9:'sensitivity'!$CN$9),--(V$9&gt;=sensitivity!$D$9:'sensitivity'!$CN$9),sensitivity!$D38:'sensitivity'!$CN38)</f>
        <v>#REF!</v>
      </c>
      <c r="W38" s="35" t="e">
        <f>SUMPRODUCT(--(W$8&lt;=sensitivity!$D$9:'sensitivity'!$CN$9),--(W$9&gt;=sensitivity!$D$9:'sensitivity'!$CN$9),sensitivity!$D38:'sensitivity'!$CN38)</f>
        <v>#REF!</v>
      </c>
      <c r="X38" s="35" t="e">
        <f>SUMPRODUCT(--(X$8&lt;=sensitivity!$D$9:'sensitivity'!$CN$9),--(X$9&gt;=sensitivity!$D$9:'sensitivity'!$CN$9),sensitivity!$D38:'sensitivity'!$CN38)</f>
        <v>#REF!</v>
      </c>
      <c r="Y38" s="35" t="e">
        <f>SUMPRODUCT(--(Y$8&lt;=sensitivity!$D$9:'sensitivity'!$CN$9),--(Y$9&gt;=sensitivity!$D$9:'sensitivity'!$CN$9),sensitivity!$D38:'sensitivity'!$CN38)</f>
        <v>#REF!</v>
      </c>
      <c r="Z38" s="35" t="e">
        <f>SUMPRODUCT(--(Z$8&lt;=sensitivity!$D$9:'sensitivity'!$CN$9),--(Z$9&gt;=sensitivity!$D$9:'sensitivity'!$CN$9),sensitivity!$D38:'sensitivity'!$CN38)</f>
        <v>#REF!</v>
      </c>
      <c r="AA38" s="35"/>
    </row>
    <row r="39" spans="1:27" ht="13" outlineLevel="2">
      <c r="A39" s="35"/>
      <c r="B39" s="63" t="s">
        <v>139</v>
      </c>
      <c r="C39" s="74" t="e">
        <f t="shared" si="9"/>
        <v>#REF!</v>
      </c>
      <c r="D39" s="60">
        <f>sensitivity!D39</f>
        <v>0</v>
      </c>
      <c r="E39" s="35" t="e">
        <f>SUMPRODUCT(--(E$8&lt;=sensitivity!$D$9:'sensitivity'!$CN$9),--(E$9&gt;=sensitivity!$D$9:'sensitivity'!$CN$9),sensitivity!$D39:'sensitivity'!$CN39)</f>
        <v>#REF!</v>
      </c>
      <c r="F39" s="35" t="e">
        <f>SUMPRODUCT(--(F$8&lt;=sensitivity!$D$9:'sensitivity'!$CN$9),--(F$9&gt;=sensitivity!$D$9:'sensitivity'!$CN$9),sensitivity!$D39:'sensitivity'!$CN39)</f>
        <v>#REF!</v>
      </c>
      <c r="G39" s="35" t="e">
        <f>SUMPRODUCT(--(G$8&lt;=sensitivity!$D$9:'sensitivity'!$CN$9),--(G$9&gt;=sensitivity!$D$9:'sensitivity'!$CN$9),sensitivity!$D39:'sensitivity'!$CN39)</f>
        <v>#REF!</v>
      </c>
      <c r="H39" s="35" t="e">
        <f>SUMPRODUCT(--(H$8&lt;=sensitivity!$D$9:'sensitivity'!$CN$9),--(H$9&gt;=sensitivity!$D$9:'sensitivity'!$CN$9),sensitivity!$D39:'sensitivity'!$CN39)</f>
        <v>#REF!</v>
      </c>
      <c r="I39" s="35" t="e">
        <f>SUMPRODUCT(--(I$8&lt;=sensitivity!$D$9:'sensitivity'!$CN$9),--(I$9&gt;=sensitivity!$D$9:'sensitivity'!$CN$9),sensitivity!$D39:'sensitivity'!$CN39)</f>
        <v>#REF!</v>
      </c>
      <c r="J39" s="35" t="e">
        <f>SUMPRODUCT(--(J$8&lt;=sensitivity!$D$9:'sensitivity'!$CN$9),--(J$9&gt;=sensitivity!$D$9:'sensitivity'!$CN$9),sensitivity!$D39:'sensitivity'!$CN39)</f>
        <v>#REF!</v>
      </c>
      <c r="K39" s="35" t="e">
        <f>SUMPRODUCT(--(K$8&lt;=sensitivity!$D$9:'sensitivity'!$CN$9),--(K$9&gt;=sensitivity!$D$9:'sensitivity'!$CN$9),sensitivity!$D39:'sensitivity'!$CN39)</f>
        <v>#REF!</v>
      </c>
      <c r="L39" s="35" t="e">
        <f>SUMPRODUCT(--(L$8&lt;=sensitivity!$D$9:'sensitivity'!$CN$9),--(L$9&gt;=sensitivity!$D$9:'sensitivity'!$CN$9),sensitivity!$D39:'sensitivity'!$CN39)</f>
        <v>#REF!</v>
      </c>
      <c r="M39" s="35" t="e">
        <f>SUMPRODUCT(--(M$8&lt;=sensitivity!$D$9:'sensitivity'!$CN$9),--(M$9&gt;=sensitivity!$D$9:'sensitivity'!$CN$9),sensitivity!$D39:'sensitivity'!$CN39)</f>
        <v>#REF!</v>
      </c>
      <c r="N39" s="35" t="e">
        <f>SUMPRODUCT(--(N$8&lt;=sensitivity!$D$9:'sensitivity'!$CN$9),--(N$9&gt;=sensitivity!$D$9:'sensitivity'!$CN$9),sensitivity!$D39:'sensitivity'!$CN39)</f>
        <v>#REF!</v>
      </c>
      <c r="O39" s="35" t="e">
        <f>SUMPRODUCT(--(O$8&lt;=sensitivity!$D$9:'sensitivity'!$CN$9),--(O$9&gt;=sensitivity!$D$9:'sensitivity'!$CN$9),sensitivity!$D39:'sensitivity'!$CN39)</f>
        <v>#REF!</v>
      </c>
      <c r="P39" s="35" t="e">
        <f>SUMPRODUCT(--(P$8&lt;=sensitivity!$D$9:'sensitivity'!$CN$9),--(P$9&gt;=sensitivity!$D$9:'sensitivity'!$CN$9),sensitivity!$D39:'sensitivity'!$CN39)</f>
        <v>#REF!</v>
      </c>
      <c r="Q39" s="35" t="e">
        <f>SUMPRODUCT(--(Q$8&lt;=sensitivity!$D$9:'sensitivity'!$CN$9),--(Q$9&gt;=sensitivity!$D$9:'sensitivity'!$CN$9),sensitivity!$D39:'sensitivity'!$CN39)</f>
        <v>#REF!</v>
      </c>
      <c r="R39" s="35" t="e">
        <f>SUMPRODUCT(--(R$8&lt;=sensitivity!$D$9:'sensitivity'!$CN$9),--(R$9&gt;=sensitivity!$D$9:'sensitivity'!$CN$9),sensitivity!$D39:'sensitivity'!$CN39)</f>
        <v>#REF!</v>
      </c>
      <c r="S39" s="35" t="e">
        <f>SUMPRODUCT(--(S$8&lt;=sensitivity!$D$9:'sensitivity'!$CN$9),--(S$9&gt;=sensitivity!$D$9:'sensitivity'!$CN$9),sensitivity!$D39:'sensitivity'!$CN39)</f>
        <v>#REF!</v>
      </c>
      <c r="T39" s="35" t="e">
        <f>SUMPRODUCT(--(T$8&lt;=sensitivity!$D$9:'sensitivity'!$CN$9),--(T$9&gt;=sensitivity!$D$9:'sensitivity'!$CN$9),sensitivity!$D39:'sensitivity'!$CN39)</f>
        <v>#REF!</v>
      </c>
      <c r="U39" s="35" t="e">
        <f>SUMPRODUCT(--(U$8&lt;=sensitivity!$D$9:'sensitivity'!$CN$9),--(U$9&gt;=sensitivity!$D$9:'sensitivity'!$CN$9),sensitivity!$D39:'sensitivity'!$CN39)</f>
        <v>#REF!</v>
      </c>
      <c r="V39" s="35" t="e">
        <f>SUMPRODUCT(--(V$8&lt;=sensitivity!$D$9:'sensitivity'!$CN$9),--(V$9&gt;=sensitivity!$D$9:'sensitivity'!$CN$9),sensitivity!$D39:'sensitivity'!$CN39)</f>
        <v>#REF!</v>
      </c>
      <c r="W39" s="35" t="e">
        <f>SUMPRODUCT(--(W$8&lt;=sensitivity!$D$9:'sensitivity'!$CN$9),--(W$9&gt;=sensitivity!$D$9:'sensitivity'!$CN$9),sensitivity!$D39:'sensitivity'!$CN39)</f>
        <v>#REF!</v>
      </c>
      <c r="X39" s="35" t="e">
        <f>SUMPRODUCT(--(X$8&lt;=sensitivity!$D$9:'sensitivity'!$CN$9),--(X$9&gt;=sensitivity!$D$9:'sensitivity'!$CN$9),sensitivity!$D39:'sensitivity'!$CN39)</f>
        <v>#REF!</v>
      </c>
      <c r="Y39" s="35" t="e">
        <f>SUMPRODUCT(--(Y$8&lt;=sensitivity!$D$9:'sensitivity'!$CN$9),--(Y$9&gt;=sensitivity!$D$9:'sensitivity'!$CN$9),sensitivity!$D39:'sensitivity'!$CN39)</f>
        <v>#REF!</v>
      </c>
      <c r="Z39" s="35" t="e">
        <f>SUMPRODUCT(--(Z$8&lt;=sensitivity!$D$9:'sensitivity'!$CN$9),--(Z$9&gt;=sensitivity!$D$9:'sensitivity'!$CN$9),sensitivity!$D39:'sensitivity'!$CN39)</f>
        <v>#REF!</v>
      </c>
      <c r="AA39" s="35"/>
    </row>
    <row r="40" spans="1:27" ht="13" outlineLevel="2">
      <c r="A40" s="35"/>
      <c r="B40" s="63" t="s">
        <v>140</v>
      </c>
      <c r="C40" s="74" t="e">
        <f t="shared" si="9"/>
        <v>#REF!</v>
      </c>
      <c r="D40" s="60">
        <f>sensitivity!D40</f>
        <v>0</v>
      </c>
      <c r="E40" s="35" t="e">
        <f>SUMPRODUCT(--(E$8&lt;=sensitivity!$D$9:'sensitivity'!$CN$9),--(E$9&gt;=sensitivity!$D$9:'sensitivity'!$CN$9),sensitivity!$D40:'sensitivity'!$CN40)</f>
        <v>#REF!</v>
      </c>
      <c r="F40" s="35" t="e">
        <f>SUMPRODUCT(--(F$8&lt;=sensitivity!$D$9:'sensitivity'!$CN$9),--(F$9&gt;=sensitivity!$D$9:'sensitivity'!$CN$9),sensitivity!$D40:'sensitivity'!$CN40)</f>
        <v>#REF!</v>
      </c>
      <c r="G40" s="35" t="e">
        <f>SUMPRODUCT(--(G$8&lt;=sensitivity!$D$9:'sensitivity'!$CN$9),--(G$9&gt;=sensitivity!$D$9:'sensitivity'!$CN$9),sensitivity!$D40:'sensitivity'!$CN40)</f>
        <v>#REF!</v>
      </c>
      <c r="H40" s="35" t="e">
        <f>SUMPRODUCT(--(H$8&lt;=sensitivity!$D$9:'sensitivity'!$CN$9),--(H$9&gt;=sensitivity!$D$9:'sensitivity'!$CN$9),sensitivity!$D40:'sensitivity'!$CN40)</f>
        <v>#REF!</v>
      </c>
      <c r="I40" s="35" t="e">
        <f>SUMPRODUCT(--(I$8&lt;=sensitivity!$D$9:'sensitivity'!$CN$9),--(I$9&gt;=sensitivity!$D$9:'sensitivity'!$CN$9),sensitivity!$D40:'sensitivity'!$CN40)</f>
        <v>#REF!</v>
      </c>
      <c r="J40" s="35" t="e">
        <f>SUMPRODUCT(--(J$8&lt;=sensitivity!$D$9:'sensitivity'!$CN$9),--(J$9&gt;=sensitivity!$D$9:'sensitivity'!$CN$9),sensitivity!$D40:'sensitivity'!$CN40)</f>
        <v>#REF!</v>
      </c>
      <c r="K40" s="35" t="e">
        <f>SUMPRODUCT(--(K$8&lt;=sensitivity!$D$9:'sensitivity'!$CN$9),--(K$9&gt;=sensitivity!$D$9:'sensitivity'!$CN$9),sensitivity!$D40:'sensitivity'!$CN40)</f>
        <v>#REF!</v>
      </c>
      <c r="L40" s="35" t="e">
        <f>SUMPRODUCT(--(L$8&lt;=sensitivity!$D$9:'sensitivity'!$CN$9),--(L$9&gt;=sensitivity!$D$9:'sensitivity'!$CN$9),sensitivity!$D40:'sensitivity'!$CN40)</f>
        <v>#REF!</v>
      </c>
      <c r="M40" s="35" t="e">
        <f>SUMPRODUCT(--(M$8&lt;=sensitivity!$D$9:'sensitivity'!$CN$9),--(M$9&gt;=sensitivity!$D$9:'sensitivity'!$CN$9),sensitivity!$D40:'sensitivity'!$CN40)</f>
        <v>#REF!</v>
      </c>
      <c r="N40" s="35" t="e">
        <f>SUMPRODUCT(--(N$8&lt;=sensitivity!$D$9:'sensitivity'!$CN$9),--(N$9&gt;=sensitivity!$D$9:'sensitivity'!$CN$9),sensitivity!$D40:'sensitivity'!$CN40)</f>
        <v>#REF!</v>
      </c>
      <c r="O40" s="35" t="e">
        <f>SUMPRODUCT(--(O$8&lt;=sensitivity!$D$9:'sensitivity'!$CN$9),--(O$9&gt;=sensitivity!$D$9:'sensitivity'!$CN$9),sensitivity!$D40:'sensitivity'!$CN40)</f>
        <v>#REF!</v>
      </c>
      <c r="P40" s="35" t="e">
        <f>SUMPRODUCT(--(P$8&lt;=sensitivity!$D$9:'sensitivity'!$CN$9),--(P$9&gt;=sensitivity!$D$9:'sensitivity'!$CN$9),sensitivity!$D40:'sensitivity'!$CN40)</f>
        <v>#REF!</v>
      </c>
      <c r="Q40" s="35" t="e">
        <f>SUMPRODUCT(--(Q$8&lt;=sensitivity!$D$9:'sensitivity'!$CN$9),--(Q$9&gt;=sensitivity!$D$9:'sensitivity'!$CN$9),sensitivity!$D40:'sensitivity'!$CN40)</f>
        <v>#REF!</v>
      </c>
      <c r="R40" s="35" t="e">
        <f>SUMPRODUCT(--(R$8&lt;=sensitivity!$D$9:'sensitivity'!$CN$9),--(R$9&gt;=sensitivity!$D$9:'sensitivity'!$CN$9),sensitivity!$D40:'sensitivity'!$CN40)</f>
        <v>#REF!</v>
      </c>
      <c r="S40" s="35" t="e">
        <f>SUMPRODUCT(--(S$8&lt;=sensitivity!$D$9:'sensitivity'!$CN$9),--(S$9&gt;=sensitivity!$D$9:'sensitivity'!$CN$9),sensitivity!$D40:'sensitivity'!$CN40)</f>
        <v>#REF!</v>
      </c>
      <c r="T40" s="35" t="e">
        <f>SUMPRODUCT(--(T$8&lt;=sensitivity!$D$9:'sensitivity'!$CN$9),--(T$9&gt;=sensitivity!$D$9:'sensitivity'!$CN$9),sensitivity!$D40:'sensitivity'!$CN40)</f>
        <v>#REF!</v>
      </c>
      <c r="U40" s="35" t="e">
        <f>SUMPRODUCT(--(U$8&lt;=sensitivity!$D$9:'sensitivity'!$CN$9),--(U$9&gt;=sensitivity!$D$9:'sensitivity'!$CN$9),sensitivity!$D40:'sensitivity'!$CN40)</f>
        <v>#REF!</v>
      </c>
      <c r="V40" s="35" t="e">
        <f>SUMPRODUCT(--(V$8&lt;=sensitivity!$D$9:'sensitivity'!$CN$9),--(V$9&gt;=sensitivity!$D$9:'sensitivity'!$CN$9),sensitivity!$D40:'sensitivity'!$CN40)</f>
        <v>#REF!</v>
      </c>
      <c r="W40" s="35" t="e">
        <f>SUMPRODUCT(--(W$8&lt;=sensitivity!$D$9:'sensitivity'!$CN$9),--(W$9&gt;=sensitivity!$D$9:'sensitivity'!$CN$9),sensitivity!$D40:'sensitivity'!$CN40)</f>
        <v>#REF!</v>
      </c>
      <c r="X40" s="35" t="e">
        <f>SUMPRODUCT(--(X$8&lt;=sensitivity!$D$9:'sensitivity'!$CN$9),--(X$9&gt;=sensitivity!$D$9:'sensitivity'!$CN$9),sensitivity!$D40:'sensitivity'!$CN40)</f>
        <v>#REF!</v>
      </c>
      <c r="Y40" s="35" t="e">
        <f>SUMPRODUCT(--(Y$8&lt;=sensitivity!$D$9:'sensitivity'!$CN$9),--(Y$9&gt;=sensitivity!$D$9:'sensitivity'!$CN$9),sensitivity!$D40:'sensitivity'!$CN40)</f>
        <v>#REF!</v>
      </c>
      <c r="Z40" s="35" t="e">
        <f>SUMPRODUCT(--(Z$8&lt;=sensitivity!$D$9:'sensitivity'!$CN$9),--(Z$9&gt;=sensitivity!$D$9:'sensitivity'!$CN$9),sensitivity!$D40:'sensitivity'!$CN40)</f>
        <v>#REF!</v>
      </c>
      <c r="AA40" s="35"/>
    </row>
    <row r="41" spans="1:27" ht="13" outlineLevel="2">
      <c r="A41" s="35"/>
      <c r="B41" s="63" t="s">
        <v>141</v>
      </c>
      <c r="C41" s="74" t="e">
        <f t="shared" si="9"/>
        <v>#REF!</v>
      </c>
      <c r="D41" s="60">
        <f>sensitivity!D41</f>
        <v>0</v>
      </c>
      <c r="E41" s="35" t="e">
        <f>SUMPRODUCT(--(E$8&lt;=sensitivity!$D$9:'sensitivity'!$CN$9),--(E$9&gt;=sensitivity!$D$9:'sensitivity'!$CN$9),sensitivity!$D41:'sensitivity'!$CN41)</f>
        <v>#REF!</v>
      </c>
      <c r="F41" s="35" t="e">
        <f>SUMPRODUCT(--(F$8&lt;=sensitivity!$D$9:'sensitivity'!$CN$9),--(F$9&gt;=sensitivity!$D$9:'sensitivity'!$CN$9),sensitivity!$D41:'sensitivity'!$CN41)</f>
        <v>#REF!</v>
      </c>
      <c r="G41" s="35" t="e">
        <f>SUMPRODUCT(--(G$8&lt;=sensitivity!$D$9:'sensitivity'!$CN$9),--(G$9&gt;=sensitivity!$D$9:'sensitivity'!$CN$9),sensitivity!$D41:'sensitivity'!$CN41)</f>
        <v>#REF!</v>
      </c>
      <c r="H41" s="35" t="e">
        <f>SUMPRODUCT(--(H$8&lt;=sensitivity!$D$9:'sensitivity'!$CN$9),--(H$9&gt;=sensitivity!$D$9:'sensitivity'!$CN$9),sensitivity!$D41:'sensitivity'!$CN41)</f>
        <v>#REF!</v>
      </c>
      <c r="I41" s="35" t="e">
        <f>SUMPRODUCT(--(I$8&lt;=sensitivity!$D$9:'sensitivity'!$CN$9),--(I$9&gt;=sensitivity!$D$9:'sensitivity'!$CN$9),sensitivity!$D41:'sensitivity'!$CN41)</f>
        <v>#REF!</v>
      </c>
      <c r="J41" s="35" t="e">
        <f>SUMPRODUCT(--(J$8&lt;=sensitivity!$D$9:'sensitivity'!$CN$9),--(J$9&gt;=sensitivity!$D$9:'sensitivity'!$CN$9),sensitivity!$D41:'sensitivity'!$CN41)</f>
        <v>#REF!</v>
      </c>
      <c r="K41" s="35" t="e">
        <f>SUMPRODUCT(--(K$8&lt;=sensitivity!$D$9:'sensitivity'!$CN$9),--(K$9&gt;=sensitivity!$D$9:'sensitivity'!$CN$9),sensitivity!$D41:'sensitivity'!$CN41)</f>
        <v>#REF!</v>
      </c>
      <c r="L41" s="35" t="e">
        <f>SUMPRODUCT(--(L$8&lt;=sensitivity!$D$9:'sensitivity'!$CN$9),--(L$9&gt;=sensitivity!$D$9:'sensitivity'!$CN$9),sensitivity!$D41:'sensitivity'!$CN41)</f>
        <v>#REF!</v>
      </c>
      <c r="M41" s="35" t="e">
        <f>SUMPRODUCT(--(M$8&lt;=sensitivity!$D$9:'sensitivity'!$CN$9),--(M$9&gt;=sensitivity!$D$9:'sensitivity'!$CN$9),sensitivity!$D41:'sensitivity'!$CN41)</f>
        <v>#REF!</v>
      </c>
      <c r="N41" s="35" t="e">
        <f>SUMPRODUCT(--(N$8&lt;=sensitivity!$D$9:'sensitivity'!$CN$9),--(N$9&gt;=sensitivity!$D$9:'sensitivity'!$CN$9),sensitivity!$D41:'sensitivity'!$CN41)</f>
        <v>#REF!</v>
      </c>
      <c r="O41" s="35" t="e">
        <f>SUMPRODUCT(--(O$8&lt;=sensitivity!$D$9:'sensitivity'!$CN$9),--(O$9&gt;=sensitivity!$D$9:'sensitivity'!$CN$9),sensitivity!$D41:'sensitivity'!$CN41)</f>
        <v>#REF!</v>
      </c>
      <c r="P41" s="35" t="e">
        <f>SUMPRODUCT(--(P$8&lt;=sensitivity!$D$9:'sensitivity'!$CN$9),--(P$9&gt;=sensitivity!$D$9:'sensitivity'!$CN$9),sensitivity!$D41:'sensitivity'!$CN41)</f>
        <v>#REF!</v>
      </c>
      <c r="Q41" s="35" t="e">
        <f>SUMPRODUCT(--(Q$8&lt;=sensitivity!$D$9:'sensitivity'!$CN$9),--(Q$9&gt;=sensitivity!$D$9:'sensitivity'!$CN$9),sensitivity!$D41:'sensitivity'!$CN41)</f>
        <v>#REF!</v>
      </c>
      <c r="R41" s="35" t="e">
        <f>SUMPRODUCT(--(R$8&lt;=sensitivity!$D$9:'sensitivity'!$CN$9),--(R$9&gt;=sensitivity!$D$9:'sensitivity'!$CN$9),sensitivity!$D41:'sensitivity'!$CN41)</f>
        <v>#REF!</v>
      </c>
      <c r="S41" s="35" t="e">
        <f>SUMPRODUCT(--(S$8&lt;=sensitivity!$D$9:'sensitivity'!$CN$9),--(S$9&gt;=sensitivity!$D$9:'sensitivity'!$CN$9),sensitivity!$D41:'sensitivity'!$CN41)</f>
        <v>#REF!</v>
      </c>
      <c r="T41" s="35" t="e">
        <f>SUMPRODUCT(--(T$8&lt;=sensitivity!$D$9:'sensitivity'!$CN$9),--(T$9&gt;=sensitivity!$D$9:'sensitivity'!$CN$9),sensitivity!$D41:'sensitivity'!$CN41)</f>
        <v>#REF!</v>
      </c>
      <c r="U41" s="35" t="e">
        <f>SUMPRODUCT(--(U$8&lt;=sensitivity!$D$9:'sensitivity'!$CN$9),--(U$9&gt;=sensitivity!$D$9:'sensitivity'!$CN$9),sensitivity!$D41:'sensitivity'!$CN41)</f>
        <v>#REF!</v>
      </c>
      <c r="V41" s="35" t="e">
        <f>SUMPRODUCT(--(V$8&lt;=sensitivity!$D$9:'sensitivity'!$CN$9),--(V$9&gt;=sensitivity!$D$9:'sensitivity'!$CN$9),sensitivity!$D41:'sensitivity'!$CN41)</f>
        <v>#REF!</v>
      </c>
      <c r="W41" s="35" t="e">
        <f>SUMPRODUCT(--(W$8&lt;=sensitivity!$D$9:'sensitivity'!$CN$9),--(W$9&gt;=sensitivity!$D$9:'sensitivity'!$CN$9),sensitivity!$D41:'sensitivity'!$CN41)</f>
        <v>#REF!</v>
      </c>
      <c r="X41" s="35" t="e">
        <f>SUMPRODUCT(--(X$8&lt;=sensitivity!$D$9:'sensitivity'!$CN$9),--(X$9&gt;=sensitivity!$D$9:'sensitivity'!$CN$9),sensitivity!$D41:'sensitivity'!$CN41)</f>
        <v>#REF!</v>
      </c>
      <c r="Y41" s="35" t="e">
        <f>SUMPRODUCT(--(Y$8&lt;=sensitivity!$D$9:'sensitivity'!$CN$9),--(Y$9&gt;=sensitivity!$D$9:'sensitivity'!$CN$9),sensitivity!$D41:'sensitivity'!$CN41)</f>
        <v>#REF!</v>
      </c>
      <c r="Z41" s="35" t="e">
        <f>SUMPRODUCT(--(Z$8&lt;=sensitivity!$D$9:'sensitivity'!$CN$9),--(Z$9&gt;=sensitivity!$D$9:'sensitivity'!$CN$9),sensitivity!$D41:'sensitivity'!$CN41)</f>
        <v>#REF!</v>
      </c>
      <c r="AA41" s="35"/>
    </row>
    <row r="42" spans="1:27" ht="13" outlineLevel="1">
      <c r="A42" s="35"/>
      <c r="B42" s="73" t="s">
        <v>142</v>
      </c>
      <c r="C42" s="37" t="e">
        <f t="shared" si="9"/>
        <v>#REF!</v>
      </c>
      <c r="D42" s="60">
        <f>sensitivity!D42</f>
        <v>0</v>
      </c>
      <c r="E42" s="35" t="e">
        <f>SUMPRODUCT(--(E$8&lt;=sensitivity!$D$9:'sensitivity'!$CN$9),--(E$9&gt;=sensitivity!$D$9:'sensitivity'!$CN$9),sensitivity!$D42:'sensitivity'!$CN42)</f>
        <v>#REF!</v>
      </c>
      <c r="F42" s="35" t="e">
        <f>SUMPRODUCT(--(F$8&lt;=sensitivity!$D$9:'sensitivity'!$CN$9),--(F$9&gt;=sensitivity!$D$9:'sensitivity'!$CN$9),sensitivity!$D42:'sensitivity'!$CN42)</f>
        <v>#REF!</v>
      </c>
      <c r="G42" s="35" t="e">
        <f>SUMPRODUCT(--(G$8&lt;=sensitivity!$D$9:'sensitivity'!$CN$9),--(G$9&gt;=sensitivity!$D$9:'sensitivity'!$CN$9),sensitivity!$D42:'sensitivity'!$CN42)</f>
        <v>#REF!</v>
      </c>
      <c r="H42" s="35" t="e">
        <f>SUMPRODUCT(--(H$8&lt;=sensitivity!$D$9:'sensitivity'!$CN$9),--(H$9&gt;=sensitivity!$D$9:'sensitivity'!$CN$9),sensitivity!$D42:'sensitivity'!$CN42)</f>
        <v>#REF!</v>
      </c>
      <c r="I42" s="35" t="e">
        <f>SUMPRODUCT(--(I$8&lt;=sensitivity!$D$9:'sensitivity'!$CN$9),--(I$9&gt;=sensitivity!$D$9:'sensitivity'!$CN$9),sensitivity!$D42:'sensitivity'!$CN42)</f>
        <v>#REF!</v>
      </c>
      <c r="J42" s="35" t="e">
        <f>SUMPRODUCT(--(J$8&lt;=sensitivity!$D$9:'sensitivity'!$CN$9),--(J$9&gt;=sensitivity!$D$9:'sensitivity'!$CN$9),sensitivity!$D42:'sensitivity'!$CN42)</f>
        <v>#REF!</v>
      </c>
      <c r="K42" s="35" t="e">
        <f>SUMPRODUCT(--(K$8&lt;=sensitivity!$D$9:'sensitivity'!$CN$9),--(K$9&gt;=sensitivity!$D$9:'sensitivity'!$CN$9),sensitivity!$D42:'sensitivity'!$CN42)</f>
        <v>#REF!</v>
      </c>
      <c r="L42" s="35" t="e">
        <f>SUMPRODUCT(--(L$8&lt;=sensitivity!$D$9:'sensitivity'!$CN$9),--(L$9&gt;=sensitivity!$D$9:'sensitivity'!$CN$9),sensitivity!$D42:'sensitivity'!$CN42)</f>
        <v>#REF!</v>
      </c>
      <c r="M42" s="35" t="e">
        <f>SUMPRODUCT(--(M$8&lt;=sensitivity!$D$9:'sensitivity'!$CN$9),--(M$9&gt;=sensitivity!$D$9:'sensitivity'!$CN$9),sensitivity!$D42:'sensitivity'!$CN42)</f>
        <v>#REF!</v>
      </c>
      <c r="N42" s="35" t="e">
        <f>SUMPRODUCT(--(N$8&lt;=sensitivity!$D$9:'sensitivity'!$CN$9),--(N$9&gt;=sensitivity!$D$9:'sensitivity'!$CN$9),sensitivity!$D42:'sensitivity'!$CN42)</f>
        <v>#REF!</v>
      </c>
      <c r="O42" s="35" t="e">
        <f>SUMPRODUCT(--(O$8&lt;=sensitivity!$D$9:'sensitivity'!$CN$9),--(O$9&gt;=sensitivity!$D$9:'sensitivity'!$CN$9),sensitivity!$D42:'sensitivity'!$CN42)</f>
        <v>#REF!</v>
      </c>
      <c r="P42" s="35" t="e">
        <f>SUMPRODUCT(--(P$8&lt;=sensitivity!$D$9:'sensitivity'!$CN$9),--(P$9&gt;=sensitivity!$D$9:'sensitivity'!$CN$9),sensitivity!$D42:'sensitivity'!$CN42)</f>
        <v>#REF!</v>
      </c>
      <c r="Q42" s="35" t="e">
        <f>SUMPRODUCT(--(Q$8&lt;=sensitivity!$D$9:'sensitivity'!$CN$9),--(Q$9&gt;=sensitivity!$D$9:'sensitivity'!$CN$9),sensitivity!$D42:'sensitivity'!$CN42)</f>
        <v>#REF!</v>
      </c>
      <c r="R42" s="35" t="e">
        <f>SUMPRODUCT(--(R$8&lt;=sensitivity!$D$9:'sensitivity'!$CN$9),--(R$9&gt;=sensitivity!$D$9:'sensitivity'!$CN$9),sensitivity!$D42:'sensitivity'!$CN42)</f>
        <v>#REF!</v>
      </c>
      <c r="S42" s="35" t="e">
        <f>SUMPRODUCT(--(S$8&lt;=sensitivity!$D$9:'sensitivity'!$CN$9),--(S$9&gt;=sensitivity!$D$9:'sensitivity'!$CN$9),sensitivity!$D42:'sensitivity'!$CN42)</f>
        <v>#REF!</v>
      </c>
      <c r="T42" s="35" t="e">
        <f>SUMPRODUCT(--(T$8&lt;=sensitivity!$D$9:'sensitivity'!$CN$9),--(T$9&gt;=sensitivity!$D$9:'sensitivity'!$CN$9),sensitivity!$D42:'sensitivity'!$CN42)</f>
        <v>#REF!</v>
      </c>
      <c r="U42" s="35" t="e">
        <f>SUMPRODUCT(--(U$8&lt;=sensitivity!$D$9:'sensitivity'!$CN$9),--(U$9&gt;=sensitivity!$D$9:'sensitivity'!$CN$9),sensitivity!$D42:'sensitivity'!$CN42)</f>
        <v>#REF!</v>
      </c>
      <c r="V42" s="35" t="e">
        <f>SUMPRODUCT(--(V$8&lt;=sensitivity!$D$9:'sensitivity'!$CN$9),--(V$9&gt;=sensitivity!$D$9:'sensitivity'!$CN$9),sensitivity!$D42:'sensitivity'!$CN42)</f>
        <v>#REF!</v>
      </c>
      <c r="W42" s="35" t="e">
        <f>SUMPRODUCT(--(W$8&lt;=sensitivity!$D$9:'sensitivity'!$CN$9),--(W$9&gt;=sensitivity!$D$9:'sensitivity'!$CN$9),sensitivity!$D42:'sensitivity'!$CN42)</f>
        <v>#REF!</v>
      </c>
      <c r="X42" s="35" t="e">
        <f>SUMPRODUCT(--(X$8&lt;=sensitivity!$D$9:'sensitivity'!$CN$9),--(X$9&gt;=sensitivity!$D$9:'sensitivity'!$CN$9),sensitivity!$D42:'sensitivity'!$CN42)</f>
        <v>#REF!</v>
      </c>
      <c r="Y42" s="35" t="e">
        <f>SUMPRODUCT(--(Y$8&lt;=sensitivity!$D$9:'sensitivity'!$CN$9),--(Y$9&gt;=sensitivity!$D$9:'sensitivity'!$CN$9),sensitivity!$D42:'sensitivity'!$CN42)</f>
        <v>#REF!</v>
      </c>
      <c r="Z42" s="35" t="e">
        <f>SUMPRODUCT(--(Z$8&lt;=sensitivity!$D$9:'sensitivity'!$CN$9),--(Z$9&gt;=sensitivity!$D$9:'sensitivity'!$CN$9),sensitivity!$D42:'sensitivity'!$CN42)</f>
        <v>#REF!</v>
      </c>
      <c r="AA42" s="35"/>
    </row>
    <row r="43" spans="1:27" ht="13" outlineLevel="2">
      <c r="A43" s="35"/>
      <c r="B43" s="63" t="s">
        <v>143</v>
      </c>
      <c r="C43" s="74" t="e">
        <f t="shared" si="9"/>
        <v>#REF!</v>
      </c>
      <c r="D43" s="60">
        <f>sensitivity!D43</f>
        <v>0</v>
      </c>
      <c r="E43" s="35" t="e">
        <f>SUMPRODUCT(--(E$8&lt;=sensitivity!$D$9:'sensitivity'!$CN$9),--(E$9&gt;=sensitivity!$D$9:'sensitivity'!$CN$9),sensitivity!$D43:'sensitivity'!$CN43)</f>
        <v>#REF!</v>
      </c>
      <c r="F43" s="35" t="e">
        <f>SUMPRODUCT(--(F$8&lt;=sensitivity!$D$9:'sensitivity'!$CN$9),--(F$9&gt;=sensitivity!$D$9:'sensitivity'!$CN$9),sensitivity!$D43:'sensitivity'!$CN43)</f>
        <v>#REF!</v>
      </c>
      <c r="G43" s="35" t="e">
        <f>SUMPRODUCT(--(G$8&lt;=sensitivity!$D$9:'sensitivity'!$CN$9),--(G$9&gt;=sensitivity!$D$9:'sensitivity'!$CN$9),sensitivity!$D43:'sensitivity'!$CN43)</f>
        <v>#REF!</v>
      </c>
      <c r="H43" s="35" t="e">
        <f>SUMPRODUCT(--(H$8&lt;=sensitivity!$D$9:'sensitivity'!$CN$9),--(H$9&gt;=sensitivity!$D$9:'sensitivity'!$CN$9),sensitivity!$D43:'sensitivity'!$CN43)</f>
        <v>#REF!</v>
      </c>
      <c r="I43" s="35" t="e">
        <f>SUMPRODUCT(--(I$8&lt;=sensitivity!$D$9:'sensitivity'!$CN$9),--(I$9&gt;=sensitivity!$D$9:'sensitivity'!$CN$9),sensitivity!$D43:'sensitivity'!$CN43)</f>
        <v>#REF!</v>
      </c>
      <c r="J43" s="35" t="e">
        <f>SUMPRODUCT(--(J$8&lt;=sensitivity!$D$9:'sensitivity'!$CN$9),--(J$9&gt;=sensitivity!$D$9:'sensitivity'!$CN$9),sensitivity!$D43:'sensitivity'!$CN43)</f>
        <v>#REF!</v>
      </c>
      <c r="K43" s="35" t="e">
        <f>SUMPRODUCT(--(K$8&lt;=sensitivity!$D$9:'sensitivity'!$CN$9),--(K$9&gt;=sensitivity!$D$9:'sensitivity'!$CN$9),sensitivity!$D43:'sensitivity'!$CN43)</f>
        <v>#REF!</v>
      </c>
      <c r="L43" s="35" t="e">
        <f>SUMPRODUCT(--(L$8&lt;=sensitivity!$D$9:'sensitivity'!$CN$9),--(L$9&gt;=sensitivity!$D$9:'sensitivity'!$CN$9),sensitivity!$D43:'sensitivity'!$CN43)</f>
        <v>#REF!</v>
      </c>
      <c r="M43" s="35" t="e">
        <f>SUMPRODUCT(--(M$8&lt;=sensitivity!$D$9:'sensitivity'!$CN$9),--(M$9&gt;=sensitivity!$D$9:'sensitivity'!$CN$9),sensitivity!$D43:'sensitivity'!$CN43)</f>
        <v>#REF!</v>
      </c>
      <c r="N43" s="35" t="e">
        <f>SUMPRODUCT(--(N$8&lt;=sensitivity!$D$9:'sensitivity'!$CN$9),--(N$9&gt;=sensitivity!$D$9:'sensitivity'!$CN$9),sensitivity!$D43:'sensitivity'!$CN43)</f>
        <v>#REF!</v>
      </c>
      <c r="O43" s="35" t="e">
        <f>SUMPRODUCT(--(O$8&lt;=sensitivity!$D$9:'sensitivity'!$CN$9),--(O$9&gt;=sensitivity!$D$9:'sensitivity'!$CN$9),sensitivity!$D43:'sensitivity'!$CN43)</f>
        <v>#REF!</v>
      </c>
      <c r="P43" s="35" t="e">
        <f>SUMPRODUCT(--(P$8&lt;=sensitivity!$D$9:'sensitivity'!$CN$9),--(P$9&gt;=sensitivity!$D$9:'sensitivity'!$CN$9),sensitivity!$D43:'sensitivity'!$CN43)</f>
        <v>#REF!</v>
      </c>
      <c r="Q43" s="35" t="e">
        <f>SUMPRODUCT(--(Q$8&lt;=sensitivity!$D$9:'sensitivity'!$CN$9),--(Q$9&gt;=sensitivity!$D$9:'sensitivity'!$CN$9),sensitivity!$D43:'sensitivity'!$CN43)</f>
        <v>#REF!</v>
      </c>
      <c r="R43" s="35" t="e">
        <f>SUMPRODUCT(--(R$8&lt;=sensitivity!$D$9:'sensitivity'!$CN$9),--(R$9&gt;=sensitivity!$D$9:'sensitivity'!$CN$9),sensitivity!$D43:'sensitivity'!$CN43)</f>
        <v>#REF!</v>
      </c>
      <c r="S43" s="35" t="e">
        <f>SUMPRODUCT(--(S$8&lt;=sensitivity!$D$9:'sensitivity'!$CN$9),--(S$9&gt;=sensitivity!$D$9:'sensitivity'!$CN$9),sensitivity!$D43:'sensitivity'!$CN43)</f>
        <v>#REF!</v>
      </c>
      <c r="T43" s="35" t="e">
        <f>SUMPRODUCT(--(T$8&lt;=sensitivity!$D$9:'sensitivity'!$CN$9),--(T$9&gt;=sensitivity!$D$9:'sensitivity'!$CN$9),sensitivity!$D43:'sensitivity'!$CN43)</f>
        <v>#REF!</v>
      </c>
      <c r="U43" s="35" t="e">
        <f>SUMPRODUCT(--(U$8&lt;=sensitivity!$D$9:'sensitivity'!$CN$9),--(U$9&gt;=sensitivity!$D$9:'sensitivity'!$CN$9),sensitivity!$D43:'sensitivity'!$CN43)</f>
        <v>#REF!</v>
      </c>
      <c r="V43" s="35" t="e">
        <f>SUMPRODUCT(--(V$8&lt;=sensitivity!$D$9:'sensitivity'!$CN$9),--(V$9&gt;=sensitivity!$D$9:'sensitivity'!$CN$9),sensitivity!$D43:'sensitivity'!$CN43)</f>
        <v>#REF!</v>
      </c>
      <c r="W43" s="35" t="e">
        <f>SUMPRODUCT(--(W$8&lt;=sensitivity!$D$9:'sensitivity'!$CN$9),--(W$9&gt;=sensitivity!$D$9:'sensitivity'!$CN$9),sensitivity!$D43:'sensitivity'!$CN43)</f>
        <v>#REF!</v>
      </c>
      <c r="X43" s="35" t="e">
        <f>SUMPRODUCT(--(X$8&lt;=sensitivity!$D$9:'sensitivity'!$CN$9),--(X$9&gt;=sensitivity!$D$9:'sensitivity'!$CN$9),sensitivity!$D43:'sensitivity'!$CN43)</f>
        <v>#REF!</v>
      </c>
      <c r="Y43" s="35" t="e">
        <f>SUMPRODUCT(--(Y$8&lt;=sensitivity!$D$9:'sensitivity'!$CN$9),--(Y$9&gt;=sensitivity!$D$9:'sensitivity'!$CN$9),sensitivity!$D43:'sensitivity'!$CN43)</f>
        <v>#REF!</v>
      </c>
      <c r="Z43" s="35" t="e">
        <f>SUMPRODUCT(--(Z$8&lt;=sensitivity!$D$9:'sensitivity'!$CN$9),--(Z$9&gt;=sensitivity!$D$9:'sensitivity'!$CN$9),sensitivity!$D43:'sensitivity'!$CN43)</f>
        <v>#REF!</v>
      </c>
      <c r="AA43" s="35"/>
    </row>
    <row r="44" spans="1:27" ht="13" outlineLevel="2">
      <c r="A44" s="35"/>
      <c r="B44" s="63" t="s">
        <v>144</v>
      </c>
      <c r="C44" s="74" t="e">
        <f t="shared" si="9"/>
        <v>#REF!</v>
      </c>
      <c r="D44" s="60">
        <f>sensitivity!D44</f>
        <v>0</v>
      </c>
      <c r="E44" s="35" t="e">
        <f>SUMPRODUCT(--(E$8&lt;=sensitivity!$D$9:'sensitivity'!$CN$9),--(E$9&gt;=sensitivity!$D$9:'sensitivity'!$CN$9),sensitivity!$D44:'sensitivity'!$CN44)</f>
        <v>#REF!</v>
      </c>
      <c r="F44" s="35" t="e">
        <f>SUMPRODUCT(--(F$8&lt;=sensitivity!$D$9:'sensitivity'!$CN$9),--(F$9&gt;=sensitivity!$D$9:'sensitivity'!$CN$9),sensitivity!$D44:'sensitivity'!$CN44)</f>
        <v>#REF!</v>
      </c>
      <c r="G44" s="35" t="e">
        <f>SUMPRODUCT(--(G$8&lt;=sensitivity!$D$9:'sensitivity'!$CN$9),--(G$9&gt;=sensitivity!$D$9:'sensitivity'!$CN$9),sensitivity!$D44:'sensitivity'!$CN44)</f>
        <v>#REF!</v>
      </c>
      <c r="H44" s="35" t="e">
        <f>SUMPRODUCT(--(H$8&lt;=sensitivity!$D$9:'sensitivity'!$CN$9),--(H$9&gt;=sensitivity!$D$9:'sensitivity'!$CN$9),sensitivity!$D44:'sensitivity'!$CN44)</f>
        <v>#REF!</v>
      </c>
      <c r="I44" s="35" t="e">
        <f>SUMPRODUCT(--(I$8&lt;=sensitivity!$D$9:'sensitivity'!$CN$9),--(I$9&gt;=sensitivity!$D$9:'sensitivity'!$CN$9),sensitivity!$D44:'sensitivity'!$CN44)</f>
        <v>#REF!</v>
      </c>
      <c r="J44" s="35" t="e">
        <f>SUMPRODUCT(--(J$8&lt;=sensitivity!$D$9:'sensitivity'!$CN$9),--(J$9&gt;=sensitivity!$D$9:'sensitivity'!$CN$9),sensitivity!$D44:'sensitivity'!$CN44)</f>
        <v>#REF!</v>
      </c>
      <c r="K44" s="35" t="e">
        <f>SUMPRODUCT(--(K$8&lt;=sensitivity!$D$9:'sensitivity'!$CN$9),--(K$9&gt;=sensitivity!$D$9:'sensitivity'!$CN$9),sensitivity!$D44:'sensitivity'!$CN44)</f>
        <v>#REF!</v>
      </c>
      <c r="L44" s="35" t="e">
        <f>SUMPRODUCT(--(L$8&lt;=sensitivity!$D$9:'sensitivity'!$CN$9),--(L$9&gt;=sensitivity!$D$9:'sensitivity'!$CN$9),sensitivity!$D44:'sensitivity'!$CN44)</f>
        <v>#REF!</v>
      </c>
      <c r="M44" s="35" t="e">
        <f>SUMPRODUCT(--(M$8&lt;=sensitivity!$D$9:'sensitivity'!$CN$9),--(M$9&gt;=sensitivity!$D$9:'sensitivity'!$CN$9),sensitivity!$D44:'sensitivity'!$CN44)</f>
        <v>#REF!</v>
      </c>
      <c r="N44" s="35" t="e">
        <f>SUMPRODUCT(--(N$8&lt;=sensitivity!$D$9:'sensitivity'!$CN$9),--(N$9&gt;=sensitivity!$D$9:'sensitivity'!$CN$9),sensitivity!$D44:'sensitivity'!$CN44)</f>
        <v>#REF!</v>
      </c>
      <c r="O44" s="35" t="e">
        <f>SUMPRODUCT(--(O$8&lt;=sensitivity!$D$9:'sensitivity'!$CN$9),--(O$9&gt;=sensitivity!$D$9:'sensitivity'!$CN$9),sensitivity!$D44:'sensitivity'!$CN44)</f>
        <v>#REF!</v>
      </c>
      <c r="P44" s="35" t="e">
        <f>SUMPRODUCT(--(P$8&lt;=sensitivity!$D$9:'sensitivity'!$CN$9),--(P$9&gt;=sensitivity!$D$9:'sensitivity'!$CN$9),sensitivity!$D44:'sensitivity'!$CN44)</f>
        <v>#REF!</v>
      </c>
      <c r="Q44" s="35" t="e">
        <f>SUMPRODUCT(--(Q$8&lt;=sensitivity!$D$9:'sensitivity'!$CN$9),--(Q$9&gt;=sensitivity!$D$9:'sensitivity'!$CN$9),sensitivity!$D44:'sensitivity'!$CN44)</f>
        <v>#REF!</v>
      </c>
      <c r="R44" s="35" t="e">
        <f>SUMPRODUCT(--(R$8&lt;=sensitivity!$D$9:'sensitivity'!$CN$9),--(R$9&gt;=sensitivity!$D$9:'sensitivity'!$CN$9),sensitivity!$D44:'sensitivity'!$CN44)</f>
        <v>#REF!</v>
      </c>
      <c r="S44" s="35" t="e">
        <f>SUMPRODUCT(--(S$8&lt;=sensitivity!$D$9:'sensitivity'!$CN$9),--(S$9&gt;=sensitivity!$D$9:'sensitivity'!$CN$9),sensitivity!$D44:'sensitivity'!$CN44)</f>
        <v>#REF!</v>
      </c>
      <c r="T44" s="35" t="e">
        <f>SUMPRODUCT(--(T$8&lt;=sensitivity!$D$9:'sensitivity'!$CN$9),--(T$9&gt;=sensitivity!$D$9:'sensitivity'!$CN$9),sensitivity!$D44:'sensitivity'!$CN44)</f>
        <v>#REF!</v>
      </c>
      <c r="U44" s="35" t="e">
        <f>SUMPRODUCT(--(U$8&lt;=sensitivity!$D$9:'sensitivity'!$CN$9),--(U$9&gt;=sensitivity!$D$9:'sensitivity'!$CN$9),sensitivity!$D44:'sensitivity'!$CN44)</f>
        <v>#REF!</v>
      </c>
      <c r="V44" s="35" t="e">
        <f>SUMPRODUCT(--(V$8&lt;=sensitivity!$D$9:'sensitivity'!$CN$9),--(V$9&gt;=sensitivity!$D$9:'sensitivity'!$CN$9),sensitivity!$D44:'sensitivity'!$CN44)</f>
        <v>#REF!</v>
      </c>
      <c r="W44" s="35" t="e">
        <f>SUMPRODUCT(--(W$8&lt;=sensitivity!$D$9:'sensitivity'!$CN$9),--(W$9&gt;=sensitivity!$D$9:'sensitivity'!$CN$9),sensitivity!$D44:'sensitivity'!$CN44)</f>
        <v>#REF!</v>
      </c>
      <c r="X44" s="35" t="e">
        <f>SUMPRODUCT(--(X$8&lt;=sensitivity!$D$9:'sensitivity'!$CN$9),--(X$9&gt;=sensitivity!$D$9:'sensitivity'!$CN$9),sensitivity!$D44:'sensitivity'!$CN44)</f>
        <v>#REF!</v>
      </c>
      <c r="Y44" s="35" t="e">
        <f>SUMPRODUCT(--(Y$8&lt;=sensitivity!$D$9:'sensitivity'!$CN$9),--(Y$9&gt;=sensitivity!$D$9:'sensitivity'!$CN$9),sensitivity!$D44:'sensitivity'!$CN44)</f>
        <v>#REF!</v>
      </c>
      <c r="Z44" s="35" t="e">
        <f>SUMPRODUCT(--(Z$8&lt;=sensitivity!$D$9:'sensitivity'!$CN$9),--(Z$9&gt;=sensitivity!$D$9:'sensitivity'!$CN$9),sensitivity!$D44:'sensitivity'!$CN44)</f>
        <v>#REF!</v>
      </c>
      <c r="AA44" s="35"/>
    </row>
    <row r="45" spans="1:27" ht="13" outlineLevel="2">
      <c r="A45" s="35"/>
      <c r="B45" s="63" t="s">
        <v>145</v>
      </c>
      <c r="C45" s="74" t="e">
        <f t="shared" si="9"/>
        <v>#REF!</v>
      </c>
      <c r="D45" s="60">
        <f>sensitivity!D45</f>
        <v>0</v>
      </c>
      <c r="E45" s="35" t="e">
        <f>SUMPRODUCT(--(E$8&lt;=sensitivity!$D$9:'sensitivity'!$CN$9),--(E$9&gt;=sensitivity!$D$9:'sensitivity'!$CN$9),sensitivity!$D45:'sensitivity'!$CN45)</f>
        <v>#REF!</v>
      </c>
      <c r="F45" s="35" t="e">
        <f>SUMPRODUCT(--(F$8&lt;=sensitivity!$D$9:'sensitivity'!$CN$9),--(F$9&gt;=sensitivity!$D$9:'sensitivity'!$CN$9),sensitivity!$D45:'sensitivity'!$CN45)</f>
        <v>#REF!</v>
      </c>
      <c r="G45" s="35" t="e">
        <f>SUMPRODUCT(--(G$8&lt;=sensitivity!$D$9:'sensitivity'!$CN$9),--(G$9&gt;=sensitivity!$D$9:'sensitivity'!$CN$9),sensitivity!$D45:'sensitivity'!$CN45)</f>
        <v>#REF!</v>
      </c>
      <c r="H45" s="35" t="e">
        <f>SUMPRODUCT(--(H$8&lt;=sensitivity!$D$9:'sensitivity'!$CN$9),--(H$9&gt;=sensitivity!$D$9:'sensitivity'!$CN$9),sensitivity!$D45:'sensitivity'!$CN45)</f>
        <v>#REF!</v>
      </c>
      <c r="I45" s="35" t="e">
        <f>SUMPRODUCT(--(I$8&lt;=sensitivity!$D$9:'sensitivity'!$CN$9),--(I$9&gt;=sensitivity!$D$9:'sensitivity'!$CN$9),sensitivity!$D45:'sensitivity'!$CN45)</f>
        <v>#REF!</v>
      </c>
      <c r="J45" s="35" t="e">
        <f>SUMPRODUCT(--(J$8&lt;=sensitivity!$D$9:'sensitivity'!$CN$9),--(J$9&gt;=sensitivity!$D$9:'sensitivity'!$CN$9),sensitivity!$D45:'sensitivity'!$CN45)</f>
        <v>#REF!</v>
      </c>
      <c r="K45" s="35" t="e">
        <f>SUMPRODUCT(--(K$8&lt;=sensitivity!$D$9:'sensitivity'!$CN$9),--(K$9&gt;=sensitivity!$D$9:'sensitivity'!$CN$9),sensitivity!$D45:'sensitivity'!$CN45)</f>
        <v>#REF!</v>
      </c>
      <c r="L45" s="35" t="e">
        <f>SUMPRODUCT(--(L$8&lt;=sensitivity!$D$9:'sensitivity'!$CN$9),--(L$9&gt;=sensitivity!$D$9:'sensitivity'!$CN$9),sensitivity!$D45:'sensitivity'!$CN45)</f>
        <v>#REF!</v>
      </c>
      <c r="M45" s="35" t="e">
        <f>SUMPRODUCT(--(M$8&lt;=sensitivity!$D$9:'sensitivity'!$CN$9),--(M$9&gt;=sensitivity!$D$9:'sensitivity'!$CN$9),sensitivity!$D45:'sensitivity'!$CN45)</f>
        <v>#REF!</v>
      </c>
      <c r="N45" s="35" t="e">
        <f>SUMPRODUCT(--(N$8&lt;=sensitivity!$D$9:'sensitivity'!$CN$9),--(N$9&gt;=sensitivity!$D$9:'sensitivity'!$CN$9),sensitivity!$D45:'sensitivity'!$CN45)</f>
        <v>#REF!</v>
      </c>
      <c r="O45" s="35" t="e">
        <f>SUMPRODUCT(--(O$8&lt;=sensitivity!$D$9:'sensitivity'!$CN$9),--(O$9&gt;=sensitivity!$D$9:'sensitivity'!$CN$9),sensitivity!$D45:'sensitivity'!$CN45)</f>
        <v>#REF!</v>
      </c>
      <c r="P45" s="35" t="e">
        <f>SUMPRODUCT(--(P$8&lt;=sensitivity!$D$9:'sensitivity'!$CN$9),--(P$9&gt;=sensitivity!$D$9:'sensitivity'!$CN$9),sensitivity!$D45:'sensitivity'!$CN45)</f>
        <v>#REF!</v>
      </c>
      <c r="Q45" s="35" t="e">
        <f>SUMPRODUCT(--(Q$8&lt;=sensitivity!$D$9:'sensitivity'!$CN$9),--(Q$9&gt;=sensitivity!$D$9:'sensitivity'!$CN$9),sensitivity!$D45:'sensitivity'!$CN45)</f>
        <v>#REF!</v>
      </c>
      <c r="R45" s="35" t="e">
        <f>SUMPRODUCT(--(R$8&lt;=sensitivity!$D$9:'sensitivity'!$CN$9),--(R$9&gt;=sensitivity!$D$9:'sensitivity'!$CN$9),sensitivity!$D45:'sensitivity'!$CN45)</f>
        <v>#REF!</v>
      </c>
      <c r="S45" s="35" t="e">
        <f>SUMPRODUCT(--(S$8&lt;=sensitivity!$D$9:'sensitivity'!$CN$9),--(S$9&gt;=sensitivity!$D$9:'sensitivity'!$CN$9),sensitivity!$D45:'sensitivity'!$CN45)</f>
        <v>#REF!</v>
      </c>
      <c r="T45" s="35" t="e">
        <f>SUMPRODUCT(--(T$8&lt;=sensitivity!$D$9:'sensitivity'!$CN$9),--(T$9&gt;=sensitivity!$D$9:'sensitivity'!$CN$9),sensitivity!$D45:'sensitivity'!$CN45)</f>
        <v>#REF!</v>
      </c>
      <c r="U45" s="35" t="e">
        <f>SUMPRODUCT(--(U$8&lt;=sensitivity!$D$9:'sensitivity'!$CN$9),--(U$9&gt;=sensitivity!$D$9:'sensitivity'!$CN$9),sensitivity!$D45:'sensitivity'!$CN45)</f>
        <v>#REF!</v>
      </c>
      <c r="V45" s="35" t="e">
        <f>SUMPRODUCT(--(V$8&lt;=sensitivity!$D$9:'sensitivity'!$CN$9),--(V$9&gt;=sensitivity!$D$9:'sensitivity'!$CN$9),sensitivity!$D45:'sensitivity'!$CN45)</f>
        <v>#REF!</v>
      </c>
      <c r="W45" s="35" t="e">
        <f>SUMPRODUCT(--(W$8&lt;=sensitivity!$D$9:'sensitivity'!$CN$9),--(W$9&gt;=sensitivity!$D$9:'sensitivity'!$CN$9),sensitivity!$D45:'sensitivity'!$CN45)</f>
        <v>#REF!</v>
      </c>
      <c r="X45" s="35" t="e">
        <f>SUMPRODUCT(--(X$8&lt;=sensitivity!$D$9:'sensitivity'!$CN$9),--(X$9&gt;=sensitivity!$D$9:'sensitivity'!$CN$9),sensitivity!$D45:'sensitivity'!$CN45)</f>
        <v>#REF!</v>
      </c>
      <c r="Y45" s="35" t="e">
        <f>SUMPRODUCT(--(Y$8&lt;=sensitivity!$D$9:'sensitivity'!$CN$9),--(Y$9&gt;=sensitivity!$D$9:'sensitivity'!$CN$9),sensitivity!$D45:'sensitivity'!$CN45)</f>
        <v>#REF!</v>
      </c>
      <c r="Z45" s="35" t="e">
        <f>SUMPRODUCT(--(Z$8&lt;=sensitivity!$D$9:'sensitivity'!$CN$9),--(Z$9&gt;=sensitivity!$D$9:'sensitivity'!$CN$9),sensitivity!$D45:'sensitivity'!$CN45)</f>
        <v>#REF!</v>
      </c>
      <c r="AA45" s="35"/>
    </row>
    <row r="46" spans="1:27" ht="13" outlineLevel="2">
      <c r="A46" s="35"/>
      <c r="B46" s="63" t="s">
        <v>146</v>
      </c>
      <c r="C46" s="74" t="e">
        <f t="shared" si="9"/>
        <v>#REF!</v>
      </c>
      <c r="D46" s="60">
        <f>sensitivity!D46</f>
        <v>0</v>
      </c>
      <c r="E46" s="35" t="e">
        <f>SUMPRODUCT(--(E$8&lt;=sensitivity!$D$9:'sensitivity'!$CN$9),--(E$9&gt;=sensitivity!$D$9:'sensitivity'!$CN$9),sensitivity!$D46:'sensitivity'!$CN46)</f>
        <v>#REF!</v>
      </c>
      <c r="F46" s="35" t="e">
        <f>SUMPRODUCT(--(F$8&lt;=sensitivity!$D$9:'sensitivity'!$CN$9),--(F$9&gt;=sensitivity!$D$9:'sensitivity'!$CN$9),sensitivity!$D46:'sensitivity'!$CN46)</f>
        <v>#REF!</v>
      </c>
      <c r="G46" s="35" t="e">
        <f>SUMPRODUCT(--(G$8&lt;=sensitivity!$D$9:'sensitivity'!$CN$9),--(G$9&gt;=sensitivity!$D$9:'sensitivity'!$CN$9),sensitivity!$D46:'sensitivity'!$CN46)</f>
        <v>#REF!</v>
      </c>
      <c r="H46" s="35" t="e">
        <f>SUMPRODUCT(--(H$8&lt;=sensitivity!$D$9:'sensitivity'!$CN$9),--(H$9&gt;=sensitivity!$D$9:'sensitivity'!$CN$9),sensitivity!$D46:'sensitivity'!$CN46)</f>
        <v>#REF!</v>
      </c>
      <c r="I46" s="35" t="e">
        <f>SUMPRODUCT(--(I$8&lt;=sensitivity!$D$9:'sensitivity'!$CN$9),--(I$9&gt;=sensitivity!$D$9:'sensitivity'!$CN$9),sensitivity!$D46:'sensitivity'!$CN46)</f>
        <v>#REF!</v>
      </c>
      <c r="J46" s="35" t="e">
        <f>SUMPRODUCT(--(J$8&lt;=sensitivity!$D$9:'sensitivity'!$CN$9),--(J$9&gt;=sensitivity!$D$9:'sensitivity'!$CN$9),sensitivity!$D46:'sensitivity'!$CN46)</f>
        <v>#REF!</v>
      </c>
      <c r="K46" s="35" t="e">
        <f>SUMPRODUCT(--(K$8&lt;=sensitivity!$D$9:'sensitivity'!$CN$9),--(K$9&gt;=sensitivity!$D$9:'sensitivity'!$CN$9),sensitivity!$D46:'sensitivity'!$CN46)</f>
        <v>#REF!</v>
      </c>
      <c r="L46" s="35" t="e">
        <f>SUMPRODUCT(--(L$8&lt;=sensitivity!$D$9:'sensitivity'!$CN$9),--(L$9&gt;=sensitivity!$D$9:'sensitivity'!$CN$9),sensitivity!$D46:'sensitivity'!$CN46)</f>
        <v>#REF!</v>
      </c>
      <c r="M46" s="35" t="e">
        <f>SUMPRODUCT(--(M$8&lt;=sensitivity!$D$9:'sensitivity'!$CN$9),--(M$9&gt;=sensitivity!$D$9:'sensitivity'!$CN$9),sensitivity!$D46:'sensitivity'!$CN46)</f>
        <v>#REF!</v>
      </c>
      <c r="N46" s="35" t="e">
        <f>SUMPRODUCT(--(N$8&lt;=sensitivity!$D$9:'sensitivity'!$CN$9),--(N$9&gt;=sensitivity!$D$9:'sensitivity'!$CN$9),sensitivity!$D46:'sensitivity'!$CN46)</f>
        <v>#REF!</v>
      </c>
      <c r="O46" s="35" t="e">
        <f>SUMPRODUCT(--(O$8&lt;=sensitivity!$D$9:'sensitivity'!$CN$9),--(O$9&gt;=sensitivity!$D$9:'sensitivity'!$CN$9),sensitivity!$D46:'sensitivity'!$CN46)</f>
        <v>#REF!</v>
      </c>
      <c r="P46" s="35" t="e">
        <f>SUMPRODUCT(--(P$8&lt;=sensitivity!$D$9:'sensitivity'!$CN$9),--(P$9&gt;=sensitivity!$D$9:'sensitivity'!$CN$9),sensitivity!$D46:'sensitivity'!$CN46)</f>
        <v>#REF!</v>
      </c>
      <c r="Q46" s="35" t="e">
        <f>SUMPRODUCT(--(Q$8&lt;=sensitivity!$D$9:'sensitivity'!$CN$9),--(Q$9&gt;=sensitivity!$D$9:'sensitivity'!$CN$9),sensitivity!$D46:'sensitivity'!$CN46)</f>
        <v>#REF!</v>
      </c>
      <c r="R46" s="35" t="e">
        <f>SUMPRODUCT(--(R$8&lt;=sensitivity!$D$9:'sensitivity'!$CN$9),--(R$9&gt;=sensitivity!$D$9:'sensitivity'!$CN$9),sensitivity!$D46:'sensitivity'!$CN46)</f>
        <v>#REF!</v>
      </c>
      <c r="S46" s="35" t="e">
        <f>SUMPRODUCT(--(S$8&lt;=sensitivity!$D$9:'sensitivity'!$CN$9),--(S$9&gt;=sensitivity!$D$9:'sensitivity'!$CN$9),sensitivity!$D46:'sensitivity'!$CN46)</f>
        <v>#REF!</v>
      </c>
      <c r="T46" s="35" t="e">
        <f>SUMPRODUCT(--(T$8&lt;=sensitivity!$D$9:'sensitivity'!$CN$9),--(T$9&gt;=sensitivity!$D$9:'sensitivity'!$CN$9),sensitivity!$D46:'sensitivity'!$CN46)</f>
        <v>#REF!</v>
      </c>
      <c r="U46" s="35" t="e">
        <f>SUMPRODUCT(--(U$8&lt;=sensitivity!$D$9:'sensitivity'!$CN$9),--(U$9&gt;=sensitivity!$D$9:'sensitivity'!$CN$9),sensitivity!$D46:'sensitivity'!$CN46)</f>
        <v>#REF!</v>
      </c>
      <c r="V46" s="35" t="e">
        <f>SUMPRODUCT(--(V$8&lt;=sensitivity!$D$9:'sensitivity'!$CN$9),--(V$9&gt;=sensitivity!$D$9:'sensitivity'!$CN$9),sensitivity!$D46:'sensitivity'!$CN46)</f>
        <v>#REF!</v>
      </c>
      <c r="W46" s="35" t="e">
        <f>SUMPRODUCT(--(W$8&lt;=sensitivity!$D$9:'sensitivity'!$CN$9),--(W$9&gt;=sensitivity!$D$9:'sensitivity'!$CN$9),sensitivity!$D46:'sensitivity'!$CN46)</f>
        <v>#REF!</v>
      </c>
      <c r="X46" s="35" t="e">
        <f>SUMPRODUCT(--(X$8&lt;=sensitivity!$D$9:'sensitivity'!$CN$9),--(X$9&gt;=sensitivity!$D$9:'sensitivity'!$CN$9),sensitivity!$D46:'sensitivity'!$CN46)</f>
        <v>#REF!</v>
      </c>
      <c r="Y46" s="35" t="e">
        <f>SUMPRODUCT(--(Y$8&lt;=sensitivity!$D$9:'sensitivity'!$CN$9),--(Y$9&gt;=sensitivity!$D$9:'sensitivity'!$CN$9),sensitivity!$D46:'sensitivity'!$CN46)</f>
        <v>#REF!</v>
      </c>
      <c r="Z46" s="35" t="e">
        <f>SUMPRODUCT(--(Z$8&lt;=sensitivity!$D$9:'sensitivity'!$CN$9),--(Z$9&gt;=sensitivity!$D$9:'sensitivity'!$CN$9),sensitivity!$D46:'sensitivity'!$CN46)</f>
        <v>#REF!</v>
      </c>
      <c r="AA46" s="35"/>
    </row>
    <row r="47" spans="1:27" ht="13" outlineLevel="2">
      <c r="A47" s="35"/>
      <c r="B47" s="63" t="s">
        <v>147</v>
      </c>
      <c r="C47" s="74" t="e">
        <f t="shared" si="9"/>
        <v>#REF!</v>
      </c>
      <c r="D47" s="60">
        <f>sensitivity!D47</f>
        <v>0</v>
      </c>
      <c r="E47" s="35" t="e">
        <f>SUMPRODUCT(--(E$8&lt;=sensitivity!$D$9:'sensitivity'!$CN$9),--(E$9&gt;=sensitivity!$D$9:'sensitivity'!$CN$9),sensitivity!$D47:'sensitivity'!$CN47)</f>
        <v>#REF!</v>
      </c>
      <c r="F47" s="35" t="e">
        <f>SUMPRODUCT(--(F$8&lt;=sensitivity!$D$9:'sensitivity'!$CN$9),--(F$9&gt;=sensitivity!$D$9:'sensitivity'!$CN$9),sensitivity!$D47:'sensitivity'!$CN47)</f>
        <v>#REF!</v>
      </c>
      <c r="G47" s="35" t="e">
        <f>SUMPRODUCT(--(G$8&lt;=sensitivity!$D$9:'sensitivity'!$CN$9),--(G$9&gt;=sensitivity!$D$9:'sensitivity'!$CN$9),sensitivity!$D47:'sensitivity'!$CN47)</f>
        <v>#REF!</v>
      </c>
      <c r="H47" s="35" t="e">
        <f>SUMPRODUCT(--(H$8&lt;=sensitivity!$D$9:'sensitivity'!$CN$9),--(H$9&gt;=sensitivity!$D$9:'sensitivity'!$CN$9),sensitivity!$D47:'sensitivity'!$CN47)</f>
        <v>#REF!</v>
      </c>
      <c r="I47" s="35" t="e">
        <f>SUMPRODUCT(--(I$8&lt;=sensitivity!$D$9:'sensitivity'!$CN$9),--(I$9&gt;=sensitivity!$D$9:'sensitivity'!$CN$9),sensitivity!$D47:'sensitivity'!$CN47)</f>
        <v>#REF!</v>
      </c>
      <c r="J47" s="35" t="e">
        <f>SUMPRODUCT(--(J$8&lt;=sensitivity!$D$9:'sensitivity'!$CN$9),--(J$9&gt;=sensitivity!$D$9:'sensitivity'!$CN$9),sensitivity!$D47:'sensitivity'!$CN47)</f>
        <v>#REF!</v>
      </c>
      <c r="K47" s="35" t="e">
        <f>SUMPRODUCT(--(K$8&lt;=sensitivity!$D$9:'sensitivity'!$CN$9),--(K$9&gt;=sensitivity!$D$9:'sensitivity'!$CN$9),sensitivity!$D47:'sensitivity'!$CN47)</f>
        <v>#REF!</v>
      </c>
      <c r="L47" s="35" t="e">
        <f>SUMPRODUCT(--(L$8&lt;=sensitivity!$D$9:'sensitivity'!$CN$9),--(L$9&gt;=sensitivity!$D$9:'sensitivity'!$CN$9),sensitivity!$D47:'sensitivity'!$CN47)</f>
        <v>#REF!</v>
      </c>
      <c r="M47" s="35" t="e">
        <f>SUMPRODUCT(--(M$8&lt;=sensitivity!$D$9:'sensitivity'!$CN$9),--(M$9&gt;=sensitivity!$D$9:'sensitivity'!$CN$9),sensitivity!$D47:'sensitivity'!$CN47)</f>
        <v>#REF!</v>
      </c>
      <c r="N47" s="35" t="e">
        <f>SUMPRODUCT(--(N$8&lt;=sensitivity!$D$9:'sensitivity'!$CN$9),--(N$9&gt;=sensitivity!$D$9:'sensitivity'!$CN$9),sensitivity!$D47:'sensitivity'!$CN47)</f>
        <v>#REF!</v>
      </c>
      <c r="O47" s="35" t="e">
        <f>SUMPRODUCT(--(O$8&lt;=sensitivity!$D$9:'sensitivity'!$CN$9),--(O$9&gt;=sensitivity!$D$9:'sensitivity'!$CN$9),sensitivity!$D47:'sensitivity'!$CN47)</f>
        <v>#REF!</v>
      </c>
      <c r="P47" s="35" t="e">
        <f>SUMPRODUCT(--(P$8&lt;=sensitivity!$D$9:'sensitivity'!$CN$9),--(P$9&gt;=sensitivity!$D$9:'sensitivity'!$CN$9),sensitivity!$D47:'sensitivity'!$CN47)</f>
        <v>#REF!</v>
      </c>
      <c r="Q47" s="35" t="e">
        <f>SUMPRODUCT(--(Q$8&lt;=sensitivity!$D$9:'sensitivity'!$CN$9),--(Q$9&gt;=sensitivity!$D$9:'sensitivity'!$CN$9),sensitivity!$D47:'sensitivity'!$CN47)</f>
        <v>#REF!</v>
      </c>
      <c r="R47" s="35" t="e">
        <f>SUMPRODUCT(--(R$8&lt;=sensitivity!$D$9:'sensitivity'!$CN$9),--(R$9&gt;=sensitivity!$D$9:'sensitivity'!$CN$9),sensitivity!$D47:'sensitivity'!$CN47)</f>
        <v>#REF!</v>
      </c>
      <c r="S47" s="35" t="e">
        <f>SUMPRODUCT(--(S$8&lt;=sensitivity!$D$9:'sensitivity'!$CN$9),--(S$9&gt;=sensitivity!$D$9:'sensitivity'!$CN$9),sensitivity!$D47:'sensitivity'!$CN47)</f>
        <v>#REF!</v>
      </c>
      <c r="T47" s="35" t="e">
        <f>SUMPRODUCT(--(T$8&lt;=sensitivity!$D$9:'sensitivity'!$CN$9),--(T$9&gt;=sensitivity!$D$9:'sensitivity'!$CN$9),sensitivity!$D47:'sensitivity'!$CN47)</f>
        <v>#REF!</v>
      </c>
      <c r="U47" s="35" t="e">
        <f>SUMPRODUCT(--(U$8&lt;=sensitivity!$D$9:'sensitivity'!$CN$9),--(U$9&gt;=sensitivity!$D$9:'sensitivity'!$CN$9),sensitivity!$D47:'sensitivity'!$CN47)</f>
        <v>#REF!</v>
      </c>
      <c r="V47" s="35" t="e">
        <f>SUMPRODUCT(--(V$8&lt;=sensitivity!$D$9:'sensitivity'!$CN$9),--(V$9&gt;=sensitivity!$D$9:'sensitivity'!$CN$9),sensitivity!$D47:'sensitivity'!$CN47)</f>
        <v>#REF!</v>
      </c>
      <c r="W47" s="35" t="e">
        <f>SUMPRODUCT(--(W$8&lt;=sensitivity!$D$9:'sensitivity'!$CN$9),--(W$9&gt;=sensitivity!$D$9:'sensitivity'!$CN$9),sensitivity!$D47:'sensitivity'!$CN47)</f>
        <v>#REF!</v>
      </c>
      <c r="X47" s="35" t="e">
        <f>SUMPRODUCT(--(X$8&lt;=sensitivity!$D$9:'sensitivity'!$CN$9),--(X$9&gt;=sensitivity!$D$9:'sensitivity'!$CN$9),sensitivity!$D47:'sensitivity'!$CN47)</f>
        <v>#REF!</v>
      </c>
      <c r="Y47" s="35" t="e">
        <f>SUMPRODUCT(--(Y$8&lt;=sensitivity!$D$9:'sensitivity'!$CN$9),--(Y$9&gt;=sensitivity!$D$9:'sensitivity'!$CN$9),sensitivity!$D47:'sensitivity'!$CN47)</f>
        <v>#REF!</v>
      </c>
      <c r="Z47" s="35" t="e">
        <f>SUMPRODUCT(--(Z$8&lt;=sensitivity!$D$9:'sensitivity'!$CN$9),--(Z$9&gt;=sensitivity!$D$9:'sensitivity'!$CN$9),sensitivity!$D47:'sensitivity'!$CN47)</f>
        <v>#REF!</v>
      </c>
      <c r="AA47" s="35"/>
    </row>
    <row r="48" spans="1:27" ht="13" outlineLevel="2">
      <c r="A48" s="35"/>
      <c r="B48" s="63" t="s">
        <v>148</v>
      </c>
      <c r="C48" s="74" t="e">
        <f t="shared" si="9"/>
        <v>#REF!</v>
      </c>
      <c r="D48" s="60">
        <f>sensitivity!D48</f>
        <v>0</v>
      </c>
      <c r="E48" s="35" t="e">
        <f>SUMPRODUCT(--(E$8&lt;=sensitivity!$D$9:'sensitivity'!$CN$9),--(E$9&gt;=sensitivity!$D$9:'sensitivity'!$CN$9),sensitivity!$D48:'sensitivity'!$CN48)</f>
        <v>#REF!</v>
      </c>
      <c r="F48" s="35" t="e">
        <f>SUMPRODUCT(--(F$8&lt;=sensitivity!$D$9:'sensitivity'!$CN$9),--(F$9&gt;=sensitivity!$D$9:'sensitivity'!$CN$9),sensitivity!$D48:'sensitivity'!$CN48)</f>
        <v>#REF!</v>
      </c>
      <c r="G48" s="35" t="e">
        <f>SUMPRODUCT(--(G$8&lt;=sensitivity!$D$9:'sensitivity'!$CN$9),--(G$9&gt;=sensitivity!$D$9:'sensitivity'!$CN$9),sensitivity!$D48:'sensitivity'!$CN48)</f>
        <v>#REF!</v>
      </c>
      <c r="H48" s="35" t="e">
        <f>SUMPRODUCT(--(H$8&lt;=sensitivity!$D$9:'sensitivity'!$CN$9),--(H$9&gt;=sensitivity!$D$9:'sensitivity'!$CN$9),sensitivity!$D48:'sensitivity'!$CN48)</f>
        <v>#REF!</v>
      </c>
      <c r="I48" s="35" t="e">
        <f>SUMPRODUCT(--(I$8&lt;=sensitivity!$D$9:'sensitivity'!$CN$9),--(I$9&gt;=sensitivity!$D$9:'sensitivity'!$CN$9),sensitivity!$D48:'sensitivity'!$CN48)</f>
        <v>#REF!</v>
      </c>
      <c r="J48" s="35" t="e">
        <f>SUMPRODUCT(--(J$8&lt;=sensitivity!$D$9:'sensitivity'!$CN$9),--(J$9&gt;=sensitivity!$D$9:'sensitivity'!$CN$9),sensitivity!$D48:'sensitivity'!$CN48)</f>
        <v>#REF!</v>
      </c>
      <c r="K48" s="35" t="e">
        <f>SUMPRODUCT(--(K$8&lt;=sensitivity!$D$9:'sensitivity'!$CN$9),--(K$9&gt;=sensitivity!$D$9:'sensitivity'!$CN$9),sensitivity!$D48:'sensitivity'!$CN48)</f>
        <v>#REF!</v>
      </c>
      <c r="L48" s="35" t="e">
        <f>SUMPRODUCT(--(L$8&lt;=sensitivity!$D$9:'sensitivity'!$CN$9),--(L$9&gt;=sensitivity!$D$9:'sensitivity'!$CN$9),sensitivity!$D48:'sensitivity'!$CN48)</f>
        <v>#REF!</v>
      </c>
      <c r="M48" s="35" t="e">
        <f>SUMPRODUCT(--(M$8&lt;=sensitivity!$D$9:'sensitivity'!$CN$9),--(M$9&gt;=sensitivity!$D$9:'sensitivity'!$CN$9),sensitivity!$D48:'sensitivity'!$CN48)</f>
        <v>#REF!</v>
      </c>
      <c r="N48" s="35" t="e">
        <f>SUMPRODUCT(--(N$8&lt;=sensitivity!$D$9:'sensitivity'!$CN$9),--(N$9&gt;=sensitivity!$D$9:'sensitivity'!$CN$9),sensitivity!$D48:'sensitivity'!$CN48)</f>
        <v>#REF!</v>
      </c>
      <c r="O48" s="35" t="e">
        <f>SUMPRODUCT(--(O$8&lt;=sensitivity!$D$9:'sensitivity'!$CN$9),--(O$9&gt;=sensitivity!$D$9:'sensitivity'!$CN$9),sensitivity!$D48:'sensitivity'!$CN48)</f>
        <v>#REF!</v>
      </c>
      <c r="P48" s="35" t="e">
        <f>SUMPRODUCT(--(P$8&lt;=sensitivity!$D$9:'sensitivity'!$CN$9),--(P$9&gt;=sensitivity!$D$9:'sensitivity'!$CN$9),sensitivity!$D48:'sensitivity'!$CN48)</f>
        <v>#REF!</v>
      </c>
      <c r="Q48" s="35" t="e">
        <f>SUMPRODUCT(--(Q$8&lt;=sensitivity!$D$9:'sensitivity'!$CN$9),--(Q$9&gt;=sensitivity!$D$9:'sensitivity'!$CN$9),sensitivity!$D48:'sensitivity'!$CN48)</f>
        <v>#REF!</v>
      </c>
      <c r="R48" s="35" t="e">
        <f>SUMPRODUCT(--(R$8&lt;=sensitivity!$D$9:'sensitivity'!$CN$9),--(R$9&gt;=sensitivity!$D$9:'sensitivity'!$CN$9),sensitivity!$D48:'sensitivity'!$CN48)</f>
        <v>#REF!</v>
      </c>
      <c r="S48" s="35" t="e">
        <f>SUMPRODUCT(--(S$8&lt;=sensitivity!$D$9:'sensitivity'!$CN$9),--(S$9&gt;=sensitivity!$D$9:'sensitivity'!$CN$9),sensitivity!$D48:'sensitivity'!$CN48)</f>
        <v>#REF!</v>
      </c>
      <c r="T48" s="35" t="e">
        <f>SUMPRODUCT(--(T$8&lt;=sensitivity!$D$9:'sensitivity'!$CN$9),--(T$9&gt;=sensitivity!$D$9:'sensitivity'!$CN$9),sensitivity!$D48:'sensitivity'!$CN48)</f>
        <v>#REF!</v>
      </c>
      <c r="U48" s="35" t="e">
        <f>SUMPRODUCT(--(U$8&lt;=sensitivity!$D$9:'sensitivity'!$CN$9),--(U$9&gt;=sensitivity!$D$9:'sensitivity'!$CN$9),sensitivity!$D48:'sensitivity'!$CN48)</f>
        <v>#REF!</v>
      </c>
      <c r="V48" s="35" t="e">
        <f>SUMPRODUCT(--(V$8&lt;=sensitivity!$D$9:'sensitivity'!$CN$9),--(V$9&gt;=sensitivity!$D$9:'sensitivity'!$CN$9),sensitivity!$D48:'sensitivity'!$CN48)</f>
        <v>#REF!</v>
      </c>
      <c r="W48" s="35" t="e">
        <f>SUMPRODUCT(--(W$8&lt;=sensitivity!$D$9:'sensitivity'!$CN$9),--(W$9&gt;=sensitivity!$D$9:'sensitivity'!$CN$9),sensitivity!$D48:'sensitivity'!$CN48)</f>
        <v>#REF!</v>
      </c>
      <c r="X48" s="35" t="e">
        <f>SUMPRODUCT(--(X$8&lt;=sensitivity!$D$9:'sensitivity'!$CN$9),--(X$9&gt;=sensitivity!$D$9:'sensitivity'!$CN$9),sensitivity!$D48:'sensitivity'!$CN48)</f>
        <v>#REF!</v>
      </c>
      <c r="Y48" s="35" t="e">
        <f>SUMPRODUCT(--(Y$8&lt;=sensitivity!$D$9:'sensitivity'!$CN$9),--(Y$9&gt;=sensitivity!$D$9:'sensitivity'!$CN$9),sensitivity!$D48:'sensitivity'!$CN48)</f>
        <v>#REF!</v>
      </c>
      <c r="Z48" s="35" t="e">
        <f>SUMPRODUCT(--(Z$8&lt;=sensitivity!$D$9:'sensitivity'!$CN$9),--(Z$9&gt;=sensitivity!$D$9:'sensitivity'!$CN$9),sensitivity!$D48:'sensitivity'!$CN48)</f>
        <v>#REF!</v>
      </c>
      <c r="AA48" s="35"/>
    </row>
    <row r="49" spans="1:27" ht="13" outlineLevel="2">
      <c r="A49" s="35"/>
      <c r="B49" s="63" t="s">
        <v>149</v>
      </c>
      <c r="C49" s="74" t="e">
        <f t="shared" si="9"/>
        <v>#REF!</v>
      </c>
      <c r="D49" s="60">
        <f>sensitivity!D49</f>
        <v>0</v>
      </c>
      <c r="E49" s="35" t="e">
        <f>SUMPRODUCT(--(E$8&lt;=sensitivity!$D$9:'sensitivity'!$CN$9),--(E$9&gt;=sensitivity!$D$9:'sensitivity'!$CN$9),sensitivity!$D49:'sensitivity'!$CN49)</f>
        <v>#REF!</v>
      </c>
      <c r="F49" s="35" t="e">
        <f>SUMPRODUCT(--(F$8&lt;=sensitivity!$D$9:'sensitivity'!$CN$9),--(F$9&gt;=sensitivity!$D$9:'sensitivity'!$CN$9),sensitivity!$D49:'sensitivity'!$CN49)</f>
        <v>#REF!</v>
      </c>
      <c r="G49" s="35" t="e">
        <f>SUMPRODUCT(--(G$8&lt;=sensitivity!$D$9:'sensitivity'!$CN$9),--(G$9&gt;=sensitivity!$D$9:'sensitivity'!$CN$9),sensitivity!$D49:'sensitivity'!$CN49)</f>
        <v>#REF!</v>
      </c>
      <c r="H49" s="35" t="e">
        <f>SUMPRODUCT(--(H$8&lt;=sensitivity!$D$9:'sensitivity'!$CN$9),--(H$9&gt;=sensitivity!$D$9:'sensitivity'!$CN$9),sensitivity!$D49:'sensitivity'!$CN49)</f>
        <v>#REF!</v>
      </c>
      <c r="I49" s="35" t="e">
        <f>SUMPRODUCT(--(I$8&lt;=sensitivity!$D$9:'sensitivity'!$CN$9),--(I$9&gt;=sensitivity!$D$9:'sensitivity'!$CN$9),sensitivity!$D49:'sensitivity'!$CN49)</f>
        <v>#REF!</v>
      </c>
      <c r="J49" s="35" t="e">
        <f>SUMPRODUCT(--(J$8&lt;=sensitivity!$D$9:'sensitivity'!$CN$9),--(J$9&gt;=sensitivity!$D$9:'sensitivity'!$CN$9),sensitivity!$D49:'sensitivity'!$CN49)</f>
        <v>#REF!</v>
      </c>
      <c r="K49" s="35" t="e">
        <f>SUMPRODUCT(--(K$8&lt;=sensitivity!$D$9:'sensitivity'!$CN$9),--(K$9&gt;=sensitivity!$D$9:'sensitivity'!$CN$9),sensitivity!$D49:'sensitivity'!$CN49)</f>
        <v>#REF!</v>
      </c>
      <c r="L49" s="35" t="e">
        <f>SUMPRODUCT(--(L$8&lt;=sensitivity!$D$9:'sensitivity'!$CN$9),--(L$9&gt;=sensitivity!$D$9:'sensitivity'!$CN$9),sensitivity!$D49:'sensitivity'!$CN49)</f>
        <v>#REF!</v>
      </c>
      <c r="M49" s="35" t="e">
        <f>SUMPRODUCT(--(M$8&lt;=sensitivity!$D$9:'sensitivity'!$CN$9),--(M$9&gt;=sensitivity!$D$9:'sensitivity'!$CN$9),sensitivity!$D49:'sensitivity'!$CN49)</f>
        <v>#REF!</v>
      </c>
      <c r="N49" s="35" t="e">
        <f>SUMPRODUCT(--(N$8&lt;=sensitivity!$D$9:'sensitivity'!$CN$9),--(N$9&gt;=sensitivity!$D$9:'sensitivity'!$CN$9),sensitivity!$D49:'sensitivity'!$CN49)</f>
        <v>#REF!</v>
      </c>
      <c r="O49" s="35" t="e">
        <f>SUMPRODUCT(--(O$8&lt;=sensitivity!$D$9:'sensitivity'!$CN$9),--(O$9&gt;=sensitivity!$D$9:'sensitivity'!$CN$9),sensitivity!$D49:'sensitivity'!$CN49)</f>
        <v>#REF!</v>
      </c>
      <c r="P49" s="35" t="e">
        <f>SUMPRODUCT(--(P$8&lt;=sensitivity!$D$9:'sensitivity'!$CN$9),--(P$9&gt;=sensitivity!$D$9:'sensitivity'!$CN$9),sensitivity!$D49:'sensitivity'!$CN49)</f>
        <v>#REF!</v>
      </c>
      <c r="Q49" s="35" t="e">
        <f>SUMPRODUCT(--(Q$8&lt;=sensitivity!$D$9:'sensitivity'!$CN$9),--(Q$9&gt;=sensitivity!$D$9:'sensitivity'!$CN$9),sensitivity!$D49:'sensitivity'!$CN49)</f>
        <v>#REF!</v>
      </c>
      <c r="R49" s="35" t="e">
        <f>SUMPRODUCT(--(R$8&lt;=sensitivity!$D$9:'sensitivity'!$CN$9),--(R$9&gt;=sensitivity!$D$9:'sensitivity'!$CN$9),sensitivity!$D49:'sensitivity'!$CN49)</f>
        <v>#REF!</v>
      </c>
      <c r="S49" s="35" t="e">
        <f>SUMPRODUCT(--(S$8&lt;=sensitivity!$D$9:'sensitivity'!$CN$9),--(S$9&gt;=sensitivity!$D$9:'sensitivity'!$CN$9),sensitivity!$D49:'sensitivity'!$CN49)</f>
        <v>#REF!</v>
      </c>
      <c r="T49" s="35" t="e">
        <f>SUMPRODUCT(--(T$8&lt;=sensitivity!$D$9:'sensitivity'!$CN$9),--(T$9&gt;=sensitivity!$D$9:'sensitivity'!$CN$9),sensitivity!$D49:'sensitivity'!$CN49)</f>
        <v>#REF!</v>
      </c>
      <c r="U49" s="35" t="e">
        <f>SUMPRODUCT(--(U$8&lt;=sensitivity!$D$9:'sensitivity'!$CN$9),--(U$9&gt;=sensitivity!$D$9:'sensitivity'!$CN$9),sensitivity!$D49:'sensitivity'!$CN49)</f>
        <v>#REF!</v>
      </c>
      <c r="V49" s="35" t="e">
        <f>SUMPRODUCT(--(V$8&lt;=sensitivity!$D$9:'sensitivity'!$CN$9),--(V$9&gt;=sensitivity!$D$9:'sensitivity'!$CN$9),sensitivity!$D49:'sensitivity'!$CN49)</f>
        <v>#REF!</v>
      </c>
      <c r="W49" s="35" t="e">
        <f>SUMPRODUCT(--(W$8&lt;=sensitivity!$D$9:'sensitivity'!$CN$9),--(W$9&gt;=sensitivity!$D$9:'sensitivity'!$CN$9),sensitivity!$D49:'sensitivity'!$CN49)</f>
        <v>#REF!</v>
      </c>
      <c r="X49" s="35" t="e">
        <f>SUMPRODUCT(--(X$8&lt;=sensitivity!$D$9:'sensitivity'!$CN$9),--(X$9&gt;=sensitivity!$D$9:'sensitivity'!$CN$9),sensitivity!$D49:'sensitivity'!$CN49)</f>
        <v>#REF!</v>
      </c>
      <c r="Y49" s="35" t="e">
        <f>SUMPRODUCT(--(Y$8&lt;=sensitivity!$D$9:'sensitivity'!$CN$9),--(Y$9&gt;=sensitivity!$D$9:'sensitivity'!$CN$9),sensitivity!$D49:'sensitivity'!$CN49)</f>
        <v>#REF!</v>
      </c>
      <c r="Z49" s="35" t="e">
        <f>SUMPRODUCT(--(Z$8&lt;=sensitivity!$D$9:'sensitivity'!$CN$9),--(Z$9&gt;=sensitivity!$D$9:'sensitivity'!$CN$9),sensitivity!$D49:'sensitivity'!$CN49)</f>
        <v>#REF!</v>
      </c>
      <c r="AA49" s="35"/>
    </row>
    <row r="50" spans="1:27" ht="13" outlineLevel="2">
      <c r="A50" s="35"/>
      <c r="B50" s="63" t="s">
        <v>150</v>
      </c>
      <c r="C50" s="74" t="e">
        <f t="shared" si="9"/>
        <v>#REF!</v>
      </c>
      <c r="D50" s="60">
        <f>sensitivity!D50</f>
        <v>0</v>
      </c>
      <c r="E50" s="35" t="e">
        <f>SUMPRODUCT(--(E$8&lt;=sensitivity!$D$9:'sensitivity'!$CN$9),--(E$9&gt;=sensitivity!$D$9:'sensitivity'!$CN$9),sensitivity!$D50:'sensitivity'!$CN50)</f>
        <v>#REF!</v>
      </c>
      <c r="F50" s="35" t="e">
        <f>SUMPRODUCT(--(F$8&lt;=sensitivity!$D$9:'sensitivity'!$CN$9),--(F$9&gt;=sensitivity!$D$9:'sensitivity'!$CN$9),sensitivity!$D50:'sensitivity'!$CN50)</f>
        <v>#REF!</v>
      </c>
      <c r="G50" s="35" t="e">
        <f>SUMPRODUCT(--(G$8&lt;=sensitivity!$D$9:'sensitivity'!$CN$9),--(G$9&gt;=sensitivity!$D$9:'sensitivity'!$CN$9),sensitivity!$D50:'sensitivity'!$CN50)</f>
        <v>#REF!</v>
      </c>
      <c r="H50" s="35" t="e">
        <f>SUMPRODUCT(--(H$8&lt;=sensitivity!$D$9:'sensitivity'!$CN$9),--(H$9&gt;=sensitivity!$D$9:'sensitivity'!$CN$9),sensitivity!$D50:'sensitivity'!$CN50)</f>
        <v>#REF!</v>
      </c>
      <c r="I50" s="35" t="e">
        <f>SUMPRODUCT(--(I$8&lt;=sensitivity!$D$9:'sensitivity'!$CN$9),--(I$9&gt;=sensitivity!$D$9:'sensitivity'!$CN$9),sensitivity!$D50:'sensitivity'!$CN50)</f>
        <v>#REF!</v>
      </c>
      <c r="J50" s="35" t="e">
        <f>SUMPRODUCT(--(J$8&lt;=sensitivity!$D$9:'sensitivity'!$CN$9),--(J$9&gt;=sensitivity!$D$9:'sensitivity'!$CN$9),sensitivity!$D50:'sensitivity'!$CN50)</f>
        <v>#REF!</v>
      </c>
      <c r="K50" s="35" t="e">
        <f>SUMPRODUCT(--(K$8&lt;=sensitivity!$D$9:'sensitivity'!$CN$9),--(K$9&gt;=sensitivity!$D$9:'sensitivity'!$CN$9),sensitivity!$D50:'sensitivity'!$CN50)</f>
        <v>#REF!</v>
      </c>
      <c r="L50" s="35" t="e">
        <f>SUMPRODUCT(--(L$8&lt;=sensitivity!$D$9:'sensitivity'!$CN$9),--(L$9&gt;=sensitivity!$D$9:'sensitivity'!$CN$9),sensitivity!$D50:'sensitivity'!$CN50)</f>
        <v>#REF!</v>
      </c>
      <c r="M50" s="35" t="e">
        <f>SUMPRODUCT(--(M$8&lt;=sensitivity!$D$9:'sensitivity'!$CN$9),--(M$9&gt;=sensitivity!$D$9:'sensitivity'!$CN$9),sensitivity!$D50:'sensitivity'!$CN50)</f>
        <v>#REF!</v>
      </c>
      <c r="N50" s="35" t="e">
        <f>SUMPRODUCT(--(N$8&lt;=sensitivity!$D$9:'sensitivity'!$CN$9),--(N$9&gt;=sensitivity!$D$9:'sensitivity'!$CN$9),sensitivity!$D50:'sensitivity'!$CN50)</f>
        <v>#REF!</v>
      </c>
      <c r="O50" s="35" t="e">
        <f>SUMPRODUCT(--(O$8&lt;=sensitivity!$D$9:'sensitivity'!$CN$9),--(O$9&gt;=sensitivity!$D$9:'sensitivity'!$CN$9),sensitivity!$D50:'sensitivity'!$CN50)</f>
        <v>#REF!</v>
      </c>
      <c r="P50" s="35" t="e">
        <f>SUMPRODUCT(--(P$8&lt;=sensitivity!$D$9:'sensitivity'!$CN$9),--(P$9&gt;=sensitivity!$D$9:'sensitivity'!$CN$9),sensitivity!$D50:'sensitivity'!$CN50)</f>
        <v>#REF!</v>
      </c>
      <c r="Q50" s="35" t="e">
        <f>SUMPRODUCT(--(Q$8&lt;=sensitivity!$D$9:'sensitivity'!$CN$9),--(Q$9&gt;=sensitivity!$D$9:'sensitivity'!$CN$9),sensitivity!$D50:'sensitivity'!$CN50)</f>
        <v>#REF!</v>
      </c>
      <c r="R50" s="35" t="e">
        <f>SUMPRODUCT(--(R$8&lt;=sensitivity!$D$9:'sensitivity'!$CN$9),--(R$9&gt;=sensitivity!$D$9:'sensitivity'!$CN$9),sensitivity!$D50:'sensitivity'!$CN50)</f>
        <v>#REF!</v>
      </c>
      <c r="S50" s="35" t="e">
        <f>SUMPRODUCT(--(S$8&lt;=sensitivity!$D$9:'sensitivity'!$CN$9),--(S$9&gt;=sensitivity!$D$9:'sensitivity'!$CN$9),sensitivity!$D50:'sensitivity'!$CN50)</f>
        <v>#REF!</v>
      </c>
      <c r="T50" s="35" t="e">
        <f>SUMPRODUCT(--(T$8&lt;=sensitivity!$D$9:'sensitivity'!$CN$9),--(T$9&gt;=sensitivity!$D$9:'sensitivity'!$CN$9),sensitivity!$D50:'sensitivity'!$CN50)</f>
        <v>#REF!</v>
      </c>
      <c r="U50" s="35" t="e">
        <f>SUMPRODUCT(--(U$8&lt;=sensitivity!$D$9:'sensitivity'!$CN$9),--(U$9&gt;=sensitivity!$D$9:'sensitivity'!$CN$9),sensitivity!$D50:'sensitivity'!$CN50)</f>
        <v>#REF!</v>
      </c>
      <c r="V50" s="35" t="e">
        <f>SUMPRODUCT(--(V$8&lt;=sensitivity!$D$9:'sensitivity'!$CN$9),--(V$9&gt;=sensitivity!$D$9:'sensitivity'!$CN$9),sensitivity!$D50:'sensitivity'!$CN50)</f>
        <v>#REF!</v>
      </c>
      <c r="W50" s="35" t="e">
        <f>SUMPRODUCT(--(W$8&lt;=sensitivity!$D$9:'sensitivity'!$CN$9),--(W$9&gt;=sensitivity!$D$9:'sensitivity'!$CN$9),sensitivity!$D50:'sensitivity'!$CN50)</f>
        <v>#REF!</v>
      </c>
      <c r="X50" s="35" t="e">
        <f>SUMPRODUCT(--(X$8&lt;=sensitivity!$D$9:'sensitivity'!$CN$9),--(X$9&gt;=sensitivity!$D$9:'sensitivity'!$CN$9),sensitivity!$D50:'sensitivity'!$CN50)</f>
        <v>#REF!</v>
      </c>
      <c r="Y50" s="35" t="e">
        <f>SUMPRODUCT(--(Y$8&lt;=sensitivity!$D$9:'sensitivity'!$CN$9),--(Y$9&gt;=sensitivity!$D$9:'sensitivity'!$CN$9),sensitivity!$D50:'sensitivity'!$CN50)</f>
        <v>#REF!</v>
      </c>
      <c r="Z50" s="35" t="e">
        <f>SUMPRODUCT(--(Z$8&lt;=sensitivity!$D$9:'sensitivity'!$CN$9),--(Z$9&gt;=sensitivity!$D$9:'sensitivity'!$CN$9),sensitivity!$D50:'sensitivity'!$CN50)</f>
        <v>#REF!</v>
      </c>
      <c r="AA50" s="35"/>
    </row>
    <row r="51" spans="1:27" ht="13" outlineLevel="2">
      <c r="A51" s="35"/>
      <c r="B51" s="63" t="s">
        <v>151</v>
      </c>
      <c r="C51" s="74" t="e">
        <f t="shared" si="9"/>
        <v>#REF!</v>
      </c>
      <c r="D51" s="60">
        <f>sensitivity!D51</f>
        <v>0</v>
      </c>
      <c r="E51" s="35" t="e">
        <f>SUMPRODUCT(--(E$8&lt;=sensitivity!$D$9:'sensitivity'!$CN$9),--(E$9&gt;=sensitivity!$D$9:'sensitivity'!$CN$9),sensitivity!$D51:'sensitivity'!$CN51)</f>
        <v>#REF!</v>
      </c>
      <c r="F51" s="35" t="e">
        <f>SUMPRODUCT(--(F$8&lt;=sensitivity!$D$9:'sensitivity'!$CN$9),--(F$9&gt;=sensitivity!$D$9:'sensitivity'!$CN$9),sensitivity!$D51:'sensitivity'!$CN51)</f>
        <v>#REF!</v>
      </c>
      <c r="G51" s="35" t="e">
        <f>SUMPRODUCT(--(G$8&lt;=sensitivity!$D$9:'sensitivity'!$CN$9),--(G$9&gt;=sensitivity!$D$9:'sensitivity'!$CN$9),sensitivity!$D51:'sensitivity'!$CN51)</f>
        <v>#REF!</v>
      </c>
      <c r="H51" s="35" t="e">
        <f>SUMPRODUCT(--(H$8&lt;=sensitivity!$D$9:'sensitivity'!$CN$9),--(H$9&gt;=sensitivity!$D$9:'sensitivity'!$CN$9),sensitivity!$D51:'sensitivity'!$CN51)</f>
        <v>#REF!</v>
      </c>
      <c r="I51" s="35" t="e">
        <f>SUMPRODUCT(--(I$8&lt;=sensitivity!$D$9:'sensitivity'!$CN$9),--(I$9&gt;=sensitivity!$D$9:'sensitivity'!$CN$9),sensitivity!$D51:'sensitivity'!$CN51)</f>
        <v>#REF!</v>
      </c>
      <c r="J51" s="35" t="e">
        <f>SUMPRODUCT(--(J$8&lt;=sensitivity!$D$9:'sensitivity'!$CN$9),--(J$9&gt;=sensitivity!$D$9:'sensitivity'!$CN$9),sensitivity!$D51:'sensitivity'!$CN51)</f>
        <v>#REF!</v>
      </c>
      <c r="K51" s="35" t="e">
        <f>SUMPRODUCT(--(K$8&lt;=sensitivity!$D$9:'sensitivity'!$CN$9),--(K$9&gt;=sensitivity!$D$9:'sensitivity'!$CN$9),sensitivity!$D51:'sensitivity'!$CN51)</f>
        <v>#REF!</v>
      </c>
      <c r="L51" s="35" t="e">
        <f>SUMPRODUCT(--(L$8&lt;=sensitivity!$D$9:'sensitivity'!$CN$9),--(L$9&gt;=sensitivity!$D$9:'sensitivity'!$CN$9),sensitivity!$D51:'sensitivity'!$CN51)</f>
        <v>#REF!</v>
      </c>
      <c r="M51" s="35" t="e">
        <f>SUMPRODUCT(--(M$8&lt;=sensitivity!$D$9:'sensitivity'!$CN$9),--(M$9&gt;=sensitivity!$D$9:'sensitivity'!$CN$9),sensitivity!$D51:'sensitivity'!$CN51)</f>
        <v>#REF!</v>
      </c>
      <c r="N51" s="35" t="e">
        <f>SUMPRODUCT(--(N$8&lt;=sensitivity!$D$9:'sensitivity'!$CN$9),--(N$9&gt;=sensitivity!$D$9:'sensitivity'!$CN$9),sensitivity!$D51:'sensitivity'!$CN51)</f>
        <v>#REF!</v>
      </c>
      <c r="O51" s="35" t="e">
        <f>SUMPRODUCT(--(O$8&lt;=sensitivity!$D$9:'sensitivity'!$CN$9),--(O$9&gt;=sensitivity!$D$9:'sensitivity'!$CN$9),sensitivity!$D51:'sensitivity'!$CN51)</f>
        <v>#REF!</v>
      </c>
      <c r="P51" s="35" t="e">
        <f>SUMPRODUCT(--(P$8&lt;=sensitivity!$D$9:'sensitivity'!$CN$9),--(P$9&gt;=sensitivity!$D$9:'sensitivity'!$CN$9),sensitivity!$D51:'sensitivity'!$CN51)</f>
        <v>#REF!</v>
      </c>
      <c r="Q51" s="35" t="e">
        <f>SUMPRODUCT(--(Q$8&lt;=sensitivity!$D$9:'sensitivity'!$CN$9),--(Q$9&gt;=sensitivity!$D$9:'sensitivity'!$CN$9),sensitivity!$D51:'sensitivity'!$CN51)</f>
        <v>#REF!</v>
      </c>
      <c r="R51" s="35" t="e">
        <f>SUMPRODUCT(--(R$8&lt;=sensitivity!$D$9:'sensitivity'!$CN$9),--(R$9&gt;=sensitivity!$D$9:'sensitivity'!$CN$9),sensitivity!$D51:'sensitivity'!$CN51)</f>
        <v>#REF!</v>
      </c>
      <c r="S51" s="35" t="e">
        <f>SUMPRODUCT(--(S$8&lt;=sensitivity!$D$9:'sensitivity'!$CN$9),--(S$9&gt;=sensitivity!$D$9:'sensitivity'!$CN$9),sensitivity!$D51:'sensitivity'!$CN51)</f>
        <v>#REF!</v>
      </c>
      <c r="T51" s="35" t="e">
        <f>SUMPRODUCT(--(T$8&lt;=sensitivity!$D$9:'sensitivity'!$CN$9),--(T$9&gt;=sensitivity!$D$9:'sensitivity'!$CN$9),sensitivity!$D51:'sensitivity'!$CN51)</f>
        <v>#REF!</v>
      </c>
      <c r="U51" s="35" t="e">
        <f>SUMPRODUCT(--(U$8&lt;=sensitivity!$D$9:'sensitivity'!$CN$9),--(U$9&gt;=sensitivity!$D$9:'sensitivity'!$CN$9),sensitivity!$D51:'sensitivity'!$CN51)</f>
        <v>#REF!</v>
      </c>
      <c r="V51" s="35" t="e">
        <f>SUMPRODUCT(--(V$8&lt;=sensitivity!$D$9:'sensitivity'!$CN$9),--(V$9&gt;=sensitivity!$D$9:'sensitivity'!$CN$9),sensitivity!$D51:'sensitivity'!$CN51)</f>
        <v>#REF!</v>
      </c>
      <c r="W51" s="35" t="e">
        <f>SUMPRODUCT(--(W$8&lt;=sensitivity!$D$9:'sensitivity'!$CN$9),--(W$9&gt;=sensitivity!$D$9:'sensitivity'!$CN$9),sensitivity!$D51:'sensitivity'!$CN51)</f>
        <v>#REF!</v>
      </c>
      <c r="X51" s="35" t="e">
        <f>SUMPRODUCT(--(X$8&lt;=sensitivity!$D$9:'sensitivity'!$CN$9),--(X$9&gt;=sensitivity!$D$9:'sensitivity'!$CN$9),sensitivity!$D51:'sensitivity'!$CN51)</f>
        <v>#REF!</v>
      </c>
      <c r="Y51" s="35" t="e">
        <f>SUMPRODUCT(--(Y$8&lt;=sensitivity!$D$9:'sensitivity'!$CN$9),--(Y$9&gt;=sensitivity!$D$9:'sensitivity'!$CN$9),sensitivity!$D51:'sensitivity'!$CN51)</f>
        <v>#REF!</v>
      </c>
      <c r="Z51" s="35" t="e">
        <f>SUMPRODUCT(--(Z$8&lt;=sensitivity!$D$9:'sensitivity'!$CN$9),--(Z$9&gt;=sensitivity!$D$9:'sensitivity'!$CN$9),sensitivity!$D51:'sensitivity'!$CN51)</f>
        <v>#REF!</v>
      </c>
      <c r="AA51" s="35"/>
    </row>
    <row r="52" spans="1:27" ht="13" outlineLevel="2">
      <c r="A52" s="35"/>
      <c r="B52" s="63" t="s">
        <v>152</v>
      </c>
      <c r="C52" s="74" t="e">
        <f t="shared" si="9"/>
        <v>#REF!</v>
      </c>
      <c r="D52" s="60">
        <f>sensitivity!D52</f>
        <v>0</v>
      </c>
      <c r="E52" s="35" t="e">
        <f>SUMPRODUCT(--(E$8&lt;=sensitivity!$D$9:'sensitivity'!$CN$9),--(E$9&gt;=sensitivity!$D$9:'sensitivity'!$CN$9),sensitivity!$D52:'sensitivity'!$CN52)</f>
        <v>#REF!</v>
      </c>
      <c r="F52" s="35" t="e">
        <f>SUMPRODUCT(--(F$8&lt;=sensitivity!$D$9:'sensitivity'!$CN$9),--(F$9&gt;=sensitivity!$D$9:'sensitivity'!$CN$9),sensitivity!$D52:'sensitivity'!$CN52)</f>
        <v>#REF!</v>
      </c>
      <c r="G52" s="35" t="e">
        <f>SUMPRODUCT(--(G$8&lt;=sensitivity!$D$9:'sensitivity'!$CN$9),--(G$9&gt;=sensitivity!$D$9:'sensitivity'!$CN$9),sensitivity!$D52:'sensitivity'!$CN52)</f>
        <v>#REF!</v>
      </c>
      <c r="H52" s="35" t="e">
        <f>SUMPRODUCT(--(H$8&lt;=sensitivity!$D$9:'sensitivity'!$CN$9),--(H$9&gt;=sensitivity!$D$9:'sensitivity'!$CN$9),sensitivity!$D52:'sensitivity'!$CN52)</f>
        <v>#REF!</v>
      </c>
      <c r="I52" s="35" t="e">
        <f>SUMPRODUCT(--(I$8&lt;=sensitivity!$D$9:'sensitivity'!$CN$9),--(I$9&gt;=sensitivity!$D$9:'sensitivity'!$CN$9),sensitivity!$D52:'sensitivity'!$CN52)</f>
        <v>#REF!</v>
      </c>
      <c r="J52" s="35" t="e">
        <f>SUMPRODUCT(--(J$8&lt;=sensitivity!$D$9:'sensitivity'!$CN$9),--(J$9&gt;=sensitivity!$D$9:'sensitivity'!$CN$9),sensitivity!$D52:'sensitivity'!$CN52)</f>
        <v>#REF!</v>
      </c>
      <c r="K52" s="35" t="e">
        <f>SUMPRODUCT(--(K$8&lt;=sensitivity!$D$9:'sensitivity'!$CN$9),--(K$9&gt;=sensitivity!$D$9:'sensitivity'!$CN$9),sensitivity!$D52:'sensitivity'!$CN52)</f>
        <v>#REF!</v>
      </c>
      <c r="L52" s="35" t="e">
        <f>SUMPRODUCT(--(L$8&lt;=sensitivity!$D$9:'sensitivity'!$CN$9),--(L$9&gt;=sensitivity!$D$9:'sensitivity'!$CN$9),sensitivity!$D52:'sensitivity'!$CN52)</f>
        <v>#REF!</v>
      </c>
      <c r="M52" s="35" t="e">
        <f>SUMPRODUCT(--(M$8&lt;=sensitivity!$D$9:'sensitivity'!$CN$9),--(M$9&gt;=sensitivity!$D$9:'sensitivity'!$CN$9),sensitivity!$D52:'sensitivity'!$CN52)</f>
        <v>#REF!</v>
      </c>
      <c r="N52" s="35" t="e">
        <f>SUMPRODUCT(--(N$8&lt;=sensitivity!$D$9:'sensitivity'!$CN$9),--(N$9&gt;=sensitivity!$D$9:'sensitivity'!$CN$9),sensitivity!$D52:'sensitivity'!$CN52)</f>
        <v>#REF!</v>
      </c>
      <c r="O52" s="35" t="e">
        <f>SUMPRODUCT(--(O$8&lt;=sensitivity!$D$9:'sensitivity'!$CN$9),--(O$9&gt;=sensitivity!$D$9:'sensitivity'!$CN$9),sensitivity!$D52:'sensitivity'!$CN52)</f>
        <v>#REF!</v>
      </c>
      <c r="P52" s="35" t="e">
        <f>SUMPRODUCT(--(P$8&lt;=sensitivity!$D$9:'sensitivity'!$CN$9),--(P$9&gt;=sensitivity!$D$9:'sensitivity'!$CN$9),sensitivity!$D52:'sensitivity'!$CN52)</f>
        <v>#REF!</v>
      </c>
      <c r="Q52" s="35" t="e">
        <f>SUMPRODUCT(--(Q$8&lt;=sensitivity!$D$9:'sensitivity'!$CN$9),--(Q$9&gt;=sensitivity!$D$9:'sensitivity'!$CN$9),sensitivity!$D52:'sensitivity'!$CN52)</f>
        <v>#REF!</v>
      </c>
      <c r="R52" s="35" t="e">
        <f>SUMPRODUCT(--(R$8&lt;=sensitivity!$D$9:'sensitivity'!$CN$9),--(R$9&gt;=sensitivity!$D$9:'sensitivity'!$CN$9),sensitivity!$D52:'sensitivity'!$CN52)</f>
        <v>#REF!</v>
      </c>
      <c r="S52" s="35" t="e">
        <f>SUMPRODUCT(--(S$8&lt;=sensitivity!$D$9:'sensitivity'!$CN$9),--(S$9&gt;=sensitivity!$D$9:'sensitivity'!$CN$9),sensitivity!$D52:'sensitivity'!$CN52)</f>
        <v>#REF!</v>
      </c>
      <c r="T52" s="35" t="e">
        <f>SUMPRODUCT(--(T$8&lt;=sensitivity!$D$9:'sensitivity'!$CN$9),--(T$9&gt;=sensitivity!$D$9:'sensitivity'!$CN$9),sensitivity!$D52:'sensitivity'!$CN52)</f>
        <v>#REF!</v>
      </c>
      <c r="U52" s="35" t="e">
        <f>SUMPRODUCT(--(U$8&lt;=sensitivity!$D$9:'sensitivity'!$CN$9),--(U$9&gt;=sensitivity!$D$9:'sensitivity'!$CN$9),sensitivity!$D52:'sensitivity'!$CN52)</f>
        <v>#REF!</v>
      </c>
      <c r="V52" s="35" t="e">
        <f>SUMPRODUCT(--(V$8&lt;=sensitivity!$D$9:'sensitivity'!$CN$9),--(V$9&gt;=sensitivity!$D$9:'sensitivity'!$CN$9),sensitivity!$D52:'sensitivity'!$CN52)</f>
        <v>#REF!</v>
      </c>
      <c r="W52" s="35" t="e">
        <f>SUMPRODUCT(--(W$8&lt;=sensitivity!$D$9:'sensitivity'!$CN$9),--(W$9&gt;=sensitivity!$D$9:'sensitivity'!$CN$9),sensitivity!$D52:'sensitivity'!$CN52)</f>
        <v>#REF!</v>
      </c>
      <c r="X52" s="35" t="e">
        <f>SUMPRODUCT(--(X$8&lt;=sensitivity!$D$9:'sensitivity'!$CN$9),--(X$9&gt;=sensitivity!$D$9:'sensitivity'!$CN$9),sensitivity!$D52:'sensitivity'!$CN52)</f>
        <v>#REF!</v>
      </c>
      <c r="Y52" s="35" t="e">
        <f>SUMPRODUCT(--(Y$8&lt;=sensitivity!$D$9:'sensitivity'!$CN$9),--(Y$9&gt;=sensitivity!$D$9:'sensitivity'!$CN$9),sensitivity!$D52:'sensitivity'!$CN52)</f>
        <v>#REF!</v>
      </c>
      <c r="Z52" s="35" t="e">
        <f>SUMPRODUCT(--(Z$8&lt;=sensitivity!$D$9:'sensitivity'!$CN$9),--(Z$9&gt;=sensitivity!$D$9:'sensitivity'!$CN$9),sensitivity!$D52:'sensitivity'!$CN52)</f>
        <v>#REF!</v>
      </c>
      <c r="AA52" s="35"/>
    </row>
    <row r="53" spans="1:27" ht="13" outlineLevel="2">
      <c r="A53" s="35"/>
      <c r="B53" s="63" t="s">
        <v>153</v>
      </c>
      <c r="C53" s="74" t="e">
        <f t="shared" si="9"/>
        <v>#REF!</v>
      </c>
      <c r="D53" s="60">
        <f>sensitivity!D53</f>
        <v>0</v>
      </c>
      <c r="E53" s="35" t="e">
        <f>SUMPRODUCT(--(E$8&lt;=sensitivity!$D$9:'sensitivity'!$CN$9),--(E$9&gt;=sensitivity!$D$9:'sensitivity'!$CN$9),sensitivity!$D53:'sensitivity'!$CN53)</f>
        <v>#REF!</v>
      </c>
      <c r="F53" s="35" t="e">
        <f>SUMPRODUCT(--(F$8&lt;=sensitivity!$D$9:'sensitivity'!$CN$9),--(F$9&gt;=sensitivity!$D$9:'sensitivity'!$CN$9),sensitivity!$D53:'sensitivity'!$CN53)</f>
        <v>#REF!</v>
      </c>
      <c r="G53" s="35" t="e">
        <f>SUMPRODUCT(--(G$8&lt;=sensitivity!$D$9:'sensitivity'!$CN$9),--(G$9&gt;=sensitivity!$D$9:'sensitivity'!$CN$9),sensitivity!$D53:'sensitivity'!$CN53)</f>
        <v>#REF!</v>
      </c>
      <c r="H53" s="35" t="e">
        <f>SUMPRODUCT(--(H$8&lt;=sensitivity!$D$9:'sensitivity'!$CN$9),--(H$9&gt;=sensitivity!$D$9:'sensitivity'!$CN$9),sensitivity!$D53:'sensitivity'!$CN53)</f>
        <v>#REF!</v>
      </c>
      <c r="I53" s="35" t="e">
        <f>SUMPRODUCT(--(I$8&lt;=sensitivity!$D$9:'sensitivity'!$CN$9),--(I$9&gt;=sensitivity!$D$9:'sensitivity'!$CN$9),sensitivity!$D53:'sensitivity'!$CN53)</f>
        <v>#REF!</v>
      </c>
      <c r="J53" s="35" t="e">
        <f>SUMPRODUCT(--(J$8&lt;=sensitivity!$D$9:'sensitivity'!$CN$9),--(J$9&gt;=sensitivity!$D$9:'sensitivity'!$CN$9),sensitivity!$D53:'sensitivity'!$CN53)</f>
        <v>#REF!</v>
      </c>
      <c r="K53" s="35" t="e">
        <f>SUMPRODUCT(--(K$8&lt;=sensitivity!$D$9:'sensitivity'!$CN$9),--(K$9&gt;=sensitivity!$D$9:'sensitivity'!$CN$9),sensitivity!$D53:'sensitivity'!$CN53)</f>
        <v>#REF!</v>
      </c>
      <c r="L53" s="35" t="e">
        <f>SUMPRODUCT(--(L$8&lt;=sensitivity!$D$9:'sensitivity'!$CN$9),--(L$9&gt;=sensitivity!$D$9:'sensitivity'!$CN$9),sensitivity!$D53:'sensitivity'!$CN53)</f>
        <v>#REF!</v>
      </c>
      <c r="M53" s="35" t="e">
        <f>SUMPRODUCT(--(M$8&lt;=sensitivity!$D$9:'sensitivity'!$CN$9),--(M$9&gt;=sensitivity!$D$9:'sensitivity'!$CN$9),sensitivity!$D53:'sensitivity'!$CN53)</f>
        <v>#REF!</v>
      </c>
      <c r="N53" s="35" t="e">
        <f>SUMPRODUCT(--(N$8&lt;=sensitivity!$D$9:'sensitivity'!$CN$9),--(N$9&gt;=sensitivity!$D$9:'sensitivity'!$CN$9),sensitivity!$D53:'sensitivity'!$CN53)</f>
        <v>#REF!</v>
      </c>
      <c r="O53" s="35" t="e">
        <f>SUMPRODUCT(--(O$8&lt;=sensitivity!$D$9:'sensitivity'!$CN$9),--(O$9&gt;=sensitivity!$D$9:'sensitivity'!$CN$9),sensitivity!$D53:'sensitivity'!$CN53)</f>
        <v>#REF!</v>
      </c>
      <c r="P53" s="35" t="e">
        <f>SUMPRODUCT(--(P$8&lt;=sensitivity!$D$9:'sensitivity'!$CN$9),--(P$9&gt;=sensitivity!$D$9:'sensitivity'!$CN$9),sensitivity!$D53:'sensitivity'!$CN53)</f>
        <v>#REF!</v>
      </c>
      <c r="Q53" s="35" t="e">
        <f>SUMPRODUCT(--(Q$8&lt;=sensitivity!$D$9:'sensitivity'!$CN$9),--(Q$9&gt;=sensitivity!$D$9:'sensitivity'!$CN$9),sensitivity!$D53:'sensitivity'!$CN53)</f>
        <v>#REF!</v>
      </c>
      <c r="R53" s="35" t="e">
        <f>SUMPRODUCT(--(R$8&lt;=sensitivity!$D$9:'sensitivity'!$CN$9),--(R$9&gt;=sensitivity!$D$9:'sensitivity'!$CN$9),sensitivity!$D53:'sensitivity'!$CN53)</f>
        <v>#REF!</v>
      </c>
      <c r="S53" s="35" t="e">
        <f>SUMPRODUCT(--(S$8&lt;=sensitivity!$D$9:'sensitivity'!$CN$9),--(S$9&gt;=sensitivity!$D$9:'sensitivity'!$CN$9),sensitivity!$D53:'sensitivity'!$CN53)</f>
        <v>#REF!</v>
      </c>
      <c r="T53" s="35" t="e">
        <f>SUMPRODUCT(--(T$8&lt;=sensitivity!$D$9:'sensitivity'!$CN$9),--(T$9&gt;=sensitivity!$D$9:'sensitivity'!$CN$9),sensitivity!$D53:'sensitivity'!$CN53)</f>
        <v>#REF!</v>
      </c>
      <c r="U53" s="35" t="e">
        <f>SUMPRODUCT(--(U$8&lt;=sensitivity!$D$9:'sensitivity'!$CN$9),--(U$9&gt;=sensitivity!$D$9:'sensitivity'!$CN$9),sensitivity!$D53:'sensitivity'!$CN53)</f>
        <v>#REF!</v>
      </c>
      <c r="V53" s="35" t="e">
        <f>SUMPRODUCT(--(V$8&lt;=sensitivity!$D$9:'sensitivity'!$CN$9),--(V$9&gt;=sensitivity!$D$9:'sensitivity'!$CN$9),sensitivity!$D53:'sensitivity'!$CN53)</f>
        <v>#REF!</v>
      </c>
      <c r="W53" s="35" t="e">
        <f>SUMPRODUCT(--(W$8&lt;=sensitivity!$D$9:'sensitivity'!$CN$9),--(W$9&gt;=sensitivity!$D$9:'sensitivity'!$CN$9),sensitivity!$D53:'sensitivity'!$CN53)</f>
        <v>#REF!</v>
      </c>
      <c r="X53" s="35" t="e">
        <f>SUMPRODUCT(--(X$8&lt;=sensitivity!$D$9:'sensitivity'!$CN$9),--(X$9&gt;=sensitivity!$D$9:'sensitivity'!$CN$9),sensitivity!$D53:'sensitivity'!$CN53)</f>
        <v>#REF!</v>
      </c>
      <c r="Y53" s="35" t="e">
        <f>SUMPRODUCT(--(Y$8&lt;=sensitivity!$D$9:'sensitivity'!$CN$9),--(Y$9&gt;=sensitivity!$D$9:'sensitivity'!$CN$9),sensitivity!$D53:'sensitivity'!$CN53)</f>
        <v>#REF!</v>
      </c>
      <c r="Z53" s="35" t="e">
        <f>SUMPRODUCT(--(Z$8&lt;=sensitivity!$D$9:'sensitivity'!$CN$9),--(Z$9&gt;=sensitivity!$D$9:'sensitivity'!$CN$9),sensitivity!$D53:'sensitivity'!$CN53)</f>
        <v>#REF!</v>
      </c>
      <c r="AA53" s="35"/>
    </row>
    <row r="54" spans="1:27" ht="13" outlineLevel="2">
      <c r="A54" s="35"/>
      <c r="B54" s="63" t="s">
        <v>154</v>
      </c>
      <c r="C54" s="74" t="e">
        <f t="shared" si="9"/>
        <v>#REF!</v>
      </c>
      <c r="D54" s="60">
        <f>sensitivity!D54</f>
        <v>0</v>
      </c>
      <c r="E54" s="35" t="e">
        <f>SUMPRODUCT(--(E$8&lt;=sensitivity!$D$9:'sensitivity'!$CN$9),--(E$9&gt;=sensitivity!$D$9:'sensitivity'!$CN$9),sensitivity!$D54:'sensitivity'!$CN54)</f>
        <v>#REF!</v>
      </c>
      <c r="F54" s="35" t="e">
        <f>SUMPRODUCT(--(F$8&lt;=sensitivity!$D$9:'sensitivity'!$CN$9),--(F$9&gt;=sensitivity!$D$9:'sensitivity'!$CN$9),sensitivity!$D54:'sensitivity'!$CN54)</f>
        <v>#REF!</v>
      </c>
      <c r="G54" s="35" t="e">
        <f>SUMPRODUCT(--(G$8&lt;=sensitivity!$D$9:'sensitivity'!$CN$9),--(G$9&gt;=sensitivity!$D$9:'sensitivity'!$CN$9),sensitivity!$D54:'sensitivity'!$CN54)</f>
        <v>#REF!</v>
      </c>
      <c r="H54" s="35" t="e">
        <f>SUMPRODUCT(--(H$8&lt;=sensitivity!$D$9:'sensitivity'!$CN$9),--(H$9&gt;=sensitivity!$D$9:'sensitivity'!$CN$9),sensitivity!$D54:'sensitivity'!$CN54)</f>
        <v>#REF!</v>
      </c>
      <c r="I54" s="35" t="e">
        <f>SUMPRODUCT(--(I$8&lt;=sensitivity!$D$9:'sensitivity'!$CN$9),--(I$9&gt;=sensitivity!$D$9:'sensitivity'!$CN$9),sensitivity!$D54:'sensitivity'!$CN54)</f>
        <v>#REF!</v>
      </c>
      <c r="J54" s="35" t="e">
        <f>SUMPRODUCT(--(J$8&lt;=sensitivity!$D$9:'sensitivity'!$CN$9),--(J$9&gt;=sensitivity!$D$9:'sensitivity'!$CN$9),sensitivity!$D54:'sensitivity'!$CN54)</f>
        <v>#REF!</v>
      </c>
      <c r="K54" s="35" t="e">
        <f>SUMPRODUCT(--(K$8&lt;=sensitivity!$D$9:'sensitivity'!$CN$9),--(K$9&gt;=sensitivity!$D$9:'sensitivity'!$CN$9),sensitivity!$D54:'sensitivity'!$CN54)</f>
        <v>#REF!</v>
      </c>
      <c r="L54" s="35" t="e">
        <f>SUMPRODUCT(--(L$8&lt;=sensitivity!$D$9:'sensitivity'!$CN$9),--(L$9&gt;=sensitivity!$D$9:'sensitivity'!$CN$9),sensitivity!$D54:'sensitivity'!$CN54)</f>
        <v>#REF!</v>
      </c>
      <c r="M54" s="35" t="e">
        <f>SUMPRODUCT(--(M$8&lt;=sensitivity!$D$9:'sensitivity'!$CN$9),--(M$9&gt;=sensitivity!$D$9:'sensitivity'!$CN$9),sensitivity!$D54:'sensitivity'!$CN54)</f>
        <v>#REF!</v>
      </c>
      <c r="N54" s="35" t="e">
        <f>SUMPRODUCT(--(N$8&lt;=sensitivity!$D$9:'sensitivity'!$CN$9),--(N$9&gt;=sensitivity!$D$9:'sensitivity'!$CN$9),sensitivity!$D54:'sensitivity'!$CN54)</f>
        <v>#REF!</v>
      </c>
      <c r="O54" s="35" t="e">
        <f>SUMPRODUCT(--(O$8&lt;=sensitivity!$D$9:'sensitivity'!$CN$9),--(O$9&gt;=sensitivity!$D$9:'sensitivity'!$CN$9),sensitivity!$D54:'sensitivity'!$CN54)</f>
        <v>#REF!</v>
      </c>
      <c r="P54" s="35" t="e">
        <f>SUMPRODUCT(--(P$8&lt;=sensitivity!$D$9:'sensitivity'!$CN$9),--(P$9&gt;=sensitivity!$D$9:'sensitivity'!$CN$9),sensitivity!$D54:'sensitivity'!$CN54)</f>
        <v>#REF!</v>
      </c>
      <c r="Q54" s="35" t="e">
        <f>SUMPRODUCT(--(Q$8&lt;=sensitivity!$D$9:'sensitivity'!$CN$9),--(Q$9&gt;=sensitivity!$D$9:'sensitivity'!$CN$9),sensitivity!$D54:'sensitivity'!$CN54)</f>
        <v>#REF!</v>
      </c>
      <c r="R54" s="35" t="e">
        <f>SUMPRODUCT(--(R$8&lt;=sensitivity!$D$9:'sensitivity'!$CN$9),--(R$9&gt;=sensitivity!$D$9:'sensitivity'!$CN$9),sensitivity!$D54:'sensitivity'!$CN54)</f>
        <v>#REF!</v>
      </c>
      <c r="S54" s="35" t="e">
        <f>SUMPRODUCT(--(S$8&lt;=sensitivity!$D$9:'sensitivity'!$CN$9),--(S$9&gt;=sensitivity!$D$9:'sensitivity'!$CN$9),sensitivity!$D54:'sensitivity'!$CN54)</f>
        <v>#REF!</v>
      </c>
      <c r="T54" s="35" t="e">
        <f>SUMPRODUCT(--(T$8&lt;=sensitivity!$D$9:'sensitivity'!$CN$9),--(T$9&gt;=sensitivity!$D$9:'sensitivity'!$CN$9),sensitivity!$D54:'sensitivity'!$CN54)</f>
        <v>#REF!</v>
      </c>
      <c r="U54" s="35" t="e">
        <f>SUMPRODUCT(--(U$8&lt;=sensitivity!$D$9:'sensitivity'!$CN$9),--(U$9&gt;=sensitivity!$D$9:'sensitivity'!$CN$9),sensitivity!$D54:'sensitivity'!$CN54)</f>
        <v>#REF!</v>
      </c>
      <c r="V54" s="35" t="e">
        <f>SUMPRODUCT(--(V$8&lt;=sensitivity!$D$9:'sensitivity'!$CN$9),--(V$9&gt;=sensitivity!$D$9:'sensitivity'!$CN$9),sensitivity!$D54:'sensitivity'!$CN54)</f>
        <v>#REF!</v>
      </c>
      <c r="W54" s="35" t="e">
        <f>SUMPRODUCT(--(W$8&lt;=sensitivity!$D$9:'sensitivity'!$CN$9),--(W$9&gt;=sensitivity!$D$9:'sensitivity'!$CN$9),sensitivity!$D54:'sensitivity'!$CN54)</f>
        <v>#REF!</v>
      </c>
      <c r="X54" s="35" t="e">
        <f>SUMPRODUCT(--(X$8&lt;=sensitivity!$D$9:'sensitivity'!$CN$9),--(X$9&gt;=sensitivity!$D$9:'sensitivity'!$CN$9),sensitivity!$D54:'sensitivity'!$CN54)</f>
        <v>#REF!</v>
      </c>
      <c r="Y54" s="35" t="e">
        <f>SUMPRODUCT(--(Y$8&lt;=sensitivity!$D$9:'sensitivity'!$CN$9),--(Y$9&gt;=sensitivity!$D$9:'sensitivity'!$CN$9),sensitivity!$D54:'sensitivity'!$CN54)</f>
        <v>#REF!</v>
      </c>
      <c r="Z54" s="35" t="e">
        <f>SUMPRODUCT(--(Z$8&lt;=sensitivity!$D$9:'sensitivity'!$CN$9),--(Z$9&gt;=sensitivity!$D$9:'sensitivity'!$CN$9),sensitivity!$D54:'sensitivity'!$CN54)</f>
        <v>#REF!</v>
      </c>
      <c r="AA54" s="35"/>
    </row>
    <row r="55" spans="1:27" ht="13" outlineLevel="2">
      <c r="A55" s="35"/>
      <c r="B55" s="63" t="s">
        <v>155</v>
      </c>
      <c r="C55" s="74" t="e">
        <f t="shared" si="9"/>
        <v>#REF!</v>
      </c>
      <c r="D55" s="60">
        <f>sensitivity!D55</f>
        <v>0</v>
      </c>
      <c r="E55" s="35" t="e">
        <f>SUMPRODUCT(--(E$8&lt;=sensitivity!$D$9:'sensitivity'!$CN$9),--(E$9&gt;=sensitivity!$D$9:'sensitivity'!$CN$9),sensitivity!$D55:'sensitivity'!$CN55)</f>
        <v>#REF!</v>
      </c>
      <c r="F55" s="35" t="e">
        <f>SUMPRODUCT(--(F$8&lt;=sensitivity!$D$9:'sensitivity'!$CN$9),--(F$9&gt;=sensitivity!$D$9:'sensitivity'!$CN$9),sensitivity!$D55:'sensitivity'!$CN55)</f>
        <v>#REF!</v>
      </c>
      <c r="G55" s="35" t="e">
        <f>SUMPRODUCT(--(G$8&lt;=sensitivity!$D$9:'sensitivity'!$CN$9),--(G$9&gt;=sensitivity!$D$9:'sensitivity'!$CN$9),sensitivity!$D55:'sensitivity'!$CN55)</f>
        <v>#REF!</v>
      </c>
      <c r="H55" s="35" t="e">
        <f>SUMPRODUCT(--(H$8&lt;=sensitivity!$D$9:'sensitivity'!$CN$9),--(H$9&gt;=sensitivity!$D$9:'sensitivity'!$CN$9),sensitivity!$D55:'sensitivity'!$CN55)</f>
        <v>#REF!</v>
      </c>
      <c r="I55" s="35" t="e">
        <f>SUMPRODUCT(--(I$8&lt;=sensitivity!$D$9:'sensitivity'!$CN$9),--(I$9&gt;=sensitivity!$D$9:'sensitivity'!$CN$9),sensitivity!$D55:'sensitivity'!$CN55)</f>
        <v>#REF!</v>
      </c>
      <c r="J55" s="35" t="e">
        <f>SUMPRODUCT(--(J$8&lt;=sensitivity!$D$9:'sensitivity'!$CN$9),--(J$9&gt;=sensitivity!$D$9:'sensitivity'!$CN$9),sensitivity!$D55:'sensitivity'!$CN55)</f>
        <v>#REF!</v>
      </c>
      <c r="K55" s="35" t="e">
        <f>SUMPRODUCT(--(K$8&lt;=sensitivity!$D$9:'sensitivity'!$CN$9),--(K$9&gt;=sensitivity!$D$9:'sensitivity'!$CN$9),sensitivity!$D55:'sensitivity'!$CN55)</f>
        <v>#REF!</v>
      </c>
      <c r="L55" s="35" t="e">
        <f>SUMPRODUCT(--(L$8&lt;=sensitivity!$D$9:'sensitivity'!$CN$9),--(L$9&gt;=sensitivity!$D$9:'sensitivity'!$CN$9),sensitivity!$D55:'sensitivity'!$CN55)</f>
        <v>#REF!</v>
      </c>
      <c r="M55" s="35" t="e">
        <f>SUMPRODUCT(--(M$8&lt;=sensitivity!$D$9:'sensitivity'!$CN$9),--(M$9&gt;=sensitivity!$D$9:'sensitivity'!$CN$9),sensitivity!$D55:'sensitivity'!$CN55)</f>
        <v>#REF!</v>
      </c>
      <c r="N55" s="35" t="e">
        <f>SUMPRODUCT(--(N$8&lt;=sensitivity!$D$9:'sensitivity'!$CN$9),--(N$9&gt;=sensitivity!$D$9:'sensitivity'!$CN$9),sensitivity!$D55:'sensitivity'!$CN55)</f>
        <v>#REF!</v>
      </c>
      <c r="O55" s="35" t="e">
        <f>SUMPRODUCT(--(O$8&lt;=sensitivity!$D$9:'sensitivity'!$CN$9),--(O$9&gt;=sensitivity!$D$9:'sensitivity'!$CN$9),sensitivity!$D55:'sensitivity'!$CN55)</f>
        <v>#REF!</v>
      </c>
      <c r="P55" s="35" t="e">
        <f>SUMPRODUCT(--(P$8&lt;=sensitivity!$D$9:'sensitivity'!$CN$9),--(P$9&gt;=sensitivity!$D$9:'sensitivity'!$CN$9),sensitivity!$D55:'sensitivity'!$CN55)</f>
        <v>#REF!</v>
      </c>
      <c r="Q55" s="35" t="e">
        <f>SUMPRODUCT(--(Q$8&lt;=sensitivity!$D$9:'sensitivity'!$CN$9),--(Q$9&gt;=sensitivity!$D$9:'sensitivity'!$CN$9),sensitivity!$D55:'sensitivity'!$CN55)</f>
        <v>#REF!</v>
      </c>
      <c r="R55" s="35" t="e">
        <f>SUMPRODUCT(--(R$8&lt;=sensitivity!$D$9:'sensitivity'!$CN$9),--(R$9&gt;=sensitivity!$D$9:'sensitivity'!$CN$9),sensitivity!$D55:'sensitivity'!$CN55)</f>
        <v>#REF!</v>
      </c>
      <c r="S55" s="35" t="e">
        <f>SUMPRODUCT(--(S$8&lt;=sensitivity!$D$9:'sensitivity'!$CN$9),--(S$9&gt;=sensitivity!$D$9:'sensitivity'!$CN$9),sensitivity!$D55:'sensitivity'!$CN55)</f>
        <v>#REF!</v>
      </c>
      <c r="T55" s="35" t="e">
        <f>SUMPRODUCT(--(T$8&lt;=sensitivity!$D$9:'sensitivity'!$CN$9),--(T$9&gt;=sensitivity!$D$9:'sensitivity'!$CN$9),sensitivity!$D55:'sensitivity'!$CN55)</f>
        <v>#REF!</v>
      </c>
      <c r="U55" s="35" t="e">
        <f>SUMPRODUCT(--(U$8&lt;=sensitivity!$D$9:'sensitivity'!$CN$9),--(U$9&gt;=sensitivity!$D$9:'sensitivity'!$CN$9),sensitivity!$D55:'sensitivity'!$CN55)</f>
        <v>#REF!</v>
      </c>
      <c r="V55" s="35" t="e">
        <f>SUMPRODUCT(--(V$8&lt;=sensitivity!$D$9:'sensitivity'!$CN$9),--(V$9&gt;=sensitivity!$D$9:'sensitivity'!$CN$9),sensitivity!$D55:'sensitivity'!$CN55)</f>
        <v>#REF!</v>
      </c>
      <c r="W55" s="35" t="e">
        <f>SUMPRODUCT(--(W$8&lt;=sensitivity!$D$9:'sensitivity'!$CN$9),--(W$9&gt;=sensitivity!$D$9:'sensitivity'!$CN$9),sensitivity!$D55:'sensitivity'!$CN55)</f>
        <v>#REF!</v>
      </c>
      <c r="X55" s="35" t="e">
        <f>SUMPRODUCT(--(X$8&lt;=sensitivity!$D$9:'sensitivity'!$CN$9),--(X$9&gt;=sensitivity!$D$9:'sensitivity'!$CN$9),sensitivity!$D55:'sensitivity'!$CN55)</f>
        <v>#REF!</v>
      </c>
      <c r="Y55" s="35" t="e">
        <f>SUMPRODUCT(--(Y$8&lt;=sensitivity!$D$9:'sensitivity'!$CN$9),--(Y$9&gt;=sensitivity!$D$9:'sensitivity'!$CN$9),sensitivity!$D55:'sensitivity'!$CN55)</f>
        <v>#REF!</v>
      </c>
      <c r="Z55" s="35" t="e">
        <f>SUMPRODUCT(--(Z$8&lt;=sensitivity!$D$9:'sensitivity'!$CN$9),--(Z$9&gt;=sensitivity!$D$9:'sensitivity'!$CN$9),sensitivity!$D55:'sensitivity'!$CN55)</f>
        <v>#REF!</v>
      </c>
      <c r="AA55" s="35"/>
    </row>
    <row r="56" spans="1:27" ht="13" outlineLevel="2">
      <c r="A56" s="35"/>
      <c r="B56" s="63" t="s">
        <v>156</v>
      </c>
      <c r="C56" s="74" t="e">
        <f t="shared" si="9"/>
        <v>#REF!</v>
      </c>
      <c r="D56" s="60">
        <f>sensitivity!D56</f>
        <v>0</v>
      </c>
      <c r="E56" s="35" t="e">
        <f>SUMPRODUCT(--(E$8&lt;=sensitivity!$D$9:'sensitivity'!$CN$9),--(E$9&gt;=sensitivity!$D$9:'sensitivity'!$CN$9),sensitivity!$D56:'sensitivity'!$CN56)</f>
        <v>#REF!</v>
      </c>
      <c r="F56" s="35" t="e">
        <f>SUMPRODUCT(--(F$8&lt;=sensitivity!$D$9:'sensitivity'!$CN$9),--(F$9&gt;=sensitivity!$D$9:'sensitivity'!$CN$9),sensitivity!$D56:'sensitivity'!$CN56)</f>
        <v>#REF!</v>
      </c>
      <c r="G56" s="35" t="e">
        <f>SUMPRODUCT(--(G$8&lt;=sensitivity!$D$9:'sensitivity'!$CN$9),--(G$9&gt;=sensitivity!$D$9:'sensitivity'!$CN$9),sensitivity!$D56:'sensitivity'!$CN56)</f>
        <v>#REF!</v>
      </c>
      <c r="H56" s="35" t="e">
        <f>SUMPRODUCT(--(H$8&lt;=sensitivity!$D$9:'sensitivity'!$CN$9),--(H$9&gt;=sensitivity!$D$9:'sensitivity'!$CN$9),sensitivity!$D56:'sensitivity'!$CN56)</f>
        <v>#REF!</v>
      </c>
      <c r="I56" s="35" t="e">
        <f>SUMPRODUCT(--(I$8&lt;=sensitivity!$D$9:'sensitivity'!$CN$9),--(I$9&gt;=sensitivity!$D$9:'sensitivity'!$CN$9),sensitivity!$D56:'sensitivity'!$CN56)</f>
        <v>#REF!</v>
      </c>
      <c r="J56" s="35" t="e">
        <f>SUMPRODUCT(--(J$8&lt;=sensitivity!$D$9:'sensitivity'!$CN$9),--(J$9&gt;=sensitivity!$D$9:'sensitivity'!$CN$9),sensitivity!$D56:'sensitivity'!$CN56)</f>
        <v>#REF!</v>
      </c>
      <c r="K56" s="35" t="e">
        <f>SUMPRODUCT(--(K$8&lt;=sensitivity!$D$9:'sensitivity'!$CN$9),--(K$9&gt;=sensitivity!$D$9:'sensitivity'!$CN$9),sensitivity!$D56:'sensitivity'!$CN56)</f>
        <v>#REF!</v>
      </c>
      <c r="L56" s="35" t="e">
        <f>SUMPRODUCT(--(L$8&lt;=sensitivity!$D$9:'sensitivity'!$CN$9),--(L$9&gt;=sensitivity!$D$9:'sensitivity'!$CN$9),sensitivity!$D56:'sensitivity'!$CN56)</f>
        <v>#REF!</v>
      </c>
      <c r="M56" s="35" t="e">
        <f>SUMPRODUCT(--(M$8&lt;=sensitivity!$D$9:'sensitivity'!$CN$9),--(M$9&gt;=sensitivity!$D$9:'sensitivity'!$CN$9),sensitivity!$D56:'sensitivity'!$CN56)</f>
        <v>#REF!</v>
      </c>
      <c r="N56" s="35" t="e">
        <f>SUMPRODUCT(--(N$8&lt;=sensitivity!$D$9:'sensitivity'!$CN$9),--(N$9&gt;=sensitivity!$D$9:'sensitivity'!$CN$9),sensitivity!$D56:'sensitivity'!$CN56)</f>
        <v>#REF!</v>
      </c>
      <c r="O56" s="35" t="e">
        <f>SUMPRODUCT(--(O$8&lt;=sensitivity!$D$9:'sensitivity'!$CN$9),--(O$9&gt;=sensitivity!$D$9:'sensitivity'!$CN$9),sensitivity!$D56:'sensitivity'!$CN56)</f>
        <v>#REF!</v>
      </c>
      <c r="P56" s="35" t="e">
        <f>SUMPRODUCT(--(P$8&lt;=sensitivity!$D$9:'sensitivity'!$CN$9),--(P$9&gt;=sensitivity!$D$9:'sensitivity'!$CN$9),sensitivity!$D56:'sensitivity'!$CN56)</f>
        <v>#REF!</v>
      </c>
      <c r="Q56" s="35" t="e">
        <f>SUMPRODUCT(--(Q$8&lt;=sensitivity!$D$9:'sensitivity'!$CN$9),--(Q$9&gt;=sensitivity!$D$9:'sensitivity'!$CN$9),sensitivity!$D56:'sensitivity'!$CN56)</f>
        <v>#REF!</v>
      </c>
      <c r="R56" s="35" t="e">
        <f>SUMPRODUCT(--(R$8&lt;=sensitivity!$D$9:'sensitivity'!$CN$9),--(R$9&gt;=sensitivity!$D$9:'sensitivity'!$CN$9),sensitivity!$D56:'sensitivity'!$CN56)</f>
        <v>#REF!</v>
      </c>
      <c r="S56" s="35" t="e">
        <f>SUMPRODUCT(--(S$8&lt;=sensitivity!$D$9:'sensitivity'!$CN$9),--(S$9&gt;=sensitivity!$D$9:'sensitivity'!$CN$9),sensitivity!$D56:'sensitivity'!$CN56)</f>
        <v>#REF!</v>
      </c>
      <c r="T56" s="35" t="e">
        <f>SUMPRODUCT(--(T$8&lt;=sensitivity!$D$9:'sensitivity'!$CN$9),--(T$9&gt;=sensitivity!$D$9:'sensitivity'!$CN$9),sensitivity!$D56:'sensitivity'!$CN56)</f>
        <v>#REF!</v>
      </c>
      <c r="U56" s="35" t="e">
        <f>SUMPRODUCT(--(U$8&lt;=sensitivity!$D$9:'sensitivity'!$CN$9),--(U$9&gt;=sensitivity!$D$9:'sensitivity'!$CN$9),sensitivity!$D56:'sensitivity'!$CN56)</f>
        <v>#REF!</v>
      </c>
      <c r="V56" s="35" t="e">
        <f>SUMPRODUCT(--(V$8&lt;=sensitivity!$D$9:'sensitivity'!$CN$9),--(V$9&gt;=sensitivity!$D$9:'sensitivity'!$CN$9),sensitivity!$D56:'sensitivity'!$CN56)</f>
        <v>#REF!</v>
      </c>
      <c r="W56" s="35" t="e">
        <f>SUMPRODUCT(--(W$8&lt;=sensitivity!$D$9:'sensitivity'!$CN$9),--(W$9&gt;=sensitivity!$D$9:'sensitivity'!$CN$9),sensitivity!$D56:'sensitivity'!$CN56)</f>
        <v>#REF!</v>
      </c>
      <c r="X56" s="35" t="e">
        <f>SUMPRODUCT(--(X$8&lt;=sensitivity!$D$9:'sensitivity'!$CN$9),--(X$9&gt;=sensitivity!$D$9:'sensitivity'!$CN$9),sensitivity!$D56:'sensitivity'!$CN56)</f>
        <v>#REF!</v>
      </c>
      <c r="Y56" s="35" t="e">
        <f>SUMPRODUCT(--(Y$8&lt;=sensitivity!$D$9:'sensitivity'!$CN$9),--(Y$9&gt;=sensitivity!$D$9:'sensitivity'!$CN$9),sensitivity!$D56:'sensitivity'!$CN56)</f>
        <v>#REF!</v>
      </c>
      <c r="Z56" s="35" t="e">
        <f>SUMPRODUCT(--(Z$8&lt;=sensitivity!$D$9:'sensitivity'!$CN$9),--(Z$9&gt;=sensitivity!$D$9:'sensitivity'!$CN$9),sensitivity!$D56:'sensitivity'!$CN56)</f>
        <v>#REF!</v>
      </c>
      <c r="AA56" s="35"/>
    </row>
    <row r="57" spans="1:27" ht="13" outlineLevel="2">
      <c r="A57" s="35"/>
      <c r="B57" s="63" t="s">
        <v>157</v>
      </c>
      <c r="C57" s="74" t="e">
        <f t="shared" si="9"/>
        <v>#REF!</v>
      </c>
      <c r="D57" s="60">
        <f>sensitivity!D57</f>
        <v>0</v>
      </c>
      <c r="E57" s="35" t="e">
        <f>SUMPRODUCT(--(E$8&lt;=sensitivity!$D$9:'sensitivity'!$CN$9),--(E$9&gt;=sensitivity!$D$9:'sensitivity'!$CN$9),sensitivity!$D57:'sensitivity'!$CN57)</f>
        <v>#REF!</v>
      </c>
      <c r="F57" s="35" t="e">
        <f>SUMPRODUCT(--(F$8&lt;=sensitivity!$D$9:'sensitivity'!$CN$9),--(F$9&gt;=sensitivity!$D$9:'sensitivity'!$CN$9),sensitivity!$D57:'sensitivity'!$CN57)</f>
        <v>#REF!</v>
      </c>
      <c r="G57" s="35" t="e">
        <f>SUMPRODUCT(--(G$8&lt;=sensitivity!$D$9:'sensitivity'!$CN$9),--(G$9&gt;=sensitivity!$D$9:'sensitivity'!$CN$9),sensitivity!$D57:'sensitivity'!$CN57)</f>
        <v>#REF!</v>
      </c>
      <c r="H57" s="35" t="e">
        <f>SUMPRODUCT(--(H$8&lt;=sensitivity!$D$9:'sensitivity'!$CN$9),--(H$9&gt;=sensitivity!$D$9:'sensitivity'!$CN$9),sensitivity!$D57:'sensitivity'!$CN57)</f>
        <v>#REF!</v>
      </c>
      <c r="I57" s="35" t="e">
        <f>SUMPRODUCT(--(I$8&lt;=sensitivity!$D$9:'sensitivity'!$CN$9),--(I$9&gt;=sensitivity!$D$9:'sensitivity'!$CN$9),sensitivity!$D57:'sensitivity'!$CN57)</f>
        <v>#REF!</v>
      </c>
      <c r="J57" s="35" t="e">
        <f>SUMPRODUCT(--(J$8&lt;=sensitivity!$D$9:'sensitivity'!$CN$9),--(J$9&gt;=sensitivity!$D$9:'sensitivity'!$CN$9),sensitivity!$D57:'sensitivity'!$CN57)</f>
        <v>#REF!</v>
      </c>
      <c r="K57" s="35" t="e">
        <f>SUMPRODUCT(--(K$8&lt;=sensitivity!$D$9:'sensitivity'!$CN$9),--(K$9&gt;=sensitivity!$D$9:'sensitivity'!$CN$9),sensitivity!$D57:'sensitivity'!$CN57)</f>
        <v>#REF!</v>
      </c>
      <c r="L57" s="35" t="e">
        <f>SUMPRODUCT(--(L$8&lt;=sensitivity!$D$9:'sensitivity'!$CN$9),--(L$9&gt;=sensitivity!$D$9:'sensitivity'!$CN$9),sensitivity!$D57:'sensitivity'!$CN57)</f>
        <v>#REF!</v>
      </c>
      <c r="M57" s="35" t="e">
        <f>SUMPRODUCT(--(M$8&lt;=sensitivity!$D$9:'sensitivity'!$CN$9),--(M$9&gt;=sensitivity!$D$9:'sensitivity'!$CN$9),sensitivity!$D57:'sensitivity'!$CN57)</f>
        <v>#REF!</v>
      </c>
      <c r="N57" s="35" t="e">
        <f>SUMPRODUCT(--(N$8&lt;=sensitivity!$D$9:'sensitivity'!$CN$9),--(N$9&gt;=sensitivity!$D$9:'sensitivity'!$CN$9),sensitivity!$D57:'sensitivity'!$CN57)</f>
        <v>#REF!</v>
      </c>
      <c r="O57" s="35" t="e">
        <f>SUMPRODUCT(--(O$8&lt;=sensitivity!$D$9:'sensitivity'!$CN$9),--(O$9&gt;=sensitivity!$D$9:'sensitivity'!$CN$9),sensitivity!$D57:'sensitivity'!$CN57)</f>
        <v>#REF!</v>
      </c>
      <c r="P57" s="35" t="e">
        <f>SUMPRODUCT(--(P$8&lt;=sensitivity!$D$9:'sensitivity'!$CN$9),--(P$9&gt;=sensitivity!$D$9:'sensitivity'!$CN$9),sensitivity!$D57:'sensitivity'!$CN57)</f>
        <v>#REF!</v>
      </c>
      <c r="Q57" s="35" t="e">
        <f>SUMPRODUCT(--(Q$8&lt;=sensitivity!$D$9:'sensitivity'!$CN$9),--(Q$9&gt;=sensitivity!$D$9:'sensitivity'!$CN$9),sensitivity!$D57:'sensitivity'!$CN57)</f>
        <v>#REF!</v>
      </c>
      <c r="R57" s="35" t="e">
        <f>SUMPRODUCT(--(R$8&lt;=sensitivity!$D$9:'sensitivity'!$CN$9),--(R$9&gt;=sensitivity!$D$9:'sensitivity'!$CN$9),sensitivity!$D57:'sensitivity'!$CN57)</f>
        <v>#REF!</v>
      </c>
      <c r="S57" s="35" t="e">
        <f>SUMPRODUCT(--(S$8&lt;=sensitivity!$D$9:'sensitivity'!$CN$9),--(S$9&gt;=sensitivity!$D$9:'sensitivity'!$CN$9),sensitivity!$D57:'sensitivity'!$CN57)</f>
        <v>#REF!</v>
      </c>
      <c r="T57" s="35" t="e">
        <f>SUMPRODUCT(--(T$8&lt;=sensitivity!$D$9:'sensitivity'!$CN$9),--(T$9&gt;=sensitivity!$D$9:'sensitivity'!$CN$9),sensitivity!$D57:'sensitivity'!$CN57)</f>
        <v>#REF!</v>
      </c>
      <c r="U57" s="35" t="e">
        <f>SUMPRODUCT(--(U$8&lt;=sensitivity!$D$9:'sensitivity'!$CN$9),--(U$9&gt;=sensitivity!$D$9:'sensitivity'!$CN$9),sensitivity!$D57:'sensitivity'!$CN57)</f>
        <v>#REF!</v>
      </c>
      <c r="V57" s="35" t="e">
        <f>SUMPRODUCT(--(V$8&lt;=sensitivity!$D$9:'sensitivity'!$CN$9),--(V$9&gt;=sensitivity!$D$9:'sensitivity'!$CN$9),sensitivity!$D57:'sensitivity'!$CN57)</f>
        <v>#REF!</v>
      </c>
      <c r="W57" s="35" t="e">
        <f>SUMPRODUCT(--(W$8&lt;=sensitivity!$D$9:'sensitivity'!$CN$9),--(W$9&gt;=sensitivity!$D$9:'sensitivity'!$CN$9),sensitivity!$D57:'sensitivity'!$CN57)</f>
        <v>#REF!</v>
      </c>
      <c r="X57" s="35" t="e">
        <f>SUMPRODUCT(--(X$8&lt;=sensitivity!$D$9:'sensitivity'!$CN$9),--(X$9&gt;=sensitivity!$D$9:'sensitivity'!$CN$9),sensitivity!$D57:'sensitivity'!$CN57)</f>
        <v>#REF!</v>
      </c>
      <c r="Y57" s="35" t="e">
        <f>SUMPRODUCT(--(Y$8&lt;=sensitivity!$D$9:'sensitivity'!$CN$9),--(Y$9&gt;=sensitivity!$D$9:'sensitivity'!$CN$9),sensitivity!$D57:'sensitivity'!$CN57)</f>
        <v>#REF!</v>
      </c>
      <c r="Z57" s="35" t="e">
        <f>SUMPRODUCT(--(Z$8&lt;=sensitivity!$D$9:'sensitivity'!$CN$9),--(Z$9&gt;=sensitivity!$D$9:'sensitivity'!$CN$9),sensitivity!$D57:'sensitivity'!$CN57)</f>
        <v>#REF!</v>
      </c>
      <c r="AA57" s="35"/>
    </row>
    <row r="58" spans="1:27" ht="13" outlineLevel="2">
      <c r="A58" s="35"/>
      <c r="B58" s="63" t="s">
        <v>86</v>
      </c>
      <c r="C58" s="74" t="e">
        <f t="shared" si="9"/>
        <v>#REF!</v>
      </c>
      <c r="D58" s="60">
        <f>sensitivity!D58</f>
        <v>0</v>
      </c>
      <c r="E58" s="35" t="e">
        <f>SUMPRODUCT(--(E$8&lt;=sensitivity!$D$9:'sensitivity'!$CN$9),--(E$9&gt;=sensitivity!$D$9:'sensitivity'!$CN$9),sensitivity!$D58:'sensitivity'!$CN58)</f>
        <v>#REF!</v>
      </c>
      <c r="F58" s="35" t="e">
        <f>SUMPRODUCT(--(F$8&lt;=sensitivity!$D$9:'sensitivity'!$CN$9),--(F$9&gt;=sensitivity!$D$9:'sensitivity'!$CN$9),sensitivity!$D58:'sensitivity'!$CN58)</f>
        <v>#REF!</v>
      </c>
      <c r="G58" s="35" t="e">
        <f>SUMPRODUCT(--(G$8&lt;=sensitivity!$D$9:'sensitivity'!$CN$9),--(G$9&gt;=sensitivity!$D$9:'sensitivity'!$CN$9),sensitivity!$D58:'sensitivity'!$CN58)</f>
        <v>#REF!</v>
      </c>
      <c r="H58" s="35" t="e">
        <f>SUMPRODUCT(--(H$8&lt;=sensitivity!$D$9:'sensitivity'!$CN$9),--(H$9&gt;=sensitivity!$D$9:'sensitivity'!$CN$9),sensitivity!$D58:'sensitivity'!$CN58)</f>
        <v>#REF!</v>
      </c>
      <c r="I58" s="35" t="e">
        <f>SUMPRODUCT(--(I$8&lt;=sensitivity!$D$9:'sensitivity'!$CN$9),--(I$9&gt;=sensitivity!$D$9:'sensitivity'!$CN$9),sensitivity!$D58:'sensitivity'!$CN58)</f>
        <v>#REF!</v>
      </c>
      <c r="J58" s="35" t="e">
        <f>SUMPRODUCT(--(J$8&lt;=sensitivity!$D$9:'sensitivity'!$CN$9),--(J$9&gt;=sensitivity!$D$9:'sensitivity'!$CN$9),sensitivity!$D58:'sensitivity'!$CN58)</f>
        <v>#REF!</v>
      </c>
      <c r="K58" s="35" t="e">
        <f>SUMPRODUCT(--(K$8&lt;=sensitivity!$D$9:'sensitivity'!$CN$9),--(K$9&gt;=sensitivity!$D$9:'sensitivity'!$CN$9),sensitivity!$D58:'sensitivity'!$CN58)</f>
        <v>#REF!</v>
      </c>
      <c r="L58" s="35" t="e">
        <f>SUMPRODUCT(--(L$8&lt;=sensitivity!$D$9:'sensitivity'!$CN$9),--(L$9&gt;=sensitivity!$D$9:'sensitivity'!$CN$9),sensitivity!$D58:'sensitivity'!$CN58)</f>
        <v>#REF!</v>
      </c>
      <c r="M58" s="35" t="e">
        <f>SUMPRODUCT(--(M$8&lt;=sensitivity!$D$9:'sensitivity'!$CN$9),--(M$9&gt;=sensitivity!$D$9:'sensitivity'!$CN$9),sensitivity!$D58:'sensitivity'!$CN58)</f>
        <v>#REF!</v>
      </c>
      <c r="N58" s="35" t="e">
        <f>SUMPRODUCT(--(N$8&lt;=sensitivity!$D$9:'sensitivity'!$CN$9),--(N$9&gt;=sensitivity!$D$9:'sensitivity'!$CN$9),sensitivity!$D58:'sensitivity'!$CN58)</f>
        <v>#REF!</v>
      </c>
      <c r="O58" s="35" t="e">
        <f>SUMPRODUCT(--(O$8&lt;=sensitivity!$D$9:'sensitivity'!$CN$9),--(O$9&gt;=sensitivity!$D$9:'sensitivity'!$CN$9),sensitivity!$D58:'sensitivity'!$CN58)</f>
        <v>#REF!</v>
      </c>
      <c r="P58" s="35" t="e">
        <f>SUMPRODUCT(--(P$8&lt;=sensitivity!$D$9:'sensitivity'!$CN$9),--(P$9&gt;=sensitivity!$D$9:'sensitivity'!$CN$9),sensitivity!$D58:'sensitivity'!$CN58)</f>
        <v>#REF!</v>
      </c>
      <c r="Q58" s="35" t="e">
        <f>SUMPRODUCT(--(Q$8&lt;=sensitivity!$D$9:'sensitivity'!$CN$9),--(Q$9&gt;=sensitivity!$D$9:'sensitivity'!$CN$9),sensitivity!$D58:'sensitivity'!$CN58)</f>
        <v>#REF!</v>
      </c>
      <c r="R58" s="35" t="e">
        <f>SUMPRODUCT(--(R$8&lt;=sensitivity!$D$9:'sensitivity'!$CN$9),--(R$9&gt;=sensitivity!$D$9:'sensitivity'!$CN$9),sensitivity!$D58:'sensitivity'!$CN58)</f>
        <v>#REF!</v>
      </c>
      <c r="S58" s="35" t="e">
        <f>SUMPRODUCT(--(S$8&lt;=sensitivity!$D$9:'sensitivity'!$CN$9),--(S$9&gt;=sensitivity!$D$9:'sensitivity'!$CN$9),sensitivity!$D58:'sensitivity'!$CN58)</f>
        <v>#REF!</v>
      </c>
      <c r="T58" s="35" t="e">
        <f>SUMPRODUCT(--(T$8&lt;=sensitivity!$D$9:'sensitivity'!$CN$9),--(T$9&gt;=sensitivity!$D$9:'sensitivity'!$CN$9),sensitivity!$D58:'sensitivity'!$CN58)</f>
        <v>#REF!</v>
      </c>
      <c r="U58" s="35" t="e">
        <f>SUMPRODUCT(--(U$8&lt;=sensitivity!$D$9:'sensitivity'!$CN$9),--(U$9&gt;=sensitivity!$D$9:'sensitivity'!$CN$9),sensitivity!$D58:'sensitivity'!$CN58)</f>
        <v>#REF!</v>
      </c>
      <c r="V58" s="35" t="e">
        <f>SUMPRODUCT(--(V$8&lt;=sensitivity!$D$9:'sensitivity'!$CN$9),--(V$9&gt;=sensitivity!$D$9:'sensitivity'!$CN$9),sensitivity!$D58:'sensitivity'!$CN58)</f>
        <v>#REF!</v>
      </c>
      <c r="W58" s="35" t="e">
        <f>SUMPRODUCT(--(W$8&lt;=sensitivity!$D$9:'sensitivity'!$CN$9),--(W$9&gt;=sensitivity!$D$9:'sensitivity'!$CN$9),sensitivity!$D58:'sensitivity'!$CN58)</f>
        <v>#REF!</v>
      </c>
      <c r="X58" s="35" t="e">
        <f>SUMPRODUCT(--(X$8&lt;=sensitivity!$D$9:'sensitivity'!$CN$9),--(X$9&gt;=sensitivity!$D$9:'sensitivity'!$CN$9),sensitivity!$D58:'sensitivity'!$CN58)</f>
        <v>#REF!</v>
      </c>
      <c r="Y58" s="35" t="e">
        <f>SUMPRODUCT(--(Y$8&lt;=sensitivity!$D$9:'sensitivity'!$CN$9),--(Y$9&gt;=sensitivity!$D$9:'sensitivity'!$CN$9),sensitivity!$D58:'sensitivity'!$CN58)</f>
        <v>#REF!</v>
      </c>
      <c r="Z58" s="35" t="e">
        <f>SUMPRODUCT(--(Z$8&lt;=sensitivity!$D$9:'sensitivity'!$CN$9),--(Z$9&gt;=sensitivity!$D$9:'sensitivity'!$CN$9),sensitivity!$D58:'sensitivity'!$CN58)</f>
        <v>#REF!</v>
      </c>
      <c r="AA58" s="35"/>
    </row>
    <row r="59" spans="1:27" ht="13" outlineLevel="2">
      <c r="A59" s="35"/>
      <c r="B59" s="63" t="s">
        <v>158</v>
      </c>
      <c r="C59" s="74" t="e">
        <f t="shared" si="9"/>
        <v>#REF!</v>
      </c>
      <c r="D59" s="60">
        <f>sensitivity!D59</f>
        <v>0</v>
      </c>
      <c r="E59" s="35" t="e">
        <f>SUMPRODUCT(--(E$8&lt;=sensitivity!$D$9:'sensitivity'!$CN$9),--(E$9&gt;=sensitivity!$D$9:'sensitivity'!$CN$9),sensitivity!$D59:'sensitivity'!$CN59)</f>
        <v>#REF!</v>
      </c>
      <c r="F59" s="35" t="e">
        <f>SUMPRODUCT(--(F$8&lt;=sensitivity!$D$9:'sensitivity'!$CN$9),--(F$9&gt;=sensitivity!$D$9:'sensitivity'!$CN$9),sensitivity!$D59:'sensitivity'!$CN59)</f>
        <v>#REF!</v>
      </c>
      <c r="G59" s="35" t="e">
        <f>SUMPRODUCT(--(G$8&lt;=sensitivity!$D$9:'sensitivity'!$CN$9),--(G$9&gt;=sensitivity!$D$9:'sensitivity'!$CN$9),sensitivity!$D59:'sensitivity'!$CN59)</f>
        <v>#REF!</v>
      </c>
      <c r="H59" s="35" t="e">
        <f>SUMPRODUCT(--(H$8&lt;=sensitivity!$D$9:'sensitivity'!$CN$9),--(H$9&gt;=sensitivity!$D$9:'sensitivity'!$CN$9),sensitivity!$D59:'sensitivity'!$CN59)</f>
        <v>#REF!</v>
      </c>
      <c r="I59" s="35" t="e">
        <f>SUMPRODUCT(--(I$8&lt;=sensitivity!$D$9:'sensitivity'!$CN$9),--(I$9&gt;=sensitivity!$D$9:'sensitivity'!$CN$9),sensitivity!$D59:'sensitivity'!$CN59)</f>
        <v>#REF!</v>
      </c>
      <c r="J59" s="35" t="e">
        <f>SUMPRODUCT(--(J$8&lt;=sensitivity!$D$9:'sensitivity'!$CN$9),--(J$9&gt;=sensitivity!$D$9:'sensitivity'!$CN$9),sensitivity!$D59:'sensitivity'!$CN59)</f>
        <v>#REF!</v>
      </c>
      <c r="K59" s="35" t="e">
        <f>SUMPRODUCT(--(K$8&lt;=sensitivity!$D$9:'sensitivity'!$CN$9),--(K$9&gt;=sensitivity!$D$9:'sensitivity'!$CN$9),sensitivity!$D59:'sensitivity'!$CN59)</f>
        <v>#REF!</v>
      </c>
      <c r="L59" s="35" t="e">
        <f>SUMPRODUCT(--(L$8&lt;=sensitivity!$D$9:'sensitivity'!$CN$9),--(L$9&gt;=sensitivity!$D$9:'sensitivity'!$CN$9),sensitivity!$D59:'sensitivity'!$CN59)</f>
        <v>#REF!</v>
      </c>
      <c r="M59" s="35" t="e">
        <f>SUMPRODUCT(--(M$8&lt;=sensitivity!$D$9:'sensitivity'!$CN$9),--(M$9&gt;=sensitivity!$D$9:'sensitivity'!$CN$9),sensitivity!$D59:'sensitivity'!$CN59)</f>
        <v>#REF!</v>
      </c>
      <c r="N59" s="35" t="e">
        <f>SUMPRODUCT(--(N$8&lt;=sensitivity!$D$9:'sensitivity'!$CN$9),--(N$9&gt;=sensitivity!$D$9:'sensitivity'!$CN$9),sensitivity!$D59:'sensitivity'!$CN59)</f>
        <v>#REF!</v>
      </c>
      <c r="O59" s="35" t="e">
        <f>SUMPRODUCT(--(O$8&lt;=sensitivity!$D$9:'sensitivity'!$CN$9),--(O$9&gt;=sensitivity!$D$9:'sensitivity'!$CN$9),sensitivity!$D59:'sensitivity'!$CN59)</f>
        <v>#REF!</v>
      </c>
      <c r="P59" s="35" t="e">
        <f>SUMPRODUCT(--(P$8&lt;=sensitivity!$D$9:'sensitivity'!$CN$9),--(P$9&gt;=sensitivity!$D$9:'sensitivity'!$CN$9),sensitivity!$D59:'sensitivity'!$CN59)</f>
        <v>#REF!</v>
      </c>
      <c r="Q59" s="35" t="e">
        <f>SUMPRODUCT(--(Q$8&lt;=sensitivity!$D$9:'sensitivity'!$CN$9),--(Q$9&gt;=sensitivity!$D$9:'sensitivity'!$CN$9),sensitivity!$D59:'sensitivity'!$CN59)</f>
        <v>#REF!</v>
      </c>
      <c r="R59" s="35" t="e">
        <f>SUMPRODUCT(--(R$8&lt;=sensitivity!$D$9:'sensitivity'!$CN$9),--(R$9&gt;=sensitivity!$D$9:'sensitivity'!$CN$9),sensitivity!$D59:'sensitivity'!$CN59)</f>
        <v>#REF!</v>
      </c>
      <c r="S59" s="35" t="e">
        <f>SUMPRODUCT(--(S$8&lt;=sensitivity!$D$9:'sensitivity'!$CN$9),--(S$9&gt;=sensitivity!$D$9:'sensitivity'!$CN$9),sensitivity!$D59:'sensitivity'!$CN59)</f>
        <v>#REF!</v>
      </c>
      <c r="T59" s="35" t="e">
        <f>SUMPRODUCT(--(T$8&lt;=sensitivity!$D$9:'sensitivity'!$CN$9),--(T$9&gt;=sensitivity!$D$9:'sensitivity'!$CN$9),sensitivity!$D59:'sensitivity'!$CN59)</f>
        <v>#REF!</v>
      </c>
      <c r="U59" s="35" t="e">
        <f>SUMPRODUCT(--(U$8&lt;=sensitivity!$D$9:'sensitivity'!$CN$9),--(U$9&gt;=sensitivity!$D$9:'sensitivity'!$CN$9),sensitivity!$D59:'sensitivity'!$CN59)</f>
        <v>#REF!</v>
      </c>
      <c r="V59" s="35" t="e">
        <f>SUMPRODUCT(--(V$8&lt;=sensitivity!$D$9:'sensitivity'!$CN$9),--(V$9&gt;=sensitivity!$D$9:'sensitivity'!$CN$9),sensitivity!$D59:'sensitivity'!$CN59)</f>
        <v>#REF!</v>
      </c>
      <c r="W59" s="35" t="e">
        <f>SUMPRODUCT(--(W$8&lt;=sensitivity!$D$9:'sensitivity'!$CN$9),--(W$9&gt;=sensitivity!$D$9:'sensitivity'!$CN$9),sensitivity!$D59:'sensitivity'!$CN59)</f>
        <v>#REF!</v>
      </c>
      <c r="X59" s="35" t="e">
        <f>SUMPRODUCT(--(X$8&lt;=sensitivity!$D$9:'sensitivity'!$CN$9),--(X$9&gt;=sensitivity!$D$9:'sensitivity'!$CN$9),sensitivity!$D59:'sensitivity'!$CN59)</f>
        <v>#REF!</v>
      </c>
      <c r="Y59" s="35" t="e">
        <f>SUMPRODUCT(--(Y$8&lt;=sensitivity!$D$9:'sensitivity'!$CN$9),--(Y$9&gt;=sensitivity!$D$9:'sensitivity'!$CN$9),sensitivity!$D59:'sensitivity'!$CN59)</f>
        <v>#REF!</v>
      </c>
      <c r="Z59" s="35" t="e">
        <f>SUMPRODUCT(--(Z$8&lt;=sensitivity!$D$9:'sensitivity'!$CN$9),--(Z$9&gt;=sensitivity!$D$9:'sensitivity'!$CN$9),sensitivity!$D59:'sensitivity'!$CN59)</f>
        <v>#REF!</v>
      </c>
      <c r="AA59" s="35"/>
    </row>
    <row r="60" spans="1:27" ht="13" outlineLevel="1">
      <c r="A60" s="37"/>
      <c r="B60" s="70" t="s">
        <v>159</v>
      </c>
      <c r="C60" s="70" t="e">
        <f t="shared" si="9"/>
        <v>#REF!</v>
      </c>
      <c r="D60" s="71">
        <f>sensitivity!D60</f>
        <v>0</v>
      </c>
      <c r="E60" s="70" t="e">
        <f>SUMPRODUCT(--(E$8&lt;=sensitivity!$D$9:'sensitivity'!$CN$9),--(E$9&gt;=sensitivity!$D$9:'sensitivity'!$CN$9),sensitivity!$D60:'sensitivity'!$CN60)</f>
        <v>#REF!</v>
      </c>
      <c r="F60" s="70" t="e">
        <f>SUMPRODUCT(--(F$8&lt;=sensitivity!$D$9:'sensitivity'!$CN$9),--(F$9&gt;=sensitivity!$D$9:'sensitivity'!$CN$9),sensitivity!$D60:'sensitivity'!$CN60)</f>
        <v>#REF!</v>
      </c>
      <c r="G60" s="70" t="e">
        <f>SUMPRODUCT(--(G$8&lt;=sensitivity!$D$9:'sensitivity'!$CN$9),--(G$9&gt;=sensitivity!$D$9:'sensitivity'!$CN$9),sensitivity!$D60:'sensitivity'!$CN60)</f>
        <v>#REF!</v>
      </c>
      <c r="H60" s="70" t="e">
        <f>SUMPRODUCT(--(H$8&lt;=sensitivity!$D$9:'sensitivity'!$CN$9),--(H$9&gt;=sensitivity!$D$9:'sensitivity'!$CN$9),sensitivity!$D60:'sensitivity'!$CN60)</f>
        <v>#REF!</v>
      </c>
      <c r="I60" s="70" t="e">
        <f>SUMPRODUCT(--(I$8&lt;=sensitivity!$D$9:'sensitivity'!$CN$9),--(I$9&gt;=sensitivity!$D$9:'sensitivity'!$CN$9),sensitivity!$D60:'sensitivity'!$CN60)</f>
        <v>#REF!</v>
      </c>
      <c r="J60" s="70" t="e">
        <f>SUMPRODUCT(--(J$8&lt;=sensitivity!$D$9:'sensitivity'!$CN$9),--(J$9&gt;=sensitivity!$D$9:'sensitivity'!$CN$9),sensitivity!$D60:'sensitivity'!$CN60)</f>
        <v>#REF!</v>
      </c>
      <c r="K60" s="70" t="e">
        <f>SUMPRODUCT(--(K$8&lt;=sensitivity!$D$9:'sensitivity'!$CN$9),--(K$9&gt;=sensitivity!$D$9:'sensitivity'!$CN$9),sensitivity!$D60:'sensitivity'!$CN60)</f>
        <v>#REF!</v>
      </c>
      <c r="L60" s="70" t="e">
        <f>SUMPRODUCT(--(L$8&lt;=sensitivity!$D$9:'sensitivity'!$CN$9),--(L$9&gt;=sensitivity!$D$9:'sensitivity'!$CN$9),sensitivity!$D60:'sensitivity'!$CN60)</f>
        <v>#REF!</v>
      </c>
      <c r="M60" s="70" t="e">
        <f>SUMPRODUCT(--(M$8&lt;=sensitivity!$D$9:'sensitivity'!$CN$9),--(M$9&gt;=sensitivity!$D$9:'sensitivity'!$CN$9),sensitivity!$D60:'sensitivity'!$CN60)</f>
        <v>#REF!</v>
      </c>
      <c r="N60" s="70" t="e">
        <f>SUMPRODUCT(--(N$8&lt;=sensitivity!$D$9:'sensitivity'!$CN$9),--(N$9&gt;=sensitivity!$D$9:'sensitivity'!$CN$9),sensitivity!$D60:'sensitivity'!$CN60)</f>
        <v>#REF!</v>
      </c>
      <c r="O60" s="70" t="e">
        <f>SUMPRODUCT(--(O$8&lt;=sensitivity!$D$9:'sensitivity'!$CN$9),--(O$9&gt;=sensitivity!$D$9:'sensitivity'!$CN$9),sensitivity!$D60:'sensitivity'!$CN60)</f>
        <v>#REF!</v>
      </c>
      <c r="P60" s="70" t="e">
        <f>SUMPRODUCT(--(P$8&lt;=sensitivity!$D$9:'sensitivity'!$CN$9),--(P$9&gt;=sensitivity!$D$9:'sensitivity'!$CN$9),sensitivity!$D60:'sensitivity'!$CN60)</f>
        <v>#REF!</v>
      </c>
      <c r="Q60" s="70" t="e">
        <f>SUMPRODUCT(--(Q$8&lt;=sensitivity!$D$9:'sensitivity'!$CN$9),--(Q$9&gt;=sensitivity!$D$9:'sensitivity'!$CN$9),sensitivity!$D60:'sensitivity'!$CN60)</f>
        <v>#REF!</v>
      </c>
      <c r="R60" s="70" t="e">
        <f>SUMPRODUCT(--(R$8&lt;=sensitivity!$D$9:'sensitivity'!$CN$9),--(R$9&gt;=sensitivity!$D$9:'sensitivity'!$CN$9),sensitivity!$D60:'sensitivity'!$CN60)</f>
        <v>#REF!</v>
      </c>
      <c r="S60" s="70" t="e">
        <f>SUMPRODUCT(--(S$8&lt;=sensitivity!$D$9:'sensitivity'!$CN$9),--(S$9&gt;=sensitivity!$D$9:'sensitivity'!$CN$9),sensitivity!$D60:'sensitivity'!$CN60)</f>
        <v>#REF!</v>
      </c>
      <c r="T60" s="70" t="e">
        <f>SUMPRODUCT(--(T$8&lt;=sensitivity!$D$9:'sensitivity'!$CN$9),--(T$9&gt;=sensitivity!$D$9:'sensitivity'!$CN$9),sensitivity!$D60:'sensitivity'!$CN60)</f>
        <v>#REF!</v>
      </c>
      <c r="U60" s="70" t="e">
        <f>SUMPRODUCT(--(U$8&lt;=sensitivity!$D$9:'sensitivity'!$CN$9),--(U$9&gt;=sensitivity!$D$9:'sensitivity'!$CN$9),sensitivity!$D60:'sensitivity'!$CN60)</f>
        <v>#REF!</v>
      </c>
      <c r="V60" s="70" t="e">
        <f>SUMPRODUCT(--(V$8&lt;=sensitivity!$D$9:'sensitivity'!$CN$9),--(V$9&gt;=sensitivity!$D$9:'sensitivity'!$CN$9),sensitivity!$D60:'sensitivity'!$CN60)</f>
        <v>#REF!</v>
      </c>
      <c r="W60" s="70" t="e">
        <f>SUMPRODUCT(--(W$8&lt;=sensitivity!$D$9:'sensitivity'!$CN$9),--(W$9&gt;=sensitivity!$D$9:'sensitivity'!$CN$9),sensitivity!$D60:'sensitivity'!$CN60)</f>
        <v>#REF!</v>
      </c>
      <c r="X60" s="70" t="e">
        <f>SUMPRODUCT(--(X$8&lt;=sensitivity!$D$9:'sensitivity'!$CN$9),--(X$9&gt;=sensitivity!$D$9:'sensitivity'!$CN$9),sensitivity!$D60:'sensitivity'!$CN60)</f>
        <v>#REF!</v>
      </c>
      <c r="Y60" s="70" t="e">
        <f>SUMPRODUCT(--(Y$8&lt;=sensitivity!$D$9:'sensitivity'!$CN$9),--(Y$9&gt;=sensitivity!$D$9:'sensitivity'!$CN$9),sensitivity!$D60:'sensitivity'!$CN60)</f>
        <v>#REF!</v>
      </c>
      <c r="Z60" s="70" t="e">
        <f>SUMPRODUCT(--(Z$8&lt;=sensitivity!$D$9:'sensitivity'!$CN$9),--(Z$9&gt;=sensitivity!$D$9:'sensitivity'!$CN$9),sensitivity!$D60:'sensitivity'!$CN60)</f>
        <v>#REF!</v>
      </c>
      <c r="AA60" s="70"/>
    </row>
    <row r="61" spans="1:27" ht="13">
      <c r="A61" s="37"/>
      <c r="B61" s="75" t="s">
        <v>160</v>
      </c>
      <c r="C61" s="70" t="e">
        <f t="shared" si="9"/>
        <v>#REF!</v>
      </c>
      <c r="D61" s="76">
        <f>sensitivity!D61</f>
        <v>0</v>
      </c>
      <c r="E61" s="75" t="e">
        <f>SUMPRODUCT(--(E$8&lt;=sensitivity!$D$9:'sensitivity'!$CN$9),--(E$9&gt;=sensitivity!$D$9:'sensitivity'!$CN$9),sensitivity!$D61:'sensitivity'!$CN61)</f>
        <v>#REF!</v>
      </c>
      <c r="F61" s="75" t="e">
        <f>SUMPRODUCT(--(F$8&lt;=sensitivity!$D$9:'sensitivity'!$CN$9),--(F$9&gt;=sensitivity!$D$9:'sensitivity'!$CN$9),sensitivity!$D61:'sensitivity'!$CN61)</f>
        <v>#REF!</v>
      </c>
      <c r="G61" s="75" t="e">
        <f>SUMPRODUCT(--(G$8&lt;=sensitivity!$D$9:'sensitivity'!$CN$9),--(G$9&gt;=sensitivity!$D$9:'sensitivity'!$CN$9),sensitivity!$D61:'sensitivity'!$CN61)</f>
        <v>#REF!</v>
      </c>
      <c r="H61" s="75" t="e">
        <f>SUMPRODUCT(--(H$8&lt;=sensitivity!$D$9:'sensitivity'!$CN$9),--(H$9&gt;=sensitivity!$D$9:'sensitivity'!$CN$9),sensitivity!$D61:'sensitivity'!$CN61)</f>
        <v>#REF!</v>
      </c>
      <c r="I61" s="75" t="e">
        <f>SUMPRODUCT(--(I$8&lt;=sensitivity!$D$9:'sensitivity'!$CN$9),--(I$9&gt;=sensitivity!$D$9:'sensitivity'!$CN$9),sensitivity!$D61:'sensitivity'!$CN61)</f>
        <v>#REF!</v>
      </c>
      <c r="J61" s="75" t="e">
        <f>SUMPRODUCT(--(J$8&lt;=sensitivity!$D$9:'sensitivity'!$CN$9),--(J$9&gt;=sensitivity!$D$9:'sensitivity'!$CN$9),sensitivity!$D61:'sensitivity'!$CN61)</f>
        <v>#REF!</v>
      </c>
      <c r="K61" s="75" t="e">
        <f>SUMPRODUCT(--(K$8&lt;=sensitivity!$D$9:'sensitivity'!$CN$9),--(K$9&gt;=sensitivity!$D$9:'sensitivity'!$CN$9),sensitivity!$D61:'sensitivity'!$CN61)</f>
        <v>#REF!</v>
      </c>
      <c r="L61" s="75" t="e">
        <f>SUMPRODUCT(--(L$8&lt;=sensitivity!$D$9:'sensitivity'!$CN$9),--(L$9&gt;=sensitivity!$D$9:'sensitivity'!$CN$9),sensitivity!$D61:'sensitivity'!$CN61)</f>
        <v>#REF!</v>
      </c>
      <c r="M61" s="75" t="e">
        <f>SUMPRODUCT(--(M$8&lt;=sensitivity!$D$9:'sensitivity'!$CN$9),--(M$9&gt;=sensitivity!$D$9:'sensitivity'!$CN$9),sensitivity!$D61:'sensitivity'!$CN61)</f>
        <v>#REF!</v>
      </c>
      <c r="N61" s="75" t="e">
        <f>SUMPRODUCT(--(N$8&lt;=sensitivity!$D$9:'sensitivity'!$CN$9),--(N$9&gt;=sensitivity!$D$9:'sensitivity'!$CN$9),sensitivity!$D61:'sensitivity'!$CN61)</f>
        <v>#REF!</v>
      </c>
      <c r="O61" s="75" t="e">
        <f>SUMPRODUCT(--(O$8&lt;=sensitivity!$D$9:'sensitivity'!$CN$9),--(O$9&gt;=sensitivity!$D$9:'sensitivity'!$CN$9),sensitivity!$D61:'sensitivity'!$CN61)</f>
        <v>#REF!</v>
      </c>
      <c r="P61" s="75" t="e">
        <f>SUMPRODUCT(--(P$8&lt;=sensitivity!$D$9:'sensitivity'!$CN$9),--(P$9&gt;=sensitivity!$D$9:'sensitivity'!$CN$9),sensitivity!$D61:'sensitivity'!$CN61)</f>
        <v>#REF!</v>
      </c>
      <c r="Q61" s="75" t="e">
        <f>SUMPRODUCT(--(Q$8&lt;=sensitivity!$D$9:'sensitivity'!$CN$9),--(Q$9&gt;=sensitivity!$D$9:'sensitivity'!$CN$9),sensitivity!$D61:'sensitivity'!$CN61)</f>
        <v>#REF!</v>
      </c>
      <c r="R61" s="75" t="e">
        <f>SUMPRODUCT(--(R$8&lt;=sensitivity!$D$9:'sensitivity'!$CN$9),--(R$9&gt;=sensitivity!$D$9:'sensitivity'!$CN$9),sensitivity!$D61:'sensitivity'!$CN61)</f>
        <v>#REF!</v>
      </c>
      <c r="S61" s="75" t="e">
        <f>SUMPRODUCT(--(S$8&lt;=sensitivity!$D$9:'sensitivity'!$CN$9),--(S$9&gt;=sensitivity!$D$9:'sensitivity'!$CN$9),sensitivity!$D61:'sensitivity'!$CN61)</f>
        <v>#REF!</v>
      </c>
      <c r="T61" s="75" t="e">
        <f>SUMPRODUCT(--(T$8&lt;=sensitivity!$D$9:'sensitivity'!$CN$9),--(T$9&gt;=sensitivity!$D$9:'sensitivity'!$CN$9),sensitivity!$D61:'sensitivity'!$CN61)</f>
        <v>#REF!</v>
      </c>
      <c r="U61" s="75" t="e">
        <f>SUMPRODUCT(--(U$8&lt;=sensitivity!$D$9:'sensitivity'!$CN$9),--(U$9&gt;=sensitivity!$D$9:'sensitivity'!$CN$9),sensitivity!$D61:'sensitivity'!$CN61)</f>
        <v>#REF!</v>
      </c>
      <c r="V61" s="75" t="e">
        <f>SUMPRODUCT(--(V$8&lt;=sensitivity!$D$9:'sensitivity'!$CN$9),--(V$9&gt;=sensitivity!$D$9:'sensitivity'!$CN$9),sensitivity!$D61:'sensitivity'!$CN61)</f>
        <v>#REF!</v>
      </c>
      <c r="W61" s="75" t="e">
        <f>SUMPRODUCT(--(W$8&lt;=sensitivity!$D$9:'sensitivity'!$CN$9),--(W$9&gt;=sensitivity!$D$9:'sensitivity'!$CN$9),sensitivity!$D61:'sensitivity'!$CN61)</f>
        <v>#REF!</v>
      </c>
      <c r="X61" s="75" t="e">
        <f>SUMPRODUCT(--(X$8&lt;=sensitivity!$D$9:'sensitivity'!$CN$9),--(X$9&gt;=sensitivity!$D$9:'sensitivity'!$CN$9),sensitivity!$D61:'sensitivity'!$CN61)</f>
        <v>#REF!</v>
      </c>
      <c r="Y61" s="75" t="e">
        <f>SUMPRODUCT(--(Y$8&lt;=sensitivity!$D$9:'sensitivity'!$CN$9),--(Y$9&gt;=sensitivity!$D$9:'sensitivity'!$CN$9),sensitivity!$D61:'sensitivity'!$CN61)</f>
        <v>#REF!</v>
      </c>
      <c r="Z61" s="75" t="e">
        <f>SUMPRODUCT(--(Z$8&lt;=sensitivity!$D$9:'sensitivity'!$CN$9),--(Z$9&gt;=sensitivity!$D$9:'sensitivity'!$CN$9),sensitivity!$D61:'sensitivity'!$CN61)</f>
        <v>#REF!</v>
      </c>
      <c r="AA61" s="75"/>
    </row>
    <row r="62" spans="1:27" ht="13">
      <c r="A62" s="35"/>
      <c r="B62" s="78" t="s">
        <v>161</v>
      </c>
      <c r="C62" s="78"/>
      <c r="D62" s="79">
        <f>sensitivity!D62</f>
        <v>0</v>
      </c>
      <c r="E62" s="80">
        <f t="shared" ref="E62:Z62" si="10">IF(ISERROR(E61/E28),0,E61/E28)</f>
        <v>0</v>
      </c>
      <c r="F62" s="80">
        <f t="shared" si="10"/>
        <v>0</v>
      </c>
      <c r="G62" s="80">
        <f t="shared" si="10"/>
        <v>0</v>
      </c>
      <c r="H62" s="80">
        <f t="shared" si="10"/>
        <v>0</v>
      </c>
      <c r="I62" s="80">
        <f t="shared" si="10"/>
        <v>0</v>
      </c>
      <c r="J62" s="80">
        <f t="shared" si="10"/>
        <v>0</v>
      </c>
      <c r="K62" s="80">
        <f t="shared" si="10"/>
        <v>0</v>
      </c>
      <c r="L62" s="80">
        <f t="shared" si="10"/>
        <v>0</v>
      </c>
      <c r="M62" s="80">
        <f t="shared" si="10"/>
        <v>0</v>
      </c>
      <c r="N62" s="80">
        <f t="shared" si="10"/>
        <v>0</v>
      </c>
      <c r="O62" s="80">
        <f t="shared" si="10"/>
        <v>0</v>
      </c>
      <c r="P62" s="80">
        <f t="shared" si="10"/>
        <v>0</v>
      </c>
      <c r="Q62" s="80">
        <f t="shared" si="10"/>
        <v>0</v>
      </c>
      <c r="R62" s="80">
        <f t="shared" si="10"/>
        <v>0</v>
      </c>
      <c r="S62" s="80">
        <f t="shared" si="10"/>
        <v>0</v>
      </c>
      <c r="T62" s="80">
        <f t="shared" si="10"/>
        <v>0</v>
      </c>
      <c r="U62" s="80">
        <f t="shared" si="10"/>
        <v>0</v>
      </c>
      <c r="V62" s="80">
        <f t="shared" si="10"/>
        <v>0</v>
      </c>
      <c r="W62" s="80">
        <f t="shared" si="10"/>
        <v>0</v>
      </c>
      <c r="X62" s="80">
        <f t="shared" si="10"/>
        <v>0</v>
      </c>
      <c r="Y62" s="80">
        <f t="shared" si="10"/>
        <v>0</v>
      </c>
      <c r="Z62" s="80">
        <f t="shared" si="10"/>
        <v>0</v>
      </c>
      <c r="AA62" s="80"/>
    </row>
    <row r="63" spans="1:27" ht="13" outlineLevel="2">
      <c r="A63" s="35"/>
      <c r="B63" s="63" t="s">
        <v>55</v>
      </c>
      <c r="C63" s="35" t="e">
        <f t="shared" ref="C63:C67" si="11">SUM(D63:AA63)</f>
        <v>#REF!</v>
      </c>
      <c r="D63" s="82">
        <f>sensitivity!D63</f>
        <v>0</v>
      </c>
      <c r="E63" s="83" t="e">
        <f>SUMPRODUCT(--(E$8&lt;=sensitivity!$D$9:'sensitivity'!$CN$9),--(E$9&gt;=sensitivity!$D$9:'sensitivity'!$CN$9),sensitivity!$D63:'sensitivity'!$CN63)</f>
        <v>#REF!</v>
      </c>
      <c r="F63" s="83" t="e">
        <f>SUMPRODUCT(--(F$8&lt;=sensitivity!$D$9:'sensitivity'!$CN$9),--(F$9&gt;=sensitivity!$D$9:'sensitivity'!$CN$9),sensitivity!$D63:'sensitivity'!$CN63)</f>
        <v>#REF!</v>
      </c>
      <c r="G63" s="83" t="e">
        <f>SUMPRODUCT(--(G$8&lt;=sensitivity!$D$9:'sensitivity'!$CN$9),--(G$9&gt;=sensitivity!$D$9:'sensitivity'!$CN$9),sensitivity!$D63:'sensitivity'!$CN63)</f>
        <v>#REF!</v>
      </c>
      <c r="H63" s="83" t="e">
        <f>SUMPRODUCT(--(H$8&lt;=sensitivity!$D$9:'sensitivity'!$CN$9),--(H$9&gt;=sensitivity!$D$9:'sensitivity'!$CN$9),sensitivity!$D63:'sensitivity'!$CN63)</f>
        <v>#REF!</v>
      </c>
      <c r="I63" s="83" t="e">
        <f>SUMPRODUCT(--(I$8&lt;=sensitivity!$D$9:'sensitivity'!$CN$9),--(I$9&gt;=sensitivity!$D$9:'sensitivity'!$CN$9),sensitivity!$D63:'sensitivity'!$CN63)</f>
        <v>#REF!</v>
      </c>
      <c r="J63" s="83" t="e">
        <f>SUMPRODUCT(--(J$8&lt;=sensitivity!$D$9:'sensitivity'!$CN$9),--(J$9&gt;=sensitivity!$D$9:'sensitivity'!$CN$9),sensitivity!$D63:'sensitivity'!$CN63)</f>
        <v>#REF!</v>
      </c>
      <c r="K63" s="83" t="e">
        <f>SUMPRODUCT(--(K$8&lt;=sensitivity!$D$9:'sensitivity'!$CN$9),--(K$9&gt;=sensitivity!$D$9:'sensitivity'!$CN$9),sensitivity!$D63:'sensitivity'!$CN63)</f>
        <v>#REF!</v>
      </c>
      <c r="L63" s="83" t="e">
        <f>SUMPRODUCT(--(L$8&lt;=sensitivity!$D$9:'sensitivity'!$CN$9),--(L$9&gt;=sensitivity!$D$9:'sensitivity'!$CN$9),sensitivity!$D63:'sensitivity'!$CN63)</f>
        <v>#REF!</v>
      </c>
      <c r="M63" s="83" t="e">
        <f>SUMPRODUCT(--(M$8&lt;=sensitivity!$D$9:'sensitivity'!$CN$9),--(M$9&gt;=sensitivity!$D$9:'sensitivity'!$CN$9),sensitivity!$D63:'sensitivity'!$CN63)</f>
        <v>#REF!</v>
      </c>
      <c r="N63" s="83" t="e">
        <f>SUMPRODUCT(--(N$8&lt;=sensitivity!$D$9:'sensitivity'!$CN$9),--(N$9&gt;=sensitivity!$D$9:'sensitivity'!$CN$9),sensitivity!$D63:'sensitivity'!$CN63)</f>
        <v>#REF!</v>
      </c>
      <c r="O63" s="83" t="e">
        <f>SUMPRODUCT(--(O$8&lt;=sensitivity!$D$9:'sensitivity'!$CN$9),--(O$9&gt;=sensitivity!$D$9:'sensitivity'!$CN$9),sensitivity!$D63:'sensitivity'!$CN63)</f>
        <v>#REF!</v>
      </c>
      <c r="P63" s="83" t="e">
        <f>SUMPRODUCT(--(P$8&lt;=sensitivity!$D$9:'sensitivity'!$CN$9),--(P$9&gt;=sensitivity!$D$9:'sensitivity'!$CN$9),sensitivity!$D63:'sensitivity'!$CN63)</f>
        <v>#REF!</v>
      </c>
      <c r="Q63" s="83" t="e">
        <f>SUMPRODUCT(--(Q$8&lt;=sensitivity!$D$9:'sensitivity'!$CN$9),--(Q$9&gt;=sensitivity!$D$9:'sensitivity'!$CN$9),sensitivity!$D63:'sensitivity'!$CN63)</f>
        <v>#REF!</v>
      </c>
      <c r="R63" s="83" t="e">
        <f>SUMPRODUCT(--(R$8&lt;=sensitivity!$D$9:'sensitivity'!$CN$9),--(R$9&gt;=sensitivity!$D$9:'sensitivity'!$CN$9),sensitivity!$D63:'sensitivity'!$CN63)</f>
        <v>#REF!</v>
      </c>
      <c r="S63" s="83" t="e">
        <f>SUMPRODUCT(--(S$8&lt;=sensitivity!$D$9:'sensitivity'!$CN$9),--(S$9&gt;=sensitivity!$D$9:'sensitivity'!$CN$9),sensitivity!$D63:'sensitivity'!$CN63)</f>
        <v>#REF!</v>
      </c>
      <c r="T63" s="83" t="e">
        <f>SUMPRODUCT(--(T$8&lt;=sensitivity!$D$9:'sensitivity'!$CN$9),--(T$9&gt;=sensitivity!$D$9:'sensitivity'!$CN$9),sensitivity!$D63:'sensitivity'!$CN63)</f>
        <v>#REF!</v>
      </c>
      <c r="U63" s="83" t="e">
        <f>SUMPRODUCT(--(U$8&lt;=sensitivity!$D$9:'sensitivity'!$CN$9),--(U$9&gt;=sensitivity!$D$9:'sensitivity'!$CN$9),sensitivity!$D63:'sensitivity'!$CN63)</f>
        <v>#REF!</v>
      </c>
      <c r="V63" s="83" t="e">
        <f>SUMPRODUCT(--(V$8&lt;=sensitivity!$D$9:'sensitivity'!$CN$9),--(V$9&gt;=sensitivity!$D$9:'sensitivity'!$CN$9),sensitivity!$D63:'sensitivity'!$CN63)</f>
        <v>#REF!</v>
      </c>
      <c r="W63" s="83" t="e">
        <f>SUMPRODUCT(--(W$8&lt;=sensitivity!$D$9:'sensitivity'!$CN$9),--(W$9&gt;=sensitivity!$D$9:'sensitivity'!$CN$9),sensitivity!$D63:'sensitivity'!$CN63)</f>
        <v>#REF!</v>
      </c>
      <c r="X63" s="83" t="e">
        <f>SUMPRODUCT(--(X$8&lt;=sensitivity!$D$9:'sensitivity'!$CN$9),--(X$9&gt;=sensitivity!$D$9:'sensitivity'!$CN$9),sensitivity!$D63:'sensitivity'!$CN63)</f>
        <v>#REF!</v>
      </c>
      <c r="Y63" s="83" t="e">
        <f>SUMPRODUCT(--(Y$8&lt;=sensitivity!$D$9:'sensitivity'!$CN$9),--(Y$9&gt;=sensitivity!$D$9:'sensitivity'!$CN$9),sensitivity!$D63:'sensitivity'!$CN63)</f>
        <v>#REF!</v>
      </c>
      <c r="Z63" s="83" t="e">
        <f>SUMPRODUCT(--(Z$8&lt;=sensitivity!$D$9:'sensitivity'!$CN$9),--(Z$9&gt;=sensitivity!$D$9:'sensitivity'!$CN$9),sensitivity!$D63:'sensitivity'!$CN63)</f>
        <v>#REF!</v>
      </c>
      <c r="AA63" s="83"/>
    </row>
    <row r="64" spans="1:27" ht="13" outlineLevel="2">
      <c r="A64" s="35"/>
      <c r="B64" s="63" t="s">
        <v>162</v>
      </c>
      <c r="C64" s="35" t="e">
        <f t="shared" si="11"/>
        <v>#REF!</v>
      </c>
      <c r="D64" s="82">
        <f>sensitivity!D64</f>
        <v>0</v>
      </c>
      <c r="E64" s="83" t="e">
        <f>SUMPRODUCT(--(E$8&lt;=sensitivity!$D$9:'sensitivity'!$CN$9),--(E$9&gt;=sensitivity!$D$9:'sensitivity'!$CN$9),sensitivity!$D64:'sensitivity'!$CN64)</f>
        <v>#REF!</v>
      </c>
      <c r="F64" s="83" t="e">
        <f>SUMPRODUCT(--(F$8&lt;=sensitivity!$D$9:'sensitivity'!$CN$9),--(F$9&gt;=sensitivity!$D$9:'sensitivity'!$CN$9),sensitivity!$D64:'sensitivity'!$CN64)</f>
        <v>#REF!</v>
      </c>
      <c r="G64" s="83" t="e">
        <f>SUMPRODUCT(--(G$8&lt;=sensitivity!$D$9:'sensitivity'!$CN$9),--(G$9&gt;=sensitivity!$D$9:'sensitivity'!$CN$9),sensitivity!$D64:'sensitivity'!$CN64)</f>
        <v>#REF!</v>
      </c>
      <c r="H64" s="83" t="e">
        <f>SUMPRODUCT(--(H$8&lt;=sensitivity!$D$9:'sensitivity'!$CN$9),--(H$9&gt;=sensitivity!$D$9:'sensitivity'!$CN$9),sensitivity!$D64:'sensitivity'!$CN64)</f>
        <v>#REF!</v>
      </c>
      <c r="I64" s="83" t="e">
        <f>SUMPRODUCT(--(I$8&lt;=sensitivity!$D$9:'sensitivity'!$CN$9),--(I$9&gt;=sensitivity!$D$9:'sensitivity'!$CN$9),sensitivity!$D64:'sensitivity'!$CN64)</f>
        <v>#REF!</v>
      </c>
      <c r="J64" s="83" t="e">
        <f>SUMPRODUCT(--(J$8&lt;=sensitivity!$D$9:'sensitivity'!$CN$9),--(J$9&gt;=sensitivity!$D$9:'sensitivity'!$CN$9),sensitivity!$D64:'sensitivity'!$CN64)</f>
        <v>#REF!</v>
      </c>
      <c r="K64" s="83" t="e">
        <f>SUMPRODUCT(--(K$8&lt;=sensitivity!$D$9:'sensitivity'!$CN$9),--(K$9&gt;=sensitivity!$D$9:'sensitivity'!$CN$9),sensitivity!$D64:'sensitivity'!$CN64)</f>
        <v>#REF!</v>
      </c>
      <c r="L64" s="83" t="e">
        <f>SUMPRODUCT(--(L$8&lt;=sensitivity!$D$9:'sensitivity'!$CN$9),--(L$9&gt;=sensitivity!$D$9:'sensitivity'!$CN$9),sensitivity!$D64:'sensitivity'!$CN64)</f>
        <v>#REF!</v>
      </c>
      <c r="M64" s="83" t="e">
        <f>SUMPRODUCT(--(M$8&lt;=sensitivity!$D$9:'sensitivity'!$CN$9),--(M$9&gt;=sensitivity!$D$9:'sensitivity'!$CN$9),sensitivity!$D64:'sensitivity'!$CN64)</f>
        <v>#REF!</v>
      </c>
      <c r="N64" s="83" t="e">
        <f>SUMPRODUCT(--(N$8&lt;=sensitivity!$D$9:'sensitivity'!$CN$9),--(N$9&gt;=sensitivity!$D$9:'sensitivity'!$CN$9),sensitivity!$D64:'sensitivity'!$CN64)</f>
        <v>#REF!</v>
      </c>
      <c r="O64" s="83" t="e">
        <f>SUMPRODUCT(--(O$8&lt;=sensitivity!$D$9:'sensitivity'!$CN$9),--(O$9&gt;=sensitivity!$D$9:'sensitivity'!$CN$9),sensitivity!$D64:'sensitivity'!$CN64)</f>
        <v>#REF!</v>
      </c>
      <c r="P64" s="83" t="e">
        <f>SUMPRODUCT(--(P$8&lt;=sensitivity!$D$9:'sensitivity'!$CN$9),--(P$9&gt;=sensitivity!$D$9:'sensitivity'!$CN$9),sensitivity!$D64:'sensitivity'!$CN64)</f>
        <v>#REF!</v>
      </c>
      <c r="Q64" s="83" t="e">
        <f>SUMPRODUCT(--(Q$8&lt;=sensitivity!$D$9:'sensitivity'!$CN$9),--(Q$9&gt;=sensitivity!$D$9:'sensitivity'!$CN$9),sensitivity!$D64:'sensitivity'!$CN64)</f>
        <v>#REF!</v>
      </c>
      <c r="R64" s="83" t="e">
        <f>SUMPRODUCT(--(R$8&lt;=sensitivity!$D$9:'sensitivity'!$CN$9),--(R$9&gt;=sensitivity!$D$9:'sensitivity'!$CN$9),sensitivity!$D64:'sensitivity'!$CN64)</f>
        <v>#REF!</v>
      </c>
      <c r="S64" s="83" t="e">
        <f>SUMPRODUCT(--(S$8&lt;=sensitivity!$D$9:'sensitivity'!$CN$9),--(S$9&gt;=sensitivity!$D$9:'sensitivity'!$CN$9),sensitivity!$D64:'sensitivity'!$CN64)</f>
        <v>#REF!</v>
      </c>
      <c r="T64" s="83" t="e">
        <f>SUMPRODUCT(--(T$8&lt;=sensitivity!$D$9:'sensitivity'!$CN$9),--(T$9&gt;=sensitivity!$D$9:'sensitivity'!$CN$9),sensitivity!$D64:'sensitivity'!$CN64)</f>
        <v>#REF!</v>
      </c>
      <c r="U64" s="83" t="e">
        <f>SUMPRODUCT(--(U$8&lt;=sensitivity!$D$9:'sensitivity'!$CN$9),--(U$9&gt;=sensitivity!$D$9:'sensitivity'!$CN$9),sensitivity!$D64:'sensitivity'!$CN64)</f>
        <v>#REF!</v>
      </c>
      <c r="V64" s="83" t="e">
        <f>SUMPRODUCT(--(V$8&lt;=sensitivity!$D$9:'sensitivity'!$CN$9),--(V$9&gt;=sensitivity!$D$9:'sensitivity'!$CN$9),sensitivity!$D64:'sensitivity'!$CN64)</f>
        <v>#REF!</v>
      </c>
      <c r="W64" s="83" t="e">
        <f>SUMPRODUCT(--(W$8&lt;=sensitivity!$D$9:'sensitivity'!$CN$9),--(W$9&gt;=sensitivity!$D$9:'sensitivity'!$CN$9),sensitivity!$D64:'sensitivity'!$CN64)</f>
        <v>#REF!</v>
      </c>
      <c r="X64" s="83" t="e">
        <f>SUMPRODUCT(--(X$8&lt;=sensitivity!$D$9:'sensitivity'!$CN$9),--(X$9&gt;=sensitivity!$D$9:'sensitivity'!$CN$9),sensitivity!$D64:'sensitivity'!$CN64)</f>
        <v>#REF!</v>
      </c>
      <c r="Y64" s="83" t="e">
        <f>SUMPRODUCT(--(Y$8&lt;=sensitivity!$D$9:'sensitivity'!$CN$9),--(Y$9&gt;=sensitivity!$D$9:'sensitivity'!$CN$9),sensitivity!$D64:'sensitivity'!$CN64)</f>
        <v>#REF!</v>
      </c>
      <c r="Z64" s="83" t="e">
        <f>SUMPRODUCT(--(Z$8&lt;=sensitivity!$D$9:'sensitivity'!$CN$9),--(Z$9&gt;=sensitivity!$D$9:'sensitivity'!$CN$9),sensitivity!$D64:'sensitivity'!$CN64)</f>
        <v>#REF!</v>
      </c>
      <c r="AA64" s="83"/>
    </row>
    <row r="65" spans="1:27" ht="13">
      <c r="A65" s="37"/>
      <c r="B65" s="70" t="s">
        <v>163</v>
      </c>
      <c r="C65" s="70" t="e">
        <f t="shared" si="11"/>
        <v>#REF!</v>
      </c>
      <c r="D65" s="71">
        <f>sensitivity!D65</f>
        <v>0</v>
      </c>
      <c r="E65" s="70" t="e">
        <f>SUMPRODUCT(--(E$8&lt;=sensitivity!$D$9:'sensitivity'!$CN$9),--(E$9&gt;=sensitivity!$D$9:'sensitivity'!$CN$9),sensitivity!$D65:'sensitivity'!$CN65)</f>
        <v>#REF!</v>
      </c>
      <c r="F65" s="70" t="e">
        <f>SUMPRODUCT(--(F$8&lt;=sensitivity!$D$9:'sensitivity'!$CN$9),--(F$9&gt;=sensitivity!$D$9:'sensitivity'!$CN$9),sensitivity!$D65:'sensitivity'!$CN65)</f>
        <v>#REF!</v>
      </c>
      <c r="G65" s="70" t="e">
        <f>SUMPRODUCT(--(G$8&lt;=sensitivity!$D$9:'sensitivity'!$CN$9),--(G$9&gt;=sensitivity!$D$9:'sensitivity'!$CN$9),sensitivity!$D65:'sensitivity'!$CN65)</f>
        <v>#REF!</v>
      </c>
      <c r="H65" s="70" t="e">
        <f>SUMPRODUCT(--(H$8&lt;=sensitivity!$D$9:'sensitivity'!$CN$9),--(H$9&gt;=sensitivity!$D$9:'sensitivity'!$CN$9),sensitivity!$D65:'sensitivity'!$CN65)</f>
        <v>#REF!</v>
      </c>
      <c r="I65" s="70" t="e">
        <f>SUMPRODUCT(--(I$8&lt;=sensitivity!$D$9:'sensitivity'!$CN$9),--(I$9&gt;=sensitivity!$D$9:'sensitivity'!$CN$9),sensitivity!$D65:'sensitivity'!$CN65)</f>
        <v>#REF!</v>
      </c>
      <c r="J65" s="70" t="e">
        <f>SUMPRODUCT(--(J$8&lt;=sensitivity!$D$9:'sensitivity'!$CN$9),--(J$9&gt;=sensitivity!$D$9:'sensitivity'!$CN$9),sensitivity!$D65:'sensitivity'!$CN65)</f>
        <v>#REF!</v>
      </c>
      <c r="K65" s="70" t="e">
        <f>SUMPRODUCT(--(K$8&lt;=sensitivity!$D$9:'sensitivity'!$CN$9),--(K$9&gt;=sensitivity!$D$9:'sensitivity'!$CN$9),sensitivity!$D65:'sensitivity'!$CN65)</f>
        <v>#REF!</v>
      </c>
      <c r="L65" s="70" t="e">
        <f>SUMPRODUCT(--(L$8&lt;=sensitivity!$D$9:'sensitivity'!$CN$9),--(L$9&gt;=sensitivity!$D$9:'sensitivity'!$CN$9),sensitivity!$D65:'sensitivity'!$CN65)</f>
        <v>#REF!</v>
      </c>
      <c r="M65" s="70" t="e">
        <f>SUMPRODUCT(--(M$8&lt;=sensitivity!$D$9:'sensitivity'!$CN$9),--(M$9&gt;=sensitivity!$D$9:'sensitivity'!$CN$9),sensitivity!$D65:'sensitivity'!$CN65)</f>
        <v>#REF!</v>
      </c>
      <c r="N65" s="70" t="e">
        <f>SUMPRODUCT(--(N$8&lt;=sensitivity!$D$9:'sensitivity'!$CN$9),--(N$9&gt;=sensitivity!$D$9:'sensitivity'!$CN$9),sensitivity!$D65:'sensitivity'!$CN65)</f>
        <v>#REF!</v>
      </c>
      <c r="O65" s="70" t="e">
        <f>SUMPRODUCT(--(O$8&lt;=sensitivity!$D$9:'sensitivity'!$CN$9),--(O$9&gt;=sensitivity!$D$9:'sensitivity'!$CN$9),sensitivity!$D65:'sensitivity'!$CN65)</f>
        <v>#REF!</v>
      </c>
      <c r="P65" s="70" t="e">
        <f>SUMPRODUCT(--(P$8&lt;=sensitivity!$D$9:'sensitivity'!$CN$9),--(P$9&gt;=sensitivity!$D$9:'sensitivity'!$CN$9),sensitivity!$D65:'sensitivity'!$CN65)</f>
        <v>#REF!</v>
      </c>
      <c r="Q65" s="70" t="e">
        <f>SUMPRODUCT(--(Q$8&lt;=sensitivity!$D$9:'sensitivity'!$CN$9),--(Q$9&gt;=sensitivity!$D$9:'sensitivity'!$CN$9),sensitivity!$D65:'sensitivity'!$CN65)</f>
        <v>#REF!</v>
      </c>
      <c r="R65" s="70" t="e">
        <f>SUMPRODUCT(--(R$8&lt;=sensitivity!$D$9:'sensitivity'!$CN$9),--(R$9&gt;=sensitivity!$D$9:'sensitivity'!$CN$9),sensitivity!$D65:'sensitivity'!$CN65)</f>
        <v>#REF!</v>
      </c>
      <c r="S65" s="70" t="e">
        <f>SUMPRODUCT(--(S$8&lt;=sensitivity!$D$9:'sensitivity'!$CN$9),--(S$9&gt;=sensitivity!$D$9:'sensitivity'!$CN$9),sensitivity!$D65:'sensitivity'!$CN65)</f>
        <v>#REF!</v>
      </c>
      <c r="T65" s="70" t="e">
        <f>SUMPRODUCT(--(T$8&lt;=sensitivity!$D$9:'sensitivity'!$CN$9),--(T$9&gt;=sensitivity!$D$9:'sensitivity'!$CN$9),sensitivity!$D65:'sensitivity'!$CN65)</f>
        <v>#REF!</v>
      </c>
      <c r="U65" s="70" t="e">
        <f>SUMPRODUCT(--(U$8&lt;=sensitivity!$D$9:'sensitivity'!$CN$9),--(U$9&gt;=sensitivity!$D$9:'sensitivity'!$CN$9),sensitivity!$D65:'sensitivity'!$CN65)</f>
        <v>#REF!</v>
      </c>
      <c r="V65" s="70" t="e">
        <f>SUMPRODUCT(--(V$8&lt;=sensitivity!$D$9:'sensitivity'!$CN$9),--(V$9&gt;=sensitivity!$D$9:'sensitivity'!$CN$9),sensitivity!$D65:'sensitivity'!$CN65)</f>
        <v>#REF!</v>
      </c>
      <c r="W65" s="70" t="e">
        <f>SUMPRODUCT(--(W$8&lt;=sensitivity!$D$9:'sensitivity'!$CN$9),--(W$9&gt;=sensitivity!$D$9:'sensitivity'!$CN$9),sensitivity!$D65:'sensitivity'!$CN65)</f>
        <v>#REF!</v>
      </c>
      <c r="X65" s="70" t="e">
        <f>SUMPRODUCT(--(X$8&lt;=sensitivity!$D$9:'sensitivity'!$CN$9),--(X$9&gt;=sensitivity!$D$9:'sensitivity'!$CN$9),sensitivity!$D65:'sensitivity'!$CN65)</f>
        <v>#REF!</v>
      </c>
      <c r="Y65" s="70" t="e">
        <f>SUMPRODUCT(--(Y$8&lt;=sensitivity!$D$9:'sensitivity'!$CN$9),--(Y$9&gt;=sensitivity!$D$9:'sensitivity'!$CN$9),sensitivity!$D65:'sensitivity'!$CN65)</f>
        <v>#REF!</v>
      </c>
      <c r="Z65" s="70" t="e">
        <f>SUMPRODUCT(--(Z$8&lt;=sensitivity!$D$9:'sensitivity'!$CN$9),--(Z$9&gt;=sensitivity!$D$9:'sensitivity'!$CN$9),sensitivity!$D65:'sensitivity'!$CN65)</f>
        <v>#REF!</v>
      </c>
      <c r="AA65" s="70"/>
    </row>
    <row r="66" spans="1:27" ht="13">
      <c r="A66" s="35"/>
      <c r="B66" s="63" t="s">
        <v>164</v>
      </c>
      <c r="C66" s="74" t="e">
        <f t="shared" si="11"/>
        <v>#REF!</v>
      </c>
      <c r="D66" s="60">
        <f>sensitivity!D66</f>
        <v>0</v>
      </c>
      <c r="E66" s="35" t="e">
        <f>SUMPRODUCT(--(E$8&lt;=sensitivity!$D$9:'sensitivity'!$CN$9),--(E$9&gt;=sensitivity!$D$9:'sensitivity'!$CN$9),sensitivity!$D66:'sensitivity'!$CN66)</f>
        <v>#REF!</v>
      </c>
      <c r="F66" s="35" t="e">
        <f>SUMPRODUCT(--(F$8&lt;=sensitivity!$D$9:'sensitivity'!$CN$9),--(F$9&gt;=sensitivity!$D$9:'sensitivity'!$CN$9),sensitivity!$D66:'sensitivity'!$CN66)</f>
        <v>#REF!</v>
      </c>
      <c r="G66" s="35" t="e">
        <f>SUMPRODUCT(--(G$8&lt;=sensitivity!$D$9:'sensitivity'!$CN$9),--(G$9&gt;=sensitivity!$D$9:'sensitivity'!$CN$9),sensitivity!$D66:'sensitivity'!$CN66)</f>
        <v>#REF!</v>
      </c>
      <c r="H66" s="35" t="e">
        <f>SUMPRODUCT(--(H$8&lt;=sensitivity!$D$9:'sensitivity'!$CN$9),--(H$9&gt;=sensitivity!$D$9:'sensitivity'!$CN$9),sensitivity!$D66:'sensitivity'!$CN66)</f>
        <v>#REF!</v>
      </c>
      <c r="I66" s="35" t="e">
        <f>SUMPRODUCT(--(I$8&lt;=sensitivity!$D$9:'sensitivity'!$CN$9),--(I$9&gt;=sensitivity!$D$9:'sensitivity'!$CN$9),sensitivity!$D66:'sensitivity'!$CN66)</f>
        <v>#REF!</v>
      </c>
      <c r="J66" s="35" t="e">
        <f>SUMPRODUCT(--(J$8&lt;=sensitivity!$D$9:'sensitivity'!$CN$9),--(J$9&gt;=sensitivity!$D$9:'sensitivity'!$CN$9),sensitivity!$D66:'sensitivity'!$CN66)</f>
        <v>#REF!</v>
      </c>
      <c r="K66" s="35" t="e">
        <f>SUMPRODUCT(--(K$8&lt;=sensitivity!$D$9:'sensitivity'!$CN$9),--(K$9&gt;=sensitivity!$D$9:'sensitivity'!$CN$9),sensitivity!$D66:'sensitivity'!$CN66)</f>
        <v>#REF!</v>
      </c>
      <c r="L66" s="35" t="e">
        <f>SUMPRODUCT(--(L$8&lt;=sensitivity!$D$9:'sensitivity'!$CN$9),--(L$9&gt;=sensitivity!$D$9:'sensitivity'!$CN$9),sensitivity!$D66:'sensitivity'!$CN66)</f>
        <v>#REF!</v>
      </c>
      <c r="M66" s="35" t="e">
        <f>SUMPRODUCT(--(M$8&lt;=sensitivity!$D$9:'sensitivity'!$CN$9),--(M$9&gt;=sensitivity!$D$9:'sensitivity'!$CN$9),sensitivity!$D66:'sensitivity'!$CN66)</f>
        <v>#REF!</v>
      </c>
      <c r="N66" s="35" t="e">
        <f>SUMPRODUCT(--(N$8&lt;=sensitivity!$D$9:'sensitivity'!$CN$9),--(N$9&gt;=sensitivity!$D$9:'sensitivity'!$CN$9),sensitivity!$D66:'sensitivity'!$CN66)</f>
        <v>#REF!</v>
      </c>
      <c r="O66" s="35" t="e">
        <f>SUMPRODUCT(--(O$8&lt;=sensitivity!$D$9:'sensitivity'!$CN$9),--(O$9&gt;=sensitivity!$D$9:'sensitivity'!$CN$9),sensitivity!$D66:'sensitivity'!$CN66)</f>
        <v>#REF!</v>
      </c>
      <c r="P66" s="35" t="e">
        <f>SUMPRODUCT(--(P$8&lt;=sensitivity!$D$9:'sensitivity'!$CN$9),--(P$9&gt;=sensitivity!$D$9:'sensitivity'!$CN$9),sensitivity!$D66:'sensitivity'!$CN66)</f>
        <v>#REF!</v>
      </c>
      <c r="Q66" s="35" t="e">
        <f>SUMPRODUCT(--(Q$8&lt;=sensitivity!$D$9:'sensitivity'!$CN$9),--(Q$9&gt;=sensitivity!$D$9:'sensitivity'!$CN$9),sensitivity!$D66:'sensitivity'!$CN66)</f>
        <v>#REF!</v>
      </c>
      <c r="R66" s="35" t="e">
        <f>SUMPRODUCT(--(R$8&lt;=sensitivity!$D$9:'sensitivity'!$CN$9),--(R$9&gt;=sensitivity!$D$9:'sensitivity'!$CN$9),sensitivity!$D66:'sensitivity'!$CN66)</f>
        <v>#REF!</v>
      </c>
      <c r="S66" s="35" t="e">
        <f>SUMPRODUCT(--(S$8&lt;=sensitivity!$D$9:'sensitivity'!$CN$9),--(S$9&gt;=sensitivity!$D$9:'sensitivity'!$CN$9),sensitivity!$D66:'sensitivity'!$CN66)</f>
        <v>#REF!</v>
      </c>
      <c r="T66" s="35" t="e">
        <f>SUMPRODUCT(--(T$8&lt;=sensitivity!$D$9:'sensitivity'!$CN$9),--(T$9&gt;=sensitivity!$D$9:'sensitivity'!$CN$9),sensitivity!$D66:'sensitivity'!$CN66)</f>
        <v>#REF!</v>
      </c>
      <c r="U66" s="35" t="e">
        <f>SUMPRODUCT(--(U$8&lt;=sensitivity!$D$9:'sensitivity'!$CN$9),--(U$9&gt;=sensitivity!$D$9:'sensitivity'!$CN$9),sensitivity!$D66:'sensitivity'!$CN66)</f>
        <v>#REF!</v>
      </c>
      <c r="V66" s="35" t="e">
        <f>SUMPRODUCT(--(V$8&lt;=sensitivity!$D$9:'sensitivity'!$CN$9),--(V$9&gt;=sensitivity!$D$9:'sensitivity'!$CN$9),sensitivity!$D66:'sensitivity'!$CN66)</f>
        <v>#REF!</v>
      </c>
      <c r="W66" s="35" t="e">
        <f>SUMPRODUCT(--(W$8&lt;=sensitivity!$D$9:'sensitivity'!$CN$9),--(W$9&gt;=sensitivity!$D$9:'sensitivity'!$CN$9),sensitivity!$D66:'sensitivity'!$CN66)</f>
        <v>#REF!</v>
      </c>
      <c r="X66" s="35" t="e">
        <f>SUMPRODUCT(--(X$8&lt;=sensitivity!$D$9:'sensitivity'!$CN$9),--(X$9&gt;=sensitivity!$D$9:'sensitivity'!$CN$9),sensitivity!$D66:'sensitivity'!$CN66)</f>
        <v>#REF!</v>
      </c>
      <c r="Y66" s="35" t="e">
        <f>SUMPRODUCT(--(Y$8&lt;=sensitivity!$D$9:'sensitivity'!$CN$9),--(Y$9&gt;=sensitivity!$D$9:'sensitivity'!$CN$9),sensitivity!$D66:'sensitivity'!$CN66)</f>
        <v>#REF!</v>
      </c>
      <c r="Z66" s="35" t="e">
        <f>SUMPRODUCT(--(Z$8&lt;=sensitivity!$D$9:'sensitivity'!$CN$9),--(Z$9&gt;=sensitivity!$D$9:'sensitivity'!$CN$9),sensitivity!$D66:'sensitivity'!$CN66)</f>
        <v>#REF!</v>
      </c>
      <c r="AA66" s="35"/>
    </row>
    <row r="67" spans="1:27" ht="13">
      <c r="A67" s="37"/>
      <c r="B67" s="70" t="s">
        <v>165</v>
      </c>
      <c r="C67" s="70" t="e">
        <f t="shared" si="11"/>
        <v>#REF!</v>
      </c>
      <c r="D67" s="71">
        <f>sensitivity!D67</f>
        <v>0</v>
      </c>
      <c r="E67" s="70" t="e">
        <f>SUMPRODUCT(--(E$8&lt;=sensitivity!$D$9:'sensitivity'!$CN$9),--(E$9&gt;=sensitivity!$D$9:'sensitivity'!$CN$9),sensitivity!$D67:'sensitivity'!$CN67)</f>
        <v>#REF!</v>
      </c>
      <c r="F67" s="70" t="e">
        <f>SUMPRODUCT(--(F$8&lt;=sensitivity!$D$9:'sensitivity'!$CN$9),--(F$9&gt;=sensitivity!$D$9:'sensitivity'!$CN$9),sensitivity!$D67:'sensitivity'!$CN67)</f>
        <v>#REF!</v>
      </c>
      <c r="G67" s="70" t="e">
        <f>SUMPRODUCT(--(G$8&lt;=sensitivity!$D$9:'sensitivity'!$CN$9),--(G$9&gt;=sensitivity!$D$9:'sensitivity'!$CN$9),sensitivity!$D67:'sensitivity'!$CN67)</f>
        <v>#REF!</v>
      </c>
      <c r="H67" s="70" t="e">
        <f>SUMPRODUCT(--(H$8&lt;=sensitivity!$D$9:'sensitivity'!$CN$9),--(H$9&gt;=sensitivity!$D$9:'sensitivity'!$CN$9),sensitivity!$D67:'sensitivity'!$CN67)</f>
        <v>#REF!</v>
      </c>
      <c r="I67" s="70" t="e">
        <f>SUMPRODUCT(--(I$8&lt;=sensitivity!$D$9:'sensitivity'!$CN$9),--(I$9&gt;=sensitivity!$D$9:'sensitivity'!$CN$9),sensitivity!$D67:'sensitivity'!$CN67)</f>
        <v>#REF!</v>
      </c>
      <c r="J67" s="70" t="e">
        <f>SUMPRODUCT(--(J$8&lt;=sensitivity!$D$9:'sensitivity'!$CN$9),--(J$9&gt;=sensitivity!$D$9:'sensitivity'!$CN$9),sensitivity!$D67:'sensitivity'!$CN67)</f>
        <v>#REF!</v>
      </c>
      <c r="K67" s="70" t="e">
        <f>SUMPRODUCT(--(K$8&lt;=sensitivity!$D$9:'sensitivity'!$CN$9),--(K$9&gt;=sensitivity!$D$9:'sensitivity'!$CN$9),sensitivity!$D67:'sensitivity'!$CN67)</f>
        <v>#REF!</v>
      </c>
      <c r="L67" s="70" t="e">
        <f>SUMPRODUCT(--(L$8&lt;=sensitivity!$D$9:'sensitivity'!$CN$9),--(L$9&gt;=sensitivity!$D$9:'sensitivity'!$CN$9),sensitivity!$D67:'sensitivity'!$CN67)</f>
        <v>#REF!</v>
      </c>
      <c r="M67" s="70" t="e">
        <f>SUMPRODUCT(--(M$8&lt;=sensitivity!$D$9:'sensitivity'!$CN$9),--(M$9&gt;=sensitivity!$D$9:'sensitivity'!$CN$9),sensitivity!$D67:'sensitivity'!$CN67)</f>
        <v>#REF!</v>
      </c>
      <c r="N67" s="70" t="e">
        <f>SUMPRODUCT(--(N$8&lt;=sensitivity!$D$9:'sensitivity'!$CN$9),--(N$9&gt;=sensitivity!$D$9:'sensitivity'!$CN$9),sensitivity!$D67:'sensitivity'!$CN67)</f>
        <v>#REF!</v>
      </c>
      <c r="O67" s="70" t="e">
        <f>SUMPRODUCT(--(O$8&lt;=sensitivity!$D$9:'sensitivity'!$CN$9),--(O$9&gt;=sensitivity!$D$9:'sensitivity'!$CN$9),sensitivity!$D67:'sensitivity'!$CN67)</f>
        <v>#REF!</v>
      </c>
      <c r="P67" s="70" t="e">
        <f>SUMPRODUCT(--(P$8&lt;=sensitivity!$D$9:'sensitivity'!$CN$9),--(P$9&gt;=sensitivity!$D$9:'sensitivity'!$CN$9),sensitivity!$D67:'sensitivity'!$CN67)</f>
        <v>#REF!</v>
      </c>
      <c r="Q67" s="70" t="e">
        <f>SUMPRODUCT(--(Q$8&lt;=sensitivity!$D$9:'sensitivity'!$CN$9),--(Q$9&gt;=sensitivity!$D$9:'sensitivity'!$CN$9),sensitivity!$D67:'sensitivity'!$CN67)</f>
        <v>#REF!</v>
      </c>
      <c r="R67" s="70" t="e">
        <f>SUMPRODUCT(--(R$8&lt;=sensitivity!$D$9:'sensitivity'!$CN$9),--(R$9&gt;=sensitivity!$D$9:'sensitivity'!$CN$9),sensitivity!$D67:'sensitivity'!$CN67)</f>
        <v>#REF!</v>
      </c>
      <c r="S67" s="70" t="e">
        <f>SUMPRODUCT(--(S$8&lt;=sensitivity!$D$9:'sensitivity'!$CN$9),--(S$9&gt;=sensitivity!$D$9:'sensitivity'!$CN$9),sensitivity!$D67:'sensitivity'!$CN67)</f>
        <v>#REF!</v>
      </c>
      <c r="T67" s="70" t="e">
        <f>SUMPRODUCT(--(T$8&lt;=sensitivity!$D$9:'sensitivity'!$CN$9),--(T$9&gt;=sensitivity!$D$9:'sensitivity'!$CN$9),sensitivity!$D67:'sensitivity'!$CN67)</f>
        <v>#REF!</v>
      </c>
      <c r="U67" s="70" t="e">
        <f>SUMPRODUCT(--(U$8&lt;=sensitivity!$D$9:'sensitivity'!$CN$9),--(U$9&gt;=sensitivity!$D$9:'sensitivity'!$CN$9),sensitivity!$D67:'sensitivity'!$CN67)</f>
        <v>#REF!</v>
      </c>
      <c r="V67" s="70" t="e">
        <f>SUMPRODUCT(--(V$8&lt;=sensitivity!$D$9:'sensitivity'!$CN$9),--(V$9&gt;=sensitivity!$D$9:'sensitivity'!$CN$9),sensitivity!$D67:'sensitivity'!$CN67)</f>
        <v>#REF!</v>
      </c>
      <c r="W67" s="70" t="e">
        <f>SUMPRODUCT(--(W$8&lt;=sensitivity!$D$9:'sensitivity'!$CN$9),--(W$9&gt;=sensitivity!$D$9:'sensitivity'!$CN$9),sensitivity!$D67:'sensitivity'!$CN67)</f>
        <v>#REF!</v>
      </c>
      <c r="X67" s="70" t="e">
        <f>SUMPRODUCT(--(X$8&lt;=sensitivity!$D$9:'sensitivity'!$CN$9),--(X$9&gt;=sensitivity!$D$9:'sensitivity'!$CN$9),sensitivity!$D67:'sensitivity'!$CN67)</f>
        <v>#REF!</v>
      </c>
      <c r="Y67" s="70" t="e">
        <f>SUMPRODUCT(--(Y$8&lt;=sensitivity!$D$9:'sensitivity'!$CN$9),--(Y$9&gt;=sensitivity!$D$9:'sensitivity'!$CN$9),sensitivity!$D67:'sensitivity'!$CN67)</f>
        <v>#REF!</v>
      </c>
      <c r="Z67" s="70" t="e">
        <f>SUMPRODUCT(--(Z$8&lt;=sensitivity!$D$9:'sensitivity'!$CN$9),--(Z$9&gt;=sensitivity!$D$9:'sensitivity'!$CN$9),sensitivity!$D67:'sensitivity'!$CN67)</f>
        <v>#REF!</v>
      </c>
      <c r="AA67" s="70"/>
    </row>
    <row r="68" spans="1:27" ht="13">
      <c r="A68" s="35"/>
      <c r="B68" s="35"/>
      <c r="C68" s="35"/>
      <c r="D68" s="60">
        <f>sensitivity!D68</f>
        <v>0</v>
      </c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</row>
    <row r="69" spans="1:27" ht="13">
      <c r="A69" s="35"/>
      <c r="B69" s="35"/>
      <c r="C69" s="35"/>
      <c r="D69" s="60">
        <f>sensitivity!D69</f>
        <v>0</v>
      </c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</row>
    <row r="70" spans="1:27" ht="13">
      <c r="A70" s="35"/>
      <c r="B70" s="67" t="s">
        <v>166</v>
      </c>
      <c r="C70" s="68"/>
      <c r="D70" s="61" t="str">
        <f>sensitivity!D70</f>
        <v>0 период</v>
      </c>
      <c r="E70" s="62">
        <f>E6</f>
        <v>2022</v>
      </c>
      <c r="F70" s="62">
        <f t="shared" ref="F70:Z70" si="12">E70+1</f>
        <v>2023</v>
      </c>
      <c r="G70" s="62">
        <f t="shared" si="12"/>
        <v>2024</v>
      </c>
      <c r="H70" s="62">
        <f t="shared" si="12"/>
        <v>2025</v>
      </c>
      <c r="I70" s="62">
        <f t="shared" si="12"/>
        <v>2026</v>
      </c>
      <c r="J70" s="62">
        <f t="shared" si="12"/>
        <v>2027</v>
      </c>
      <c r="K70" s="62">
        <f t="shared" si="12"/>
        <v>2028</v>
      </c>
      <c r="L70" s="62">
        <f t="shared" si="12"/>
        <v>2029</v>
      </c>
      <c r="M70" s="62">
        <f t="shared" si="12"/>
        <v>2030</v>
      </c>
      <c r="N70" s="62">
        <f t="shared" si="12"/>
        <v>2031</v>
      </c>
      <c r="O70" s="62">
        <f t="shared" si="12"/>
        <v>2032</v>
      </c>
      <c r="P70" s="62">
        <f t="shared" si="12"/>
        <v>2033</v>
      </c>
      <c r="Q70" s="62">
        <f t="shared" si="12"/>
        <v>2034</v>
      </c>
      <c r="R70" s="62">
        <f t="shared" si="12"/>
        <v>2035</v>
      </c>
      <c r="S70" s="62">
        <f t="shared" si="12"/>
        <v>2036</v>
      </c>
      <c r="T70" s="62">
        <f t="shared" si="12"/>
        <v>2037</v>
      </c>
      <c r="U70" s="62">
        <f t="shared" si="12"/>
        <v>2038</v>
      </c>
      <c r="V70" s="62">
        <f t="shared" si="12"/>
        <v>2039</v>
      </c>
      <c r="W70" s="62">
        <f t="shared" si="12"/>
        <v>2040</v>
      </c>
      <c r="X70" s="62">
        <f t="shared" si="12"/>
        <v>2041</v>
      </c>
      <c r="Y70" s="62">
        <f t="shared" si="12"/>
        <v>2042</v>
      </c>
      <c r="Z70" s="62">
        <f t="shared" si="12"/>
        <v>2043</v>
      </c>
      <c r="AA70" s="62"/>
    </row>
    <row r="71" spans="1:27" ht="13">
      <c r="A71" s="35"/>
      <c r="B71" s="37" t="s">
        <v>167</v>
      </c>
      <c r="C71" s="35"/>
      <c r="D71" s="46">
        <f>sensitivity!D71</f>
        <v>0</v>
      </c>
      <c r="E71" s="47">
        <f>SUMPRODUCT(--(E$8&lt;=sensitivity!$D$9:'sensitivity'!$CN$9),--(E$9&gt;=sensitivity!$D$9:'sensitivity'!$CN$9),sensitivity!$D71:'sensitivity'!$CN71)</f>
        <v>0</v>
      </c>
      <c r="F71" s="47">
        <f>SUMPRODUCT(--(F$8&lt;=sensitivity!$D$9:'sensitivity'!$CN$9),--(F$9&gt;=sensitivity!$D$9:'sensitivity'!$CN$9),sensitivity!$D71:'sensitivity'!$CN71)</f>
        <v>0</v>
      </c>
      <c r="G71" s="47">
        <f>SUMPRODUCT(--(G$8&lt;=sensitivity!$D$9:'sensitivity'!$CN$9),--(G$9&gt;=sensitivity!$D$9:'sensitivity'!$CN$9),sensitivity!$D71:'sensitivity'!$CN71)</f>
        <v>0</v>
      </c>
      <c r="H71" s="47">
        <f>SUMPRODUCT(--(H$8&lt;=sensitivity!$D$9:'sensitivity'!$CN$9),--(H$9&gt;=sensitivity!$D$9:'sensitivity'!$CN$9),sensitivity!$D71:'sensitivity'!$CN71)</f>
        <v>0</v>
      </c>
      <c r="I71" s="47">
        <f>SUMPRODUCT(--(I$8&lt;=sensitivity!$D$9:'sensitivity'!$CN$9),--(I$9&gt;=sensitivity!$D$9:'sensitivity'!$CN$9),sensitivity!$D71:'sensitivity'!$CN71)</f>
        <v>0</v>
      </c>
      <c r="J71" s="47">
        <f>SUMPRODUCT(--(J$8&lt;=sensitivity!$D$9:'sensitivity'!$CN$9),--(J$9&gt;=sensitivity!$D$9:'sensitivity'!$CN$9),sensitivity!$D71:'sensitivity'!$CN71)</f>
        <v>0</v>
      </c>
      <c r="K71" s="47">
        <f>SUMPRODUCT(--(K$8&lt;=sensitivity!$D$9:'sensitivity'!$CN$9),--(K$9&gt;=sensitivity!$D$9:'sensitivity'!$CN$9),sensitivity!$D71:'sensitivity'!$CN71)</f>
        <v>0</v>
      </c>
      <c r="L71" s="47">
        <f>SUMPRODUCT(--(L$8&lt;=sensitivity!$D$9:'sensitivity'!$CN$9),--(L$9&gt;=sensitivity!$D$9:'sensitivity'!$CN$9),sensitivity!$D71:'sensitivity'!$CN71)</f>
        <v>0</v>
      </c>
      <c r="M71" s="47">
        <f>SUMPRODUCT(--(M$8&lt;=sensitivity!$D$9:'sensitivity'!$CN$9),--(M$9&gt;=sensitivity!$D$9:'sensitivity'!$CN$9),sensitivity!$D71:'sensitivity'!$CN71)</f>
        <v>0</v>
      </c>
      <c r="N71" s="47">
        <f>SUMPRODUCT(--(N$8&lt;=sensitivity!$D$9:'sensitivity'!$CN$9),--(N$9&gt;=sensitivity!$D$9:'sensitivity'!$CN$9),sensitivity!$D71:'sensitivity'!$CN71)</f>
        <v>0</v>
      </c>
      <c r="O71" s="47">
        <f>SUMPRODUCT(--(O$8&lt;=sensitivity!$D$9:'sensitivity'!$CN$9),--(O$9&gt;=sensitivity!$D$9:'sensitivity'!$CN$9),sensitivity!$D71:'sensitivity'!$CN71)</f>
        <v>0</v>
      </c>
      <c r="P71" s="47">
        <f>SUMPRODUCT(--(P$8&lt;=sensitivity!$D$9:'sensitivity'!$CN$9),--(P$9&gt;=sensitivity!$D$9:'sensitivity'!$CN$9),sensitivity!$D71:'sensitivity'!$CN71)</f>
        <v>0</v>
      </c>
      <c r="Q71" s="47">
        <f>SUMPRODUCT(--(Q$8&lt;=sensitivity!$D$9:'sensitivity'!$CN$9),--(Q$9&gt;=sensitivity!$D$9:'sensitivity'!$CN$9),sensitivity!$D71:'sensitivity'!$CN71)</f>
        <v>0</v>
      </c>
      <c r="R71" s="47">
        <f>SUMPRODUCT(--(R$8&lt;=sensitivity!$D$9:'sensitivity'!$CN$9),--(R$9&gt;=sensitivity!$D$9:'sensitivity'!$CN$9),sensitivity!$D71:'sensitivity'!$CN71)</f>
        <v>0</v>
      </c>
      <c r="S71" s="47">
        <f>SUMPRODUCT(--(S$8&lt;=sensitivity!$D$9:'sensitivity'!$CN$9),--(S$9&gt;=sensitivity!$D$9:'sensitivity'!$CN$9),sensitivity!$D71:'sensitivity'!$CN71)</f>
        <v>0</v>
      </c>
      <c r="T71" s="47">
        <f>SUMPRODUCT(--(T$8&lt;=sensitivity!$D$9:'sensitivity'!$CN$9),--(T$9&gt;=sensitivity!$D$9:'sensitivity'!$CN$9),sensitivity!$D71:'sensitivity'!$CN71)</f>
        <v>0</v>
      </c>
      <c r="U71" s="47">
        <f>SUMPRODUCT(--(U$8&lt;=sensitivity!$D$9:'sensitivity'!$CN$9),--(U$9&gt;=sensitivity!$D$9:'sensitivity'!$CN$9),sensitivity!$D71:'sensitivity'!$CN71)</f>
        <v>0</v>
      </c>
      <c r="V71" s="47">
        <f>SUMPRODUCT(--(V$8&lt;=sensitivity!$D$9:'sensitivity'!$CN$9),--(V$9&gt;=sensitivity!$D$9:'sensitivity'!$CN$9),sensitivity!$D71:'sensitivity'!$CN71)</f>
        <v>0</v>
      </c>
      <c r="W71" s="47">
        <f>SUMPRODUCT(--(W$8&lt;=sensitivity!$D$9:'sensitivity'!$CN$9),--(W$9&gt;=sensitivity!$D$9:'sensitivity'!$CN$9),sensitivity!$D71:'sensitivity'!$CN71)</f>
        <v>0</v>
      </c>
      <c r="X71" s="47">
        <f>SUMPRODUCT(--(X$8&lt;=sensitivity!$D$9:'sensitivity'!$CN$9),--(X$9&gt;=sensitivity!$D$9:'sensitivity'!$CN$9),sensitivity!$D71:'sensitivity'!$CN71)</f>
        <v>0</v>
      </c>
      <c r="Y71" s="47">
        <f>SUMPRODUCT(--(Y$8&lt;=sensitivity!$D$9:'sensitivity'!$CN$9),--(Y$9&gt;=sensitivity!$D$9:'sensitivity'!$CN$9),sensitivity!$D71:'sensitivity'!$CN71)</f>
        <v>0</v>
      </c>
      <c r="Z71" s="47">
        <f>SUMPRODUCT(--(Z$8&lt;=sensitivity!$D$9:'sensitivity'!$CN$9),--(Z$9&gt;=sensitivity!$D$9:'sensitivity'!$CN$9),sensitivity!$D71:'sensitivity'!$CN71)</f>
        <v>0</v>
      </c>
      <c r="AA71" s="47"/>
    </row>
    <row r="72" spans="1:27" ht="13">
      <c r="A72" s="35"/>
      <c r="B72" s="63" t="s">
        <v>160</v>
      </c>
      <c r="C72" s="35" t="e">
        <f t="shared" ref="C72:C82" si="13">SUM(D72:AA72)</f>
        <v>#REF!</v>
      </c>
      <c r="D72" s="60">
        <f>sensitivity!D72</f>
        <v>0</v>
      </c>
      <c r="E72" s="35" t="e">
        <f>SUMPRODUCT(--(E$8&lt;=sensitivity!$D$9:'sensitivity'!$CN$9),--(E$9&gt;=sensitivity!$D$9:'sensitivity'!$CN$9),sensitivity!$D72:'sensitivity'!$CN72)</f>
        <v>#REF!</v>
      </c>
      <c r="F72" s="35" t="e">
        <f>SUMPRODUCT(--(F$8&lt;=sensitivity!$D$9:'sensitivity'!$CN$9),--(F$9&gt;=sensitivity!$D$9:'sensitivity'!$CN$9),sensitivity!$D72:'sensitivity'!$CN72)</f>
        <v>#REF!</v>
      </c>
      <c r="G72" s="35" t="e">
        <f>SUMPRODUCT(--(G$8&lt;=sensitivity!$D$9:'sensitivity'!$CN$9),--(G$9&gt;=sensitivity!$D$9:'sensitivity'!$CN$9),sensitivity!$D72:'sensitivity'!$CN72)</f>
        <v>#REF!</v>
      </c>
      <c r="H72" s="35" t="e">
        <f>SUMPRODUCT(--(H$8&lt;=sensitivity!$D$9:'sensitivity'!$CN$9),--(H$9&gt;=sensitivity!$D$9:'sensitivity'!$CN$9),sensitivity!$D72:'sensitivity'!$CN72)</f>
        <v>#REF!</v>
      </c>
      <c r="I72" s="35" t="e">
        <f>SUMPRODUCT(--(I$8&lt;=sensitivity!$D$9:'sensitivity'!$CN$9),--(I$9&gt;=sensitivity!$D$9:'sensitivity'!$CN$9),sensitivity!$D72:'sensitivity'!$CN72)</f>
        <v>#REF!</v>
      </c>
      <c r="J72" s="35" t="e">
        <f>SUMPRODUCT(--(J$8&lt;=sensitivity!$D$9:'sensitivity'!$CN$9),--(J$9&gt;=sensitivity!$D$9:'sensitivity'!$CN$9),sensitivity!$D72:'sensitivity'!$CN72)</f>
        <v>#REF!</v>
      </c>
      <c r="K72" s="35" t="e">
        <f>SUMPRODUCT(--(K$8&lt;=sensitivity!$D$9:'sensitivity'!$CN$9),--(K$9&gt;=sensitivity!$D$9:'sensitivity'!$CN$9),sensitivity!$D72:'sensitivity'!$CN72)</f>
        <v>#REF!</v>
      </c>
      <c r="L72" s="35" t="e">
        <f>SUMPRODUCT(--(L$8&lt;=sensitivity!$D$9:'sensitivity'!$CN$9),--(L$9&gt;=sensitivity!$D$9:'sensitivity'!$CN$9),sensitivity!$D72:'sensitivity'!$CN72)</f>
        <v>#REF!</v>
      </c>
      <c r="M72" s="35" t="e">
        <f>SUMPRODUCT(--(M$8&lt;=sensitivity!$D$9:'sensitivity'!$CN$9),--(M$9&gt;=sensitivity!$D$9:'sensitivity'!$CN$9),sensitivity!$D72:'sensitivity'!$CN72)</f>
        <v>#REF!</v>
      </c>
      <c r="N72" s="35" t="e">
        <f>SUMPRODUCT(--(N$8&lt;=sensitivity!$D$9:'sensitivity'!$CN$9),--(N$9&gt;=sensitivity!$D$9:'sensitivity'!$CN$9),sensitivity!$D72:'sensitivity'!$CN72)</f>
        <v>#REF!</v>
      </c>
      <c r="O72" s="35" t="e">
        <f>SUMPRODUCT(--(O$8&lt;=sensitivity!$D$9:'sensitivity'!$CN$9),--(O$9&gt;=sensitivity!$D$9:'sensitivity'!$CN$9),sensitivity!$D72:'sensitivity'!$CN72)</f>
        <v>#REF!</v>
      </c>
      <c r="P72" s="35" t="e">
        <f>SUMPRODUCT(--(P$8&lt;=sensitivity!$D$9:'sensitivity'!$CN$9),--(P$9&gt;=sensitivity!$D$9:'sensitivity'!$CN$9),sensitivity!$D72:'sensitivity'!$CN72)</f>
        <v>#REF!</v>
      </c>
      <c r="Q72" s="35" t="e">
        <f>SUMPRODUCT(--(Q$8&lt;=sensitivity!$D$9:'sensitivity'!$CN$9),--(Q$9&gt;=sensitivity!$D$9:'sensitivity'!$CN$9),sensitivity!$D72:'sensitivity'!$CN72)</f>
        <v>#REF!</v>
      </c>
      <c r="R72" s="35" t="e">
        <f>SUMPRODUCT(--(R$8&lt;=sensitivity!$D$9:'sensitivity'!$CN$9),--(R$9&gt;=sensitivity!$D$9:'sensitivity'!$CN$9),sensitivity!$D72:'sensitivity'!$CN72)</f>
        <v>#REF!</v>
      </c>
      <c r="S72" s="35" t="e">
        <f>SUMPRODUCT(--(S$8&lt;=sensitivity!$D$9:'sensitivity'!$CN$9),--(S$9&gt;=sensitivity!$D$9:'sensitivity'!$CN$9),sensitivity!$D72:'sensitivity'!$CN72)</f>
        <v>#REF!</v>
      </c>
      <c r="T72" s="35" t="e">
        <f>SUMPRODUCT(--(T$8&lt;=sensitivity!$D$9:'sensitivity'!$CN$9),--(T$9&gt;=sensitivity!$D$9:'sensitivity'!$CN$9),sensitivity!$D72:'sensitivity'!$CN72)</f>
        <v>#REF!</v>
      </c>
      <c r="U72" s="35" t="e">
        <f>SUMPRODUCT(--(U$8&lt;=sensitivity!$D$9:'sensitivity'!$CN$9),--(U$9&gt;=sensitivity!$D$9:'sensitivity'!$CN$9),sensitivity!$D72:'sensitivity'!$CN72)</f>
        <v>#REF!</v>
      </c>
      <c r="V72" s="35" t="e">
        <f>SUMPRODUCT(--(V$8&lt;=sensitivity!$D$9:'sensitivity'!$CN$9),--(V$9&gt;=sensitivity!$D$9:'sensitivity'!$CN$9),sensitivity!$D72:'sensitivity'!$CN72)</f>
        <v>#REF!</v>
      </c>
      <c r="W72" s="35" t="e">
        <f>SUMPRODUCT(--(W$8&lt;=sensitivity!$D$9:'sensitivity'!$CN$9),--(W$9&gt;=sensitivity!$D$9:'sensitivity'!$CN$9),sensitivity!$D72:'sensitivity'!$CN72)</f>
        <v>#REF!</v>
      </c>
      <c r="X72" s="35" t="e">
        <f>SUMPRODUCT(--(X$8&lt;=sensitivity!$D$9:'sensitivity'!$CN$9),--(X$9&gt;=sensitivity!$D$9:'sensitivity'!$CN$9),sensitivity!$D72:'sensitivity'!$CN72)</f>
        <v>#REF!</v>
      </c>
      <c r="Y72" s="35" t="e">
        <f>SUMPRODUCT(--(Y$8&lt;=sensitivity!$D$9:'sensitivity'!$CN$9),--(Y$9&gt;=sensitivity!$D$9:'sensitivity'!$CN$9),sensitivity!$D72:'sensitivity'!$CN72)</f>
        <v>#REF!</v>
      </c>
      <c r="Z72" s="35" t="e">
        <f>SUMPRODUCT(--(Z$8&lt;=sensitivity!$D$9:'sensitivity'!$CN$9),--(Z$9&gt;=sensitivity!$D$9:'sensitivity'!$CN$9),sensitivity!$D72:'sensitivity'!$CN72)</f>
        <v>#REF!</v>
      </c>
      <c r="AA72" s="35"/>
    </row>
    <row r="73" spans="1:27" ht="13">
      <c r="A73" s="35"/>
      <c r="B73" s="87" t="s">
        <v>168</v>
      </c>
      <c r="C73" s="35" t="e">
        <f t="shared" si="13"/>
        <v>#REF!</v>
      </c>
      <c r="D73" s="60">
        <f>sensitivity!D73</f>
        <v>0</v>
      </c>
      <c r="E73" s="35" t="e">
        <f>SUMPRODUCT(--(E$8&lt;=sensitivity!$D$9:'sensitivity'!$CN$9),--(E$9&gt;=sensitivity!$D$9:'sensitivity'!$CN$9),sensitivity!$D73:'sensitivity'!$CN73)</f>
        <v>#REF!</v>
      </c>
      <c r="F73" s="35" t="e">
        <f>SUMPRODUCT(--(F$8&lt;=sensitivity!$D$9:'sensitivity'!$CN$9),--(F$9&gt;=sensitivity!$D$9:'sensitivity'!$CN$9),sensitivity!$D73:'sensitivity'!$CN73)</f>
        <v>#REF!</v>
      </c>
      <c r="G73" s="35" t="e">
        <f>SUMPRODUCT(--(G$8&lt;=sensitivity!$D$9:'sensitivity'!$CN$9),--(G$9&gt;=sensitivity!$D$9:'sensitivity'!$CN$9),sensitivity!$D73:'sensitivity'!$CN73)</f>
        <v>#REF!</v>
      </c>
      <c r="H73" s="35" t="e">
        <f>SUMPRODUCT(--(H$8&lt;=sensitivity!$D$9:'sensitivity'!$CN$9),--(H$9&gt;=sensitivity!$D$9:'sensitivity'!$CN$9),sensitivity!$D73:'sensitivity'!$CN73)</f>
        <v>#REF!</v>
      </c>
      <c r="I73" s="35" t="e">
        <f>SUMPRODUCT(--(I$8&lt;=sensitivity!$D$9:'sensitivity'!$CN$9),--(I$9&gt;=sensitivity!$D$9:'sensitivity'!$CN$9),sensitivity!$D73:'sensitivity'!$CN73)</f>
        <v>#REF!</v>
      </c>
      <c r="J73" s="35" t="e">
        <f>SUMPRODUCT(--(J$8&lt;=sensitivity!$D$9:'sensitivity'!$CN$9),--(J$9&gt;=sensitivity!$D$9:'sensitivity'!$CN$9),sensitivity!$D73:'sensitivity'!$CN73)</f>
        <v>#REF!</v>
      </c>
      <c r="K73" s="35" t="e">
        <f>SUMPRODUCT(--(K$8&lt;=sensitivity!$D$9:'sensitivity'!$CN$9),--(K$9&gt;=sensitivity!$D$9:'sensitivity'!$CN$9),sensitivity!$D73:'sensitivity'!$CN73)</f>
        <v>#REF!</v>
      </c>
      <c r="L73" s="35" t="e">
        <f>SUMPRODUCT(--(L$8&lt;=sensitivity!$D$9:'sensitivity'!$CN$9),--(L$9&gt;=sensitivity!$D$9:'sensitivity'!$CN$9),sensitivity!$D73:'sensitivity'!$CN73)</f>
        <v>#REF!</v>
      </c>
      <c r="M73" s="35" t="e">
        <f>SUMPRODUCT(--(M$8&lt;=sensitivity!$D$9:'sensitivity'!$CN$9),--(M$9&gt;=sensitivity!$D$9:'sensitivity'!$CN$9),sensitivity!$D73:'sensitivity'!$CN73)</f>
        <v>#REF!</v>
      </c>
      <c r="N73" s="35" t="e">
        <f>SUMPRODUCT(--(N$8&lt;=sensitivity!$D$9:'sensitivity'!$CN$9),--(N$9&gt;=sensitivity!$D$9:'sensitivity'!$CN$9),sensitivity!$D73:'sensitivity'!$CN73)</f>
        <v>#REF!</v>
      </c>
      <c r="O73" s="35" t="e">
        <f>SUMPRODUCT(--(O$8&lt;=sensitivity!$D$9:'sensitivity'!$CN$9),--(O$9&gt;=sensitivity!$D$9:'sensitivity'!$CN$9),sensitivity!$D73:'sensitivity'!$CN73)</f>
        <v>#REF!</v>
      </c>
      <c r="P73" s="35" t="e">
        <f>SUMPRODUCT(--(P$8&lt;=sensitivity!$D$9:'sensitivity'!$CN$9),--(P$9&gt;=sensitivity!$D$9:'sensitivity'!$CN$9),sensitivity!$D73:'sensitivity'!$CN73)</f>
        <v>#REF!</v>
      </c>
      <c r="Q73" s="35" t="e">
        <f>SUMPRODUCT(--(Q$8&lt;=sensitivity!$D$9:'sensitivity'!$CN$9),--(Q$9&gt;=sensitivity!$D$9:'sensitivity'!$CN$9),sensitivity!$D73:'sensitivity'!$CN73)</f>
        <v>#REF!</v>
      </c>
      <c r="R73" s="35" t="e">
        <f>SUMPRODUCT(--(R$8&lt;=sensitivity!$D$9:'sensitivity'!$CN$9),--(R$9&gt;=sensitivity!$D$9:'sensitivity'!$CN$9),sensitivity!$D73:'sensitivity'!$CN73)</f>
        <v>#REF!</v>
      </c>
      <c r="S73" s="35" t="e">
        <f>SUMPRODUCT(--(S$8&lt;=sensitivity!$D$9:'sensitivity'!$CN$9),--(S$9&gt;=sensitivity!$D$9:'sensitivity'!$CN$9),sensitivity!$D73:'sensitivity'!$CN73)</f>
        <v>#REF!</v>
      </c>
      <c r="T73" s="35" t="e">
        <f>SUMPRODUCT(--(T$8&lt;=sensitivity!$D$9:'sensitivity'!$CN$9),--(T$9&gt;=sensitivity!$D$9:'sensitivity'!$CN$9),sensitivity!$D73:'sensitivity'!$CN73)</f>
        <v>#REF!</v>
      </c>
      <c r="U73" s="35" t="e">
        <f>SUMPRODUCT(--(U$8&lt;=sensitivity!$D$9:'sensitivity'!$CN$9),--(U$9&gt;=sensitivity!$D$9:'sensitivity'!$CN$9),sensitivity!$D73:'sensitivity'!$CN73)</f>
        <v>#REF!</v>
      </c>
      <c r="V73" s="35" t="e">
        <f>SUMPRODUCT(--(V$8&lt;=sensitivity!$D$9:'sensitivity'!$CN$9),--(V$9&gt;=sensitivity!$D$9:'sensitivity'!$CN$9),sensitivity!$D73:'sensitivity'!$CN73)</f>
        <v>#REF!</v>
      </c>
      <c r="W73" s="35" t="e">
        <f>SUMPRODUCT(--(W$8&lt;=sensitivity!$D$9:'sensitivity'!$CN$9),--(W$9&gt;=sensitivity!$D$9:'sensitivity'!$CN$9),sensitivity!$D73:'sensitivity'!$CN73)</f>
        <v>#REF!</v>
      </c>
      <c r="X73" s="35" t="e">
        <f>SUMPRODUCT(--(X$8&lt;=sensitivity!$D$9:'sensitivity'!$CN$9),--(X$9&gt;=sensitivity!$D$9:'sensitivity'!$CN$9),sensitivity!$D73:'sensitivity'!$CN73)</f>
        <v>#REF!</v>
      </c>
      <c r="Y73" s="35" t="e">
        <f>SUMPRODUCT(--(Y$8&lt;=sensitivity!$D$9:'sensitivity'!$CN$9),--(Y$9&gt;=sensitivity!$D$9:'sensitivity'!$CN$9),sensitivity!$D73:'sensitivity'!$CN73)</f>
        <v>#REF!</v>
      </c>
      <c r="Z73" s="35" t="e">
        <f>SUMPRODUCT(--(Z$8&lt;=sensitivity!$D$9:'sensitivity'!$CN$9),--(Z$9&gt;=sensitivity!$D$9:'sensitivity'!$CN$9),sensitivity!$D73:'sensitivity'!$CN73)</f>
        <v>#REF!</v>
      </c>
      <c r="AA73" s="35"/>
    </row>
    <row r="74" spans="1:27" ht="13">
      <c r="A74" s="35"/>
      <c r="B74" s="87" t="s">
        <v>169</v>
      </c>
      <c r="C74" s="35" t="e">
        <f t="shared" si="13"/>
        <v>#REF!</v>
      </c>
      <c r="D74" s="60">
        <f>sensitivity!D74</f>
        <v>0</v>
      </c>
      <c r="E74" s="35" t="e">
        <f>SUMPRODUCT(--(E$8&lt;=sensitivity!$D$9:'sensitivity'!$CN$9),--(E$9&gt;=sensitivity!$D$9:'sensitivity'!$CN$9),sensitivity!$D74:'sensitivity'!$CN74)</f>
        <v>#REF!</v>
      </c>
      <c r="F74" s="35" t="e">
        <f>SUMPRODUCT(--(F$8&lt;=sensitivity!$D$9:'sensitivity'!$CN$9),--(F$9&gt;=sensitivity!$D$9:'sensitivity'!$CN$9),sensitivity!$D74:'sensitivity'!$CN74)</f>
        <v>#REF!</v>
      </c>
      <c r="G74" s="35" t="e">
        <f>SUMPRODUCT(--(G$8&lt;=sensitivity!$D$9:'sensitivity'!$CN$9),--(G$9&gt;=sensitivity!$D$9:'sensitivity'!$CN$9),sensitivity!$D74:'sensitivity'!$CN74)</f>
        <v>#REF!</v>
      </c>
      <c r="H74" s="35" t="e">
        <f>SUMPRODUCT(--(H$8&lt;=sensitivity!$D$9:'sensitivity'!$CN$9),--(H$9&gt;=sensitivity!$D$9:'sensitivity'!$CN$9),sensitivity!$D74:'sensitivity'!$CN74)</f>
        <v>#REF!</v>
      </c>
      <c r="I74" s="35" t="e">
        <f>SUMPRODUCT(--(I$8&lt;=sensitivity!$D$9:'sensitivity'!$CN$9),--(I$9&gt;=sensitivity!$D$9:'sensitivity'!$CN$9),sensitivity!$D74:'sensitivity'!$CN74)</f>
        <v>#REF!</v>
      </c>
      <c r="J74" s="35" t="e">
        <f>SUMPRODUCT(--(J$8&lt;=sensitivity!$D$9:'sensitivity'!$CN$9),--(J$9&gt;=sensitivity!$D$9:'sensitivity'!$CN$9),sensitivity!$D74:'sensitivity'!$CN74)</f>
        <v>#REF!</v>
      </c>
      <c r="K74" s="35" t="e">
        <f>SUMPRODUCT(--(K$8&lt;=sensitivity!$D$9:'sensitivity'!$CN$9),--(K$9&gt;=sensitivity!$D$9:'sensitivity'!$CN$9),sensitivity!$D74:'sensitivity'!$CN74)</f>
        <v>#REF!</v>
      </c>
      <c r="L74" s="35" t="e">
        <f>SUMPRODUCT(--(L$8&lt;=sensitivity!$D$9:'sensitivity'!$CN$9),--(L$9&gt;=sensitivity!$D$9:'sensitivity'!$CN$9),sensitivity!$D74:'sensitivity'!$CN74)</f>
        <v>#REF!</v>
      </c>
      <c r="M74" s="35" t="e">
        <f>SUMPRODUCT(--(M$8&lt;=sensitivity!$D$9:'sensitivity'!$CN$9),--(M$9&gt;=sensitivity!$D$9:'sensitivity'!$CN$9),sensitivity!$D74:'sensitivity'!$CN74)</f>
        <v>#REF!</v>
      </c>
      <c r="N74" s="35" t="e">
        <f>SUMPRODUCT(--(N$8&lt;=sensitivity!$D$9:'sensitivity'!$CN$9),--(N$9&gt;=sensitivity!$D$9:'sensitivity'!$CN$9),sensitivity!$D74:'sensitivity'!$CN74)</f>
        <v>#REF!</v>
      </c>
      <c r="O74" s="35" t="e">
        <f>SUMPRODUCT(--(O$8&lt;=sensitivity!$D$9:'sensitivity'!$CN$9),--(O$9&gt;=sensitivity!$D$9:'sensitivity'!$CN$9),sensitivity!$D74:'sensitivity'!$CN74)</f>
        <v>#REF!</v>
      </c>
      <c r="P74" s="35" t="e">
        <f>SUMPRODUCT(--(P$8&lt;=sensitivity!$D$9:'sensitivity'!$CN$9),--(P$9&gt;=sensitivity!$D$9:'sensitivity'!$CN$9),sensitivity!$D74:'sensitivity'!$CN74)</f>
        <v>#REF!</v>
      </c>
      <c r="Q74" s="35" t="e">
        <f>SUMPRODUCT(--(Q$8&lt;=sensitivity!$D$9:'sensitivity'!$CN$9),--(Q$9&gt;=sensitivity!$D$9:'sensitivity'!$CN$9),sensitivity!$D74:'sensitivity'!$CN74)</f>
        <v>#REF!</v>
      </c>
      <c r="R74" s="35" t="e">
        <f>SUMPRODUCT(--(R$8&lt;=sensitivity!$D$9:'sensitivity'!$CN$9),--(R$9&gt;=sensitivity!$D$9:'sensitivity'!$CN$9),sensitivity!$D74:'sensitivity'!$CN74)</f>
        <v>#REF!</v>
      </c>
      <c r="S74" s="35" t="e">
        <f>SUMPRODUCT(--(S$8&lt;=sensitivity!$D$9:'sensitivity'!$CN$9),--(S$9&gt;=sensitivity!$D$9:'sensitivity'!$CN$9),sensitivity!$D74:'sensitivity'!$CN74)</f>
        <v>#REF!</v>
      </c>
      <c r="T74" s="35" t="e">
        <f>SUMPRODUCT(--(T$8&lt;=sensitivity!$D$9:'sensitivity'!$CN$9),--(T$9&gt;=sensitivity!$D$9:'sensitivity'!$CN$9),sensitivity!$D74:'sensitivity'!$CN74)</f>
        <v>#REF!</v>
      </c>
      <c r="U74" s="35" t="e">
        <f>SUMPRODUCT(--(U$8&lt;=sensitivity!$D$9:'sensitivity'!$CN$9),--(U$9&gt;=sensitivity!$D$9:'sensitivity'!$CN$9),sensitivity!$D74:'sensitivity'!$CN74)</f>
        <v>#REF!</v>
      </c>
      <c r="V74" s="35" t="e">
        <f>SUMPRODUCT(--(V$8&lt;=sensitivity!$D$9:'sensitivity'!$CN$9),--(V$9&gt;=sensitivity!$D$9:'sensitivity'!$CN$9),sensitivity!$D74:'sensitivity'!$CN74)</f>
        <v>#REF!</v>
      </c>
      <c r="W74" s="35" t="e">
        <f>SUMPRODUCT(--(W$8&lt;=sensitivity!$D$9:'sensitivity'!$CN$9),--(W$9&gt;=sensitivity!$D$9:'sensitivity'!$CN$9),sensitivity!$D74:'sensitivity'!$CN74)</f>
        <v>#REF!</v>
      </c>
      <c r="X74" s="35" t="e">
        <f>SUMPRODUCT(--(X$8&lt;=sensitivity!$D$9:'sensitivity'!$CN$9),--(X$9&gt;=sensitivity!$D$9:'sensitivity'!$CN$9),sensitivity!$D74:'sensitivity'!$CN74)</f>
        <v>#REF!</v>
      </c>
      <c r="Y74" s="35" t="e">
        <f>SUMPRODUCT(--(Y$8&lt;=sensitivity!$D$9:'sensitivity'!$CN$9),--(Y$9&gt;=sensitivity!$D$9:'sensitivity'!$CN$9),sensitivity!$D74:'sensitivity'!$CN74)</f>
        <v>#REF!</v>
      </c>
      <c r="Z74" s="35" t="e">
        <f>SUMPRODUCT(--(Z$8&lt;=sensitivity!$D$9:'sensitivity'!$CN$9),--(Z$9&gt;=sensitivity!$D$9:'sensitivity'!$CN$9),sensitivity!$D74:'sensitivity'!$CN74)</f>
        <v>#REF!</v>
      </c>
      <c r="AA74" s="35"/>
    </row>
    <row r="75" spans="1:27" ht="13">
      <c r="A75" s="35"/>
      <c r="B75" s="87" t="s">
        <v>170</v>
      </c>
      <c r="C75" s="35" t="e">
        <f t="shared" si="13"/>
        <v>#REF!</v>
      </c>
      <c r="D75" s="60">
        <f>sensitivity!D75</f>
        <v>0</v>
      </c>
      <c r="E75" s="35" t="e">
        <f>SUMPRODUCT(--(E$8&lt;=sensitivity!$D$9:'sensitivity'!$CN$9),--(E$9&gt;=sensitivity!$D$9:'sensitivity'!$CN$9),sensitivity!$D75:'sensitivity'!$CN75)</f>
        <v>#REF!</v>
      </c>
      <c r="F75" s="35" t="e">
        <f>SUMPRODUCT(--(F$8&lt;=sensitivity!$D$9:'sensitivity'!$CN$9),--(F$9&gt;=sensitivity!$D$9:'sensitivity'!$CN$9),sensitivity!$D75:'sensitivity'!$CN75)</f>
        <v>#REF!</v>
      </c>
      <c r="G75" s="35" t="e">
        <f>SUMPRODUCT(--(G$8&lt;=sensitivity!$D$9:'sensitivity'!$CN$9),--(G$9&gt;=sensitivity!$D$9:'sensitivity'!$CN$9),sensitivity!$D75:'sensitivity'!$CN75)</f>
        <v>#REF!</v>
      </c>
      <c r="H75" s="35" t="e">
        <f>SUMPRODUCT(--(H$8&lt;=sensitivity!$D$9:'sensitivity'!$CN$9),--(H$9&gt;=sensitivity!$D$9:'sensitivity'!$CN$9),sensitivity!$D75:'sensitivity'!$CN75)</f>
        <v>#REF!</v>
      </c>
      <c r="I75" s="35" t="e">
        <f>SUMPRODUCT(--(I$8&lt;=sensitivity!$D$9:'sensitivity'!$CN$9),--(I$9&gt;=sensitivity!$D$9:'sensitivity'!$CN$9),sensitivity!$D75:'sensitivity'!$CN75)</f>
        <v>#REF!</v>
      </c>
      <c r="J75" s="35" t="e">
        <f>SUMPRODUCT(--(J$8&lt;=sensitivity!$D$9:'sensitivity'!$CN$9),--(J$9&gt;=sensitivity!$D$9:'sensitivity'!$CN$9),sensitivity!$D75:'sensitivity'!$CN75)</f>
        <v>#REF!</v>
      </c>
      <c r="K75" s="35" t="e">
        <f>SUMPRODUCT(--(K$8&lt;=sensitivity!$D$9:'sensitivity'!$CN$9),--(K$9&gt;=sensitivity!$D$9:'sensitivity'!$CN$9),sensitivity!$D75:'sensitivity'!$CN75)</f>
        <v>#REF!</v>
      </c>
      <c r="L75" s="35" t="e">
        <f>SUMPRODUCT(--(L$8&lt;=sensitivity!$D$9:'sensitivity'!$CN$9),--(L$9&gt;=sensitivity!$D$9:'sensitivity'!$CN$9),sensitivity!$D75:'sensitivity'!$CN75)</f>
        <v>#REF!</v>
      </c>
      <c r="M75" s="35" t="e">
        <f>SUMPRODUCT(--(M$8&lt;=sensitivity!$D$9:'sensitivity'!$CN$9),--(M$9&gt;=sensitivity!$D$9:'sensitivity'!$CN$9),sensitivity!$D75:'sensitivity'!$CN75)</f>
        <v>#REF!</v>
      </c>
      <c r="N75" s="35" t="e">
        <f>SUMPRODUCT(--(N$8&lt;=sensitivity!$D$9:'sensitivity'!$CN$9),--(N$9&gt;=sensitivity!$D$9:'sensitivity'!$CN$9),sensitivity!$D75:'sensitivity'!$CN75)</f>
        <v>#REF!</v>
      </c>
      <c r="O75" s="35" t="e">
        <f>SUMPRODUCT(--(O$8&lt;=sensitivity!$D$9:'sensitivity'!$CN$9),--(O$9&gt;=sensitivity!$D$9:'sensitivity'!$CN$9),sensitivity!$D75:'sensitivity'!$CN75)</f>
        <v>#REF!</v>
      </c>
      <c r="P75" s="35" t="e">
        <f>SUMPRODUCT(--(P$8&lt;=sensitivity!$D$9:'sensitivity'!$CN$9),--(P$9&gt;=sensitivity!$D$9:'sensitivity'!$CN$9),sensitivity!$D75:'sensitivity'!$CN75)</f>
        <v>#REF!</v>
      </c>
      <c r="Q75" s="35" t="e">
        <f>SUMPRODUCT(--(Q$8&lt;=sensitivity!$D$9:'sensitivity'!$CN$9),--(Q$9&gt;=sensitivity!$D$9:'sensitivity'!$CN$9),sensitivity!$D75:'sensitivity'!$CN75)</f>
        <v>#REF!</v>
      </c>
      <c r="R75" s="35" t="e">
        <f>SUMPRODUCT(--(R$8&lt;=sensitivity!$D$9:'sensitivity'!$CN$9),--(R$9&gt;=sensitivity!$D$9:'sensitivity'!$CN$9),sensitivity!$D75:'sensitivity'!$CN75)</f>
        <v>#REF!</v>
      </c>
      <c r="S75" s="35" t="e">
        <f>SUMPRODUCT(--(S$8&lt;=sensitivity!$D$9:'sensitivity'!$CN$9),--(S$9&gt;=sensitivity!$D$9:'sensitivity'!$CN$9),sensitivity!$D75:'sensitivity'!$CN75)</f>
        <v>#REF!</v>
      </c>
      <c r="T75" s="35" t="e">
        <f>SUMPRODUCT(--(T$8&lt;=sensitivity!$D$9:'sensitivity'!$CN$9),--(T$9&gt;=sensitivity!$D$9:'sensitivity'!$CN$9),sensitivity!$D75:'sensitivity'!$CN75)</f>
        <v>#REF!</v>
      </c>
      <c r="U75" s="35" t="e">
        <f>SUMPRODUCT(--(U$8&lt;=sensitivity!$D$9:'sensitivity'!$CN$9),--(U$9&gt;=sensitivity!$D$9:'sensitivity'!$CN$9),sensitivity!$D75:'sensitivity'!$CN75)</f>
        <v>#REF!</v>
      </c>
      <c r="V75" s="35" t="e">
        <f>SUMPRODUCT(--(V$8&lt;=sensitivity!$D$9:'sensitivity'!$CN$9),--(V$9&gt;=sensitivity!$D$9:'sensitivity'!$CN$9),sensitivity!$D75:'sensitivity'!$CN75)</f>
        <v>#REF!</v>
      </c>
      <c r="W75" s="35" t="e">
        <f>SUMPRODUCT(--(W$8&lt;=sensitivity!$D$9:'sensitivity'!$CN$9),--(W$9&gt;=sensitivity!$D$9:'sensitivity'!$CN$9),sensitivity!$D75:'sensitivity'!$CN75)</f>
        <v>#REF!</v>
      </c>
      <c r="X75" s="35" t="e">
        <f>SUMPRODUCT(--(X$8&lt;=sensitivity!$D$9:'sensitivity'!$CN$9),--(X$9&gt;=sensitivity!$D$9:'sensitivity'!$CN$9),sensitivity!$D75:'sensitivity'!$CN75)</f>
        <v>#REF!</v>
      </c>
      <c r="Y75" s="35" t="e">
        <f>SUMPRODUCT(--(Y$8&lt;=sensitivity!$D$9:'sensitivity'!$CN$9),--(Y$9&gt;=sensitivity!$D$9:'sensitivity'!$CN$9),sensitivity!$D75:'sensitivity'!$CN75)</f>
        <v>#REF!</v>
      </c>
      <c r="Z75" s="35" t="e">
        <f>SUMPRODUCT(--(Z$8&lt;=sensitivity!$D$9:'sensitivity'!$CN$9),--(Z$9&gt;=sensitivity!$D$9:'sensitivity'!$CN$9),sensitivity!$D75:'sensitivity'!$CN75)</f>
        <v>#REF!</v>
      </c>
      <c r="AA75" s="35"/>
    </row>
    <row r="76" spans="1:27" ht="13">
      <c r="A76" s="35"/>
      <c r="B76" s="87" t="s">
        <v>171</v>
      </c>
      <c r="C76" s="35" t="e">
        <f t="shared" si="13"/>
        <v>#REF!</v>
      </c>
      <c r="D76" s="60">
        <f>sensitivity!D76</f>
        <v>0</v>
      </c>
      <c r="E76" s="35" t="e">
        <f>SUMPRODUCT(--(E$8&lt;=sensitivity!$D$9:'sensitivity'!$CN$9),--(E$9&gt;=sensitivity!$D$9:'sensitivity'!$CN$9),sensitivity!$D76:'sensitivity'!$CN76)</f>
        <v>#REF!</v>
      </c>
      <c r="F76" s="35" t="e">
        <f>SUMPRODUCT(--(F$8&lt;=sensitivity!$D$9:'sensitivity'!$CN$9),--(F$9&gt;=sensitivity!$D$9:'sensitivity'!$CN$9),sensitivity!$D76:'sensitivity'!$CN76)</f>
        <v>#REF!</v>
      </c>
      <c r="G76" s="35" t="e">
        <f>SUMPRODUCT(--(G$8&lt;=sensitivity!$D$9:'sensitivity'!$CN$9),--(G$9&gt;=sensitivity!$D$9:'sensitivity'!$CN$9),sensitivity!$D76:'sensitivity'!$CN76)</f>
        <v>#REF!</v>
      </c>
      <c r="H76" s="35" t="e">
        <f>SUMPRODUCT(--(H$8&lt;=sensitivity!$D$9:'sensitivity'!$CN$9),--(H$9&gt;=sensitivity!$D$9:'sensitivity'!$CN$9),sensitivity!$D76:'sensitivity'!$CN76)</f>
        <v>#REF!</v>
      </c>
      <c r="I76" s="35" t="e">
        <f>SUMPRODUCT(--(I$8&lt;=sensitivity!$D$9:'sensitivity'!$CN$9),--(I$9&gt;=sensitivity!$D$9:'sensitivity'!$CN$9),sensitivity!$D76:'sensitivity'!$CN76)</f>
        <v>#REF!</v>
      </c>
      <c r="J76" s="35" t="e">
        <f>SUMPRODUCT(--(J$8&lt;=sensitivity!$D$9:'sensitivity'!$CN$9),--(J$9&gt;=sensitivity!$D$9:'sensitivity'!$CN$9),sensitivity!$D76:'sensitivity'!$CN76)</f>
        <v>#REF!</v>
      </c>
      <c r="K76" s="35" t="e">
        <f>SUMPRODUCT(--(K$8&lt;=sensitivity!$D$9:'sensitivity'!$CN$9),--(K$9&gt;=sensitivity!$D$9:'sensitivity'!$CN$9),sensitivity!$D76:'sensitivity'!$CN76)</f>
        <v>#REF!</v>
      </c>
      <c r="L76" s="35" t="e">
        <f>SUMPRODUCT(--(L$8&lt;=sensitivity!$D$9:'sensitivity'!$CN$9),--(L$9&gt;=sensitivity!$D$9:'sensitivity'!$CN$9),sensitivity!$D76:'sensitivity'!$CN76)</f>
        <v>#REF!</v>
      </c>
      <c r="M76" s="35" t="e">
        <f>SUMPRODUCT(--(M$8&lt;=sensitivity!$D$9:'sensitivity'!$CN$9),--(M$9&gt;=sensitivity!$D$9:'sensitivity'!$CN$9),sensitivity!$D76:'sensitivity'!$CN76)</f>
        <v>#REF!</v>
      </c>
      <c r="N76" s="35" t="e">
        <f>SUMPRODUCT(--(N$8&lt;=sensitivity!$D$9:'sensitivity'!$CN$9),--(N$9&gt;=sensitivity!$D$9:'sensitivity'!$CN$9),sensitivity!$D76:'sensitivity'!$CN76)</f>
        <v>#REF!</v>
      </c>
      <c r="O76" s="35" t="e">
        <f>SUMPRODUCT(--(O$8&lt;=sensitivity!$D$9:'sensitivity'!$CN$9),--(O$9&gt;=sensitivity!$D$9:'sensitivity'!$CN$9),sensitivity!$D76:'sensitivity'!$CN76)</f>
        <v>#REF!</v>
      </c>
      <c r="P76" s="35" t="e">
        <f>SUMPRODUCT(--(P$8&lt;=sensitivity!$D$9:'sensitivity'!$CN$9),--(P$9&gt;=sensitivity!$D$9:'sensitivity'!$CN$9),sensitivity!$D76:'sensitivity'!$CN76)</f>
        <v>#REF!</v>
      </c>
      <c r="Q76" s="35" t="e">
        <f>SUMPRODUCT(--(Q$8&lt;=sensitivity!$D$9:'sensitivity'!$CN$9),--(Q$9&gt;=sensitivity!$D$9:'sensitivity'!$CN$9),sensitivity!$D76:'sensitivity'!$CN76)</f>
        <v>#REF!</v>
      </c>
      <c r="R76" s="35" t="e">
        <f>SUMPRODUCT(--(R$8&lt;=sensitivity!$D$9:'sensitivity'!$CN$9),--(R$9&gt;=sensitivity!$D$9:'sensitivity'!$CN$9),sensitivity!$D76:'sensitivity'!$CN76)</f>
        <v>#REF!</v>
      </c>
      <c r="S76" s="35" t="e">
        <f>SUMPRODUCT(--(S$8&lt;=sensitivity!$D$9:'sensitivity'!$CN$9),--(S$9&gt;=sensitivity!$D$9:'sensitivity'!$CN$9),sensitivity!$D76:'sensitivity'!$CN76)</f>
        <v>#REF!</v>
      </c>
      <c r="T76" s="35" t="e">
        <f>SUMPRODUCT(--(T$8&lt;=sensitivity!$D$9:'sensitivity'!$CN$9),--(T$9&gt;=sensitivity!$D$9:'sensitivity'!$CN$9),sensitivity!$D76:'sensitivity'!$CN76)</f>
        <v>#REF!</v>
      </c>
      <c r="U76" s="35" t="e">
        <f>SUMPRODUCT(--(U$8&lt;=sensitivity!$D$9:'sensitivity'!$CN$9),--(U$9&gt;=sensitivity!$D$9:'sensitivity'!$CN$9),sensitivity!$D76:'sensitivity'!$CN76)</f>
        <v>#REF!</v>
      </c>
      <c r="V76" s="35" t="e">
        <f>SUMPRODUCT(--(V$8&lt;=sensitivity!$D$9:'sensitivity'!$CN$9),--(V$9&gt;=sensitivity!$D$9:'sensitivity'!$CN$9),sensitivity!$D76:'sensitivity'!$CN76)</f>
        <v>#REF!</v>
      </c>
      <c r="W76" s="35" t="e">
        <f>SUMPRODUCT(--(W$8&lt;=sensitivity!$D$9:'sensitivity'!$CN$9),--(W$9&gt;=sensitivity!$D$9:'sensitivity'!$CN$9),sensitivity!$D76:'sensitivity'!$CN76)</f>
        <v>#REF!</v>
      </c>
      <c r="X76" s="35" t="e">
        <f>SUMPRODUCT(--(X$8&lt;=sensitivity!$D$9:'sensitivity'!$CN$9),--(X$9&gt;=sensitivity!$D$9:'sensitivity'!$CN$9),sensitivity!$D76:'sensitivity'!$CN76)</f>
        <v>#REF!</v>
      </c>
      <c r="Y76" s="35" t="e">
        <f>SUMPRODUCT(--(Y$8&lt;=sensitivity!$D$9:'sensitivity'!$CN$9),--(Y$9&gt;=sensitivity!$D$9:'sensitivity'!$CN$9),sensitivity!$D76:'sensitivity'!$CN76)</f>
        <v>#REF!</v>
      </c>
      <c r="Z76" s="35" t="e">
        <f>SUMPRODUCT(--(Z$8&lt;=sensitivity!$D$9:'sensitivity'!$CN$9),--(Z$9&gt;=sensitivity!$D$9:'sensitivity'!$CN$9),sensitivity!$D76:'sensitivity'!$CN76)</f>
        <v>#REF!</v>
      </c>
      <c r="AA76" s="35"/>
    </row>
    <row r="77" spans="1:27" ht="13">
      <c r="A77" s="35"/>
      <c r="B77" s="87" t="s">
        <v>172</v>
      </c>
      <c r="C77" s="35" t="e">
        <f t="shared" si="13"/>
        <v>#REF!</v>
      </c>
      <c r="D77" s="60">
        <f>sensitivity!D77</f>
        <v>0</v>
      </c>
      <c r="E77" s="35" t="e">
        <f>SUMPRODUCT(--(E$8&lt;=sensitivity!$D$9:'sensitivity'!$CN$9),--(E$9&gt;=sensitivity!$D$9:'sensitivity'!$CN$9),sensitivity!$D77:'sensitivity'!$CN77)</f>
        <v>#REF!</v>
      </c>
      <c r="F77" s="35" t="e">
        <f>SUMPRODUCT(--(F$8&lt;=sensitivity!$D$9:'sensitivity'!$CN$9),--(F$9&gt;=sensitivity!$D$9:'sensitivity'!$CN$9),sensitivity!$D77:'sensitivity'!$CN77)</f>
        <v>#REF!</v>
      </c>
      <c r="G77" s="35" t="e">
        <f>SUMPRODUCT(--(G$8&lt;=sensitivity!$D$9:'sensitivity'!$CN$9),--(G$9&gt;=sensitivity!$D$9:'sensitivity'!$CN$9),sensitivity!$D77:'sensitivity'!$CN77)</f>
        <v>#REF!</v>
      </c>
      <c r="H77" s="35" t="e">
        <f>SUMPRODUCT(--(H$8&lt;=sensitivity!$D$9:'sensitivity'!$CN$9),--(H$9&gt;=sensitivity!$D$9:'sensitivity'!$CN$9),sensitivity!$D77:'sensitivity'!$CN77)</f>
        <v>#REF!</v>
      </c>
      <c r="I77" s="35" t="e">
        <f>SUMPRODUCT(--(I$8&lt;=sensitivity!$D$9:'sensitivity'!$CN$9),--(I$9&gt;=sensitivity!$D$9:'sensitivity'!$CN$9),sensitivity!$D77:'sensitivity'!$CN77)</f>
        <v>#REF!</v>
      </c>
      <c r="J77" s="35" t="e">
        <f>SUMPRODUCT(--(J$8&lt;=sensitivity!$D$9:'sensitivity'!$CN$9),--(J$9&gt;=sensitivity!$D$9:'sensitivity'!$CN$9),sensitivity!$D77:'sensitivity'!$CN77)</f>
        <v>#REF!</v>
      </c>
      <c r="K77" s="35" t="e">
        <f>SUMPRODUCT(--(K$8&lt;=sensitivity!$D$9:'sensitivity'!$CN$9),--(K$9&gt;=sensitivity!$D$9:'sensitivity'!$CN$9),sensitivity!$D77:'sensitivity'!$CN77)</f>
        <v>#REF!</v>
      </c>
      <c r="L77" s="35" t="e">
        <f>SUMPRODUCT(--(L$8&lt;=sensitivity!$D$9:'sensitivity'!$CN$9),--(L$9&gt;=sensitivity!$D$9:'sensitivity'!$CN$9),sensitivity!$D77:'sensitivity'!$CN77)</f>
        <v>#REF!</v>
      </c>
      <c r="M77" s="35" t="e">
        <f>SUMPRODUCT(--(M$8&lt;=sensitivity!$D$9:'sensitivity'!$CN$9),--(M$9&gt;=sensitivity!$D$9:'sensitivity'!$CN$9),sensitivity!$D77:'sensitivity'!$CN77)</f>
        <v>#REF!</v>
      </c>
      <c r="N77" s="35" t="e">
        <f>SUMPRODUCT(--(N$8&lt;=sensitivity!$D$9:'sensitivity'!$CN$9),--(N$9&gt;=sensitivity!$D$9:'sensitivity'!$CN$9),sensitivity!$D77:'sensitivity'!$CN77)</f>
        <v>#REF!</v>
      </c>
      <c r="O77" s="35" t="e">
        <f>SUMPRODUCT(--(O$8&lt;=sensitivity!$D$9:'sensitivity'!$CN$9),--(O$9&gt;=sensitivity!$D$9:'sensitivity'!$CN$9),sensitivity!$D77:'sensitivity'!$CN77)</f>
        <v>#REF!</v>
      </c>
      <c r="P77" s="35" t="e">
        <f>SUMPRODUCT(--(P$8&lt;=sensitivity!$D$9:'sensitivity'!$CN$9),--(P$9&gt;=sensitivity!$D$9:'sensitivity'!$CN$9),sensitivity!$D77:'sensitivity'!$CN77)</f>
        <v>#REF!</v>
      </c>
      <c r="Q77" s="35" t="e">
        <f>SUMPRODUCT(--(Q$8&lt;=sensitivity!$D$9:'sensitivity'!$CN$9),--(Q$9&gt;=sensitivity!$D$9:'sensitivity'!$CN$9),sensitivity!$D77:'sensitivity'!$CN77)</f>
        <v>#REF!</v>
      </c>
      <c r="R77" s="35" t="e">
        <f>SUMPRODUCT(--(R$8&lt;=sensitivity!$D$9:'sensitivity'!$CN$9),--(R$9&gt;=sensitivity!$D$9:'sensitivity'!$CN$9),sensitivity!$D77:'sensitivity'!$CN77)</f>
        <v>#REF!</v>
      </c>
      <c r="S77" s="35" t="e">
        <f>SUMPRODUCT(--(S$8&lt;=sensitivity!$D$9:'sensitivity'!$CN$9),--(S$9&gt;=sensitivity!$D$9:'sensitivity'!$CN$9),sensitivity!$D77:'sensitivity'!$CN77)</f>
        <v>#REF!</v>
      </c>
      <c r="T77" s="35" t="e">
        <f>SUMPRODUCT(--(T$8&lt;=sensitivity!$D$9:'sensitivity'!$CN$9),--(T$9&gt;=sensitivity!$D$9:'sensitivity'!$CN$9),sensitivity!$D77:'sensitivity'!$CN77)</f>
        <v>#REF!</v>
      </c>
      <c r="U77" s="35" t="e">
        <f>SUMPRODUCT(--(U$8&lt;=sensitivity!$D$9:'sensitivity'!$CN$9),--(U$9&gt;=sensitivity!$D$9:'sensitivity'!$CN$9),sensitivity!$D77:'sensitivity'!$CN77)</f>
        <v>#REF!</v>
      </c>
      <c r="V77" s="35" t="e">
        <f>SUMPRODUCT(--(V$8&lt;=sensitivity!$D$9:'sensitivity'!$CN$9),--(V$9&gt;=sensitivity!$D$9:'sensitivity'!$CN$9),sensitivity!$D77:'sensitivity'!$CN77)</f>
        <v>#REF!</v>
      </c>
      <c r="W77" s="35" t="e">
        <f>SUMPRODUCT(--(W$8&lt;=sensitivity!$D$9:'sensitivity'!$CN$9),--(W$9&gt;=sensitivity!$D$9:'sensitivity'!$CN$9),sensitivity!$D77:'sensitivity'!$CN77)</f>
        <v>#REF!</v>
      </c>
      <c r="X77" s="35" t="e">
        <f>SUMPRODUCT(--(X$8&lt;=sensitivity!$D$9:'sensitivity'!$CN$9),--(X$9&gt;=sensitivity!$D$9:'sensitivity'!$CN$9),sensitivity!$D77:'sensitivity'!$CN77)</f>
        <v>#REF!</v>
      </c>
      <c r="Y77" s="35" t="e">
        <f>SUMPRODUCT(--(Y$8&lt;=sensitivity!$D$9:'sensitivity'!$CN$9),--(Y$9&gt;=sensitivity!$D$9:'sensitivity'!$CN$9),sensitivity!$D77:'sensitivity'!$CN77)</f>
        <v>#REF!</v>
      </c>
      <c r="Z77" s="35" t="e">
        <f>SUMPRODUCT(--(Z$8&lt;=sensitivity!$D$9:'sensitivity'!$CN$9),--(Z$9&gt;=sensitivity!$D$9:'sensitivity'!$CN$9),sensitivity!$D77:'sensitivity'!$CN77)</f>
        <v>#REF!</v>
      </c>
      <c r="AA77" s="35"/>
    </row>
    <row r="78" spans="1:27" ht="13">
      <c r="A78" s="35"/>
      <c r="B78" s="87" t="s">
        <v>173</v>
      </c>
      <c r="C78" s="35" t="e">
        <f t="shared" si="13"/>
        <v>#REF!</v>
      </c>
      <c r="D78" s="60">
        <f>sensitivity!D78</f>
        <v>0</v>
      </c>
      <c r="E78" s="35" t="e">
        <f>SUMPRODUCT(--(E$8&lt;=sensitivity!$D$9:'sensitivity'!$CN$9),--(E$9&gt;=sensitivity!$D$9:'sensitivity'!$CN$9),sensitivity!$D78:'sensitivity'!$CN78)</f>
        <v>#REF!</v>
      </c>
      <c r="F78" s="35" t="e">
        <f>SUMPRODUCT(--(F$8&lt;=sensitivity!$D$9:'sensitivity'!$CN$9),--(F$9&gt;=sensitivity!$D$9:'sensitivity'!$CN$9),sensitivity!$D78:'sensitivity'!$CN78)</f>
        <v>#REF!</v>
      </c>
      <c r="G78" s="35" t="e">
        <f>SUMPRODUCT(--(G$8&lt;=sensitivity!$D$9:'sensitivity'!$CN$9),--(G$9&gt;=sensitivity!$D$9:'sensitivity'!$CN$9),sensitivity!$D78:'sensitivity'!$CN78)</f>
        <v>#REF!</v>
      </c>
      <c r="H78" s="35" t="e">
        <f>SUMPRODUCT(--(H$8&lt;=sensitivity!$D$9:'sensitivity'!$CN$9),--(H$9&gt;=sensitivity!$D$9:'sensitivity'!$CN$9),sensitivity!$D78:'sensitivity'!$CN78)</f>
        <v>#REF!</v>
      </c>
      <c r="I78" s="35" t="e">
        <f>SUMPRODUCT(--(I$8&lt;=sensitivity!$D$9:'sensitivity'!$CN$9),--(I$9&gt;=sensitivity!$D$9:'sensitivity'!$CN$9),sensitivity!$D78:'sensitivity'!$CN78)</f>
        <v>#REF!</v>
      </c>
      <c r="J78" s="35" t="e">
        <f>SUMPRODUCT(--(J$8&lt;=sensitivity!$D$9:'sensitivity'!$CN$9),--(J$9&gt;=sensitivity!$D$9:'sensitivity'!$CN$9),sensitivity!$D78:'sensitivity'!$CN78)</f>
        <v>#REF!</v>
      </c>
      <c r="K78" s="35" t="e">
        <f>SUMPRODUCT(--(K$8&lt;=sensitivity!$D$9:'sensitivity'!$CN$9),--(K$9&gt;=sensitivity!$D$9:'sensitivity'!$CN$9),sensitivity!$D78:'sensitivity'!$CN78)</f>
        <v>#REF!</v>
      </c>
      <c r="L78" s="35" t="e">
        <f>SUMPRODUCT(--(L$8&lt;=sensitivity!$D$9:'sensitivity'!$CN$9),--(L$9&gt;=sensitivity!$D$9:'sensitivity'!$CN$9),sensitivity!$D78:'sensitivity'!$CN78)</f>
        <v>#REF!</v>
      </c>
      <c r="M78" s="35" t="e">
        <f>SUMPRODUCT(--(M$8&lt;=sensitivity!$D$9:'sensitivity'!$CN$9),--(M$9&gt;=sensitivity!$D$9:'sensitivity'!$CN$9),sensitivity!$D78:'sensitivity'!$CN78)</f>
        <v>#REF!</v>
      </c>
      <c r="N78" s="35" t="e">
        <f>SUMPRODUCT(--(N$8&lt;=sensitivity!$D$9:'sensitivity'!$CN$9),--(N$9&gt;=sensitivity!$D$9:'sensitivity'!$CN$9),sensitivity!$D78:'sensitivity'!$CN78)</f>
        <v>#REF!</v>
      </c>
      <c r="O78" s="35" t="e">
        <f>SUMPRODUCT(--(O$8&lt;=sensitivity!$D$9:'sensitivity'!$CN$9),--(O$9&gt;=sensitivity!$D$9:'sensitivity'!$CN$9),sensitivity!$D78:'sensitivity'!$CN78)</f>
        <v>#REF!</v>
      </c>
      <c r="P78" s="35" t="e">
        <f>SUMPRODUCT(--(P$8&lt;=sensitivity!$D$9:'sensitivity'!$CN$9),--(P$9&gt;=sensitivity!$D$9:'sensitivity'!$CN$9),sensitivity!$D78:'sensitivity'!$CN78)</f>
        <v>#REF!</v>
      </c>
      <c r="Q78" s="35" t="e">
        <f>SUMPRODUCT(--(Q$8&lt;=sensitivity!$D$9:'sensitivity'!$CN$9),--(Q$9&gt;=sensitivity!$D$9:'sensitivity'!$CN$9),sensitivity!$D78:'sensitivity'!$CN78)</f>
        <v>#REF!</v>
      </c>
      <c r="R78" s="35" t="e">
        <f>SUMPRODUCT(--(R$8&lt;=sensitivity!$D$9:'sensitivity'!$CN$9),--(R$9&gt;=sensitivity!$D$9:'sensitivity'!$CN$9),sensitivity!$D78:'sensitivity'!$CN78)</f>
        <v>#REF!</v>
      </c>
      <c r="S78" s="35" t="e">
        <f>SUMPRODUCT(--(S$8&lt;=sensitivity!$D$9:'sensitivity'!$CN$9),--(S$9&gt;=sensitivity!$D$9:'sensitivity'!$CN$9),sensitivity!$D78:'sensitivity'!$CN78)</f>
        <v>#REF!</v>
      </c>
      <c r="T78" s="35" t="e">
        <f>SUMPRODUCT(--(T$8&lt;=sensitivity!$D$9:'sensitivity'!$CN$9),--(T$9&gt;=sensitivity!$D$9:'sensitivity'!$CN$9),sensitivity!$D78:'sensitivity'!$CN78)</f>
        <v>#REF!</v>
      </c>
      <c r="U78" s="35" t="e">
        <f>SUMPRODUCT(--(U$8&lt;=sensitivity!$D$9:'sensitivity'!$CN$9),--(U$9&gt;=sensitivity!$D$9:'sensitivity'!$CN$9),sensitivity!$D78:'sensitivity'!$CN78)</f>
        <v>#REF!</v>
      </c>
      <c r="V78" s="35" t="e">
        <f>SUMPRODUCT(--(V$8&lt;=sensitivity!$D$9:'sensitivity'!$CN$9),--(V$9&gt;=sensitivity!$D$9:'sensitivity'!$CN$9),sensitivity!$D78:'sensitivity'!$CN78)</f>
        <v>#REF!</v>
      </c>
      <c r="W78" s="35" t="e">
        <f>SUMPRODUCT(--(W$8&lt;=sensitivity!$D$9:'sensitivity'!$CN$9),--(W$9&gt;=sensitivity!$D$9:'sensitivity'!$CN$9),sensitivity!$D78:'sensitivity'!$CN78)</f>
        <v>#REF!</v>
      </c>
      <c r="X78" s="35" t="e">
        <f>SUMPRODUCT(--(X$8&lt;=sensitivity!$D$9:'sensitivity'!$CN$9),--(X$9&gt;=sensitivity!$D$9:'sensitivity'!$CN$9),sensitivity!$D78:'sensitivity'!$CN78)</f>
        <v>#REF!</v>
      </c>
      <c r="Y78" s="35" t="e">
        <f>SUMPRODUCT(--(Y$8&lt;=sensitivity!$D$9:'sensitivity'!$CN$9),--(Y$9&gt;=sensitivity!$D$9:'sensitivity'!$CN$9),sensitivity!$D78:'sensitivity'!$CN78)</f>
        <v>#REF!</v>
      </c>
      <c r="Z78" s="35" t="e">
        <f>SUMPRODUCT(--(Z$8&lt;=sensitivity!$D$9:'sensitivity'!$CN$9),--(Z$9&gt;=sensitivity!$D$9:'sensitivity'!$CN$9),sensitivity!$D78:'sensitivity'!$CN78)</f>
        <v>#REF!</v>
      </c>
      <c r="AA78" s="35"/>
    </row>
    <row r="79" spans="1:27" ht="13">
      <c r="A79" s="35"/>
      <c r="B79" s="26" t="s">
        <v>629</v>
      </c>
      <c r="C79" s="35" t="e">
        <f t="shared" ref="C79" si="14">SUM(D79:AA79)</f>
        <v>#REF!</v>
      </c>
      <c r="D79" s="60">
        <f>sensitivity!D79</f>
        <v>0</v>
      </c>
      <c r="E79" s="35" t="e">
        <f>SUMPRODUCT(--(E$8&lt;=sensitivity!$D$9:'sensitivity'!$CN$9),--(E$9&gt;=sensitivity!$D$9:'sensitivity'!$CN$9),sensitivity!$D79:'sensitivity'!$CN79)</f>
        <v>#REF!</v>
      </c>
      <c r="F79" s="35" t="e">
        <f>SUMPRODUCT(--(F$8&lt;=sensitivity!$D$9:'sensitivity'!$CN$9),--(F$9&gt;=sensitivity!$D$9:'sensitivity'!$CN$9),sensitivity!$D79:'sensitivity'!$CN79)</f>
        <v>#REF!</v>
      </c>
      <c r="G79" s="35" t="e">
        <f>SUMPRODUCT(--(G$8&lt;=sensitivity!$D$9:'sensitivity'!$CN$9),--(G$9&gt;=sensitivity!$D$9:'sensitivity'!$CN$9),sensitivity!$D79:'sensitivity'!$CN79)</f>
        <v>#REF!</v>
      </c>
      <c r="H79" s="35" t="e">
        <f>SUMPRODUCT(--(H$8&lt;=sensitivity!$D$9:'sensitivity'!$CN$9),--(H$9&gt;=sensitivity!$D$9:'sensitivity'!$CN$9),sensitivity!$D79:'sensitivity'!$CN79)</f>
        <v>#REF!</v>
      </c>
      <c r="I79" s="35" t="e">
        <f>SUMPRODUCT(--(I$8&lt;=sensitivity!$D$9:'sensitivity'!$CN$9),--(I$9&gt;=sensitivity!$D$9:'sensitivity'!$CN$9),sensitivity!$D79:'sensitivity'!$CN79)</f>
        <v>#REF!</v>
      </c>
      <c r="J79" s="35" t="e">
        <f>SUMPRODUCT(--(J$8&lt;=sensitivity!$D$9:'sensitivity'!$CN$9),--(J$9&gt;=sensitivity!$D$9:'sensitivity'!$CN$9),sensitivity!$D79:'sensitivity'!$CN79)</f>
        <v>#REF!</v>
      </c>
      <c r="K79" s="35" t="e">
        <f>SUMPRODUCT(--(K$8&lt;=sensitivity!$D$9:'sensitivity'!$CN$9),--(K$9&gt;=sensitivity!$D$9:'sensitivity'!$CN$9),sensitivity!$D79:'sensitivity'!$CN79)</f>
        <v>#REF!</v>
      </c>
      <c r="L79" s="35" t="e">
        <f>SUMPRODUCT(--(L$8&lt;=sensitivity!$D$9:'sensitivity'!$CN$9),--(L$9&gt;=sensitivity!$D$9:'sensitivity'!$CN$9),sensitivity!$D79:'sensitivity'!$CN79)</f>
        <v>#REF!</v>
      </c>
      <c r="M79" s="35" t="e">
        <f>SUMPRODUCT(--(M$8&lt;=sensitivity!$D$9:'sensitivity'!$CN$9),--(M$9&gt;=sensitivity!$D$9:'sensitivity'!$CN$9),sensitivity!$D79:'sensitivity'!$CN79)</f>
        <v>#REF!</v>
      </c>
      <c r="N79" s="35" t="e">
        <f>SUMPRODUCT(--(N$8&lt;=sensitivity!$D$9:'sensitivity'!$CN$9),--(N$9&gt;=sensitivity!$D$9:'sensitivity'!$CN$9),sensitivity!$D79:'sensitivity'!$CN79)</f>
        <v>#REF!</v>
      </c>
      <c r="O79" s="35" t="e">
        <f>SUMPRODUCT(--(O$8&lt;=sensitivity!$D$9:'sensitivity'!$CN$9),--(O$9&gt;=sensitivity!$D$9:'sensitivity'!$CN$9),sensitivity!$D79:'sensitivity'!$CN79)</f>
        <v>#REF!</v>
      </c>
      <c r="P79" s="35" t="e">
        <f>SUMPRODUCT(--(P$8&lt;=sensitivity!$D$9:'sensitivity'!$CN$9),--(P$9&gt;=sensitivity!$D$9:'sensitivity'!$CN$9),sensitivity!$D79:'sensitivity'!$CN79)</f>
        <v>#REF!</v>
      </c>
      <c r="Q79" s="35" t="e">
        <f>SUMPRODUCT(--(Q$8&lt;=sensitivity!$D$9:'sensitivity'!$CN$9),--(Q$9&gt;=sensitivity!$D$9:'sensitivity'!$CN$9),sensitivity!$D79:'sensitivity'!$CN79)</f>
        <v>#REF!</v>
      </c>
      <c r="R79" s="35" t="e">
        <f>SUMPRODUCT(--(R$8&lt;=sensitivity!$D$9:'sensitivity'!$CN$9),--(R$9&gt;=sensitivity!$D$9:'sensitivity'!$CN$9),sensitivity!$D79:'sensitivity'!$CN79)</f>
        <v>#REF!</v>
      </c>
      <c r="S79" s="35" t="e">
        <f>SUMPRODUCT(--(S$8&lt;=sensitivity!$D$9:'sensitivity'!$CN$9),--(S$9&gt;=sensitivity!$D$9:'sensitivity'!$CN$9),sensitivity!$D79:'sensitivity'!$CN79)</f>
        <v>#REF!</v>
      </c>
      <c r="T79" s="35" t="e">
        <f>SUMPRODUCT(--(T$8&lt;=sensitivity!$D$9:'sensitivity'!$CN$9),--(T$9&gt;=sensitivity!$D$9:'sensitivity'!$CN$9),sensitivity!$D79:'sensitivity'!$CN79)</f>
        <v>#REF!</v>
      </c>
      <c r="U79" s="35" t="e">
        <f>SUMPRODUCT(--(U$8&lt;=sensitivity!$D$9:'sensitivity'!$CN$9),--(U$9&gt;=sensitivity!$D$9:'sensitivity'!$CN$9),sensitivity!$D79:'sensitivity'!$CN79)</f>
        <v>#REF!</v>
      </c>
      <c r="V79" s="35" t="e">
        <f>SUMPRODUCT(--(V$8&lt;=sensitivity!$D$9:'sensitivity'!$CN$9),--(V$9&gt;=sensitivity!$D$9:'sensitivity'!$CN$9),sensitivity!$D79:'sensitivity'!$CN79)</f>
        <v>#REF!</v>
      </c>
      <c r="W79" s="35" t="e">
        <f>SUMPRODUCT(--(W$8&lt;=sensitivity!$D$9:'sensitivity'!$CN$9),--(W$9&gt;=sensitivity!$D$9:'sensitivity'!$CN$9),sensitivity!$D79:'sensitivity'!$CN79)</f>
        <v>#REF!</v>
      </c>
      <c r="X79" s="35" t="e">
        <f>SUMPRODUCT(--(X$8&lt;=sensitivity!$D$9:'sensitivity'!$CN$9),--(X$9&gt;=sensitivity!$D$9:'sensitivity'!$CN$9),sensitivity!$D79:'sensitivity'!$CN79)</f>
        <v>#REF!</v>
      </c>
      <c r="Y79" s="35" t="e">
        <f>SUMPRODUCT(--(Y$8&lt;=sensitivity!$D$9:'sensitivity'!$CN$9),--(Y$9&gt;=sensitivity!$D$9:'sensitivity'!$CN$9),sensitivity!$D79:'sensitivity'!$CN79)</f>
        <v>#REF!</v>
      </c>
      <c r="Z79" s="35" t="e">
        <f>SUMPRODUCT(--(Z$8&lt;=sensitivity!$D$9:'sensitivity'!$CN$9),--(Z$9&gt;=sensitivity!$D$9:'sensitivity'!$CN$9),sensitivity!$D79:'sensitivity'!$CN79)</f>
        <v>#REF!</v>
      </c>
      <c r="AA79" s="35"/>
    </row>
    <row r="80" spans="1:27" ht="13">
      <c r="A80" s="35"/>
      <c r="B80" s="63" t="s">
        <v>164</v>
      </c>
      <c r="C80" s="35" t="e">
        <f t="shared" si="13"/>
        <v>#REF!</v>
      </c>
      <c r="D80" s="60">
        <f>sensitivity!D80</f>
        <v>0</v>
      </c>
      <c r="E80" s="35" t="e">
        <f>SUMPRODUCT(--(E$8&lt;=sensitivity!$D$9:'sensitivity'!$CN$9),--(E$9&gt;=sensitivity!$D$9:'sensitivity'!$CN$9),sensitivity!$D80:'sensitivity'!$CN80)</f>
        <v>#REF!</v>
      </c>
      <c r="F80" s="35" t="e">
        <f>SUMPRODUCT(--(F$8&lt;=sensitivity!$D$9:'sensitivity'!$CN$9),--(F$9&gt;=sensitivity!$D$9:'sensitivity'!$CN$9),sensitivity!$D80:'sensitivity'!$CN80)</f>
        <v>#REF!</v>
      </c>
      <c r="G80" s="35" t="e">
        <f>SUMPRODUCT(--(G$8&lt;=sensitivity!$D$9:'sensitivity'!$CN$9),--(G$9&gt;=sensitivity!$D$9:'sensitivity'!$CN$9),sensitivity!$D80:'sensitivity'!$CN80)</f>
        <v>#REF!</v>
      </c>
      <c r="H80" s="35" t="e">
        <f>SUMPRODUCT(--(H$8&lt;=sensitivity!$D$9:'sensitivity'!$CN$9),--(H$9&gt;=sensitivity!$D$9:'sensitivity'!$CN$9),sensitivity!$D80:'sensitivity'!$CN80)</f>
        <v>#REF!</v>
      </c>
      <c r="I80" s="35" t="e">
        <f>SUMPRODUCT(--(I$8&lt;=sensitivity!$D$9:'sensitivity'!$CN$9),--(I$9&gt;=sensitivity!$D$9:'sensitivity'!$CN$9),sensitivity!$D80:'sensitivity'!$CN80)</f>
        <v>#REF!</v>
      </c>
      <c r="J80" s="35" t="e">
        <f>SUMPRODUCT(--(J$8&lt;=sensitivity!$D$9:'sensitivity'!$CN$9),--(J$9&gt;=sensitivity!$D$9:'sensitivity'!$CN$9),sensitivity!$D80:'sensitivity'!$CN80)</f>
        <v>#REF!</v>
      </c>
      <c r="K80" s="35" t="e">
        <f>SUMPRODUCT(--(K$8&lt;=sensitivity!$D$9:'sensitivity'!$CN$9),--(K$9&gt;=sensitivity!$D$9:'sensitivity'!$CN$9),sensitivity!$D80:'sensitivity'!$CN80)</f>
        <v>#REF!</v>
      </c>
      <c r="L80" s="35" t="e">
        <f>SUMPRODUCT(--(L$8&lt;=sensitivity!$D$9:'sensitivity'!$CN$9),--(L$9&gt;=sensitivity!$D$9:'sensitivity'!$CN$9),sensitivity!$D80:'sensitivity'!$CN80)</f>
        <v>#REF!</v>
      </c>
      <c r="M80" s="35" t="e">
        <f>SUMPRODUCT(--(M$8&lt;=sensitivity!$D$9:'sensitivity'!$CN$9),--(M$9&gt;=sensitivity!$D$9:'sensitivity'!$CN$9),sensitivity!$D80:'sensitivity'!$CN80)</f>
        <v>#REF!</v>
      </c>
      <c r="N80" s="35" t="e">
        <f>SUMPRODUCT(--(N$8&lt;=sensitivity!$D$9:'sensitivity'!$CN$9),--(N$9&gt;=sensitivity!$D$9:'sensitivity'!$CN$9),sensitivity!$D80:'sensitivity'!$CN80)</f>
        <v>#REF!</v>
      </c>
      <c r="O80" s="35" t="e">
        <f>SUMPRODUCT(--(O$8&lt;=sensitivity!$D$9:'sensitivity'!$CN$9),--(O$9&gt;=sensitivity!$D$9:'sensitivity'!$CN$9),sensitivity!$D80:'sensitivity'!$CN80)</f>
        <v>#REF!</v>
      </c>
      <c r="P80" s="35" t="e">
        <f>SUMPRODUCT(--(P$8&lt;=sensitivity!$D$9:'sensitivity'!$CN$9),--(P$9&gt;=sensitivity!$D$9:'sensitivity'!$CN$9),sensitivity!$D80:'sensitivity'!$CN80)</f>
        <v>#REF!</v>
      </c>
      <c r="Q80" s="35" t="e">
        <f>SUMPRODUCT(--(Q$8&lt;=sensitivity!$D$9:'sensitivity'!$CN$9),--(Q$9&gt;=sensitivity!$D$9:'sensitivity'!$CN$9),sensitivity!$D80:'sensitivity'!$CN80)</f>
        <v>#REF!</v>
      </c>
      <c r="R80" s="35" t="e">
        <f>SUMPRODUCT(--(R$8&lt;=sensitivity!$D$9:'sensitivity'!$CN$9),--(R$9&gt;=sensitivity!$D$9:'sensitivity'!$CN$9),sensitivity!$D80:'sensitivity'!$CN80)</f>
        <v>#REF!</v>
      </c>
      <c r="S80" s="35" t="e">
        <f>SUMPRODUCT(--(S$8&lt;=sensitivity!$D$9:'sensitivity'!$CN$9),--(S$9&gt;=sensitivity!$D$9:'sensitivity'!$CN$9),sensitivity!$D80:'sensitivity'!$CN80)</f>
        <v>#REF!</v>
      </c>
      <c r="T80" s="35" t="e">
        <f>SUMPRODUCT(--(T$8&lt;=sensitivity!$D$9:'sensitivity'!$CN$9),--(T$9&gt;=sensitivity!$D$9:'sensitivity'!$CN$9),sensitivity!$D80:'sensitivity'!$CN80)</f>
        <v>#REF!</v>
      </c>
      <c r="U80" s="35" t="e">
        <f>SUMPRODUCT(--(U$8&lt;=sensitivity!$D$9:'sensitivity'!$CN$9),--(U$9&gt;=sensitivity!$D$9:'sensitivity'!$CN$9),sensitivity!$D80:'sensitivity'!$CN80)</f>
        <v>#REF!</v>
      </c>
      <c r="V80" s="35" t="e">
        <f>SUMPRODUCT(--(V$8&lt;=sensitivity!$D$9:'sensitivity'!$CN$9),--(V$9&gt;=sensitivity!$D$9:'sensitivity'!$CN$9),sensitivity!$D80:'sensitivity'!$CN80)</f>
        <v>#REF!</v>
      </c>
      <c r="W80" s="35" t="e">
        <f>SUMPRODUCT(--(W$8&lt;=sensitivity!$D$9:'sensitivity'!$CN$9),--(W$9&gt;=sensitivity!$D$9:'sensitivity'!$CN$9),sensitivity!$D80:'sensitivity'!$CN80)</f>
        <v>#REF!</v>
      </c>
      <c r="X80" s="35" t="e">
        <f>SUMPRODUCT(--(X$8&lt;=sensitivity!$D$9:'sensitivity'!$CN$9),--(X$9&gt;=sensitivity!$D$9:'sensitivity'!$CN$9),sensitivity!$D80:'sensitivity'!$CN80)</f>
        <v>#REF!</v>
      </c>
      <c r="Y80" s="35" t="e">
        <f>SUMPRODUCT(--(Y$8&lt;=sensitivity!$D$9:'sensitivity'!$CN$9),--(Y$9&gt;=sensitivity!$D$9:'sensitivity'!$CN$9),sensitivity!$D80:'sensitivity'!$CN80)</f>
        <v>#REF!</v>
      </c>
      <c r="Z80" s="35" t="e">
        <f>SUMPRODUCT(--(Z$8&lt;=sensitivity!$D$9:'sensitivity'!$CN$9),--(Z$9&gt;=sensitivity!$D$9:'sensitivity'!$CN$9),sensitivity!$D80:'sensitivity'!$CN80)</f>
        <v>#REF!</v>
      </c>
      <c r="AA80" s="35"/>
    </row>
    <row r="81" spans="1:27" ht="13">
      <c r="A81" s="35"/>
      <c r="B81" s="63" t="s">
        <v>174</v>
      </c>
      <c r="C81" s="35" t="e">
        <f t="shared" si="13"/>
        <v>#REF!</v>
      </c>
      <c r="D81" s="60">
        <f>sensitivity!D81</f>
        <v>0</v>
      </c>
      <c r="E81" s="35" t="e">
        <f>SUMPRODUCT(--(E$8&lt;=sensitivity!$D$9:'sensitivity'!$CN$9),--(E$9&gt;=sensitivity!$D$9:'sensitivity'!$CN$9),sensitivity!$D81:'sensitivity'!$CN81)</f>
        <v>#REF!</v>
      </c>
      <c r="F81" s="35" t="e">
        <f>SUMPRODUCT(--(F$8&lt;=sensitivity!$D$9:'sensitivity'!$CN$9),--(F$9&gt;=sensitivity!$D$9:'sensitivity'!$CN$9),sensitivity!$D81:'sensitivity'!$CN81)</f>
        <v>#REF!</v>
      </c>
      <c r="G81" s="35" t="e">
        <f>SUMPRODUCT(--(G$8&lt;=sensitivity!$D$9:'sensitivity'!$CN$9),--(G$9&gt;=sensitivity!$D$9:'sensitivity'!$CN$9),sensitivity!$D81:'sensitivity'!$CN81)</f>
        <v>#REF!</v>
      </c>
      <c r="H81" s="35" t="e">
        <f>SUMPRODUCT(--(H$8&lt;=sensitivity!$D$9:'sensitivity'!$CN$9),--(H$9&gt;=sensitivity!$D$9:'sensitivity'!$CN$9),sensitivity!$D81:'sensitivity'!$CN81)</f>
        <v>#REF!</v>
      </c>
      <c r="I81" s="35" t="e">
        <f>SUMPRODUCT(--(I$8&lt;=sensitivity!$D$9:'sensitivity'!$CN$9),--(I$9&gt;=sensitivity!$D$9:'sensitivity'!$CN$9),sensitivity!$D81:'sensitivity'!$CN81)</f>
        <v>#REF!</v>
      </c>
      <c r="J81" s="35" t="e">
        <f>SUMPRODUCT(--(J$8&lt;=sensitivity!$D$9:'sensitivity'!$CN$9),--(J$9&gt;=sensitivity!$D$9:'sensitivity'!$CN$9),sensitivity!$D81:'sensitivity'!$CN81)</f>
        <v>#REF!</v>
      </c>
      <c r="K81" s="35" t="e">
        <f>SUMPRODUCT(--(K$8&lt;=sensitivity!$D$9:'sensitivity'!$CN$9),--(K$9&gt;=sensitivity!$D$9:'sensitivity'!$CN$9),sensitivity!$D81:'sensitivity'!$CN81)</f>
        <v>#REF!</v>
      </c>
      <c r="L81" s="35" t="e">
        <f>SUMPRODUCT(--(L$8&lt;=sensitivity!$D$9:'sensitivity'!$CN$9),--(L$9&gt;=sensitivity!$D$9:'sensitivity'!$CN$9),sensitivity!$D81:'sensitivity'!$CN81)</f>
        <v>#REF!</v>
      </c>
      <c r="M81" s="35" t="e">
        <f>SUMPRODUCT(--(M$8&lt;=sensitivity!$D$9:'sensitivity'!$CN$9),--(M$9&gt;=sensitivity!$D$9:'sensitivity'!$CN$9),sensitivity!$D81:'sensitivity'!$CN81)</f>
        <v>#REF!</v>
      </c>
      <c r="N81" s="35" t="e">
        <f>SUMPRODUCT(--(N$8&lt;=sensitivity!$D$9:'sensitivity'!$CN$9),--(N$9&gt;=sensitivity!$D$9:'sensitivity'!$CN$9),sensitivity!$D81:'sensitivity'!$CN81)</f>
        <v>#REF!</v>
      </c>
      <c r="O81" s="35" t="e">
        <f>SUMPRODUCT(--(O$8&lt;=sensitivity!$D$9:'sensitivity'!$CN$9),--(O$9&gt;=sensitivity!$D$9:'sensitivity'!$CN$9),sensitivity!$D81:'sensitivity'!$CN81)</f>
        <v>#REF!</v>
      </c>
      <c r="P81" s="35" t="e">
        <f>SUMPRODUCT(--(P$8&lt;=sensitivity!$D$9:'sensitivity'!$CN$9),--(P$9&gt;=sensitivity!$D$9:'sensitivity'!$CN$9),sensitivity!$D81:'sensitivity'!$CN81)</f>
        <v>#REF!</v>
      </c>
      <c r="Q81" s="35" t="e">
        <f>SUMPRODUCT(--(Q$8&lt;=sensitivity!$D$9:'sensitivity'!$CN$9),--(Q$9&gt;=sensitivity!$D$9:'sensitivity'!$CN$9),sensitivity!$D81:'sensitivity'!$CN81)</f>
        <v>#REF!</v>
      </c>
      <c r="R81" s="35" t="e">
        <f>SUMPRODUCT(--(R$8&lt;=sensitivity!$D$9:'sensitivity'!$CN$9),--(R$9&gt;=sensitivity!$D$9:'sensitivity'!$CN$9),sensitivity!$D81:'sensitivity'!$CN81)</f>
        <v>#REF!</v>
      </c>
      <c r="S81" s="35" t="e">
        <f>SUMPRODUCT(--(S$8&lt;=sensitivity!$D$9:'sensitivity'!$CN$9),--(S$9&gt;=sensitivity!$D$9:'sensitivity'!$CN$9),sensitivity!$D81:'sensitivity'!$CN81)</f>
        <v>#REF!</v>
      </c>
      <c r="T81" s="35" t="e">
        <f>SUMPRODUCT(--(T$8&lt;=sensitivity!$D$9:'sensitivity'!$CN$9),--(T$9&gt;=sensitivity!$D$9:'sensitivity'!$CN$9),sensitivity!$D81:'sensitivity'!$CN81)</f>
        <v>#REF!</v>
      </c>
      <c r="U81" s="35" t="e">
        <f>SUMPRODUCT(--(U$8&lt;=sensitivity!$D$9:'sensitivity'!$CN$9),--(U$9&gt;=sensitivity!$D$9:'sensitivity'!$CN$9),sensitivity!$D81:'sensitivity'!$CN81)</f>
        <v>#REF!</v>
      </c>
      <c r="V81" s="35" t="e">
        <f>SUMPRODUCT(--(V$8&lt;=sensitivity!$D$9:'sensitivity'!$CN$9),--(V$9&gt;=sensitivity!$D$9:'sensitivity'!$CN$9),sensitivity!$D81:'sensitivity'!$CN81)</f>
        <v>#REF!</v>
      </c>
      <c r="W81" s="35" t="e">
        <f>SUMPRODUCT(--(W$8&lt;=sensitivity!$D$9:'sensitivity'!$CN$9),--(W$9&gt;=sensitivity!$D$9:'sensitivity'!$CN$9),sensitivity!$D81:'sensitivity'!$CN81)</f>
        <v>#REF!</v>
      </c>
      <c r="X81" s="35" t="e">
        <f>SUMPRODUCT(--(X$8&lt;=sensitivity!$D$9:'sensitivity'!$CN$9),--(X$9&gt;=sensitivity!$D$9:'sensitivity'!$CN$9),sensitivity!$D81:'sensitivity'!$CN81)</f>
        <v>#REF!</v>
      </c>
      <c r="Y81" s="35" t="e">
        <f>SUMPRODUCT(--(Y$8&lt;=sensitivity!$D$9:'sensitivity'!$CN$9),--(Y$9&gt;=sensitivity!$D$9:'sensitivity'!$CN$9),sensitivity!$D81:'sensitivity'!$CN81)</f>
        <v>#REF!</v>
      </c>
      <c r="Z81" s="35" t="e">
        <f>SUMPRODUCT(--(Z$8&lt;=sensitivity!$D$9:'sensitivity'!$CN$9),--(Z$9&gt;=sensitivity!$D$9:'sensitivity'!$CN$9),sensitivity!$D81:'sensitivity'!$CN81)</f>
        <v>#REF!</v>
      </c>
      <c r="AA81" s="35"/>
    </row>
    <row r="82" spans="1:27" ht="13">
      <c r="A82" s="88"/>
      <c r="B82" s="89" t="s">
        <v>175</v>
      </c>
      <c r="C82" s="88" t="e">
        <f t="shared" si="13"/>
        <v>#REF!</v>
      </c>
      <c r="D82" s="60">
        <f>sensitivity!D82</f>
        <v>0</v>
      </c>
      <c r="E82" s="88" t="e">
        <f>SUMPRODUCT(--(E$8&lt;=sensitivity!$D$9:'sensitivity'!$CN$9),--(E$9&gt;=sensitivity!$D$9:'sensitivity'!$CN$9),sensitivity!$D82:'sensitivity'!$CN82)</f>
        <v>#REF!</v>
      </c>
      <c r="F82" s="88" t="e">
        <f>SUMPRODUCT(--(F$8&lt;=sensitivity!$D$9:'sensitivity'!$CN$9),--(F$9&gt;=sensitivity!$D$9:'sensitivity'!$CN$9),sensitivity!$D82:'sensitivity'!$CN82)</f>
        <v>#REF!</v>
      </c>
      <c r="G82" s="88" t="e">
        <f>SUMPRODUCT(--(G$8&lt;=sensitivity!$D$9:'sensitivity'!$CN$9),--(G$9&gt;=sensitivity!$D$9:'sensitivity'!$CN$9),sensitivity!$D82:'sensitivity'!$CN82)</f>
        <v>#REF!</v>
      </c>
      <c r="H82" s="88" t="e">
        <f>SUMPRODUCT(--(H$8&lt;=sensitivity!$D$9:'sensitivity'!$CN$9),--(H$9&gt;=sensitivity!$D$9:'sensitivity'!$CN$9),sensitivity!$D82:'sensitivity'!$CN82)</f>
        <v>#REF!</v>
      </c>
      <c r="I82" s="88" t="e">
        <f>SUMPRODUCT(--(I$8&lt;=sensitivity!$D$9:'sensitivity'!$CN$9),--(I$9&gt;=sensitivity!$D$9:'sensitivity'!$CN$9),sensitivity!$D82:'sensitivity'!$CN82)</f>
        <v>#REF!</v>
      </c>
      <c r="J82" s="88" t="e">
        <f>SUMPRODUCT(--(J$8&lt;=sensitivity!$D$9:'sensitivity'!$CN$9),--(J$9&gt;=sensitivity!$D$9:'sensitivity'!$CN$9),sensitivity!$D82:'sensitivity'!$CN82)</f>
        <v>#REF!</v>
      </c>
      <c r="K82" s="88" t="e">
        <f>SUMPRODUCT(--(K$8&lt;=sensitivity!$D$9:'sensitivity'!$CN$9),--(K$9&gt;=sensitivity!$D$9:'sensitivity'!$CN$9),sensitivity!$D82:'sensitivity'!$CN82)</f>
        <v>#REF!</v>
      </c>
      <c r="L82" s="88" t="e">
        <f>SUMPRODUCT(--(L$8&lt;=sensitivity!$D$9:'sensitivity'!$CN$9),--(L$9&gt;=sensitivity!$D$9:'sensitivity'!$CN$9),sensitivity!$D82:'sensitivity'!$CN82)</f>
        <v>#REF!</v>
      </c>
      <c r="M82" s="88" t="e">
        <f>SUMPRODUCT(--(M$8&lt;=sensitivity!$D$9:'sensitivity'!$CN$9),--(M$9&gt;=sensitivity!$D$9:'sensitivity'!$CN$9),sensitivity!$D82:'sensitivity'!$CN82)</f>
        <v>#REF!</v>
      </c>
      <c r="N82" s="88" t="e">
        <f>SUMPRODUCT(--(N$8&lt;=sensitivity!$D$9:'sensitivity'!$CN$9),--(N$9&gt;=sensitivity!$D$9:'sensitivity'!$CN$9),sensitivity!$D82:'sensitivity'!$CN82)</f>
        <v>#REF!</v>
      </c>
      <c r="O82" s="88" t="e">
        <f>SUMPRODUCT(--(O$8&lt;=sensitivity!$D$9:'sensitivity'!$CN$9),--(O$9&gt;=sensitivity!$D$9:'sensitivity'!$CN$9),sensitivity!$D82:'sensitivity'!$CN82)</f>
        <v>#REF!</v>
      </c>
      <c r="P82" s="88" t="e">
        <f>SUMPRODUCT(--(P$8&lt;=sensitivity!$D$9:'sensitivity'!$CN$9),--(P$9&gt;=sensitivity!$D$9:'sensitivity'!$CN$9),sensitivity!$D82:'sensitivity'!$CN82)</f>
        <v>#REF!</v>
      </c>
      <c r="Q82" s="88" t="e">
        <f>SUMPRODUCT(--(Q$8&lt;=sensitivity!$D$9:'sensitivity'!$CN$9),--(Q$9&gt;=sensitivity!$D$9:'sensitivity'!$CN$9),sensitivity!$D82:'sensitivity'!$CN82)</f>
        <v>#REF!</v>
      </c>
      <c r="R82" s="88" t="e">
        <f>SUMPRODUCT(--(R$8&lt;=sensitivity!$D$9:'sensitivity'!$CN$9),--(R$9&gt;=sensitivity!$D$9:'sensitivity'!$CN$9),sensitivity!$D82:'sensitivity'!$CN82)</f>
        <v>#REF!</v>
      </c>
      <c r="S82" s="88" t="e">
        <f>SUMPRODUCT(--(S$8&lt;=sensitivity!$D$9:'sensitivity'!$CN$9),--(S$9&gt;=sensitivity!$D$9:'sensitivity'!$CN$9),sensitivity!$D82:'sensitivity'!$CN82)</f>
        <v>#REF!</v>
      </c>
      <c r="T82" s="88" t="e">
        <f>SUMPRODUCT(--(T$8&lt;=sensitivity!$D$9:'sensitivity'!$CN$9),--(T$9&gt;=sensitivity!$D$9:'sensitivity'!$CN$9),sensitivity!$D82:'sensitivity'!$CN82)</f>
        <v>#REF!</v>
      </c>
      <c r="U82" s="88" t="e">
        <f>SUMPRODUCT(--(U$8&lt;=sensitivity!$D$9:'sensitivity'!$CN$9),--(U$9&gt;=sensitivity!$D$9:'sensitivity'!$CN$9),sensitivity!$D82:'sensitivity'!$CN82)</f>
        <v>#REF!</v>
      </c>
      <c r="V82" s="88" t="e">
        <f>SUMPRODUCT(--(V$8&lt;=sensitivity!$D$9:'sensitivity'!$CN$9),--(V$9&gt;=sensitivity!$D$9:'sensitivity'!$CN$9),sensitivity!$D82:'sensitivity'!$CN82)</f>
        <v>#REF!</v>
      </c>
      <c r="W82" s="88" t="e">
        <f>SUMPRODUCT(--(W$8&lt;=sensitivity!$D$9:'sensitivity'!$CN$9),--(W$9&gt;=sensitivity!$D$9:'sensitivity'!$CN$9),sensitivity!$D82:'sensitivity'!$CN82)</f>
        <v>#REF!</v>
      </c>
      <c r="X82" s="88" t="e">
        <f>SUMPRODUCT(--(X$8&lt;=sensitivity!$D$9:'sensitivity'!$CN$9),--(X$9&gt;=sensitivity!$D$9:'sensitivity'!$CN$9),sensitivity!$D82:'sensitivity'!$CN82)</f>
        <v>#REF!</v>
      </c>
      <c r="Y82" s="88" t="e">
        <f>SUMPRODUCT(--(Y$8&lt;=sensitivity!$D$9:'sensitivity'!$CN$9),--(Y$9&gt;=sensitivity!$D$9:'sensitivity'!$CN$9),sensitivity!$D82:'sensitivity'!$CN82)</f>
        <v>#REF!</v>
      </c>
      <c r="Z82" s="88" t="e">
        <f>SUMPRODUCT(--(Z$8&lt;=sensitivity!$D$9:'sensitivity'!$CN$9),--(Z$9&gt;=sensitivity!$D$9:'sensitivity'!$CN$9),sensitivity!$D82:'sensitivity'!$CN82)</f>
        <v>#REF!</v>
      </c>
      <c r="AA82" s="88"/>
    </row>
    <row r="83" spans="1:27" ht="13">
      <c r="A83" s="37"/>
      <c r="B83" s="70" t="s">
        <v>176</v>
      </c>
      <c r="C83" s="70" t="e">
        <f>SUM(D83:Z83)</f>
        <v>#REF!</v>
      </c>
      <c r="D83" s="71">
        <f>sensitivity!D83</f>
        <v>0</v>
      </c>
      <c r="E83" s="70" t="e">
        <f>SUMPRODUCT(--(E$8&lt;=sensitivity!$D$9:'sensitivity'!$CN$9),--(E$9&gt;=sensitivity!$D$9:'sensitivity'!$CN$9),sensitivity!$D83:'sensitivity'!$CN83)</f>
        <v>#REF!</v>
      </c>
      <c r="F83" s="70" t="e">
        <f>SUMPRODUCT(--(F$8&lt;=sensitivity!$D$9:'sensitivity'!$CN$9),--(F$9&gt;=sensitivity!$D$9:'sensitivity'!$CN$9),sensitivity!$D83:'sensitivity'!$CN83)</f>
        <v>#REF!</v>
      </c>
      <c r="G83" s="70" t="e">
        <f>SUMPRODUCT(--(G$8&lt;=sensitivity!$D$9:'sensitivity'!$CN$9),--(G$9&gt;=sensitivity!$D$9:'sensitivity'!$CN$9),sensitivity!$D83:'sensitivity'!$CN83)</f>
        <v>#REF!</v>
      </c>
      <c r="H83" s="70" t="e">
        <f>SUMPRODUCT(--(H$8&lt;=sensitivity!$D$9:'sensitivity'!$CN$9),--(H$9&gt;=sensitivity!$D$9:'sensitivity'!$CN$9),sensitivity!$D83:'sensitivity'!$CN83)</f>
        <v>#REF!</v>
      </c>
      <c r="I83" s="70" t="e">
        <f>SUMPRODUCT(--(I$8&lt;=sensitivity!$D$9:'sensitivity'!$CN$9),--(I$9&gt;=sensitivity!$D$9:'sensitivity'!$CN$9),sensitivity!$D83:'sensitivity'!$CN83)</f>
        <v>#REF!</v>
      </c>
      <c r="J83" s="70" t="e">
        <f>SUMPRODUCT(--(J$8&lt;=sensitivity!$D$9:'sensitivity'!$CN$9),--(J$9&gt;=sensitivity!$D$9:'sensitivity'!$CN$9),sensitivity!$D83:'sensitivity'!$CN83)</f>
        <v>#REF!</v>
      </c>
      <c r="K83" s="70" t="e">
        <f>SUMPRODUCT(--(K$8&lt;=sensitivity!$D$9:'sensitivity'!$CN$9),--(K$9&gt;=sensitivity!$D$9:'sensitivity'!$CN$9),sensitivity!$D83:'sensitivity'!$CN83)</f>
        <v>#REF!</v>
      </c>
      <c r="L83" s="70" t="e">
        <f>SUMPRODUCT(--(L$8&lt;=sensitivity!$D$9:'sensitivity'!$CN$9),--(L$9&gt;=sensitivity!$D$9:'sensitivity'!$CN$9),sensitivity!$D83:'sensitivity'!$CN83)</f>
        <v>#REF!</v>
      </c>
      <c r="M83" s="70" t="e">
        <f>SUMPRODUCT(--(M$8&lt;=sensitivity!$D$9:'sensitivity'!$CN$9),--(M$9&gt;=sensitivity!$D$9:'sensitivity'!$CN$9),sensitivity!$D83:'sensitivity'!$CN83)</f>
        <v>#REF!</v>
      </c>
      <c r="N83" s="70" t="e">
        <f>SUMPRODUCT(--(N$8&lt;=sensitivity!$D$9:'sensitivity'!$CN$9),--(N$9&gt;=sensitivity!$D$9:'sensitivity'!$CN$9),sensitivity!$D83:'sensitivity'!$CN83)</f>
        <v>#REF!</v>
      </c>
      <c r="O83" s="70" t="e">
        <f>SUMPRODUCT(--(O$8&lt;=sensitivity!$D$9:'sensitivity'!$CN$9),--(O$9&gt;=sensitivity!$D$9:'sensitivity'!$CN$9),sensitivity!$D83:'sensitivity'!$CN83)</f>
        <v>#REF!</v>
      </c>
      <c r="P83" s="70" t="e">
        <f>SUMPRODUCT(--(P$8&lt;=sensitivity!$D$9:'sensitivity'!$CN$9),--(P$9&gt;=sensitivity!$D$9:'sensitivity'!$CN$9),sensitivity!$D83:'sensitivity'!$CN83)</f>
        <v>#REF!</v>
      </c>
      <c r="Q83" s="70" t="e">
        <f>SUMPRODUCT(--(Q$8&lt;=sensitivity!$D$9:'sensitivity'!$CN$9),--(Q$9&gt;=sensitivity!$D$9:'sensitivity'!$CN$9),sensitivity!$D83:'sensitivity'!$CN83)</f>
        <v>#REF!</v>
      </c>
      <c r="R83" s="70" t="e">
        <f>SUMPRODUCT(--(R$8&lt;=sensitivity!$D$9:'sensitivity'!$CN$9),--(R$9&gt;=sensitivity!$D$9:'sensitivity'!$CN$9),sensitivity!$D83:'sensitivity'!$CN83)</f>
        <v>#REF!</v>
      </c>
      <c r="S83" s="70" t="e">
        <f>SUMPRODUCT(--(S$8&lt;=sensitivity!$D$9:'sensitivity'!$CN$9),--(S$9&gt;=sensitivity!$D$9:'sensitivity'!$CN$9),sensitivity!$D83:'sensitivity'!$CN83)</f>
        <v>#REF!</v>
      </c>
      <c r="T83" s="70" t="e">
        <f>SUMPRODUCT(--(T$8&lt;=sensitivity!$D$9:'sensitivity'!$CN$9),--(T$9&gt;=sensitivity!$D$9:'sensitivity'!$CN$9),sensitivity!$D83:'sensitivity'!$CN83)</f>
        <v>#REF!</v>
      </c>
      <c r="U83" s="70" t="e">
        <f>SUMPRODUCT(--(U$8&lt;=sensitivity!$D$9:'sensitivity'!$CN$9),--(U$9&gt;=sensitivity!$D$9:'sensitivity'!$CN$9),sensitivity!$D83:'sensitivity'!$CN83)</f>
        <v>#REF!</v>
      </c>
      <c r="V83" s="70" t="e">
        <f>SUMPRODUCT(--(V$8&lt;=sensitivity!$D$9:'sensitivity'!$CN$9),--(V$9&gt;=sensitivity!$D$9:'sensitivity'!$CN$9),sensitivity!$D83:'sensitivity'!$CN83)</f>
        <v>#REF!</v>
      </c>
      <c r="W83" s="70" t="e">
        <f>SUMPRODUCT(--(W$8&lt;=sensitivity!$D$9:'sensitivity'!$CN$9),--(W$9&gt;=sensitivity!$D$9:'sensitivity'!$CN$9),sensitivity!$D83:'sensitivity'!$CN83)</f>
        <v>#REF!</v>
      </c>
      <c r="X83" s="70" t="e">
        <f>SUMPRODUCT(--(X$8&lt;=sensitivity!$D$9:'sensitivity'!$CN$9),--(X$9&gt;=sensitivity!$D$9:'sensitivity'!$CN$9),sensitivity!$D83:'sensitivity'!$CN83)</f>
        <v>#REF!</v>
      </c>
      <c r="Y83" s="70" t="e">
        <f>SUMPRODUCT(--(Y$8&lt;=sensitivity!$D$9:'sensitivity'!$CN$9),--(Y$9&gt;=sensitivity!$D$9:'sensitivity'!$CN$9),sensitivity!$D83:'sensitivity'!$CN83)</f>
        <v>#REF!</v>
      </c>
      <c r="Z83" s="70" t="e">
        <f>SUMPRODUCT(--(Z$8&lt;=sensitivity!$D$9:'sensitivity'!$CN$9),--(Z$9&gt;=sensitivity!$D$9:'sensitivity'!$CN$9),sensitivity!$D83:'sensitivity'!$CN83)</f>
        <v>#REF!</v>
      </c>
      <c r="AA83" s="70" t="e">
        <f>Z83*(1+'выручка номеров'!O3)/(DiscRate!E3-'выручка номеров'!O3)</f>
        <v>#REF!</v>
      </c>
    </row>
    <row r="84" spans="1:27" ht="13">
      <c r="A84" s="35"/>
      <c r="B84" s="37" t="s">
        <v>177</v>
      </c>
      <c r="C84" s="35"/>
      <c r="D84" s="60">
        <f>sensitivity!D84</f>
        <v>0</v>
      </c>
      <c r="E84" s="35">
        <f>SUMPRODUCT(--(E$8&lt;=sensitivity!$D$9:'sensitivity'!$CN$9),--(E$9&gt;=sensitivity!$D$9:'sensitivity'!$CN$9),sensitivity!$D84:'sensitivity'!$CN84)</f>
        <v>0</v>
      </c>
      <c r="F84" s="35">
        <f>SUMPRODUCT(--(F$8&lt;=sensitivity!$D$9:'sensitivity'!$CN$9),--(F$9&gt;=sensitivity!$D$9:'sensitivity'!$CN$9),sensitivity!$D84:'sensitivity'!$CN84)</f>
        <v>0</v>
      </c>
      <c r="G84" s="35">
        <f>SUMPRODUCT(--(G$8&lt;=sensitivity!$D$9:'sensitivity'!$CN$9),--(G$9&gt;=sensitivity!$D$9:'sensitivity'!$CN$9),sensitivity!$D84:'sensitivity'!$CN84)</f>
        <v>0</v>
      </c>
      <c r="H84" s="35">
        <f>SUMPRODUCT(--(H$8&lt;=sensitivity!$D$9:'sensitivity'!$CN$9),--(H$9&gt;=sensitivity!$D$9:'sensitivity'!$CN$9),sensitivity!$D84:'sensitivity'!$CN84)</f>
        <v>0</v>
      </c>
      <c r="I84" s="35">
        <f>SUMPRODUCT(--(I$8&lt;=sensitivity!$D$9:'sensitivity'!$CN$9),--(I$9&gt;=sensitivity!$D$9:'sensitivity'!$CN$9),sensitivity!$D84:'sensitivity'!$CN84)</f>
        <v>0</v>
      </c>
      <c r="J84" s="35">
        <f>SUMPRODUCT(--(J$8&lt;=sensitivity!$D$9:'sensitivity'!$CN$9),--(J$9&gt;=sensitivity!$D$9:'sensitivity'!$CN$9),sensitivity!$D84:'sensitivity'!$CN84)</f>
        <v>0</v>
      </c>
      <c r="K84" s="35">
        <f>SUMPRODUCT(--(K$8&lt;=sensitivity!$D$9:'sensitivity'!$CN$9),--(K$9&gt;=sensitivity!$D$9:'sensitivity'!$CN$9),sensitivity!$D84:'sensitivity'!$CN84)</f>
        <v>0</v>
      </c>
      <c r="L84" s="35">
        <f>SUMPRODUCT(--(L$8&lt;=sensitivity!$D$9:'sensitivity'!$CN$9),--(L$9&gt;=sensitivity!$D$9:'sensitivity'!$CN$9),sensitivity!$D84:'sensitivity'!$CN84)</f>
        <v>0</v>
      </c>
      <c r="M84" s="35">
        <f>SUMPRODUCT(--(M$8&lt;=sensitivity!$D$9:'sensitivity'!$CN$9),--(M$9&gt;=sensitivity!$D$9:'sensitivity'!$CN$9),sensitivity!$D84:'sensitivity'!$CN84)</f>
        <v>0</v>
      </c>
      <c r="N84" s="35">
        <f>SUMPRODUCT(--(N$8&lt;=sensitivity!$D$9:'sensitivity'!$CN$9),--(N$9&gt;=sensitivity!$D$9:'sensitivity'!$CN$9),sensitivity!$D84:'sensitivity'!$CN84)</f>
        <v>0</v>
      </c>
      <c r="O84" s="35">
        <f>SUMPRODUCT(--(O$8&lt;=sensitivity!$D$9:'sensitivity'!$CN$9),--(O$9&gt;=sensitivity!$D$9:'sensitivity'!$CN$9),sensitivity!$D84:'sensitivity'!$CN84)</f>
        <v>0</v>
      </c>
      <c r="P84" s="35">
        <f>SUMPRODUCT(--(P$8&lt;=sensitivity!$D$9:'sensitivity'!$CN$9),--(P$9&gt;=sensitivity!$D$9:'sensitivity'!$CN$9),sensitivity!$D84:'sensitivity'!$CN84)</f>
        <v>0</v>
      </c>
      <c r="Q84" s="35">
        <f>SUMPRODUCT(--(Q$8&lt;=sensitivity!$D$9:'sensitivity'!$CN$9),--(Q$9&gt;=sensitivity!$D$9:'sensitivity'!$CN$9),sensitivity!$D84:'sensitivity'!$CN84)</f>
        <v>0</v>
      </c>
      <c r="R84" s="35">
        <f>SUMPRODUCT(--(R$8&lt;=sensitivity!$D$9:'sensitivity'!$CN$9),--(R$9&gt;=sensitivity!$D$9:'sensitivity'!$CN$9),sensitivity!$D84:'sensitivity'!$CN84)</f>
        <v>0</v>
      </c>
      <c r="S84" s="35">
        <f>SUMPRODUCT(--(S$8&lt;=sensitivity!$D$9:'sensitivity'!$CN$9),--(S$9&gt;=sensitivity!$D$9:'sensitivity'!$CN$9),sensitivity!$D84:'sensitivity'!$CN84)</f>
        <v>0</v>
      </c>
      <c r="T84" s="35">
        <f>SUMPRODUCT(--(T$8&lt;=sensitivity!$D$9:'sensitivity'!$CN$9),--(T$9&gt;=sensitivity!$D$9:'sensitivity'!$CN$9),sensitivity!$D84:'sensitivity'!$CN84)</f>
        <v>0</v>
      </c>
      <c r="U84" s="35">
        <f>SUMPRODUCT(--(U$8&lt;=sensitivity!$D$9:'sensitivity'!$CN$9),--(U$9&gt;=sensitivity!$D$9:'sensitivity'!$CN$9),sensitivity!$D84:'sensitivity'!$CN84)</f>
        <v>0</v>
      </c>
      <c r="V84" s="35">
        <f>SUMPRODUCT(--(V$8&lt;=sensitivity!$D$9:'sensitivity'!$CN$9),--(V$9&gt;=sensitivity!$D$9:'sensitivity'!$CN$9),sensitivity!$D84:'sensitivity'!$CN84)</f>
        <v>0</v>
      </c>
      <c r="W84" s="35">
        <f>SUMPRODUCT(--(W$8&lt;=sensitivity!$D$9:'sensitivity'!$CN$9),--(W$9&gt;=sensitivity!$D$9:'sensitivity'!$CN$9),sensitivity!$D84:'sensitivity'!$CN84)</f>
        <v>0</v>
      </c>
      <c r="X84" s="35">
        <f>SUMPRODUCT(--(X$8&lt;=sensitivity!$D$9:'sensitivity'!$CN$9),--(X$9&gt;=sensitivity!$D$9:'sensitivity'!$CN$9),sensitivity!$D84:'sensitivity'!$CN84)</f>
        <v>0</v>
      </c>
      <c r="Y84" s="35">
        <f>SUMPRODUCT(--(Y$8&lt;=sensitivity!$D$9:'sensitivity'!$CN$9),--(Y$9&gt;=sensitivity!$D$9:'sensitivity'!$CN$9),sensitivity!$D84:'sensitivity'!$CN84)</f>
        <v>0</v>
      </c>
      <c r="Z84" s="35">
        <f>SUMPRODUCT(--(Z$8&lt;=sensitivity!$D$9:'sensitivity'!$CN$9),--(Z$9&gt;=sensitivity!$D$9:'sensitivity'!$CN$9),sensitivity!$D84:'sensitivity'!$CN84)</f>
        <v>0</v>
      </c>
      <c r="AA84" s="35"/>
    </row>
    <row r="85" spans="1:27" ht="13">
      <c r="A85" s="35"/>
      <c r="B85" s="63" t="s">
        <v>178</v>
      </c>
      <c r="C85" s="35" t="e">
        <f t="shared" ref="C85:C87" si="15">SUM(D85:AA85)</f>
        <v>#REF!</v>
      </c>
      <c r="D85" s="60" t="e">
        <f>sensitivity!D85</f>
        <v>#REF!</v>
      </c>
      <c r="E85" s="35" t="e">
        <f>SUMPRODUCT(--(E$8&lt;=sensitivity!$D$9:'sensitivity'!$CN$9),--(E$9&gt;=sensitivity!$D$9:'sensitivity'!$CN$9),sensitivity!$D85:'sensitivity'!$CN85)</f>
        <v>#REF!</v>
      </c>
      <c r="F85" s="35" t="e">
        <f>SUMPRODUCT(--(F$8&lt;=sensitivity!$D$9:'sensitivity'!$CN$9),--(F$9&gt;=sensitivity!$D$9:'sensitivity'!$CN$9),sensitivity!$D85:'sensitivity'!$CN85)</f>
        <v>#REF!</v>
      </c>
      <c r="G85" s="35" t="e">
        <f>SUMPRODUCT(--(G$8&lt;=sensitivity!$D$9:'sensitivity'!$CN$9),--(G$9&gt;=sensitivity!$D$9:'sensitivity'!$CN$9),sensitivity!$D85:'sensitivity'!$CN85)</f>
        <v>#REF!</v>
      </c>
      <c r="H85" s="35" t="e">
        <f>SUMPRODUCT(--(H$8&lt;=sensitivity!$D$9:'sensitivity'!$CN$9),--(H$9&gt;=sensitivity!$D$9:'sensitivity'!$CN$9),sensitivity!$D85:'sensitivity'!$CN85)</f>
        <v>#REF!</v>
      </c>
      <c r="I85" s="35" t="e">
        <f>SUMPRODUCT(--(I$8&lt;=sensitivity!$D$9:'sensitivity'!$CN$9),--(I$9&gt;=sensitivity!$D$9:'sensitivity'!$CN$9),sensitivity!$D85:'sensitivity'!$CN85)</f>
        <v>#REF!</v>
      </c>
      <c r="J85" s="35" t="e">
        <f>SUMPRODUCT(--(J$8&lt;=sensitivity!$D$9:'sensitivity'!$CN$9),--(J$9&gt;=sensitivity!$D$9:'sensitivity'!$CN$9),sensitivity!$D85:'sensitivity'!$CN85)</f>
        <v>#REF!</v>
      </c>
      <c r="K85" s="35" t="e">
        <f>SUMPRODUCT(--(K$8&lt;=sensitivity!$D$9:'sensitivity'!$CN$9),--(K$9&gt;=sensitivity!$D$9:'sensitivity'!$CN$9),sensitivity!$D85:'sensitivity'!$CN85)</f>
        <v>#REF!</v>
      </c>
      <c r="L85" s="35" t="e">
        <f>SUMPRODUCT(--(L$8&lt;=sensitivity!$D$9:'sensitivity'!$CN$9),--(L$9&gt;=sensitivity!$D$9:'sensitivity'!$CN$9),sensitivity!$D85:'sensitivity'!$CN85)</f>
        <v>#REF!</v>
      </c>
      <c r="M85" s="35" t="e">
        <f>SUMPRODUCT(--(M$8&lt;=sensitivity!$D$9:'sensitivity'!$CN$9),--(M$9&gt;=sensitivity!$D$9:'sensitivity'!$CN$9),sensitivity!$D85:'sensitivity'!$CN85)</f>
        <v>#REF!</v>
      </c>
      <c r="N85" s="35" t="e">
        <f>SUMPRODUCT(--(N$8&lt;=sensitivity!$D$9:'sensitivity'!$CN$9),--(N$9&gt;=sensitivity!$D$9:'sensitivity'!$CN$9),sensitivity!$D85:'sensitivity'!$CN85)</f>
        <v>#REF!</v>
      </c>
      <c r="O85" s="35" t="e">
        <f>SUMPRODUCT(--(O$8&lt;=sensitivity!$D$9:'sensitivity'!$CN$9),--(O$9&gt;=sensitivity!$D$9:'sensitivity'!$CN$9),sensitivity!$D85:'sensitivity'!$CN85)</f>
        <v>#REF!</v>
      </c>
      <c r="P85" s="35" t="e">
        <f>SUMPRODUCT(--(P$8&lt;=sensitivity!$D$9:'sensitivity'!$CN$9),--(P$9&gt;=sensitivity!$D$9:'sensitivity'!$CN$9),sensitivity!$D85:'sensitivity'!$CN85)</f>
        <v>#REF!</v>
      </c>
      <c r="Q85" s="35" t="e">
        <f>SUMPRODUCT(--(Q$8&lt;=sensitivity!$D$9:'sensitivity'!$CN$9),--(Q$9&gt;=sensitivity!$D$9:'sensitivity'!$CN$9),sensitivity!$D85:'sensitivity'!$CN85)</f>
        <v>#REF!</v>
      </c>
      <c r="R85" s="35" t="e">
        <f>SUMPRODUCT(--(R$8&lt;=sensitivity!$D$9:'sensitivity'!$CN$9),--(R$9&gt;=sensitivity!$D$9:'sensitivity'!$CN$9),sensitivity!$D85:'sensitivity'!$CN85)</f>
        <v>#REF!</v>
      </c>
      <c r="S85" s="35" t="e">
        <f>SUMPRODUCT(--(S$8&lt;=sensitivity!$D$9:'sensitivity'!$CN$9),--(S$9&gt;=sensitivity!$D$9:'sensitivity'!$CN$9),sensitivity!$D85:'sensitivity'!$CN85)</f>
        <v>#REF!</v>
      </c>
      <c r="T85" s="35" t="e">
        <f>SUMPRODUCT(--(T$8&lt;=sensitivity!$D$9:'sensitivity'!$CN$9),--(T$9&gt;=sensitivity!$D$9:'sensitivity'!$CN$9),sensitivity!$D85:'sensitivity'!$CN85)</f>
        <v>#REF!</v>
      </c>
      <c r="U85" s="35" t="e">
        <f>SUMPRODUCT(--(U$8&lt;=sensitivity!$D$9:'sensitivity'!$CN$9),--(U$9&gt;=sensitivity!$D$9:'sensitivity'!$CN$9),sensitivity!$D85:'sensitivity'!$CN85)</f>
        <v>#REF!</v>
      </c>
      <c r="V85" s="35" t="e">
        <f>SUMPRODUCT(--(V$8&lt;=sensitivity!$D$9:'sensitivity'!$CN$9),--(V$9&gt;=sensitivity!$D$9:'sensitivity'!$CN$9),sensitivity!$D85:'sensitivity'!$CN85)</f>
        <v>#REF!</v>
      </c>
      <c r="W85" s="35" t="e">
        <f>SUMPRODUCT(--(W$8&lt;=sensitivity!$D$9:'sensitivity'!$CN$9),--(W$9&gt;=sensitivity!$D$9:'sensitivity'!$CN$9),sensitivity!$D85:'sensitivity'!$CN85)</f>
        <v>#REF!</v>
      </c>
      <c r="X85" s="35" t="e">
        <f>SUMPRODUCT(--(X$8&lt;=sensitivity!$D$9:'sensitivity'!$CN$9),--(X$9&gt;=sensitivity!$D$9:'sensitivity'!$CN$9),sensitivity!$D85:'sensitivity'!$CN85)</f>
        <v>#REF!</v>
      </c>
      <c r="Y85" s="35" t="e">
        <f>SUMPRODUCT(--(Y$8&lt;=sensitivity!$D$9:'sensitivity'!$CN$9),--(Y$9&gt;=sensitivity!$D$9:'sensitivity'!$CN$9),sensitivity!$D85:'sensitivity'!$CN85)</f>
        <v>#REF!</v>
      </c>
      <c r="Z85" s="35" t="e">
        <f>SUMPRODUCT(--(Z$8&lt;=sensitivity!$D$9:'sensitivity'!$CN$9),--(Z$9&gt;=sensitivity!$D$9:'sensitivity'!$CN$9),sensitivity!$D85:'sensitivity'!$CN85)</f>
        <v>#REF!</v>
      </c>
      <c r="AA85" s="35"/>
    </row>
    <row r="86" spans="1:27" ht="13">
      <c r="A86" s="35"/>
      <c r="B86" s="63" t="s">
        <v>179</v>
      </c>
      <c r="C86" s="35" t="e">
        <f t="shared" si="15"/>
        <v>#REF!</v>
      </c>
      <c r="D86" s="60">
        <f>sensitivity!D86</f>
        <v>0</v>
      </c>
      <c r="E86" s="35" t="e">
        <f>SUMPRODUCT(--(E$8&lt;=sensitivity!$D$9:'sensitivity'!$CN$9),--(E$9&gt;=sensitivity!$D$9:'sensitivity'!$CN$9),sensitivity!$D86:'sensitivity'!$CN86)</f>
        <v>#REF!</v>
      </c>
      <c r="F86" s="35" t="e">
        <f>SUMPRODUCT(--(F$8&lt;=sensitivity!$D$9:'sensitivity'!$CN$9),--(F$9&gt;=sensitivity!$D$9:'sensitivity'!$CN$9),sensitivity!$D86:'sensitivity'!$CN86)</f>
        <v>#REF!</v>
      </c>
      <c r="G86" s="35" t="e">
        <f>SUMPRODUCT(--(G$8&lt;=sensitivity!$D$9:'sensitivity'!$CN$9),--(G$9&gt;=sensitivity!$D$9:'sensitivity'!$CN$9),sensitivity!$D86:'sensitivity'!$CN86)</f>
        <v>#REF!</v>
      </c>
      <c r="H86" s="35" t="e">
        <f>SUMPRODUCT(--(H$8&lt;=sensitivity!$D$9:'sensitivity'!$CN$9),--(H$9&gt;=sensitivity!$D$9:'sensitivity'!$CN$9),sensitivity!$D86:'sensitivity'!$CN86)</f>
        <v>#REF!</v>
      </c>
      <c r="I86" s="35" t="e">
        <f>SUMPRODUCT(--(I$8&lt;=sensitivity!$D$9:'sensitivity'!$CN$9),--(I$9&gt;=sensitivity!$D$9:'sensitivity'!$CN$9),sensitivity!$D86:'sensitivity'!$CN86)</f>
        <v>#REF!</v>
      </c>
      <c r="J86" s="35" t="e">
        <f>SUMPRODUCT(--(J$8&lt;=sensitivity!$D$9:'sensitivity'!$CN$9),--(J$9&gt;=sensitivity!$D$9:'sensitivity'!$CN$9),sensitivity!$D86:'sensitivity'!$CN86)</f>
        <v>#REF!</v>
      </c>
      <c r="K86" s="35" t="e">
        <f>SUMPRODUCT(--(K$8&lt;=sensitivity!$D$9:'sensitivity'!$CN$9),--(K$9&gt;=sensitivity!$D$9:'sensitivity'!$CN$9),sensitivity!$D86:'sensitivity'!$CN86)</f>
        <v>#REF!</v>
      </c>
      <c r="L86" s="35" t="e">
        <f>SUMPRODUCT(--(L$8&lt;=sensitivity!$D$9:'sensitivity'!$CN$9),--(L$9&gt;=sensitivity!$D$9:'sensitivity'!$CN$9),sensitivity!$D86:'sensitivity'!$CN86)</f>
        <v>#REF!</v>
      </c>
      <c r="M86" s="35" t="e">
        <f>SUMPRODUCT(--(M$8&lt;=sensitivity!$D$9:'sensitivity'!$CN$9),--(M$9&gt;=sensitivity!$D$9:'sensitivity'!$CN$9),sensitivity!$D86:'sensitivity'!$CN86)</f>
        <v>#REF!</v>
      </c>
      <c r="N86" s="35" t="e">
        <f>SUMPRODUCT(--(N$8&lt;=sensitivity!$D$9:'sensitivity'!$CN$9),--(N$9&gt;=sensitivity!$D$9:'sensitivity'!$CN$9),sensitivity!$D86:'sensitivity'!$CN86)</f>
        <v>#REF!</v>
      </c>
      <c r="O86" s="35" t="e">
        <f>SUMPRODUCT(--(O$8&lt;=sensitivity!$D$9:'sensitivity'!$CN$9),--(O$9&gt;=sensitivity!$D$9:'sensitivity'!$CN$9),sensitivity!$D86:'sensitivity'!$CN86)</f>
        <v>#REF!</v>
      </c>
      <c r="P86" s="35" t="e">
        <f>SUMPRODUCT(--(P$8&lt;=sensitivity!$D$9:'sensitivity'!$CN$9),--(P$9&gt;=sensitivity!$D$9:'sensitivity'!$CN$9),sensitivity!$D86:'sensitivity'!$CN86)</f>
        <v>#REF!</v>
      </c>
      <c r="Q86" s="35" t="e">
        <f>SUMPRODUCT(--(Q$8&lt;=sensitivity!$D$9:'sensitivity'!$CN$9),--(Q$9&gt;=sensitivity!$D$9:'sensitivity'!$CN$9),sensitivity!$D86:'sensitivity'!$CN86)</f>
        <v>#REF!</v>
      </c>
      <c r="R86" s="35" t="e">
        <f>SUMPRODUCT(--(R$8&lt;=sensitivity!$D$9:'sensitivity'!$CN$9),--(R$9&gt;=sensitivity!$D$9:'sensitivity'!$CN$9),sensitivity!$D86:'sensitivity'!$CN86)</f>
        <v>#REF!</v>
      </c>
      <c r="S86" s="35" t="e">
        <f>SUMPRODUCT(--(S$8&lt;=sensitivity!$D$9:'sensitivity'!$CN$9),--(S$9&gt;=sensitivity!$D$9:'sensitivity'!$CN$9),sensitivity!$D86:'sensitivity'!$CN86)</f>
        <v>#REF!</v>
      </c>
      <c r="T86" s="35" t="e">
        <f>SUMPRODUCT(--(T$8&lt;=sensitivity!$D$9:'sensitivity'!$CN$9),--(T$9&gt;=sensitivity!$D$9:'sensitivity'!$CN$9),sensitivity!$D86:'sensitivity'!$CN86)</f>
        <v>#REF!</v>
      </c>
      <c r="U86" s="35" t="e">
        <f>SUMPRODUCT(--(U$8&lt;=sensitivity!$D$9:'sensitivity'!$CN$9),--(U$9&gt;=sensitivity!$D$9:'sensitivity'!$CN$9),sensitivity!$D86:'sensitivity'!$CN86)</f>
        <v>#REF!</v>
      </c>
      <c r="V86" s="35" t="e">
        <f>SUMPRODUCT(--(V$8&lt;=sensitivity!$D$9:'sensitivity'!$CN$9),--(V$9&gt;=sensitivity!$D$9:'sensitivity'!$CN$9),sensitivity!$D86:'sensitivity'!$CN86)</f>
        <v>#REF!</v>
      </c>
      <c r="W86" s="35" t="e">
        <f>SUMPRODUCT(--(W$8&lt;=sensitivity!$D$9:'sensitivity'!$CN$9),--(W$9&gt;=sensitivity!$D$9:'sensitivity'!$CN$9),sensitivity!$D86:'sensitivity'!$CN86)</f>
        <v>#REF!</v>
      </c>
      <c r="X86" s="35" t="e">
        <f>SUMPRODUCT(--(X$8&lt;=sensitivity!$D$9:'sensitivity'!$CN$9),--(X$9&gt;=sensitivity!$D$9:'sensitivity'!$CN$9),sensitivity!$D86:'sensitivity'!$CN86)</f>
        <v>#REF!</v>
      </c>
      <c r="Y86" s="35" t="e">
        <f>SUMPRODUCT(--(Y$8&lt;=sensitivity!$D$9:'sensitivity'!$CN$9),--(Y$9&gt;=sensitivity!$D$9:'sensitivity'!$CN$9),sensitivity!$D86:'sensitivity'!$CN86)</f>
        <v>#REF!</v>
      </c>
      <c r="Z86" s="35" t="e">
        <f>SUMPRODUCT(--(Z$8&lt;=sensitivity!$D$9:'sensitivity'!$CN$9),--(Z$9&gt;=sensitivity!$D$9:'sensitivity'!$CN$9),sensitivity!$D86:'sensitivity'!$CN86)</f>
        <v>#REF!</v>
      </c>
      <c r="AA86" s="35"/>
    </row>
    <row r="87" spans="1:27" ht="13">
      <c r="A87" s="90"/>
      <c r="B87" s="91" t="s">
        <v>180</v>
      </c>
      <c r="C87" s="91" t="e">
        <f t="shared" si="15"/>
        <v>#REF!</v>
      </c>
      <c r="D87" s="71" t="e">
        <f>sensitivity!D87</f>
        <v>#REF!</v>
      </c>
      <c r="E87" s="91" t="e">
        <f>SUMPRODUCT(--(E$8&lt;=sensitivity!$D$9:'sensitivity'!$CN$9),--(E$9&gt;=sensitivity!$D$9:'sensitivity'!$CN$9),sensitivity!$D87:'sensitivity'!$CN87)</f>
        <v>#REF!</v>
      </c>
      <c r="F87" s="91" t="e">
        <f>SUMPRODUCT(--(F$8&lt;=sensitivity!$D$9:'sensitivity'!$CN$9),--(F$9&gt;=sensitivity!$D$9:'sensitivity'!$CN$9),sensitivity!$D87:'sensitivity'!$CN87)</f>
        <v>#REF!</v>
      </c>
      <c r="G87" s="91" t="e">
        <f>SUMPRODUCT(--(G$8&lt;=sensitivity!$D$9:'sensitivity'!$CN$9),--(G$9&gt;=sensitivity!$D$9:'sensitivity'!$CN$9),sensitivity!$D87:'sensitivity'!$CN87)</f>
        <v>#REF!</v>
      </c>
      <c r="H87" s="91" t="e">
        <f>SUMPRODUCT(--(H$8&lt;=sensitivity!$D$9:'sensitivity'!$CN$9),--(H$9&gt;=sensitivity!$D$9:'sensitivity'!$CN$9),sensitivity!$D87:'sensitivity'!$CN87)</f>
        <v>#REF!</v>
      </c>
      <c r="I87" s="91" t="e">
        <f>SUMPRODUCT(--(I$8&lt;=sensitivity!$D$9:'sensitivity'!$CN$9),--(I$9&gt;=sensitivity!$D$9:'sensitivity'!$CN$9),sensitivity!$D87:'sensitivity'!$CN87)</f>
        <v>#REF!</v>
      </c>
      <c r="J87" s="91" t="e">
        <f>SUMPRODUCT(--(J$8&lt;=sensitivity!$D$9:'sensitivity'!$CN$9),--(J$9&gt;=sensitivity!$D$9:'sensitivity'!$CN$9),sensitivity!$D87:'sensitivity'!$CN87)</f>
        <v>#REF!</v>
      </c>
      <c r="K87" s="91" t="e">
        <f>SUMPRODUCT(--(K$8&lt;=sensitivity!$D$9:'sensitivity'!$CN$9),--(K$9&gt;=sensitivity!$D$9:'sensitivity'!$CN$9),sensitivity!$D87:'sensitivity'!$CN87)</f>
        <v>#REF!</v>
      </c>
      <c r="L87" s="91" t="e">
        <f>SUMPRODUCT(--(L$8&lt;=sensitivity!$D$9:'sensitivity'!$CN$9),--(L$9&gt;=sensitivity!$D$9:'sensitivity'!$CN$9),sensitivity!$D87:'sensitivity'!$CN87)</f>
        <v>#REF!</v>
      </c>
      <c r="M87" s="91" t="e">
        <f>SUMPRODUCT(--(M$8&lt;=sensitivity!$D$9:'sensitivity'!$CN$9),--(M$9&gt;=sensitivity!$D$9:'sensitivity'!$CN$9),sensitivity!$D87:'sensitivity'!$CN87)</f>
        <v>#REF!</v>
      </c>
      <c r="N87" s="91" t="e">
        <f>SUMPRODUCT(--(N$8&lt;=sensitivity!$D$9:'sensitivity'!$CN$9),--(N$9&gt;=sensitivity!$D$9:'sensitivity'!$CN$9),sensitivity!$D87:'sensitivity'!$CN87)</f>
        <v>#REF!</v>
      </c>
      <c r="O87" s="91" t="e">
        <f>SUMPRODUCT(--(O$8&lt;=sensitivity!$D$9:'sensitivity'!$CN$9),--(O$9&gt;=sensitivity!$D$9:'sensitivity'!$CN$9),sensitivity!$D87:'sensitivity'!$CN87)</f>
        <v>#REF!</v>
      </c>
      <c r="P87" s="91" t="e">
        <f>SUMPRODUCT(--(P$8&lt;=sensitivity!$D$9:'sensitivity'!$CN$9),--(P$9&gt;=sensitivity!$D$9:'sensitivity'!$CN$9),sensitivity!$D87:'sensitivity'!$CN87)</f>
        <v>#REF!</v>
      </c>
      <c r="Q87" s="91" t="e">
        <f>SUMPRODUCT(--(Q$8&lt;=sensitivity!$D$9:'sensitivity'!$CN$9),--(Q$9&gt;=sensitivity!$D$9:'sensitivity'!$CN$9),sensitivity!$D87:'sensitivity'!$CN87)</f>
        <v>#REF!</v>
      </c>
      <c r="R87" s="91" t="e">
        <f>SUMPRODUCT(--(R$8&lt;=sensitivity!$D$9:'sensitivity'!$CN$9),--(R$9&gt;=sensitivity!$D$9:'sensitivity'!$CN$9),sensitivity!$D87:'sensitivity'!$CN87)</f>
        <v>#REF!</v>
      </c>
      <c r="S87" s="91" t="e">
        <f>SUMPRODUCT(--(S$8&lt;=sensitivity!$D$9:'sensitivity'!$CN$9),--(S$9&gt;=sensitivity!$D$9:'sensitivity'!$CN$9),sensitivity!$D87:'sensitivity'!$CN87)</f>
        <v>#REF!</v>
      </c>
      <c r="T87" s="91" t="e">
        <f>SUMPRODUCT(--(T$8&lt;=sensitivity!$D$9:'sensitivity'!$CN$9),--(T$9&gt;=sensitivity!$D$9:'sensitivity'!$CN$9),sensitivity!$D87:'sensitivity'!$CN87)</f>
        <v>#REF!</v>
      </c>
      <c r="U87" s="91" t="e">
        <f>SUMPRODUCT(--(U$8&lt;=sensitivity!$D$9:'sensitivity'!$CN$9),--(U$9&gt;=sensitivity!$D$9:'sensitivity'!$CN$9),sensitivity!$D87:'sensitivity'!$CN87)</f>
        <v>#REF!</v>
      </c>
      <c r="V87" s="91" t="e">
        <f>SUMPRODUCT(--(V$8&lt;=sensitivity!$D$9:'sensitivity'!$CN$9),--(V$9&gt;=sensitivity!$D$9:'sensitivity'!$CN$9),sensitivity!$D87:'sensitivity'!$CN87)</f>
        <v>#REF!</v>
      </c>
      <c r="W87" s="91" t="e">
        <f>SUMPRODUCT(--(W$8&lt;=sensitivity!$D$9:'sensitivity'!$CN$9),--(W$9&gt;=sensitivity!$D$9:'sensitivity'!$CN$9),sensitivity!$D87:'sensitivity'!$CN87)</f>
        <v>#REF!</v>
      </c>
      <c r="X87" s="91" t="e">
        <f>SUMPRODUCT(--(X$8&lt;=sensitivity!$D$9:'sensitivity'!$CN$9),--(X$9&gt;=sensitivity!$D$9:'sensitivity'!$CN$9),sensitivity!$D87:'sensitivity'!$CN87)</f>
        <v>#REF!</v>
      </c>
      <c r="Y87" s="91" t="e">
        <f>SUMPRODUCT(--(Y$8&lt;=sensitivity!$D$9:'sensitivity'!$CN$9),--(Y$9&gt;=sensitivity!$D$9:'sensitivity'!$CN$9),sensitivity!$D87:'sensitivity'!$CN87)</f>
        <v>#REF!</v>
      </c>
      <c r="Z87" s="91" t="e">
        <f>SUMPRODUCT(--(Z$8&lt;=sensitivity!$D$9:'sensitivity'!$CN$9),--(Z$9&gt;=sensitivity!$D$9:'sensitivity'!$CN$9),sensitivity!$D87:'sensitivity'!$CN87)</f>
        <v>#REF!</v>
      </c>
      <c r="AA87" s="91"/>
    </row>
    <row r="88" spans="1:27" ht="13">
      <c r="A88" s="90"/>
      <c r="B88" s="90" t="s">
        <v>181</v>
      </c>
      <c r="C88" s="90"/>
      <c r="D88" s="92">
        <f>sensitivity!D88</f>
        <v>0</v>
      </c>
      <c r="E88" s="90">
        <f>SUMPRODUCT(--(E$8&lt;=sensitivity!$D$9:'sensitivity'!$CN$9),--(E$9&gt;=sensitivity!$D$9:'sensitivity'!$CN$9),sensitivity!$D88:'sensitivity'!$CN88)</f>
        <v>0</v>
      </c>
      <c r="F88" s="90">
        <f>SUMPRODUCT(--(F$8&lt;=sensitivity!$D$9:'sensitivity'!$CN$9),--(F$9&gt;=sensitivity!$D$9:'sensitivity'!$CN$9),sensitivity!$D88:'sensitivity'!$CN88)</f>
        <v>0</v>
      </c>
      <c r="G88" s="90">
        <f>SUMPRODUCT(--(G$8&lt;=sensitivity!$D$9:'sensitivity'!$CN$9),--(G$9&gt;=sensitivity!$D$9:'sensitivity'!$CN$9),sensitivity!$D88:'sensitivity'!$CN88)</f>
        <v>0</v>
      </c>
      <c r="H88" s="90">
        <f>SUMPRODUCT(--(H$8&lt;=sensitivity!$D$9:'sensitivity'!$CN$9),--(H$9&gt;=sensitivity!$D$9:'sensitivity'!$CN$9),sensitivity!$D88:'sensitivity'!$CN88)</f>
        <v>0</v>
      </c>
      <c r="I88" s="90">
        <f>SUMPRODUCT(--(I$8&lt;=sensitivity!$D$9:'sensitivity'!$CN$9),--(I$9&gt;=sensitivity!$D$9:'sensitivity'!$CN$9),sensitivity!$D88:'sensitivity'!$CN88)</f>
        <v>0</v>
      </c>
      <c r="J88" s="90">
        <f>SUMPRODUCT(--(J$8&lt;=sensitivity!$D$9:'sensitivity'!$CN$9),--(J$9&gt;=sensitivity!$D$9:'sensitivity'!$CN$9),sensitivity!$D88:'sensitivity'!$CN88)</f>
        <v>0</v>
      </c>
      <c r="K88" s="90">
        <f>SUMPRODUCT(--(K$8&lt;=sensitivity!$D$9:'sensitivity'!$CN$9),--(K$9&gt;=sensitivity!$D$9:'sensitivity'!$CN$9),sensitivity!$D88:'sensitivity'!$CN88)</f>
        <v>0</v>
      </c>
      <c r="L88" s="90">
        <f>SUMPRODUCT(--(L$8&lt;=sensitivity!$D$9:'sensitivity'!$CN$9),--(L$9&gt;=sensitivity!$D$9:'sensitivity'!$CN$9),sensitivity!$D88:'sensitivity'!$CN88)</f>
        <v>0</v>
      </c>
      <c r="M88" s="90">
        <f>SUMPRODUCT(--(M$8&lt;=sensitivity!$D$9:'sensitivity'!$CN$9),--(M$9&gt;=sensitivity!$D$9:'sensitivity'!$CN$9),sensitivity!$D88:'sensitivity'!$CN88)</f>
        <v>0</v>
      </c>
      <c r="N88" s="90">
        <f>SUMPRODUCT(--(N$8&lt;=sensitivity!$D$9:'sensitivity'!$CN$9),--(N$9&gt;=sensitivity!$D$9:'sensitivity'!$CN$9),sensitivity!$D88:'sensitivity'!$CN88)</f>
        <v>0</v>
      </c>
      <c r="O88" s="90">
        <f>SUMPRODUCT(--(O$8&lt;=sensitivity!$D$9:'sensitivity'!$CN$9),--(O$9&gt;=sensitivity!$D$9:'sensitivity'!$CN$9),sensitivity!$D88:'sensitivity'!$CN88)</f>
        <v>0</v>
      </c>
      <c r="P88" s="90">
        <f>SUMPRODUCT(--(P$8&lt;=sensitivity!$D$9:'sensitivity'!$CN$9),--(P$9&gt;=sensitivity!$D$9:'sensitivity'!$CN$9),sensitivity!$D88:'sensitivity'!$CN88)</f>
        <v>0</v>
      </c>
      <c r="Q88" s="90">
        <f>SUMPRODUCT(--(Q$8&lt;=sensitivity!$D$9:'sensitivity'!$CN$9),--(Q$9&gt;=sensitivity!$D$9:'sensitivity'!$CN$9),sensitivity!$D88:'sensitivity'!$CN88)</f>
        <v>0</v>
      </c>
      <c r="R88" s="90">
        <f>SUMPRODUCT(--(R$8&lt;=sensitivity!$D$9:'sensitivity'!$CN$9),--(R$9&gt;=sensitivity!$D$9:'sensitivity'!$CN$9),sensitivity!$D88:'sensitivity'!$CN88)</f>
        <v>0</v>
      </c>
      <c r="S88" s="90">
        <f>SUMPRODUCT(--(S$8&lt;=sensitivity!$D$9:'sensitivity'!$CN$9),--(S$9&gt;=sensitivity!$D$9:'sensitivity'!$CN$9),sensitivity!$D88:'sensitivity'!$CN88)</f>
        <v>0</v>
      </c>
      <c r="T88" s="90">
        <f>SUMPRODUCT(--(T$8&lt;=sensitivity!$D$9:'sensitivity'!$CN$9),--(T$9&gt;=sensitivity!$D$9:'sensitivity'!$CN$9),sensitivity!$D88:'sensitivity'!$CN88)</f>
        <v>0</v>
      </c>
      <c r="U88" s="90">
        <f>SUMPRODUCT(--(U$8&lt;=sensitivity!$D$9:'sensitivity'!$CN$9),--(U$9&gt;=sensitivity!$D$9:'sensitivity'!$CN$9),sensitivity!$D88:'sensitivity'!$CN88)</f>
        <v>0</v>
      </c>
      <c r="V88" s="90">
        <f>SUMPRODUCT(--(V$8&lt;=sensitivity!$D$9:'sensitivity'!$CN$9),--(V$9&gt;=sensitivity!$D$9:'sensitivity'!$CN$9),sensitivity!$D88:'sensitivity'!$CN88)</f>
        <v>0</v>
      </c>
      <c r="W88" s="90">
        <f>SUMPRODUCT(--(W$8&lt;=sensitivity!$D$9:'sensitivity'!$CN$9),--(W$9&gt;=sensitivity!$D$9:'sensitivity'!$CN$9),sensitivity!$D88:'sensitivity'!$CN88)</f>
        <v>0</v>
      </c>
      <c r="X88" s="90">
        <f>SUMPRODUCT(--(X$8&lt;=sensitivity!$D$9:'sensitivity'!$CN$9),--(X$9&gt;=sensitivity!$D$9:'sensitivity'!$CN$9),sensitivity!$D88:'sensitivity'!$CN88)</f>
        <v>0</v>
      </c>
      <c r="Y88" s="90">
        <f>SUMPRODUCT(--(Y$8&lt;=sensitivity!$D$9:'sensitivity'!$CN$9),--(Y$9&gt;=sensitivity!$D$9:'sensitivity'!$CN$9),sensitivity!$D88:'sensitivity'!$CN88)</f>
        <v>0</v>
      </c>
      <c r="Z88" s="90">
        <f>SUMPRODUCT(--(Z$8&lt;=sensitivity!$D$9:'sensitivity'!$CN$9),--(Z$9&gt;=sensitivity!$D$9:'sensitivity'!$CN$9),sensitivity!$D88:'sensitivity'!$CN88)</f>
        <v>0</v>
      </c>
      <c r="AA88" s="90"/>
    </row>
    <row r="89" spans="1:27" ht="13">
      <c r="A89" s="35"/>
      <c r="B89" s="63" t="s">
        <v>182</v>
      </c>
      <c r="C89" s="35">
        <f t="shared" ref="C89:C96" si="16">SUM(D89:AA89)</f>
        <v>2200549.9500000002</v>
      </c>
      <c r="D89" s="60">
        <f>sensitivity!D89</f>
        <v>2200549.9500000002</v>
      </c>
      <c r="E89" s="35">
        <f>SUMPRODUCT(--(E$8&lt;=sensitivity!$D$9:'sensitivity'!$CN$9),--(E$9&gt;=sensitivity!$D$9:'sensitivity'!$CN$9),sensitivity!$D89:'sensitivity'!$CN89)</f>
        <v>0</v>
      </c>
      <c r="F89" s="35">
        <f>SUMPRODUCT(--(F$8&lt;=sensitivity!$D$9:'sensitivity'!$CN$9),--(F$9&gt;=sensitivity!$D$9:'sensitivity'!$CN$9),sensitivity!$D89:'sensitivity'!$CN89)</f>
        <v>0</v>
      </c>
      <c r="G89" s="35">
        <f>SUMPRODUCT(--(G$8&lt;=sensitivity!$D$9:'sensitivity'!$CN$9),--(G$9&gt;=sensitivity!$D$9:'sensitivity'!$CN$9),sensitivity!$D89:'sensitivity'!$CN89)</f>
        <v>0</v>
      </c>
      <c r="H89" s="35">
        <f>SUMPRODUCT(--(H$8&lt;=sensitivity!$D$9:'sensitivity'!$CN$9),--(H$9&gt;=sensitivity!$D$9:'sensitivity'!$CN$9),sensitivity!$D89:'sensitivity'!$CN89)</f>
        <v>0</v>
      </c>
      <c r="I89" s="35">
        <f>SUMPRODUCT(--(I$8&lt;=sensitivity!$D$9:'sensitivity'!$CN$9),--(I$9&gt;=sensitivity!$D$9:'sensitivity'!$CN$9),sensitivity!$D89:'sensitivity'!$CN89)</f>
        <v>0</v>
      </c>
      <c r="J89" s="35">
        <f>SUMPRODUCT(--(J$8&lt;=sensitivity!$D$9:'sensitivity'!$CN$9),--(J$9&gt;=sensitivity!$D$9:'sensitivity'!$CN$9),sensitivity!$D89:'sensitivity'!$CN89)</f>
        <v>0</v>
      </c>
      <c r="K89" s="35">
        <f>SUMPRODUCT(--(K$8&lt;=sensitivity!$D$9:'sensitivity'!$CN$9),--(K$9&gt;=sensitivity!$D$9:'sensitivity'!$CN$9),sensitivity!$D89:'sensitivity'!$CN89)</f>
        <v>0</v>
      </c>
      <c r="L89" s="35">
        <f>SUMPRODUCT(--(L$8&lt;=sensitivity!$D$9:'sensitivity'!$CN$9),--(L$9&gt;=sensitivity!$D$9:'sensitivity'!$CN$9),sensitivity!$D89:'sensitivity'!$CN89)</f>
        <v>0</v>
      </c>
      <c r="M89" s="35">
        <f>SUMPRODUCT(--(M$8&lt;=sensitivity!$D$9:'sensitivity'!$CN$9),--(M$9&gt;=sensitivity!$D$9:'sensitivity'!$CN$9),sensitivity!$D89:'sensitivity'!$CN89)</f>
        <v>0</v>
      </c>
      <c r="N89" s="35">
        <f>SUMPRODUCT(--(N$8&lt;=sensitivity!$D$9:'sensitivity'!$CN$9),--(N$9&gt;=sensitivity!$D$9:'sensitivity'!$CN$9),sensitivity!$D89:'sensitivity'!$CN89)</f>
        <v>0</v>
      </c>
      <c r="O89" s="35">
        <f>SUMPRODUCT(--(O$8&lt;=sensitivity!$D$9:'sensitivity'!$CN$9),--(O$9&gt;=sensitivity!$D$9:'sensitivity'!$CN$9),sensitivity!$D89:'sensitivity'!$CN89)</f>
        <v>0</v>
      </c>
      <c r="P89" s="35">
        <f>SUMPRODUCT(--(P$8&lt;=sensitivity!$D$9:'sensitivity'!$CN$9),--(P$9&gt;=sensitivity!$D$9:'sensitivity'!$CN$9),sensitivity!$D89:'sensitivity'!$CN89)</f>
        <v>0</v>
      </c>
      <c r="Q89" s="35">
        <f>SUMPRODUCT(--(Q$8&lt;=sensitivity!$D$9:'sensitivity'!$CN$9),--(Q$9&gt;=sensitivity!$D$9:'sensitivity'!$CN$9),sensitivity!$D89:'sensitivity'!$CN89)</f>
        <v>0</v>
      </c>
      <c r="R89" s="35">
        <f>SUMPRODUCT(--(R$8&lt;=sensitivity!$D$9:'sensitivity'!$CN$9),--(R$9&gt;=sensitivity!$D$9:'sensitivity'!$CN$9),sensitivity!$D89:'sensitivity'!$CN89)</f>
        <v>0</v>
      </c>
      <c r="S89" s="35">
        <f>SUMPRODUCT(--(S$8&lt;=sensitivity!$D$9:'sensitivity'!$CN$9),--(S$9&gt;=sensitivity!$D$9:'sensitivity'!$CN$9),sensitivity!$D89:'sensitivity'!$CN89)</f>
        <v>0</v>
      </c>
      <c r="T89" s="35">
        <f>SUMPRODUCT(--(T$8&lt;=sensitivity!$D$9:'sensitivity'!$CN$9),--(T$9&gt;=sensitivity!$D$9:'sensitivity'!$CN$9),sensitivity!$D89:'sensitivity'!$CN89)</f>
        <v>0</v>
      </c>
      <c r="U89" s="35">
        <f>SUMPRODUCT(--(U$8&lt;=sensitivity!$D$9:'sensitivity'!$CN$9),--(U$9&gt;=sensitivity!$D$9:'sensitivity'!$CN$9),sensitivity!$D89:'sensitivity'!$CN89)</f>
        <v>0</v>
      </c>
      <c r="V89" s="35">
        <f>SUMPRODUCT(--(V$8&lt;=sensitivity!$D$9:'sensitivity'!$CN$9),--(V$9&gt;=sensitivity!$D$9:'sensitivity'!$CN$9),sensitivity!$D89:'sensitivity'!$CN89)</f>
        <v>0</v>
      </c>
      <c r="W89" s="35">
        <f>SUMPRODUCT(--(W$8&lt;=sensitivity!$D$9:'sensitivity'!$CN$9),--(W$9&gt;=sensitivity!$D$9:'sensitivity'!$CN$9),sensitivity!$D89:'sensitivity'!$CN89)</f>
        <v>0</v>
      </c>
      <c r="X89" s="35">
        <f>SUMPRODUCT(--(X$8&lt;=sensitivity!$D$9:'sensitivity'!$CN$9),--(X$9&gt;=sensitivity!$D$9:'sensitivity'!$CN$9),sensitivity!$D89:'sensitivity'!$CN89)</f>
        <v>0</v>
      </c>
      <c r="Y89" s="35">
        <f>SUMPRODUCT(--(Y$8&lt;=sensitivity!$D$9:'sensitivity'!$CN$9),--(Y$9&gt;=sensitivity!$D$9:'sensitivity'!$CN$9),sensitivity!$D89:'sensitivity'!$CN89)</f>
        <v>0</v>
      </c>
      <c r="Z89" s="35">
        <f>SUMPRODUCT(--(Z$8&lt;=sensitivity!$D$9:'sensitivity'!$CN$9),--(Z$9&gt;=sensitivity!$D$9:'sensitivity'!$CN$9),sensitivity!$D89:'sensitivity'!$CN89)</f>
        <v>0</v>
      </c>
      <c r="AA89" s="35"/>
    </row>
    <row r="90" spans="1:27" ht="13">
      <c r="A90" s="35"/>
      <c r="B90" s="63" t="s">
        <v>183</v>
      </c>
      <c r="C90" s="35" t="e">
        <f t="shared" si="16"/>
        <v>#REF!</v>
      </c>
      <c r="D90" s="60" t="e">
        <f>sensitivity!D90</f>
        <v>#REF!</v>
      </c>
      <c r="E90" s="35" t="e">
        <f>SUMPRODUCT(--(E$8&lt;=sensitivity!$D$9:'sensitivity'!$CN$9),--(E$9&gt;=sensitivity!$D$9:'sensitivity'!$CN$9),sensitivity!$D90:'sensitivity'!$CN90)</f>
        <v>#REF!</v>
      </c>
      <c r="F90" s="35" t="e">
        <f>SUMPRODUCT(--(F$8&lt;=sensitivity!$D$9:'sensitivity'!$CN$9),--(F$9&gt;=sensitivity!$D$9:'sensitivity'!$CN$9),sensitivity!$D90:'sensitivity'!$CN90)</f>
        <v>#REF!</v>
      </c>
      <c r="G90" s="35" t="e">
        <f>SUMPRODUCT(--(G$8&lt;=sensitivity!$D$9:'sensitivity'!$CN$9),--(G$9&gt;=sensitivity!$D$9:'sensitivity'!$CN$9),sensitivity!$D90:'sensitivity'!$CN90)</f>
        <v>#REF!</v>
      </c>
      <c r="H90" s="35" t="e">
        <f>SUMPRODUCT(--(H$8&lt;=sensitivity!$D$9:'sensitivity'!$CN$9),--(H$9&gt;=sensitivity!$D$9:'sensitivity'!$CN$9),sensitivity!$D90:'sensitivity'!$CN90)</f>
        <v>#REF!</v>
      </c>
      <c r="I90" s="35" t="e">
        <f>SUMPRODUCT(--(I$8&lt;=sensitivity!$D$9:'sensitivity'!$CN$9),--(I$9&gt;=sensitivity!$D$9:'sensitivity'!$CN$9),sensitivity!$D90:'sensitivity'!$CN90)</f>
        <v>#REF!</v>
      </c>
      <c r="J90" s="35" t="e">
        <f>SUMPRODUCT(--(J$8&lt;=sensitivity!$D$9:'sensitivity'!$CN$9),--(J$9&gt;=sensitivity!$D$9:'sensitivity'!$CN$9),sensitivity!$D90:'sensitivity'!$CN90)</f>
        <v>#REF!</v>
      </c>
      <c r="K90" s="35" t="e">
        <f>SUMPRODUCT(--(K$8&lt;=sensitivity!$D$9:'sensitivity'!$CN$9),--(K$9&gt;=sensitivity!$D$9:'sensitivity'!$CN$9),sensitivity!$D90:'sensitivity'!$CN90)</f>
        <v>#REF!</v>
      </c>
      <c r="L90" s="35" t="e">
        <f>SUMPRODUCT(--(L$8&lt;=sensitivity!$D$9:'sensitivity'!$CN$9),--(L$9&gt;=sensitivity!$D$9:'sensitivity'!$CN$9),sensitivity!$D90:'sensitivity'!$CN90)</f>
        <v>#REF!</v>
      </c>
      <c r="M90" s="35" t="e">
        <f>SUMPRODUCT(--(M$8&lt;=sensitivity!$D$9:'sensitivity'!$CN$9),--(M$9&gt;=sensitivity!$D$9:'sensitivity'!$CN$9),sensitivity!$D90:'sensitivity'!$CN90)</f>
        <v>#REF!</v>
      </c>
      <c r="N90" s="35" t="e">
        <f>SUMPRODUCT(--(N$8&lt;=sensitivity!$D$9:'sensitivity'!$CN$9),--(N$9&gt;=sensitivity!$D$9:'sensitivity'!$CN$9),sensitivity!$D90:'sensitivity'!$CN90)</f>
        <v>#REF!</v>
      </c>
      <c r="O90" s="35" t="e">
        <f>SUMPRODUCT(--(O$8&lt;=sensitivity!$D$9:'sensitivity'!$CN$9),--(O$9&gt;=sensitivity!$D$9:'sensitivity'!$CN$9),sensitivity!$D90:'sensitivity'!$CN90)</f>
        <v>#REF!</v>
      </c>
      <c r="P90" s="35" t="e">
        <f>SUMPRODUCT(--(P$8&lt;=sensitivity!$D$9:'sensitivity'!$CN$9),--(P$9&gt;=sensitivity!$D$9:'sensitivity'!$CN$9),sensitivity!$D90:'sensitivity'!$CN90)</f>
        <v>#REF!</v>
      </c>
      <c r="Q90" s="35" t="e">
        <f>SUMPRODUCT(--(Q$8&lt;=sensitivity!$D$9:'sensitivity'!$CN$9),--(Q$9&gt;=sensitivity!$D$9:'sensitivity'!$CN$9),sensitivity!$D90:'sensitivity'!$CN90)</f>
        <v>#REF!</v>
      </c>
      <c r="R90" s="35" t="e">
        <f>SUMPRODUCT(--(R$8&lt;=sensitivity!$D$9:'sensitivity'!$CN$9),--(R$9&gt;=sensitivity!$D$9:'sensitivity'!$CN$9),sensitivity!$D90:'sensitivity'!$CN90)</f>
        <v>#REF!</v>
      </c>
      <c r="S90" s="35" t="e">
        <f>SUMPRODUCT(--(S$8&lt;=sensitivity!$D$9:'sensitivity'!$CN$9),--(S$9&gt;=sensitivity!$D$9:'sensitivity'!$CN$9),sensitivity!$D90:'sensitivity'!$CN90)</f>
        <v>#REF!</v>
      </c>
      <c r="T90" s="35" t="e">
        <f>SUMPRODUCT(--(T$8&lt;=sensitivity!$D$9:'sensitivity'!$CN$9),--(T$9&gt;=sensitivity!$D$9:'sensitivity'!$CN$9),sensitivity!$D90:'sensitivity'!$CN90)</f>
        <v>#REF!</v>
      </c>
      <c r="U90" s="35" t="e">
        <f>SUMPRODUCT(--(U$8&lt;=sensitivity!$D$9:'sensitivity'!$CN$9),--(U$9&gt;=sensitivity!$D$9:'sensitivity'!$CN$9),sensitivity!$D90:'sensitivity'!$CN90)</f>
        <v>#REF!</v>
      </c>
      <c r="V90" s="35" t="e">
        <f>SUMPRODUCT(--(V$8&lt;=sensitivity!$D$9:'sensitivity'!$CN$9),--(V$9&gt;=sensitivity!$D$9:'sensitivity'!$CN$9),sensitivity!$D90:'sensitivity'!$CN90)</f>
        <v>#REF!</v>
      </c>
      <c r="W90" s="35" t="e">
        <f>SUMPRODUCT(--(W$8&lt;=sensitivity!$D$9:'sensitivity'!$CN$9),--(W$9&gt;=sensitivity!$D$9:'sensitivity'!$CN$9),sensitivity!$D90:'sensitivity'!$CN90)</f>
        <v>#REF!</v>
      </c>
      <c r="X90" s="35" t="e">
        <f>SUMPRODUCT(--(X$8&lt;=sensitivity!$D$9:'sensitivity'!$CN$9),--(X$9&gt;=sensitivity!$D$9:'sensitivity'!$CN$9),sensitivity!$D90:'sensitivity'!$CN90)</f>
        <v>#REF!</v>
      </c>
      <c r="Y90" s="35" t="e">
        <f>SUMPRODUCT(--(Y$8&lt;=sensitivity!$D$9:'sensitivity'!$CN$9),--(Y$9&gt;=sensitivity!$D$9:'sensitivity'!$CN$9),sensitivity!$D90:'sensitivity'!$CN90)</f>
        <v>#REF!</v>
      </c>
      <c r="Z90" s="35" t="e">
        <f>SUMPRODUCT(--(Z$8&lt;=sensitivity!$D$9:'sensitivity'!$CN$9),--(Z$9&gt;=sensitivity!$D$9:'sensitivity'!$CN$9),sensitivity!$D90:'sensitivity'!$CN90)</f>
        <v>#REF!</v>
      </c>
      <c r="AA90" s="35"/>
    </row>
    <row r="91" spans="1:27" ht="13">
      <c r="A91" s="35"/>
      <c r="B91" s="63" t="s">
        <v>184</v>
      </c>
      <c r="C91" s="35" t="e">
        <f t="shared" si="16"/>
        <v>#REF!</v>
      </c>
      <c r="D91" s="60" t="e">
        <f>sensitivity!D91</f>
        <v>#REF!</v>
      </c>
      <c r="E91" s="35" t="e">
        <f>SUMPRODUCT(--(E$8&lt;=sensitivity!$D$9:'sensitivity'!$CN$9),--(E$9&gt;=sensitivity!$D$9:'sensitivity'!$CN$9),sensitivity!$D91:'sensitivity'!$CN91)</f>
        <v>#REF!</v>
      </c>
      <c r="F91" s="35" t="e">
        <f>SUMPRODUCT(--(F$8&lt;=sensitivity!$D$9:'sensitivity'!$CN$9),--(F$9&gt;=sensitivity!$D$9:'sensitivity'!$CN$9),sensitivity!$D91:'sensitivity'!$CN91)</f>
        <v>#REF!</v>
      </c>
      <c r="G91" s="35" t="e">
        <f>SUMPRODUCT(--(G$8&lt;=sensitivity!$D$9:'sensitivity'!$CN$9),--(G$9&gt;=sensitivity!$D$9:'sensitivity'!$CN$9),sensitivity!$D91:'sensitivity'!$CN91)</f>
        <v>#REF!</v>
      </c>
      <c r="H91" s="35" t="e">
        <f>SUMPRODUCT(--(H$8&lt;=sensitivity!$D$9:'sensitivity'!$CN$9),--(H$9&gt;=sensitivity!$D$9:'sensitivity'!$CN$9),sensitivity!$D91:'sensitivity'!$CN91)</f>
        <v>#REF!</v>
      </c>
      <c r="I91" s="35" t="e">
        <f>SUMPRODUCT(--(I$8&lt;=sensitivity!$D$9:'sensitivity'!$CN$9),--(I$9&gt;=sensitivity!$D$9:'sensitivity'!$CN$9),sensitivity!$D91:'sensitivity'!$CN91)</f>
        <v>#REF!</v>
      </c>
      <c r="J91" s="35" t="e">
        <f>SUMPRODUCT(--(J$8&lt;=sensitivity!$D$9:'sensitivity'!$CN$9),--(J$9&gt;=sensitivity!$D$9:'sensitivity'!$CN$9),sensitivity!$D91:'sensitivity'!$CN91)</f>
        <v>#REF!</v>
      </c>
      <c r="K91" s="35" t="e">
        <f>SUMPRODUCT(--(K$8&lt;=sensitivity!$D$9:'sensitivity'!$CN$9),--(K$9&gt;=sensitivity!$D$9:'sensitivity'!$CN$9),sensitivity!$D91:'sensitivity'!$CN91)</f>
        <v>#REF!</v>
      </c>
      <c r="L91" s="35" t="e">
        <f>SUMPRODUCT(--(L$8&lt;=sensitivity!$D$9:'sensitivity'!$CN$9),--(L$9&gt;=sensitivity!$D$9:'sensitivity'!$CN$9),sensitivity!$D91:'sensitivity'!$CN91)</f>
        <v>#REF!</v>
      </c>
      <c r="M91" s="35" t="e">
        <f>SUMPRODUCT(--(M$8&lt;=sensitivity!$D$9:'sensitivity'!$CN$9),--(M$9&gt;=sensitivity!$D$9:'sensitivity'!$CN$9),sensitivity!$D91:'sensitivity'!$CN91)</f>
        <v>#REF!</v>
      </c>
      <c r="N91" s="35" t="e">
        <f>SUMPRODUCT(--(N$8&lt;=sensitivity!$D$9:'sensitivity'!$CN$9),--(N$9&gt;=sensitivity!$D$9:'sensitivity'!$CN$9),sensitivity!$D91:'sensitivity'!$CN91)</f>
        <v>#REF!</v>
      </c>
      <c r="O91" s="35" t="e">
        <f>SUMPRODUCT(--(O$8&lt;=sensitivity!$D$9:'sensitivity'!$CN$9),--(O$9&gt;=sensitivity!$D$9:'sensitivity'!$CN$9),sensitivity!$D91:'sensitivity'!$CN91)</f>
        <v>#REF!</v>
      </c>
      <c r="P91" s="35" t="e">
        <f>SUMPRODUCT(--(P$8&lt;=sensitivity!$D$9:'sensitivity'!$CN$9),--(P$9&gt;=sensitivity!$D$9:'sensitivity'!$CN$9),sensitivity!$D91:'sensitivity'!$CN91)</f>
        <v>#REF!</v>
      </c>
      <c r="Q91" s="35" t="e">
        <f>SUMPRODUCT(--(Q$8&lt;=sensitivity!$D$9:'sensitivity'!$CN$9),--(Q$9&gt;=sensitivity!$D$9:'sensitivity'!$CN$9),sensitivity!$D91:'sensitivity'!$CN91)</f>
        <v>#REF!</v>
      </c>
      <c r="R91" s="35" t="e">
        <f>SUMPRODUCT(--(R$8&lt;=sensitivity!$D$9:'sensitivity'!$CN$9),--(R$9&gt;=sensitivity!$D$9:'sensitivity'!$CN$9),sensitivity!$D91:'sensitivity'!$CN91)</f>
        <v>#REF!</v>
      </c>
      <c r="S91" s="35" t="e">
        <f>SUMPRODUCT(--(S$8&lt;=sensitivity!$D$9:'sensitivity'!$CN$9),--(S$9&gt;=sensitivity!$D$9:'sensitivity'!$CN$9),sensitivity!$D91:'sensitivity'!$CN91)</f>
        <v>#REF!</v>
      </c>
      <c r="T91" s="35" t="e">
        <f>SUMPRODUCT(--(T$8&lt;=sensitivity!$D$9:'sensitivity'!$CN$9),--(T$9&gt;=sensitivity!$D$9:'sensitivity'!$CN$9),sensitivity!$D91:'sensitivity'!$CN91)</f>
        <v>#REF!</v>
      </c>
      <c r="U91" s="35" t="e">
        <f>SUMPRODUCT(--(U$8&lt;=sensitivity!$D$9:'sensitivity'!$CN$9),--(U$9&gt;=sensitivity!$D$9:'sensitivity'!$CN$9),sensitivity!$D91:'sensitivity'!$CN91)</f>
        <v>#REF!</v>
      </c>
      <c r="V91" s="35" t="e">
        <f>SUMPRODUCT(--(V$8&lt;=sensitivity!$D$9:'sensitivity'!$CN$9),--(V$9&gt;=sensitivity!$D$9:'sensitivity'!$CN$9),sensitivity!$D91:'sensitivity'!$CN91)</f>
        <v>#REF!</v>
      </c>
      <c r="W91" s="35" t="e">
        <f>SUMPRODUCT(--(W$8&lt;=sensitivity!$D$9:'sensitivity'!$CN$9),--(W$9&gt;=sensitivity!$D$9:'sensitivity'!$CN$9),sensitivity!$D91:'sensitivity'!$CN91)</f>
        <v>#REF!</v>
      </c>
      <c r="X91" s="35" t="e">
        <f>SUMPRODUCT(--(X$8&lt;=sensitivity!$D$9:'sensitivity'!$CN$9),--(X$9&gt;=sensitivity!$D$9:'sensitivity'!$CN$9),sensitivity!$D91:'sensitivity'!$CN91)</f>
        <v>#REF!</v>
      </c>
      <c r="Y91" s="35" t="e">
        <f>SUMPRODUCT(--(Y$8&lt;=sensitivity!$D$9:'sensitivity'!$CN$9),--(Y$9&gt;=sensitivity!$D$9:'sensitivity'!$CN$9),sensitivity!$D91:'sensitivity'!$CN91)</f>
        <v>#REF!</v>
      </c>
      <c r="Z91" s="35" t="e">
        <f>SUMPRODUCT(--(Z$8&lt;=sensitivity!$D$9:'sensitivity'!$CN$9),--(Z$9&gt;=sensitivity!$D$9:'sensitivity'!$CN$9),sensitivity!$D91:'sensitivity'!$CN91)</f>
        <v>#REF!</v>
      </c>
      <c r="AA91" s="35"/>
    </row>
    <row r="92" spans="1:27" ht="13">
      <c r="A92" s="35"/>
      <c r="B92" s="63" t="s">
        <v>185</v>
      </c>
      <c r="C92" s="35" t="e">
        <f t="shared" si="16"/>
        <v>#REF!</v>
      </c>
      <c r="D92" s="60" t="e">
        <f>sensitivity!D92</f>
        <v>#REF!</v>
      </c>
      <c r="E92" s="35" t="e">
        <f>SUMPRODUCT(--(E$8&lt;=sensitivity!$D$9:'sensitivity'!$CN$9),--(E$9&gt;=sensitivity!$D$9:'sensitivity'!$CN$9),sensitivity!$D92:'sensitivity'!$CN92)</f>
        <v>#REF!</v>
      </c>
      <c r="F92" s="35" t="e">
        <f>SUMPRODUCT(--(F$8&lt;=sensitivity!$D$9:'sensitivity'!$CN$9),--(F$9&gt;=sensitivity!$D$9:'sensitivity'!$CN$9),sensitivity!$D92:'sensitivity'!$CN92)</f>
        <v>#REF!</v>
      </c>
      <c r="G92" s="35" t="e">
        <f>SUMPRODUCT(--(G$8&lt;=sensitivity!$D$9:'sensitivity'!$CN$9),--(G$9&gt;=sensitivity!$D$9:'sensitivity'!$CN$9),sensitivity!$D92:'sensitivity'!$CN92)</f>
        <v>#REF!</v>
      </c>
      <c r="H92" s="35" t="e">
        <f>SUMPRODUCT(--(H$8&lt;=sensitivity!$D$9:'sensitivity'!$CN$9),--(H$9&gt;=sensitivity!$D$9:'sensitivity'!$CN$9),sensitivity!$D92:'sensitivity'!$CN92)</f>
        <v>#REF!</v>
      </c>
      <c r="I92" s="35" t="e">
        <f>SUMPRODUCT(--(I$8&lt;=sensitivity!$D$9:'sensitivity'!$CN$9),--(I$9&gt;=sensitivity!$D$9:'sensitivity'!$CN$9),sensitivity!$D92:'sensitivity'!$CN92)</f>
        <v>#REF!</v>
      </c>
      <c r="J92" s="35" t="e">
        <f>SUMPRODUCT(--(J$8&lt;=sensitivity!$D$9:'sensitivity'!$CN$9),--(J$9&gt;=sensitivity!$D$9:'sensitivity'!$CN$9),sensitivity!$D92:'sensitivity'!$CN92)</f>
        <v>#REF!</v>
      </c>
      <c r="K92" s="35" t="e">
        <f>SUMPRODUCT(--(K$8&lt;=sensitivity!$D$9:'sensitivity'!$CN$9),--(K$9&gt;=sensitivity!$D$9:'sensitivity'!$CN$9),sensitivity!$D92:'sensitivity'!$CN92)</f>
        <v>#REF!</v>
      </c>
      <c r="L92" s="35" t="e">
        <f>SUMPRODUCT(--(L$8&lt;=sensitivity!$D$9:'sensitivity'!$CN$9),--(L$9&gt;=sensitivity!$D$9:'sensitivity'!$CN$9),sensitivity!$D92:'sensitivity'!$CN92)</f>
        <v>#REF!</v>
      </c>
      <c r="M92" s="35" t="e">
        <f>SUMPRODUCT(--(M$8&lt;=sensitivity!$D$9:'sensitivity'!$CN$9),--(M$9&gt;=sensitivity!$D$9:'sensitivity'!$CN$9),sensitivity!$D92:'sensitivity'!$CN92)</f>
        <v>#REF!</v>
      </c>
      <c r="N92" s="35" t="e">
        <f>SUMPRODUCT(--(N$8&lt;=sensitivity!$D$9:'sensitivity'!$CN$9),--(N$9&gt;=sensitivity!$D$9:'sensitivity'!$CN$9),sensitivity!$D92:'sensitivity'!$CN92)</f>
        <v>#REF!</v>
      </c>
      <c r="O92" s="35" t="e">
        <f>SUMPRODUCT(--(O$8&lt;=sensitivity!$D$9:'sensitivity'!$CN$9),--(O$9&gt;=sensitivity!$D$9:'sensitivity'!$CN$9),sensitivity!$D92:'sensitivity'!$CN92)</f>
        <v>#REF!</v>
      </c>
      <c r="P92" s="35" t="e">
        <f>SUMPRODUCT(--(P$8&lt;=sensitivity!$D$9:'sensitivity'!$CN$9),--(P$9&gt;=sensitivity!$D$9:'sensitivity'!$CN$9),sensitivity!$D92:'sensitivity'!$CN92)</f>
        <v>#REF!</v>
      </c>
      <c r="Q92" s="35" t="e">
        <f>SUMPRODUCT(--(Q$8&lt;=sensitivity!$D$9:'sensitivity'!$CN$9),--(Q$9&gt;=sensitivity!$D$9:'sensitivity'!$CN$9),sensitivity!$D92:'sensitivity'!$CN92)</f>
        <v>#REF!</v>
      </c>
      <c r="R92" s="35" t="e">
        <f>SUMPRODUCT(--(R$8&lt;=sensitivity!$D$9:'sensitivity'!$CN$9),--(R$9&gt;=sensitivity!$D$9:'sensitivity'!$CN$9),sensitivity!$D92:'sensitivity'!$CN92)</f>
        <v>#REF!</v>
      </c>
      <c r="S92" s="35" t="e">
        <f>SUMPRODUCT(--(S$8&lt;=sensitivity!$D$9:'sensitivity'!$CN$9),--(S$9&gt;=sensitivity!$D$9:'sensitivity'!$CN$9),sensitivity!$D92:'sensitivity'!$CN92)</f>
        <v>#REF!</v>
      </c>
      <c r="T92" s="35" t="e">
        <f>SUMPRODUCT(--(T$8&lt;=sensitivity!$D$9:'sensitivity'!$CN$9),--(T$9&gt;=sensitivity!$D$9:'sensitivity'!$CN$9),sensitivity!$D92:'sensitivity'!$CN92)</f>
        <v>#REF!</v>
      </c>
      <c r="U92" s="35" t="e">
        <f>SUMPRODUCT(--(U$8&lt;=sensitivity!$D$9:'sensitivity'!$CN$9),--(U$9&gt;=sensitivity!$D$9:'sensitivity'!$CN$9),sensitivity!$D92:'sensitivity'!$CN92)</f>
        <v>#REF!</v>
      </c>
      <c r="V92" s="35" t="e">
        <f>SUMPRODUCT(--(V$8&lt;=sensitivity!$D$9:'sensitivity'!$CN$9),--(V$9&gt;=sensitivity!$D$9:'sensitivity'!$CN$9),sensitivity!$D92:'sensitivity'!$CN92)</f>
        <v>#REF!</v>
      </c>
      <c r="W92" s="35" t="e">
        <f>SUMPRODUCT(--(W$8&lt;=sensitivity!$D$9:'sensitivity'!$CN$9),--(W$9&gt;=sensitivity!$D$9:'sensitivity'!$CN$9),sensitivity!$D92:'sensitivity'!$CN92)</f>
        <v>#REF!</v>
      </c>
      <c r="X92" s="35" t="e">
        <f>SUMPRODUCT(--(X$8&lt;=sensitivity!$D$9:'sensitivity'!$CN$9),--(X$9&gt;=sensitivity!$D$9:'sensitivity'!$CN$9),sensitivity!$D92:'sensitivity'!$CN92)</f>
        <v>#REF!</v>
      </c>
      <c r="Y92" s="35" t="e">
        <f>SUMPRODUCT(--(Y$8&lt;=sensitivity!$D$9:'sensitivity'!$CN$9),--(Y$9&gt;=sensitivity!$D$9:'sensitivity'!$CN$9),sensitivity!$D92:'sensitivity'!$CN92)</f>
        <v>#REF!</v>
      </c>
      <c r="Z92" s="35" t="e">
        <f>SUMPRODUCT(--(Z$8&lt;=sensitivity!$D$9:'sensitivity'!$CN$9),--(Z$9&gt;=sensitivity!$D$9:'sensitivity'!$CN$9),sensitivity!$D92:'sensitivity'!$CN92)</f>
        <v>#REF!</v>
      </c>
      <c r="AA92" s="35"/>
    </row>
    <row r="93" spans="1:27" ht="13">
      <c r="A93" s="35"/>
      <c r="B93" s="63" t="s">
        <v>186</v>
      </c>
      <c r="C93" s="35" t="e">
        <f t="shared" si="16"/>
        <v>#REF!</v>
      </c>
      <c r="D93" s="60">
        <f>sensitivity!D93</f>
        <v>0</v>
      </c>
      <c r="E93" s="35" t="e">
        <f>SUMPRODUCT(--(E$8&lt;=sensitivity!$D$9:'sensitivity'!$CN$9),--(E$9&gt;=sensitivity!$D$9:'sensitivity'!$CN$9),sensitivity!$D93:'sensitivity'!$CN93)</f>
        <v>#REF!</v>
      </c>
      <c r="F93" s="35" t="e">
        <f>SUMPRODUCT(--(F$8&lt;=sensitivity!$D$9:'sensitivity'!$CN$9),--(F$9&gt;=sensitivity!$D$9:'sensitivity'!$CN$9),sensitivity!$D93:'sensitivity'!$CN93)</f>
        <v>#REF!</v>
      </c>
      <c r="G93" s="35" t="e">
        <f>SUMPRODUCT(--(G$8&lt;=sensitivity!$D$9:'sensitivity'!$CN$9),--(G$9&gt;=sensitivity!$D$9:'sensitivity'!$CN$9),sensitivity!$D93:'sensitivity'!$CN93)</f>
        <v>#REF!</v>
      </c>
      <c r="H93" s="35" t="e">
        <f>SUMPRODUCT(--(H$8&lt;=sensitivity!$D$9:'sensitivity'!$CN$9),--(H$9&gt;=sensitivity!$D$9:'sensitivity'!$CN$9),sensitivity!$D93:'sensitivity'!$CN93)</f>
        <v>#REF!</v>
      </c>
      <c r="I93" s="35" t="e">
        <f>SUMPRODUCT(--(I$8&lt;=sensitivity!$D$9:'sensitivity'!$CN$9),--(I$9&gt;=sensitivity!$D$9:'sensitivity'!$CN$9),sensitivity!$D93:'sensitivity'!$CN93)</f>
        <v>#REF!</v>
      </c>
      <c r="J93" s="35" t="e">
        <f>SUMPRODUCT(--(J$8&lt;=sensitivity!$D$9:'sensitivity'!$CN$9),--(J$9&gt;=sensitivity!$D$9:'sensitivity'!$CN$9),sensitivity!$D93:'sensitivity'!$CN93)</f>
        <v>#REF!</v>
      </c>
      <c r="K93" s="35" t="e">
        <f>SUMPRODUCT(--(K$8&lt;=sensitivity!$D$9:'sensitivity'!$CN$9),--(K$9&gt;=sensitivity!$D$9:'sensitivity'!$CN$9),sensitivity!$D93:'sensitivity'!$CN93)</f>
        <v>#REF!</v>
      </c>
      <c r="L93" s="35" t="e">
        <f>SUMPRODUCT(--(L$8&lt;=sensitivity!$D$9:'sensitivity'!$CN$9),--(L$9&gt;=sensitivity!$D$9:'sensitivity'!$CN$9),sensitivity!$D93:'sensitivity'!$CN93)</f>
        <v>#REF!</v>
      </c>
      <c r="M93" s="35" t="e">
        <f>SUMPRODUCT(--(M$8&lt;=sensitivity!$D$9:'sensitivity'!$CN$9),--(M$9&gt;=sensitivity!$D$9:'sensitivity'!$CN$9),sensitivity!$D93:'sensitivity'!$CN93)</f>
        <v>#REF!</v>
      </c>
      <c r="N93" s="35" t="e">
        <f>SUMPRODUCT(--(N$8&lt;=sensitivity!$D$9:'sensitivity'!$CN$9),--(N$9&gt;=sensitivity!$D$9:'sensitivity'!$CN$9),sensitivity!$D93:'sensitivity'!$CN93)</f>
        <v>#REF!</v>
      </c>
      <c r="O93" s="35" t="e">
        <f>SUMPRODUCT(--(O$8&lt;=sensitivity!$D$9:'sensitivity'!$CN$9),--(O$9&gt;=sensitivity!$D$9:'sensitivity'!$CN$9),sensitivity!$D93:'sensitivity'!$CN93)</f>
        <v>#REF!</v>
      </c>
      <c r="P93" s="35" t="e">
        <f>SUMPRODUCT(--(P$8&lt;=sensitivity!$D$9:'sensitivity'!$CN$9),--(P$9&gt;=sensitivity!$D$9:'sensitivity'!$CN$9),sensitivity!$D93:'sensitivity'!$CN93)</f>
        <v>#REF!</v>
      </c>
      <c r="Q93" s="35" t="e">
        <f>SUMPRODUCT(--(Q$8&lt;=sensitivity!$D$9:'sensitivity'!$CN$9),--(Q$9&gt;=sensitivity!$D$9:'sensitivity'!$CN$9),sensitivity!$D93:'sensitivity'!$CN93)</f>
        <v>#REF!</v>
      </c>
      <c r="R93" s="35" t="e">
        <f>SUMPRODUCT(--(R$8&lt;=sensitivity!$D$9:'sensitivity'!$CN$9),--(R$9&gt;=sensitivity!$D$9:'sensitivity'!$CN$9),sensitivity!$D93:'sensitivity'!$CN93)</f>
        <v>#REF!</v>
      </c>
      <c r="S93" s="35" t="e">
        <f>SUMPRODUCT(--(S$8&lt;=sensitivity!$D$9:'sensitivity'!$CN$9),--(S$9&gt;=sensitivity!$D$9:'sensitivity'!$CN$9),sensitivity!$D93:'sensitivity'!$CN93)</f>
        <v>#REF!</v>
      </c>
      <c r="T93" s="35" t="e">
        <f>SUMPRODUCT(--(T$8&lt;=sensitivity!$D$9:'sensitivity'!$CN$9),--(T$9&gt;=sensitivity!$D$9:'sensitivity'!$CN$9),sensitivity!$D93:'sensitivity'!$CN93)</f>
        <v>#REF!</v>
      </c>
      <c r="U93" s="35" t="e">
        <f>SUMPRODUCT(--(U$8&lt;=sensitivity!$D$9:'sensitivity'!$CN$9),--(U$9&gt;=sensitivity!$D$9:'sensitivity'!$CN$9),sensitivity!$D93:'sensitivity'!$CN93)</f>
        <v>#REF!</v>
      </c>
      <c r="V93" s="35" t="e">
        <f>SUMPRODUCT(--(V$8&lt;=sensitivity!$D$9:'sensitivity'!$CN$9),--(V$9&gt;=sensitivity!$D$9:'sensitivity'!$CN$9),sensitivity!$D93:'sensitivity'!$CN93)</f>
        <v>#REF!</v>
      </c>
      <c r="W93" s="35" t="e">
        <f>SUMPRODUCT(--(W$8&lt;=sensitivity!$D$9:'sensitivity'!$CN$9),--(W$9&gt;=sensitivity!$D$9:'sensitivity'!$CN$9),sensitivity!$D93:'sensitivity'!$CN93)</f>
        <v>#REF!</v>
      </c>
      <c r="X93" s="35" t="e">
        <f>SUMPRODUCT(--(X$8&lt;=sensitivity!$D$9:'sensitivity'!$CN$9),--(X$9&gt;=sensitivity!$D$9:'sensitivity'!$CN$9),sensitivity!$D93:'sensitivity'!$CN93)</f>
        <v>#REF!</v>
      </c>
      <c r="Y93" s="35" t="e">
        <f>SUMPRODUCT(--(Y$8&lt;=sensitivity!$D$9:'sensitivity'!$CN$9),--(Y$9&gt;=sensitivity!$D$9:'sensitivity'!$CN$9),sensitivity!$D93:'sensitivity'!$CN93)</f>
        <v>#REF!</v>
      </c>
      <c r="Z93" s="35" t="e">
        <f>SUMPRODUCT(--(Z$8&lt;=sensitivity!$D$9:'sensitivity'!$CN$9),--(Z$9&gt;=sensitivity!$D$9:'sensitivity'!$CN$9),sensitivity!$D93:'sensitivity'!$CN93)</f>
        <v>#REF!</v>
      </c>
      <c r="AA93" s="35"/>
    </row>
    <row r="94" spans="1:27" ht="13">
      <c r="A94" s="90"/>
      <c r="B94" s="91" t="s">
        <v>187</v>
      </c>
      <c r="C94" s="91" t="e">
        <f t="shared" si="16"/>
        <v>#REF!</v>
      </c>
      <c r="D94" s="71" t="e">
        <f>sensitivity!D94</f>
        <v>#REF!</v>
      </c>
      <c r="E94" s="91" t="e">
        <f>SUMPRODUCT(--(E$8&lt;=sensitivity!$D$9:'sensitivity'!$CN$9),--(E$9&gt;=sensitivity!$D$9:'sensitivity'!$CN$9),sensitivity!$D94:'sensitivity'!$CN94)</f>
        <v>#REF!</v>
      </c>
      <c r="F94" s="91" t="e">
        <f>SUMPRODUCT(--(F$8&lt;=sensitivity!$D$9:'sensitivity'!$CN$9),--(F$9&gt;=sensitivity!$D$9:'sensitivity'!$CN$9),sensitivity!$D94:'sensitivity'!$CN94)</f>
        <v>#REF!</v>
      </c>
      <c r="G94" s="91" t="e">
        <f>SUMPRODUCT(--(G$8&lt;=sensitivity!$D$9:'sensitivity'!$CN$9),--(G$9&gt;=sensitivity!$D$9:'sensitivity'!$CN$9),sensitivity!$D94:'sensitivity'!$CN94)</f>
        <v>#REF!</v>
      </c>
      <c r="H94" s="91" t="e">
        <f>SUMPRODUCT(--(H$8&lt;=sensitivity!$D$9:'sensitivity'!$CN$9),--(H$9&gt;=sensitivity!$D$9:'sensitivity'!$CN$9),sensitivity!$D94:'sensitivity'!$CN94)</f>
        <v>#REF!</v>
      </c>
      <c r="I94" s="91" t="e">
        <f>SUMPRODUCT(--(I$8&lt;=sensitivity!$D$9:'sensitivity'!$CN$9),--(I$9&gt;=sensitivity!$D$9:'sensitivity'!$CN$9),sensitivity!$D94:'sensitivity'!$CN94)</f>
        <v>#REF!</v>
      </c>
      <c r="J94" s="91" t="e">
        <f>SUMPRODUCT(--(J$8&lt;=sensitivity!$D$9:'sensitivity'!$CN$9),--(J$9&gt;=sensitivity!$D$9:'sensitivity'!$CN$9),sensitivity!$D94:'sensitivity'!$CN94)</f>
        <v>#REF!</v>
      </c>
      <c r="K94" s="91" t="e">
        <f>SUMPRODUCT(--(K$8&lt;=sensitivity!$D$9:'sensitivity'!$CN$9),--(K$9&gt;=sensitivity!$D$9:'sensitivity'!$CN$9),sensitivity!$D94:'sensitivity'!$CN94)</f>
        <v>#REF!</v>
      </c>
      <c r="L94" s="91" t="e">
        <f>SUMPRODUCT(--(L$8&lt;=sensitivity!$D$9:'sensitivity'!$CN$9),--(L$9&gt;=sensitivity!$D$9:'sensitivity'!$CN$9),sensitivity!$D94:'sensitivity'!$CN94)</f>
        <v>#REF!</v>
      </c>
      <c r="M94" s="91" t="e">
        <f>SUMPRODUCT(--(M$8&lt;=sensitivity!$D$9:'sensitivity'!$CN$9),--(M$9&gt;=sensitivity!$D$9:'sensitivity'!$CN$9),sensitivity!$D94:'sensitivity'!$CN94)</f>
        <v>#REF!</v>
      </c>
      <c r="N94" s="91" t="e">
        <f>SUMPRODUCT(--(N$8&lt;=sensitivity!$D$9:'sensitivity'!$CN$9),--(N$9&gt;=sensitivity!$D$9:'sensitivity'!$CN$9),sensitivity!$D94:'sensitivity'!$CN94)</f>
        <v>#REF!</v>
      </c>
      <c r="O94" s="91" t="e">
        <f>SUMPRODUCT(--(O$8&lt;=sensitivity!$D$9:'sensitivity'!$CN$9),--(O$9&gt;=sensitivity!$D$9:'sensitivity'!$CN$9),sensitivity!$D94:'sensitivity'!$CN94)</f>
        <v>#REF!</v>
      </c>
      <c r="P94" s="91" t="e">
        <f>SUMPRODUCT(--(P$8&lt;=sensitivity!$D$9:'sensitivity'!$CN$9),--(P$9&gt;=sensitivity!$D$9:'sensitivity'!$CN$9),sensitivity!$D94:'sensitivity'!$CN94)</f>
        <v>#REF!</v>
      </c>
      <c r="Q94" s="91" t="e">
        <f>SUMPRODUCT(--(Q$8&lt;=sensitivity!$D$9:'sensitivity'!$CN$9),--(Q$9&gt;=sensitivity!$D$9:'sensitivity'!$CN$9),sensitivity!$D94:'sensitivity'!$CN94)</f>
        <v>#REF!</v>
      </c>
      <c r="R94" s="91" t="e">
        <f>SUMPRODUCT(--(R$8&lt;=sensitivity!$D$9:'sensitivity'!$CN$9),--(R$9&gt;=sensitivity!$D$9:'sensitivity'!$CN$9),sensitivity!$D94:'sensitivity'!$CN94)</f>
        <v>#REF!</v>
      </c>
      <c r="S94" s="91" t="e">
        <f>SUMPRODUCT(--(S$8&lt;=sensitivity!$D$9:'sensitivity'!$CN$9),--(S$9&gt;=sensitivity!$D$9:'sensitivity'!$CN$9),sensitivity!$D94:'sensitivity'!$CN94)</f>
        <v>#REF!</v>
      </c>
      <c r="T94" s="91" t="e">
        <f>SUMPRODUCT(--(T$8&lt;=sensitivity!$D$9:'sensitivity'!$CN$9),--(T$9&gt;=sensitivity!$D$9:'sensitivity'!$CN$9),sensitivity!$D94:'sensitivity'!$CN94)</f>
        <v>#REF!</v>
      </c>
      <c r="U94" s="91" t="e">
        <f>SUMPRODUCT(--(U$8&lt;=sensitivity!$D$9:'sensitivity'!$CN$9),--(U$9&gt;=sensitivity!$D$9:'sensitivity'!$CN$9),sensitivity!$D94:'sensitivity'!$CN94)</f>
        <v>#REF!</v>
      </c>
      <c r="V94" s="91" t="e">
        <f>SUMPRODUCT(--(V$8&lt;=sensitivity!$D$9:'sensitivity'!$CN$9),--(V$9&gt;=sensitivity!$D$9:'sensitivity'!$CN$9),sensitivity!$D94:'sensitivity'!$CN94)</f>
        <v>#REF!</v>
      </c>
      <c r="W94" s="91" t="e">
        <f>SUMPRODUCT(--(W$8&lt;=sensitivity!$D$9:'sensitivity'!$CN$9),--(W$9&gt;=sensitivity!$D$9:'sensitivity'!$CN$9),sensitivity!$D94:'sensitivity'!$CN94)</f>
        <v>#REF!</v>
      </c>
      <c r="X94" s="91" t="e">
        <f>SUMPRODUCT(--(X$8&lt;=sensitivity!$D$9:'sensitivity'!$CN$9),--(X$9&gt;=sensitivity!$D$9:'sensitivity'!$CN$9),sensitivity!$D94:'sensitivity'!$CN94)</f>
        <v>#REF!</v>
      </c>
      <c r="Y94" s="91" t="e">
        <f>SUMPRODUCT(--(Y$8&lt;=sensitivity!$D$9:'sensitivity'!$CN$9),--(Y$9&gt;=sensitivity!$D$9:'sensitivity'!$CN$9),sensitivity!$D94:'sensitivity'!$CN94)</f>
        <v>#REF!</v>
      </c>
      <c r="Z94" s="91" t="e">
        <f>SUMPRODUCT(--(Z$8&lt;=sensitivity!$D$9:'sensitivity'!$CN$9),--(Z$9&gt;=sensitivity!$D$9:'sensitivity'!$CN$9),sensitivity!$D94:'sensitivity'!$CN94)</f>
        <v>#REF!</v>
      </c>
      <c r="AA94" s="91"/>
    </row>
    <row r="95" spans="1:27" ht="13">
      <c r="A95" s="90"/>
      <c r="B95" s="93" t="s">
        <v>188</v>
      </c>
      <c r="C95" s="90"/>
      <c r="D95" s="92">
        <f>sensitivity!D95</f>
        <v>0</v>
      </c>
      <c r="E95" s="90" t="e">
        <f>SUMPRODUCT(--(E$8=sensitivity!$D$9:'sensitivity'!$CN$9),sensitivity!$D95:'sensitivity'!$CN95)</f>
        <v>#REF!</v>
      </c>
      <c r="F95" s="90" t="e">
        <f>SUMPRODUCT(--(F$8=sensitivity!$D$9:'sensitivity'!$CN$9),sensitivity!$D95:'sensitivity'!$CN95)</f>
        <v>#REF!</v>
      </c>
      <c r="G95" s="90" t="e">
        <f>SUMPRODUCT(--(G$8=sensitivity!$D$9:'sensitivity'!$CN$9),sensitivity!$D95:'sensitivity'!$CN95)</f>
        <v>#REF!</v>
      </c>
      <c r="H95" s="90" t="e">
        <f>SUMPRODUCT(--(H$8=sensitivity!$D$9:'sensitivity'!$CN$9),sensitivity!$D95:'sensitivity'!$CN95)</f>
        <v>#REF!</v>
      </c>
      <c r="I95" s="90" t="e">
        <f>SUMPRODUCT(--(I$8=sensitivity!$D$9:'sensitivity'!$CN$9),sensitivity!$D95:'sensitivity'!$CN95)</f>
        <v>#REF!</v>
      </c>
      <c r="J95" s="90" t="e">
        <f>SUMPRODUCT(--(J$8=sensitivity!$D$9:'sensitivity'!$CN$9),sensitivity!$D95:'sensitivity'!$CN95)</f>
        <v>#REF!</v>
      </c>
      <c r="K95" s="90" t="e">
        <f>SUMPRODUCT(--(K$8=sensitivity!$D$9:'sensitivity'!$CN$9),sensitivity!$D95:'sensitivity'!$CN95)</f>
        <v>#REF!</v>
      </c>
      <c r="L95" s="90" t="e">
        <f>SUMPRODUCT(--(L$8=sensitivity!$D$9:'sensitivity'!$CN$9),sensitivity!$D95:'sensitivity'!$CN95)</f>
        <v>#REF!</v>
      </c>
      <c r="M95" s="90" t="e">
        <f>SUMPRODUCT(--(M$8=sensitivity!$D$9:'sensitivity'!$CN$9),sensitivity!$D95:'sensitivity'!$CN95)</f>
        <v>#REF!</v>
      </c>
      <c r="N95" s="90" t="e">
        <f>SUMPRODUCT(--(N$8=sensitivity!$D$9:'sensitivity'!$CN$9),sensitivity!$D95:'sensitivity'!$CN95)</f>
        <v>#REF!</v>
      </c>
      <c r="O95" s="90" t="e">
        <f>SUMPRODUCT(--(O$8=sensitivity!$D$9:'sensitivity'!$CN$9),sensitivity!$D95:'sensitivity'!$CN95)</f>
        <v>#REF!</v>
      </c>
      <c r="P95" s="90" t="e">
        <f>SUMPRODUCT(--(P$8=sensitivity!$D$9:'sensitivity'!$CN$9),sensitivity!$D95:'sensitivity'!$CN95)</f>
        <v>#REF!</v>
      </c>
      <c r="Q95" s="90" t="e">
        <f>SUMPRODUCT(--(Q$8=sensitivity!$D$9:'sensitivity'!$CN$9),sensitivity!$D95:'sensitivity'!$CN95)</f>
        <v>#REF!</v>
      </c>
      <c r="R95" s="90" t="e">
        <f>SUMPRODUCT(--(R$8=sensitivity!$D$9:'sensitivity'!$CN$9),sensitivity!$D95:'sensitivity'!$CN95)</f>
        <v>#REF!</v>
      </c>
      <c r="S95" s="90" t="e">
        <f>SUMPRODUCT(--(S$8=sensitivity!$D$9:'sensitivity'!$CN$9),sensitivity!$D95:'sensitivity'!$CN95)</f>
        <v>#REF!</v>
      </c>
      <c r="T95" s="90" t="e">
        <f>SUMPRODUCT(--(T$8=sensitivity!$D$9:'sensitivity'!$CN$9),sensitivity!$D95:'sensitivity'!$CN95)</f>
        <v>#REF!</v>
      </c>
      <c r="U95" s="90" t="e">
        <f>SUMPRODUCT(--(U$8=sensitivity!$D$9:'sensitivity'!$CN$9),sensitivity!$D95:'sensitivity'!$CN95)</f>
        <v>#REF!</v>
      </c>
      <c r="V95" s="90" t="e">
        <f>SUMPRODUCT(--(V$8=sensitivity!$D$9:'sensitivity'!$CN$9),sensitivity!$D95:'sensitivity'!$CN95)</f>
        <v>#REF!</v>
      </c>
      <c r="W95" s="90" t="e">
        <f>SUMPRODUCT(--(W$8=sensitivity!$D$9:'sensitivity'!$CN$9),sensitivity!$D95:'sensitivity'!$CN95)</f>
        <v>#REF!</v>
      </c>
      <c r="X95" s="90" t="e">
        <f>SUMPRODUCT(--(X$8=sensitivity!$D$9:'sensitivity'!$CN$9),sensitivity!$D95:'sensitivity'!$CN95)</f>
        <v>#REF!</v>
      </c>
      <c r="Y95" s="90" t="e">
        <f>SUMPRODUCT(--(Y$8=sensitivity!$D$9:'sensitivity'!$CN$9),sensitivity!$D95:'sensitivity'!$CN95)</f>
        <v>#REF!</v>
      </c>
      <c r="Z95" s="90" t="e">
        <f>SUMPRODUCT(--(Z$8=sensitivity!$D$9:'sensitivity'!$CN$9),sensitivity!$D95:'sensitivity'!$CN95)</f>
        <v>#REF!</v>
      </c>
      <c r="AA95" s="90"/>
    </row>
    <row r="96" spans="1:27" ht="13">
      <c r="A96" s="90"/>
      <c r="B96" s="93" t="s">
        <v>189</v>
      </c>
      <c r="C96" s="90" t="e">
        <f t="shared" si="16"/>
        <v>#REF!</v>
      </c>
      <c r="D96" s="92" t="e">
        <f>sensitivity!D96</f>
        <v>#REF!</v>
      </c>
      <c r="E96" s="90" t="e">
        <f>SUMPRODUCT(--(E$8&lt;=sensitivity!$D$9:'sensitivity'!$CN$9),--(E$9&gt;=sensitivity!$D$9:'sensitivity'!$CN$9),sensitivity!$D96:'sensitivity'!$CN96)</f>
        <v>#REF!</v>
      </c>
      <c r="F96" s="90" t="e">
        <f>SUMPRODUCT(--(F$8&lt;=sensitivity!$D$9:'sensitivity'!$CN$9),--(F$9&gt;=sensitivity!$D$9:'sensitivity'!$CN$9),sensitivity!$D96:'sensitivity'!$CN96)</f>
        <v>#REF!</v>
      </c>
      <c r="G96" s="90" t="e">
        <f>SUMPRODUCT(--(G$8&lt;=sensitivity!$D$9:'sensitivity'!$CN$9),--(G$9&gt;=sensitivity!$D$9:'sensitivity'!$CN$9),sensitivity!$D96:'sensitivity'!$CN96)</f>
        <v>#REF!</v>
      </c>
      <c r="H96" s="90" t="e">
        <f>SUMPRODUCT(--(H$8&lt;=sensitivity!$D$9:'sensitivity'!$CN$9),--(H$9&gt;=sensitivity!$D$9:'sensitivity'!$CN$9),sensitivity!$D96:'sensitivity'!$CN96)</f>
        <v>#REF!</v>
      </c>
      <c r="I96" s="90" t="e">
        <f>SUMPRODUCT(--(I$8&lt;=sensitivity!$D$9:'sensitivity'!$CN$9),--(I$9&gt;=sensitivity!$D$9:'sensitivity'!$CN$9),sensitivity!$D96:'sensitivity'!$CN96)</f>
        <v>#REF!</v>
      </c>
      <c r="J96" s="90" t="e">
        <f>SUMPRODUCT(--(J$8&lt;=sensitivity!$D$9:'sensitivity'!$CN$9),--(J$9&gt;=sensitivity!$D$9:'sensitivity'!$CN$9),sensitivity!$D96:'sensitivity'!$CN96)</f>
        <v>#REF!</v>
      </c>
      <c r="K96" s="90" t="e">
        <f>SUMPRODUCT(--(K$8&lt;=sensitivity!$D$9:'sensitivity'!$CN$9),--(K$9&gt;=sensitivity!$D$9:'sensitivity'!$CN$9),sensitivity!$D96:'sensitivity'!$CN96)</f>
        <v>#REF!</v>
      </c>
      <c r="L96" s="90" t="e">
        <f>SUMPRODUCT(--(L$8&lt;=sensitivity!$D$9:'sensitivity'!$CN$9),--(L$9&gt;=sensitivity!$D$9:'sensitivity'!$CN$9),sensitivity!$D96:'sensitivity'!$CN96)</f>
        <v>#REF!</v>
      </c>
      <c r="M96" s="90" t="e">
        <f>SUMPRODUCT(--(M$8&lt;=sensitivity!$D$9:'sensitivity'!$CN$9),--(M$9&gt;=sensitivity!$D$9:'sensitivity'!$CN$9),sensitivity!$D96:'sensitivity'!$CN96)</f>
        <v>#REF!</v>
      </c>
      <c r="N96" s="90" t="e">
        <f>SUMPRODUCT(--(N$8&lt;=sensitivity!$D$9:'sensitivity'!$CN$9),--(N$9&gt;=sensitivity!$D$9:'sensitivity'!$CN$9),sensitivity!$D96:'sensitivity'!$CN96)</f>
        <v>#REF!</v>
      </c>
      <c r="O96" s="90" t="e">
        <f>SUMPRODUCT(--(O$8&lt;=sensitivity!$D$9:'sensitivity'!$CN$9),--(O$9&gt;=sensitivity!$D$9:'sensitivity'!$CN$9),sensitivity!$D96:'sensitivity'!$CN96)</f>
        <v>#REF!</v>
      </c>
      <c r="P96" s="90" t="e">
        <f>SUMPRODUCT(--(P$8&lt;=sensitivity!$D$9:'sensitivity'!$CN$9),--(P$9&gt;=sensitivity!$D$9:'sensitivity'!$CN$9),sensitivity!$D96:'sensitivity'!$CN96)</f>
        <v>#REF!</v>
      </c>
      <c r="Q96" s="90" t="e">
        <f>SUMPRODUCT(--(Q$8&lt;=sensitivity!$D$9:'sensitivity'!$CN$9),--(Q$9&gt;=sensitivity!$D$9:'sensitivity'!$CN$9),sensitivity!$D96:'sensitivity'!$CN96)</f>
        <v>#REF!</v>
      </c>
      <c r="R96" s="90" t="e">
        <f>SUMPRODUCT(--(R$8&lt;=sensitivity!$D$9:'sensitivity'!$CN$9),--(R$9&gt;=sensitivity!$D$9:'sensitivity'!$CN$9),sensitivity!$D96:'sensitivity'!$CN96)</f>
        <v>#REF!</v>
      </c>
      <c r="S96" s="90" t="e">
        <f>SUMPRODUCT(--(S$8&lt;=sensitivity!$D$9:'sensitivity'!$CN$9),--(S$9&gt;=sensitivity!$D$9:'sensitivity'!$CN$9),sensitivity!$D96:'sensitivity'!$CN96)</f>
        <v>#REF!</v>
      </c>
      <c r="T96" s="90" t="e">
        <f>SUMPRODUCT(--(T$8&lt;=sensitivity!$D$9:'sensitivity'!$CN$9),--(T$9&gt;=sensitivity!$D$9:'sensitivity'!$CN$9),sensitivity!$D96:'sensitivity'!$CN96)</f>
        <v>#REF!</v>
      </c>
      <c r="U96" s="90" t="e">
        <f>SUMPRODUCT(--(U$8&lt;=sensitivity!$D$9:'sensitivity'!$CN$9),--(U$9&gt;=sensitivity!$D$9:'sensitivity'!$CN$9),sensitivity!$D96:'sensitivity'!$CN96)</f>
        <v>#REF!</v>
      </c>
      <c r="V96" s="90" t="e">
        <f>SUMPRODUCT(--(V$8&lt;=sensitivity!$D$9:'sensitivity'!$CN$9),--(V$9&gt;=sensitivity!$D$9:'sensitivity'!$CN$9),sensitivity!$D96:'sensitivity'!$CN96)</f>
        <v>#REF!</v>
      </c>
      <c r="W96" s="90" t="e">
        <f>SUMPRODUCT(--(W$8&lt;=sensitivity!$D$9:'sensitivity'!$CN$9),--(W$9&gt;=sensitivity!$D$9:'sensitivity'!$CN$9),sensitivity!$D96:'sensitivity'!$CN96)</f>
        <v>#REF!</v>
      </c>
      <c r="X96" s="90" t="e">
        <f>SUMPRODUCT(--(X$8&lt;=sensitivity!$D$9:'sensitivity'!$CN$9),--(X$9&gt;=sensitivity!$D$9:'sensitivity'!$CN$9),sensitivity!$D96:'sensitivity'!$CN96)</f>
        <v>#REF!</v>
      </c>
      <c r="Y96" s="90" t="e">
        <f>SUMPRODUCT(--(Y$8&lt;=sensitivity!$D$9:'sensitivity'!$CN$9),--(Y$9&gt;=sensitivity!$D$9:'sensitivity'!$CN$9),sensitivity!$D96:'sensitivity'!$CN96)</f>
        <v>#REF!</v>
      </c>
      <c r="Z96" s="90" t="e">
        <f>SUMPRODUCT(--(Z$8&lt;=sensitivity!$D$9:'sensitivity'!$CN$9),--(Z$9&gt;=sensitivity!$D$9:'sensitivity'!$CN$9),sensitivity!$D96:'sensitivity'!$CN96)</f>
        <v>#REF!</v>
      </c>
      <c r="AA96" s="90"/>
    </row>
    <row r="97" spans="1:27" ht="13">
      <c r="A97" s="90"/>
      <c r="B97" s="94" t="s">
        <v>190</v>
      </c>
      <c r="C97" s="95"/>
      <c r="D97" s="76" t="e">
        <f>sensitivity!D97</f>
        <v>#REF!</v>
      </c>
      <c r="E97" s="95" t="e">
        <f>SUMPRODUCT(--(E$9=sensitivity!$D$9:'sensitivity'!$CN$9),sensitivity!$D97:'sensitivity'!$CN97)</f>
        <v>#REF!</v>
      </c>
      <c r="F97" s="95" t="e">
        <f>SUMPRODUCT(--(F$9=sensitivity!$D$9:'sensitivity'!$CN$9),sensitivity!$D97:'sensitivity'!$CN97)</f>
        <v>#REF!</v>
      </c>
      <c r="G97" s="95" t="e">
        <f>SUMPRODUCT(--(G$9=sensitivity!$D$9:'sensitivity'!$CN$9),sensitivity!$D97:'sensitivity'!$CN97)</f>
        <v>#REF!</v>
      </c>
      <c r="H97" s="95" t="e">
        <f>SUMPRODUCT(--(H$9=sensitivity!$D$9:'sensitivity'!$CN$9),sensitivity!$D97:'sensitivity'!$CN97)</f>
        <v>#REF!</v>
      </c>
      <c r="I97" s="95" t="e">
        <f>SUMPRODUCT(--(I$9=sensitivity!$D$9:'sensitivity'!$CN$9),sensitivity!$D97:'sensitivity'!$CN97)</f>
        <v>#REF!</v>
      </c>
      <c r="J97" s="95" t="e">
        <f>SUMPRODUCT(--(J$9=sensitivity!$D$9:'sensitivity'!$CN$9),sensitivity!$D97:'sensitivity'!$CN97)</f>
        <v>#REF!</v>
      </c>
      <c r="K97" s="95" t="e">
        <f>SUMPRODUCT(--(K$9=sensitivity!$D$9:'sensitivity'!$CN$9),sensitivity!$D97:'sensitivity'!$CN97)</f>
        <v>#REF!</v>
      </c>
      <c r="L97" s="95" t="e">
        <f>SUMPRODUCT(--(L$9=sensitivity!$D$9:'sensitivity'!$CN$9),sensitivity!$D97:'sensitivity'!$CN97)</f>
        <v>#REF!</v>
      </c>
      <c r="M97" s="95" t="e">
        <f>SUMPRODUCT(--(M$9=sensitivity!$D$9:'sensitivity'!$CN$9),sensitivity!$D97:'sensitivity'!$CN97)</f>
        <v>#REF!</v>
      </c>
      <c r="N97" s="95" t="e">
        <f>SUMPRODUCT(--(N$9=sensitivity!$D$9:'sensitivity'!$CN$9),sensitivity!$D97:'sensitivity'!$CN97)</f>
        <v>#REF!</v>
      </c>
      <c r="O97" s="95" t="e">
        <f>SUMPRODUCT(--(O$9=sensitivity!$D$9:'sensitivity'!$CN$9),sensitivity!$D97:'sensitivity'!$CN97)</f>
        <v>#REF!</v>
      </c>
      <c r="P97" s="95" t="e">
        <f>SUMPRODUCT(--(P$9=sensitivity!$D$9:'sensitivity'!$CN$9),sensitivity!$D97:'sensitivity'!$CN97)</f>
        <v>#REF!</v>
      </c>
      <c r="Q97" s="95" t="e">
        <f>SUMPRODUCT(--(Q$9=sensitivity!$D$9:'sensitivity'!$CN$9),sensitivity!$D97:'sensitivity'!$CN97)</f>
        <v>#REF!</v>
      </c>
      <c r="R97" s="95" t="e">
        <f>SUMPRODUCT(--(R$9=sensitivity!$D$9:'sensitivity'!$CN$9),sensitivity!$D97:'sensitivity'!$CN97)</f>
        <v>#REF!</v>
      </c>
      <c r="S97" s="95" t="e">
        <f>SUMPRODUCT(--(S$9=sensitivity!$D$9:'sensitivity'!$CN$9),sensitivity!$D97:'sensitivity'!$CN97)</f>
        <v>#REF!</v>
      </c>
      <c r="T97" s="95" t="e">
        <f>SUMPRODUCT(--(T$9=sensitivity!$D$9:'sensitivity'!$CN$9),sensitivity!$D97:'sensitivity'!$CN97)</f>
        <v>#REF!</v>
      </c>
      <c r="U97" s="95" t="e">
        <f>SUMPRODUCT(--(U$9=sensitivity!$D$9:'sensitivity'!$CN$9),sensitivity!$D97:'sensitivity'!$CN97)</f>
        <v>#REF!</v>
      </c>
      <c r="V97" s="95" t="e">
        <f>SUMPRODUCT(--(V$9=sensitivity!$D$9:'sensitivity'!$CN$9),sensitivity!$D97:'sensitivity'!$CN97)</f>
        <v>#REF!</v>
      </c>
      <c r="W97" s="95" t="e">
        <f>SUMPRODUCT(--(W$9=sensitivity!$D$9:'sensitivity'!$CN$9),sensitivity!$D97:'sensitivity'!$CN97)</f>
        <v>#REF!</v>
      </c>
      <c r="X97" s="95" t="e">
        <f>SUMPRODUCT(--(X$9=sensitivity!$D$9:'sensitivity'!$CN$9),sensitivity!$D97:'sensitivity'!$CN97)</f>
        <v>#REF!</v>
      </c>
      <c r="Y97" s="95" t="e">
        <f>SUMPRODUCT(--(Y$9=sensitivity!$D$9:'sensitivity'!$CN$9),sensitivity!$D97:'sensitivity'!$CN97)</f>
        <v>#REF!</v>
      </c>
      <c r="Z97" s="95" t="e">
        <f>SUMPRODUCT(--(Z$9=sensitivity!$D$9:'sensitivity'!$CN$9),sensitivity!$D97:'sensitivity'!$CN97)</f>
        <v>#REF!</v>
      </c>
      <c r="AA97" s="95"/>
    </row>
    <row r="98" spans="1:27" ht="13">
      <c r="A98" s="90"/>
      <c r="B98" s="93"/>
      <c r="C98" s="90"/>
      <c r="D98" s="92">
        <f>sensitivity!D98</f>
        <v>0</v>
      </c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</row>
    <row r="99" spans="1:27" ht="13">
      <c r="A99" s="90"/>
      <c r="B99" s="96" t="s">
        <v>191</v>
      </c>
      <c r="C99" s="96" t="e">
        <f>AA83</f>
        <v>#REF!</v>
      </c>
      <c r="D99" s="92">
        <f>sensitivity!D99</f>
        <v>0</v>
      </c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</row>
    <row r="100" spans="1:27" ht="13">
      <c r="A100" s="90"/>
      <c r="B100" s="96" t="s">
        <v>192</v>
      </c>
      <c r="C100" s="96" t="e">
        <f>SUM(D100:AA100)</f>
        <v>#REF!</v>
      </c>
      <c r="D100" s="92" t="e">
        <f>sensitivity!D100</f>
        <v>#REF!</v>
      </c>
      <c r="E100" s="90" t="e">
        <f t="shared" ref="E100:AA100" si="17">E87+E83</f>
        <v>#REF!</v>
      </c>
      <c r="F100" s="90" t="e">
        <f t="shared" si="17"/>
        <v>#REF!</v>
      </c>
      <c r="G100" s="90" t="e">
        <f t="shared" si="17"/>
        <v>#REF!</v>
      </c>
      <c r="H100" s="90" t="e">
        <f t="shared" si="17"/>
        <v>#REF!</v>
      </c>
      <c r="I100" s="90" t="e">
        <f t="shared" si="17"/>
        <v>#REF!</v>
      </c>
      <c r="J100" s="90" t="e">
        <f t="shared" si="17"/>
        <v>#REF!</v>
      </c>
      <c r="K100" s="90" t="e">
        <f t="shared" si="17"/>
        <v>#REF!</v>
      </c>
      <c r="L100" s="90" t="e">
        <f t="shared" si="17"/>
        <v>#REF!</v>
      </c>
      <c r="M100" s="90" t="e">
        <f t="shared" si="17"/>
        <v>#REF!</v>
      </c>
      <c r="N100" s="90" t="e">
        <f t="shared" si="17"/>
        <v>#REF!</v>
      </c>
      <c r="O100" s="90" t="e">
        <f t="shared" si="17"/>
        <v>#REF!</v>
      </c>
      <c r="P100" s="90" t="e">
        <f t="shared" si="17"/>
        <v>#REF!</v>
      </c>
      <c r="Q100" s="90" t="e">
        <f t="shared" si="17"/>
        <v>#REF!</v>
      </c>
      <c r="R100" s="90" t="e">
        <f t="shared" si="17"/>
        <v>#REF!</v>
      </c>
      <c r="S100" s="90" t="e">
        <f t="shared" si="17"/>
        <v>#REF!</v>
      </c>
      <c r="T100" s="90" t="e">
        <f t="shared" si="17"/>
        <v>#REF!</v>
      </c>
      <c r="U100" s="90" t="e">
        <f t="shared" si="17"/>
        <v>#REF!</v>
      </c>
      <c r="V100" s="90" t="e">
        <f t="shared" si="17"/>
        <v>#REF!</v>
      </c>
      <c r="W100" s="90" t="e">
        <f t="shared" si="17"/>
        <v>#REF!</v>
      </c>
      <c r="X100" s="90" t="e">
        <f t="shared" si="17"/>
        <v>#REF!</v>
      </c>
      <c r="Y100" s="90" t="e">
        <f t="shared" si="17"/>
        <v>#REF!</v>
      </c>
      <c r="Z100" s="90" t="e">
        <f t="shared" si="17"/>
        <v>#REF!</v>
      </c>
      <c r="AA100" s="90" t="e">
        <f t="shared" si="17"/>
        <v>#REF!</v>
      </c>
    </row>
    <row r="101" spans="1:27" ht="13">
      <c r="A101" s="90"/>
      <c r="B101" s="96" t="s">
        <v>193</v>
      </c>
      <c r="C101" s="96" t="e">
        <f>AA101</f>
        <v>#REF!</v>
      </c>
      <c r="D101" s="92" t="e">
        <f>sensitivity!D101</f>
        <v>#REF!</v>
      </c>
      <c r="E101" s="90" t="e">
        <f>D101+E100</f>
        <v>#REF!</v>
      </c>
      <c r="F101" s="90" t="e">
        <f t="shared" ref="F101:AA101" si="18">E101+F100</f>
        <v>#REF!</v>
      </c>
      <c r="G101" s="90" t="e">
        <f t="shared" si="18"/>
        <v>#REF!</v>
      </c>
      <c r="H101" s="90" t="e">
        <f t="shared" si="18"/>
        <v>#REF!</v>
      </c>
      <c r="I101" s="90" t="e">
        <f t="shared" si="18"/>
        <v>#REF!</v>
      </c>
      <c r="J101" s="90" t="e">
        <f t="shared" si="18"/>
        <v>#REF!</v>
      </c>
      <c r="K101" s="90" t="e">
        <f t="shared" si="18"/>
        <v>#REF!</v>
      </c>
      <c r="L101" s="90" t="e">
        <f t="shared" si="18"/>
        <v>#REF!</v>
      </c>
      <c r="M101" s="90" t="e">
        <f t="shared" si="18"/>
        <v>#REF!</v>
      </c>
      <c r="N101" s="90" t="e">
        <f t="shared" si="18"/>
        <v>#REF!</v>
      </c>
      <c r="O101" s="90" t="e">
        <f t="shared" si="18"/>
        <v>#REF!</v>
      </c>
      <c r="P101" s="90" t="e">
        <f t="shared" si="18"/>
        <v>#REF!</v>
      </c>
      <c r="Q101" s="90" t="e">
        <f t="shared" si="18"/>
        <v>#REF!</v>
      </c>
      <c r="R101" s="90" t="e">
        <f t="shared" si="18"/>
        <v>#REF!</v>
      </c>
      <c r="S101" s="90" t="e">
        <f t="shared" si="18"/>
        <v>#REF!</v>
      </c>
      <c r="T101" s="90" t="e">
        <f t="shared" si="18"/>
        <v>#REF!</v>
      </c>
      <c r="U101" s="90" t="e">
        <f t="shared" si="18"/>
        <v>#REF!</v>
      </c>
      <c r="V101" s="90" t="e">
        <f t="shared" si="18"/>
        <v>#REF!</v>
      </c>
      <c r="W101" s="90" t="e">
        <f t="shared" si="18"/>
        <v>#REF!</v>
      </c>
      <c r="X101" s="90" t="e">
        <f t="shared" si="18"/>
        <v>#REF!</v>
      </c>
      <c r="Y101" s="90" t="e">
        <f t="shared" si="18"/>
        <v>#REF!</v>
      </c>
      <c r="Z101" s="90" t="e">
        <f t="shared" si="18"/>
        <v>#REF!</v>
      </c>
      <c r="AA101" s="90" t="e">
        <f t="shared" si="18"/>
        <v>#REF!</v>
      </c>
    </row>
    <row r="102" spans="1:27" ht="13">
      <c r="A102" s="90"/>
      <c r="B102" s="96" t="s">
        <v>194</v>
      </c>
      <c r="C102" s="96" t="e">
        <f>SUM(sensitivity!D102:'sensitivity'!CO102)</f>
        <v>#REF!</v>
      </c>
      <c r="D102" s="92" t="e">
        <f>sensitivity!D102</f>
        <v>#REF!</v>
      </c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</row>
    <row r="103" spans="1:27" ht="13">
      <c r="A103" s="90"/>
      <c r="B103" s="96" t="s">
        <v>195</v>
      </c>
      <c r="C103" s="96" t="e">
        <f>sensitivity!CO103</f>
        <v>#REF!</v>
      </c>
      <c r="D103" s="92" t="e">
        <f>sensitivity!D103</f>
        <v>#REF!</v>
      </c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</row>
    <row r="104" spans="1:27" ht="13">
      <c r="A104" s="90"/>
      <c r="B104" s="96" t="s">
        <v>196</v>
      </c>
      <c r="C104" s="96" t="e">
        <f>sensitivity!D100+NPV(Assump!D11,sensitivity!E100:CN100)+sensitivity!CO102</f>
        <v>#REF!</v>
      </c>
      <c r="D104" s="92">
        <f>sensitivity!D104</f>
        <v>0</v>
      </c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</row>
    <row r="105" spans="1:27" ht="13">
      <c r="A105" s="90"/>
      <c r="B105" s="408" t="s">
        <v>605</v>
      </c>
      <c r="C105" s="97" t="e">
        <f>IRR(D100:AA100)</f>
        <v>#VALUE!</v>
      </c>
      <c r="D105" s="92" t="e">
        <f>sensitivity!D105</f>
        <v>#VALUE!</v>
      </c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</row>
    <row r="106" spans="1:27" ht="13">
      <c r="A106" s="90"/>
      <c r="B106" s="96" t="s">
        <v>199</v>
      </c>
      <c r="C106" s="101" t="e">
        <f>(NPV(Assump!D11,sensitivity!E83:CN83)+sensitivity!D83+sensitivity!CO102)/-(NPV(Assump!D11,sensitivity!E87:Z87)+sensitivity!D87)</f>
        <v>#REF!</v>
      </c>
      <c r="D106" s="92">
        <f>sensitivity!D106</f>
        <v>0</v>
      </c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</row>
    <row r="107" spans="1:27" ht="13">
      <c r="A107" s="90"/>
      <c r="B107" s="96" t="s">
        <v>200</v>
      </c>
      <c r="C107" s="96">
        <f>(COUNTIF(sensitivity!D101:CN101,"&lt;0")+1)/4</f>
        <v>0.25</v>
      </c>
      <c r="D107" s="92">
        <f>sensitivity!D107</f>
        <v>0</v>
      </c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</row>
    <row r="108" spans="1:27" ht="13">
      <c r="A108" s="90"/>
      <c r="B108" s="96" t="s">
        <v>201</v>
      </c>
      <c r="C108" s="96" t="e">
        <f>IF(sensitivity!C104&lt;0,"выходит за рамки модели",(COUNTIF(sensitivity!D103:CN103,"&lt;0")+1)/4)</f>
        <v>#REF!</v>
      </c>
      <c r="D108" s="92">
        <f>sensitivity!D108</f>
        <v>0</v>
      </c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</row>
    <row r="109" spans="1:27" ht="13">
      <c r="A109" s="90"/>
      <c r="B109" s="102" t="s">
        <v>202</v>
      </c>
      <c r="C109" s="102" t="e">
        <f>SUM(D109:AA109)</f>
        <v>#REF!</v>
      </c>
      <c r="D109" s="90" t="e">
        <f>sensitivity!D109</f>
        <v>#REF!</v>
      </c>
      <c r="E109" s="90" t="e">
        <f t="shared" ref="E109:AA109" si="19">E87*$C$200+(E83+E92+E93)</f>
        <v>#REF!</v>
      </c>
      <c r="F109" s="90" t="e">
        <f t="shared" si="19"/>
        <v>#REF!</v>
      </c>
      <c r="G109" s="90" t="e">
        <f t="shared" si="19"/>
        <v>#REF!</v>
      </c>
      <c r="H109" s="90" t="e">
        <f t="shared" si="19"/>
        <v>#REF!</v>
      </c>
      <c r="I109" s="90" t="e">
        <f t="shared" si="19"/>
        <v>#REF!</v>
      </c>
      <c r="J109" s="90" t="e">
        <f t="shared" si="19"/>
        <v>#REF!</v>
      </c>
      <c r="K109" s="90" t="e">
        <f t="shared" si="19"/>
        <v>#REF!</v>
      </c>
      <c r="L109" s="90" t="e">
        <f t="shared" si="19"/>
        <v>#REF!</v>
      </c>
      <c r="M109" s="90" t="e">
        <f t="shared" si="19"/>
        <v>#REF!</v>
      </c>
      <c r="N109" s="90" t="e">
        <f t="shared" si="19"/>
        <v>#REF!</v>
      </c>
      <c r="O109" s="90" t="e">
        <f t="shared" si="19"/>
        <v>#REF!</v>
      </c>
      <c r="P109" s="90" t="e">
        <f t="shared" si="19"/>
        <v>#REF!</v>
      </c>
      <c r="Q109" s="90" t="e">
        <f t="shared" si="19"/>
        <v>#REF!</v>
      </c>
      <c r="R109" s="90" t="e">
        <f t="shared" si="19"/>
        <v>#REF!</v>
      </c>
      <c r="S109" s="90" t="e">
        <f t="shared" si="19"/>
        <v>#REF!</v>
      </c>
      <c r="T109" s="90" t="e">
        <f t="shared" si="19"/>
        <v>#REF!</v>
      </c>
      <c r="U109" s="90" t="e">
        <f t="shared" si="19"/>
        <v>#REF!</v>
      </c>
      <c r="V109" s="90" t="e">
        <f t="shared" si="19"/>
        <v>#REF!</v>
      </c>
      <c r="W109" s="90" t="e">
        <f t="shared" si="19"/>
        <v>#REF!</v>
      </c>
      <c r="X109" s="90" t="e">
        <f t="shared" si="19"/>
        <v>#REF!</v>
      </c>
      <c r="Y109" s="90" t="e">
        <f t="shared" si="19"/>
        <v>#REF!</v>
      </c>
      <c r="Z109" s="90" t="e">
        <f t="shared" si="19"/>
        <v>#REF!</v>
      </c>
      <c r="AA109" s="90" t="e">
        <f t="shared" si="19"/>
        <v>#REF!</v>
      </c>
    </row>
    <row r="110" spans="1:27" ht="13">
      <c r="A110" s="90"/>
      <c r="B110" s="102" t="s">
        <v>203</v>
      </c>
      <c r="C110" s="102" t="e">
        <f>sensitivity!CO110</f>
        <v>#REF!</v>
      </c>
      <c r="D110" s="92" t="e">
        <f>sensitivity!D110</f>
        <v>#REF!</v>
      </c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</row>
    <row r="111" spans="1:27" ht="13">
      <c r="A111" s="90"/>
      <c r="B111" s="102" t="s">
        <v>204</v>
      </c>
      <c r="C111" s="102" t="e">
        <f>SUM(sensitivity!D111:CO111)</f>
        <v>#REF!</v>
      </c>
      <c r="D111" s="92" t="e">
        <f>sensitivity!D111</f>
        <v>#REF!</v>
      </c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</row>
    <row r="112" spans="1:27" ht="13">
      <c r="A112" s="90"/>
      <c r="B112" s="102" t="s">
        <v>205</v>
      </c>
      <c r="C112" s="102" t="e">
        <f>sensitivity!CO112</f>
        <v>#REF!</v>
      </c>
      <c r="D112" s="92" t="e">
        <f>sensitivity!D112</f>
        <v>#REF!</v>
      </c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</row>
    <row r="113" spans="1:27" ht="13">
      <c r="A113" s="90"/>
      <c r="B113" s="102" t="s">
        <v>206</v>
      </c>
      <c r="C113" s="102" t="e">
        <f>sensitivity!D109+NPV(DiscRate!G20/4,sensitivity!E109:CN109)+sensitivity!CO111</f>
        <v>#REF!</v>
      </c>
      <c r="D113" s="92">
        <f>sensitivity!D113</f>
        <v>0</v>
      </c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</row>
    <row r="114" spans="1:27" ht="13">
      <c r="A114" s="90"/>
      <c r="B114" s="416" t="s">
        <v>606</v>
      </c>
      <c r="C114" s="103" t="e">
        <f>IRR(D109:AA109)</f>
        <v>#VALUE!</v>
      </c>
      <c r="D114" s="92" t="e">
        <f>sensitivity!D114</f>
        <v>#VALUE!</v>
      </c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</row>
    <row r="115" spans="1:27" ht="13">
      <c r="A115" s="90"/>
      <c r="B115" s="102" t="s">
        <v>208</v>
      </c>
      <c r="C115" s="102">
        <f>(COUNTIF(sensitivity!D110:CO110,"&lt;0")+1)/4</f>
        <v>0.25</v>
      </c>
      <c r="D115" s="92">
        <f>sensitivity!D115</f>
        <v>0</v>
      </c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</row>
    <row r="116" spans="1:27" ht="13">
      <c r="A116" s="90"/>
      <c r="B116" s="102" t="s">
        <v>209</v>
      </c>
      <c r="C116" s="102" t="e">
        <f>IF(sensitivity!C112&lt;0,"выходит за рамки модели",(COUNTIF(sensitivity!D112:CO112,"&lt;0")+1)/4)</f>
        <v>#REF!</v>
      </c>
      <c r="D116" s="92">
        <f>sensitivity!D116</f>
        <v>0</v>
      </c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</row>
    <row r="117" spans="1:27" ht="13">
      <c r="A117" s="90"/>
      <c r="B117" s="96" t="s">
        <v>210</v>
      </c>
      <c r="C117" s="96"/>
      <c r="D117" s="92" t="str">
        <f>sensitivity!D117</f>
        <v>-</v>
      </c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</row>
    <row r="118" spans="1:27" ht="13">
      <c r="A118" s="90"/>
      <c r="B118" s="96" t="s">
        <v>211</v>
      </c>
      <c r="C118" s="96"/>
      <c r="D118" s="92" t="e">
        <f>sensitivity!D118</f>
        <v>#REF!</v>
      </c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</row>
    <row r="119" spans="1:27" ht="13">
      <c r="A119" s="90"/>
      <c r="B119" s="96" t="s">
        <v>212</v>
      </c>
      <c r="C119" s="96"/>
      <c r="D119" s="92" t="e">
        <f>sensitivity!D119</f>
        <v>#REF!</v>
      </c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</row>
    <row r="120" spans="1:27" ht="13">
      <c r="A120" s="90"/>
      <c r="B120" s="96" t="s">
        <v>213</v>
      </c>
      <c r="C120" s="96"/>
      <c r="D120" s="92" t="str">
        <f>sensitivity!D120</f>
        <v>-</v>
      </c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</row>
    <row r="121" spans="1:27" ht="13">
      <c r="A121" s="90"/>
      <c r="B121" s="96" t="s">
        <v>214</v>
      </c>
      <c r="C121" s="96"/>
      <c r="D121" s="92" t="e">
        <f>sensitivity!D121</f>
        <v>#REF!</v>
      </c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</row>
    <row r="122" spans="1:27" ht="13">
      <c r="A122" s="90"/>
      <c r="B122" s="408" t="s">
        <v>215</v>
      </c>
      <c r="C122" s="96" t="e">
        <f>sensitivity!C122</f>
        <v>#REF!</v>
      </c>
      <c r="D122" s="92" t="e">
        <f>sensitivity!D122</f>
        <v>#REF!</v>
      </c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</row>
    <row r="123" spans="1:27" ht="13">
      <c r="A123" s="90"/>
      <c r="B123" s="96" t="s">
        <v>216</v>
      </c>
      <c r="C123" s="96"/>
      <c r="D123" s="92" t="str">
        <f>sensitivity!D123</f>
        <v>-</v>
      </c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</row>
    <row r="124" spans="1:27" ht="13">
      <c r="A124" s="90"/>
      <c r="B124" s="96" t="s">
        <v>217</v>
      </c>
      <c r="C124" s="96" t="e">
        <f>SUM(sensitivity!D124:CN124)</f>
        <v>#REF!</v>
      </c>
      <c r="D124" s="92" t="e">
        <f>sensitivity!D124</f>
        <v>#REF!</v>
      </c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</row>
    <row r="125" spans="1:27" ht="13">
      <c r="A125" s="90"/>
      <c r="B125" s="96" t="s">
        <v>218</v>
      </c>
      <c r="C125" s="96" t="e">
        <f>sensitivity!D124+NPV(Assump!D12,sensitivity!E124:CN124)</f>
        <v>#REF!</v>
      </c>
      <c r="D125" s="92">
        <f>sensitivity!D125</f>
        <v>0</v>
      </c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</row>
    <row r="126" spans="1:27" ht="13">
      <c r="A126" s="90"/>
      <c r="B126" s="96" t="s">
        <v>219</v>
      </c>
      <c r="C126" s="96" t="e">
        <f>SUM(sensitivity!D126:CN126)</f>
        <v>#REF!</v>
      </c>
      <c r="D126" s="92">
        <f>sensitivity!D126</f>
        <v>0</v>
      </c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</row>
    <row r="127" spans="1:27" ht="13">
      <c r="A127" s="90"/>
      <c r="B127" s="96" t="s">
        <v>220</v>
      </c>
      <c r="C127" s="96" t="e">
        <f>sensitivity!D126+NPV(Assump!D12,sensitivity!E126:CN126)</f>
        <v>#REF!</v>
      </c>
      <c r="D127" s="92">
        <f>sensitivity!D127</f>
        <v>0</v>
      </c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</row>
    <row r="128" spans="1:27" ht="13">
      <c r="A128" s="90"/>
      <c r="B128" s="96" t="s">
        <v>221</v>
      </c>
      <c r="C128" s="96" t="e">
        <f>C125-C126</f>
        <v>#REF!</v>
      </c>
      <c r="D128" s="90">
        <f>sensitivity!D128</f>
        <v>0</v>
      </c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</row>
    <row r="129" spans="1:27" ht="13">
      <c r="A129" s="35"/>
      <c r="B129" s="96" t="s">
        <v>222</v>
      </c>
      <c r="C129" s="107" t="e">
        <f>C125/C127</f>
        <v>#REF!</v>
      </c>
      <c r="D129" s="60">
        <f>sensitivity!D129</f>
        <v>0</v>
      </c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</row>
    <row r="130" spans="1:27" ht="13">
      <c r="A130" s="35"/>
      <c r="B130" s="90"/>
      <c r="C130" s="90"/>
      <c r="D130" s="60">
        <f>sensitivity!D130</f>
        <v>0</v>
      </c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</row>
    <row r="131" spans="1:27" ht="13" outlineLevel="1">
      <c r="A131" s="35"/>
      <c r="B131" s="35" t="s">
        <v>223</v>
      </c>
      <c r="C131" s="35"/>
      <c r="D131" s="60">
        <f>sensitivity!D131</f>
        <v>0</v>
      </c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</row>
    <row r="132" spans="1:27" ht="13" outlineLevel="1">
      <c r="A132" s="35"/>
      <c r="B132" s="37" t="s">
        <v>224</v>
      </c>
      <c r="C132" s="37"/>
      <c r="D132" s="60" t="e">
        <f>sensitivity!D132</f>
        <v>#REF!</v>
      </c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</row>
    <row r="133" spans="1:27" ht="13" outlineLevel="1">
      <c r="A133" s="35"/>
      <c r="B133" s="35"/>
      <c r="C133" s="35"/>
      <c r="D133" s="60">
        <f>sensitivity!D133</f>
        <v>0</v>
      </c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</row>
    <row r="134" spans="1:27" ht="13" outlineLevel="1">
      <c r="A134" s="35"/>
      <c r="B134" s="35" t="s">
        <v>164</v>
      </c>
      <c r="C134" s="35"/>
      <c r="D134" s="60">
        <f>sensitivity!D134</f>
        <v>0</v>
      </c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</row>
    <row r="135" spans="1:27" ht="13" outlineLevel="1">
      <c r="A135" s="35"/>
      <c r="B135" s="49" t="s">
        <v>160</v>
      </c>
      <c r="C135" s="50" t="e">
        <f t="shared" ref="C135:C141" si="20">SUM(D135:AA135)</f>
        <v>#REF!</v>
      </c>
      <c r="D135" s="53">
        <f>sensitivity!D135</f>
        <v>0</v>
      </c>
      <c r="E135" s="50" t="e">
        <f>SUMPRODUCT(--(E$8&lt;=sensitivity!$D$9:'sensitivity'!$CN$9),--(E$9&gt;=sensitivity!$D$9:'sensitivity'!$CN$9),sensitivity!$D135:'sensitivity'!$CN135)</f>
        <v>#REF!</v>
      </c>
      <c r="F135" s="50" t="e">
        <f>SUMPRODUCT(--(F$8&lt;=sensitivity!$D$9:'sensitivity'!$CN$9),--(F$9&gt;=sensitivity!$D$9:'sensitivity'!$CN$9),sensitivity!$D135:'sensitivity'!$CN135)</f>
        <v>#REF!</v>
      </c>
      <c r="G135" s="50" t="e">
        <f>SUMPRODUCT(--(G$8&lt;=sensitivity!$D$9:'sensitivity'!$CN$9),--(G$9&gt;=sensitivity!$D$9:'sensitivity'!$CN$9),sensitivity!$D135:'sensitivity'!$CN135)</f>
        <v>#REF!</v>
      </c>
      <c r="H135" s="50" t="e">
        <f>SUMPRODUCT(--(H$8&lt;=sensitivity!$D$9:'sensitivity'!$CN$9),--(H$9&gt;=sensitivity!$D$9:'sensitivity'!$CN$9),sensitivity!$D135:'sensitivity'!$CN135)</f>
        <v>#REF!</v>
      </c>
      <c r="I135" s="50" t="e">
        <f>SUMPRODUCT(--(I$8&lt;=sensitivity!$D$9:'sensitivity'!$CN$9),--(I$9&gt;=sensitivity!$D$9:'sensitivity'!$CN$9),sensitivity!$D135:'sensitivity'!$CN135)</f>
        <v>#REF!</v>
      </c>
      <c r="J135" s="50" t="e">
        <f>SUMPRODUCT(--(J$8&lt;=sensitivity!$D$9:'sensitivity'!$CN$9),--(J$9&gt;=sensitivity!$D$9:'sensitivity'!$CN$9),sensitivity!$D135:'sensitivity'!$CN135)</f>
        <v>#REF!</v>
      </c>
      <c r="K135" s="50" t="e">
        <f>SUMPRODUCT(--(K$8&lt;=sensitivity!$D$9:'sensitivity'!$CN$9),--(K$9&gt;=sensitivity!$D$9:'sensitivity'!$CN$9),sensitivity!$D135:'sensitivity'!$CN135)</f>
        <v>#REF!</v>
      </c>
      <c r="L135" s="50" t="e">
        <f>SUMPRODUCT(--(L$8&lt;=sensitivity!$D$9:'sensitivity'!$CN$9),--(L$9&gt;=sensitivity!$D$9:'sensitivity'!$CN$9),sensitivity!$D135:'sensitivity'!$CN135)</f>
        <v>#REF!</v>
      </c>
      <c r="M135" s="50" t="e">
        <f>SUMPRODUCT(--(M$8&lt;=sensitivity!$D$9:'sensitivity'!$CN$9),--(M$9&gt;=sensitivity!$D$9:'sensitivity'!$CN$9),sensitivity!$D135:'sensitivity'!$CN135)</f>
        <v>#REF!</v>
      </c>
      <c r="N135" s="50" t="e">
        <f>SUMPRODUCT(--(N$8&lt;=sensitivity!$D$9:'sensitivity'!$CN$9),--(N$9&gt;=sensitivity!$D$9:'sensitivity'!$CN$9),sensitivity!$D135:'sensitivity'!$CN135)</f>
        <v>#REF!</v>
      </c>
      <c r="O135" s="50" t="e">
        <f>SUMPRODUCT(--(O$8&lt;=sensitivity!$D$9:'sensitivity'!$CN$9),--(O$9&gt;=sensitivity!$D$9:'sensitivity'!$CN$9),sensitivity!$D135:'sensitivity'!$CN135)</f>
        <v>#REF!</v>
      </c>
      <c r="P135" s="50" t="e">
        <f>SUMPRODUCT(--(P$8&lt;=sensitivity!$D$9:'sensitivity'!$CN$9),--(P$9&gt;=sensitivity!$D$9:'sensitivity'!$CN$9),sensitivity!$D135:'sensitivity'!$CN135)</f>
        <v>#REF!</v>
      </c>
      <c r="Q135" s="50" t="e">
        <f>SUMPRODUCT(--(Q$8&lt;=sensitivity!$D$9:'sensitivity'!$CN$9),--(Q$9&gt;=sensitivity!$D$9:'sensitivity'!$CN$9),sensitivity!$D135:'sensitivity'!$CN135)</f>
        <v>#REF!</v>
      </c>
      <c r="R135" s="50" t="e">
        <f>SUMPRODUCT(--(R$8&lt;=sensitivity!$D$9:'sensitivity'!$CN$9),--(R$9&gt;=sensitivity!$D$9:'sensitivity'!$CN$9),sensitivity!$D135:'sensitivity'!$CN135)</f>
        <v>#REF!</v>
      </c>
      <c r="S135" s="50" t="e">
        <f>SUMPRODUCT(--(S$8&lt;=sensitivity!$D$9:'sensitivity'!$CN$9),--(S$9&gt;=sensitivity!$D$9:'sensitivity'!$CN$9),sensitivity!$D135:'sensitivity'!$CN135)</f>
        <v>#REF!</v>
      </c>
      <c r="T135" s="50" t="e">
        <f>SUMPRODUCT(--(T$8&lt;=sensitivity!$D$9:'sensitivity'!$CN$9),--(T$9&gt;=sensitivity!$D$9:'sensitivity'!$CN$9),sensitivity!$D135:'sensitivity'!$CN135)</f>
        <v>#REF!</v>
      </c>
      <c r="U135" s="50" t="e">
        <f>SUMPRODUCT(--(U$8&lt;=sensitivity!$D$9:'sensitivity'!$CN$9),--(U$9&gt;=sensitivity!$D$9:'sensitivity'!$CN$9),sensitivity!$D135:'sensitivity'!$CN135)</f>
        <v>#REF!</v>
      </c>
      <c r="V135" s="50" t="e">
        <f>SUMPRODUCT(--(V$8&lt;=sensitivity!$D$9:'sensitivity'!$CN$9),--(V$9&gt;=sensitivity!$D$9:'sensitivity'!$CN$9),sensitivity!$D135:'sensitivity'!$CN135)</f>
        <v>#REF!</v>
      </c>
      <c r="W135" s="50" t="e">
        <f>SUMPRODUCT(--(W$8&lt;=sensitivity!$D$9:'sensitivity'!$CN$9),--(W$9&gt;=sensitivity!$D$9:'sensitivity'!$CN$9),sensitivity!$D135:'sensitivity'!$CN135)</f>
        <v>#REF!</v>
      </c>
      <c r="X135" s="50" t="e">
        <f>SUMPRODUCT(--(X$8&lt;=sensitivity!$D$9:'sensitivity'!$CN$9),--(X$9&gt;=sensitivity!$D$9:'sensitivity'!$CN$9),sensitivity!$D135:'sensitivity'!$CN135)</f>
        <v>#REF!</v>
      </c>
      <c r="Y135" s="50" t="e">
        <f>SUMPRODUCT(--(Y$8&lt;=sensitivity!$D$9:'sensitivity'!$CN$9),--(Y$9&gt;=sensitivity!$D$9:'sensitivity'!$CN$9),sensitivity!$D135:'sensitivity'!$CN135)</f>
        <v>#REF!</v>
      </c>
      <c r="Z135" s="50" t="e">
        <f>SUMPRODUCT(--(Z$8&lt;=sensitivity!$D$9:'sensitivity'!$CN$9),--(Z$9&gt;=sensitivity!$D$9:'sensitivity'!$CN$9),sensitivity!$D135:'sensitivity'!$CN135)</f>
        <v>#REF!</v>
      </c>
      <c r="AA135" s="50"/>
    </row>
    <row r="136" spans="1:27" ht="13" outlineLevel="1">
      <c r="A136" s="35"/>
      <c r="B136" s="63" t="s">
        <v>55</v>
      </c>
      <c r="C136" s="35" t="e">
        <f t="shared" si="20"/>
        <v>#REF!</v>
      </c>
      <c r="D136" s="60">
        <f>sensitivity!D136</f>
        <v>0</v>
      </c>
      <c r="E136" s="35" t="e">
        <f>SUMPRODUCT(--(E$8&lt;=sensitivity!$D$9:'sensitivity'!$CN$9),--(E$9&gt;=sensitivity!$D$9:'sensitivity'!$CN$9),sensitivity!$D136:'sensitivity'!$CN136)</f>
        <v>#REF!</v>
      </c>
      <c r="F136" s="35" t="e">
        <f>SUMPRODUCT(--(F$8&lt;=sensitivity!$D$9:'sensitivity'!$CN$9),--(F$9&gt;=sensitivity!$D$9:'sensitivity'!$CN$9),sensitivity!$D136:'sensitivity'!$CN136)</f>
        <v>#REF!</v>
      </c>
      <c r="G136" s="35" t="e">
        <f>SUMPRODUCT(--(G$8&lt;=sensitivity!$D$9:'sensitivity'!$CN$9),--(G$9&gt;=sensitivity!$D$9:'sensitivity'!$CN$9),sensitivity!$D136:'sensitivity'!$CN136)</f>
        <v>#REF!</v>
      </c>
      <c r="H136" s="35" t="e">
        <f>SUMPRODUCT(--(H$8&lt;=sensitivity!$D$9:'sensitivity'!$CN$9),--(H$9&gt;=sensitivity!$D$9:'sensitivity'!$CN$9),sensitivity!$D136:'sensitivity'!$CN136)</f>
        <v>#REF!</v>
      </c>
      <c r="I136" s="35" t="e">
        <f>SUMPRODUCT(--(I$8&lt;=sensitivity!$D$9:'sensitivity'!$CN$9),--(I$9&gt;=sensitivity!$D$9:'sensitivity'!$CN$9),sensitivity!$D136:'sensitivity'!$CN136)</f>
        <v>#REF!</v>
      </c>
      <c r="J136" s="35" t="e">
        <f>SUMPRODUCT(--(J$8&lt;=sensitivity!$D$9:'sensitivity'!$CN$9),--(J$9&gt;=sensitivity!$D$9:'sensitivity'!$CN$9),sensitivity!$D136:'sensitivity'!$CN136)</f>
        <v>#REF!</v>
      </c>
      <c r="K136" s="35" t="e">
        <f>SUMPRODUCT(--(K$8&lt;=sensitivity!$D$9:'sensitivity'!$CN$9),--(K$9&gt;=sensitivity!$D$9:'sensitivity'!$CN$9),sensitivity!$D136:'sensitivity'!$CN136)</f>
        <v>#REF!</v>
      </c>
      <c r="L136" s="35" t="e">
        <f>SUMPRODUCT(--(L$8&lt;=sensitivity!$D$9:'sensitivity'!$CN$9),--(L$9&gt;=sensitivity!$D$9:'sensitivity'!$CN$9),sensitivity!$D136:'sensitivity'!$CN136)</f>
        <v>#REF!</v>
      </c>
      <c r="M136" s="35" t="e">
        <f>SUMPRODUCT(--(M$8&lt;=sensitivity!$D$9:'sensitivity'!$CN$9),--(M$9&gt;=sensitivity!$D$9:'sensitivity'!$CN$9),sensitivity!$D136:'sensitivity'!$CN136)</f>
        <v>#REF!</v>
      </c>
      <c r="N136" s="35" t="e">
        <f>SUMPRODUCT(--(N$8&lt;=sensitivity!$D$9:'sensitivity'!$CN$9),--(N$9&gt;=sensitivity!$D$9:'sensitivity'!$CN$9),sensitivity!$D136:'sensitivity'!$CN136)</f>
        <v>#REF!</v>
      </c>
      <c r="O136" s="35" t="e">
        <f>SUMPRODUCT(--(O$8&lt;=sensitivity!$D$9:'sensitivity'!$CN$9),--(O$9&gt;=sensitivity!$D$9:'sensitivity'!$CN$9),sensitivity!$D136:'sensitivity'!$CN136)</f>
        <v>#REF!</v>
      </c>
      <c r="P136" s="35" t="e">
        <f>SUMPRODUCT(--(P$8&lt;=sensitivity!$D$9:'sensitivity'!$CN$9),--(P$9&gt;=sensitivity!$D$9:'sensitivity'!$CN$9),sensitivity!$D136:'sensitivity'!$CN136)</f>
        <v>#REF!</v>
      </c>
      <c r="Q136" s="35" t="e">
        <f>SUMPRODUCT(--(Q$8&lt;=sensitivity!$D$9:'sensitivity'!$CN$9),--(Q$9&gt;=sensitivity!$D$9:'sensitivity'!$CN$9),sensitivity!$D136:'sensitivity'!$CN136)</f>
        <v>#REF!</v>
      </c>
      <c r="R136" s="35" t="e">
        <f>SUMPRODUCT(--(R$8&lt;=sensitivity!$D$9:'sensitivity'!$CN$9),--(R$9&gt;=sensitivity!$D$9:'sensitivity'!$CN$9),sensitivity!$D136:'sensitivity'!$CN136)</f>
        <v>#REF!</v>
      </c>
      <c r="S136" s="35" t="e">
        <f>SUMPRODUCT(--(S$8&lt;=sensitivity!$D$9:'sensitivity'!$CN$9),--(S$9&gt;=sensitivity!$D$9:'sensitivity'!$CN$9),sensitivity!$D136:'sensitivity'!$CN136)</f>
        <v>#REF!</v>
      </c>
      <c r="T136" s="35" t="e">
        <f>SUMPRODUCT(--(T$8&lt;=sensitivity!$D$9:'sensitivity'!$CN$9),--(T$9&gt;=sensitivity!$D$9:'sensitivity'!$CN$9),sensitivity!$D136:'sensitivity'!$CN136)</f>
        <v>#REF!</v>
      </c>
      <c r="U136" s="35" t="e">
        <f>SUMPRODUCT(--(U$8&lt;=sensitivity!$D$9:'sensitivity'!$CN$9),--(U$9&gt;=sensitivity!$D$9:'sensitivity'!$CN$9),sensitivity!$D136:'sensitivity'!$CN136)</f>
        <v>#REF!</v>
      </c>
      <c r="V136" s="35" t="e">
        <f>SUMPRODUCT(--(V$8&lt;=sensitivity!$D$9:'sensitivity'!$CN$9),--(V$9&gt;=sensitivity!$D$9:'sensitivity'!$CN$9),sensitivity!$D136:'sensitivity'!$CN136)</f>
        <v>#REF!</v>
      </c>
      <c r="W136" s="35" t="e">
        <f>SUMPRODUCT(--(W$8&lt;=sensitivity!$D$9:'sensitivity'!$CN$9),--(W$9&gt;=sensitivity!$D$9:'sensitivity'!$CN$9),sensitivity!$D136:'sensitivity'!$CN136)</f>
        <v>#REF!</v>
      </c>
      <c r="X136" s="35" t="e">
        <f>SUMPRODUCT(--(X$8&lt;=sensitivity!$D$9:'sensitivity'!$CN$9),--(X$9&gt;=sensitivity!$D$9:'sensitivity'!$CN$9),sensitivity!$D136:'sensitivity'!$CN136)</f>
        <v>#REF!</v>
      </c>
      <c r="Y136" s="35" t="e">
        <f>SUMPRODUCT(--(Y$8&lt;=sensitivity!$D$9:'sensitivity'!$CN$9),--(Y$9&gt;=sensitivity!$D$9:'sensitivity'!$CN$9),sensitivity!$D136:'sensitivity'!$CN136)</f>
        <v>#REF!</v>
      </c>
      <c r="Z136" s="35" t="e">
        <f>SUMPRODUCT(--(Z$8&lt;=sensitivity!$D$9:'sensitivity'!$CN$9),--(Z$9&gt;=sensitivity!$D$9:'sensitivity'!$CN$9),sensitivity!$D136:'sensitivity'!$CN136)</f>
        <v>#REF!</v>
      </c>
      <c r="AA136" s="35"/>
    </row>
    <row r="137" spans="1:27" ht="13" outlineLevel="1">
      <c r="A137" s="35"/>
      <c r="B137" s="63" t="s">
        <v>162</v>
      </c>
      <c r="C137" s="35" t="e">
        <f t="shared" si="20"/>
        <v>#REF!</v>
      </c>
      <c r="D137" s="60">
        <f>sensitivity!D137</f>
        <v>0</v>
      </c>
      <c r="E137" s="35" t="e">
        <f>SUMPRODUCT(--(E$8&lt;=sensitivity!$D$9:'sensitivity'!$CN$9),--(E$9&gt;=sensitivity!$D$9:'sensitivity'!$CN$9),sensitivity!$D137:'sensitivity'!$CN137)</f>
        <v>#REF!</v>
      </c>
      <c r="F137" s="35" t="e">
        <f>SUMPRODUCT(--(F$8&lt;=sensitivity!$D$9:'sensitivity'!$CN$9),--(F$9&gt;=sensitivity!$D$9:'sensitivity'!$CN$9),sensitivity!$D137:'sensitivity'!$CN137)</f>
        <v>#REF!</v>
      </c>
      <c r="G137" s="35" t="e">
        <f>SUMPRODUCT(--(G$8&lt;=sensitivity!$D$9:'sensitivity'!$CN$9),--(G$9&gt;=sensitivity!$D$9:'sensitivity'!$CN$9),sensitivity!$D137:'sensitivity'!$CN137)</f>
        <v>#REF!</v>
      </c>
      <c r="H137" s="35" t="e">
        <f>SUMPRODUCT(--(H$8&lt;=sensitivity!$D$9:'sensitivity'!$CN$9),--(H$9&gt;=sensitivity!$D$9:'sensitivity'!$CN$9),sensitivity!$D137:'sensitivity'!$CN137)</f>
        <v>#REF!</v>
      </c>
      <c r="I137" s="35" t="e">
        <f>SUMPRODUCT(--(I$8&lt;=sensitivity!$D$9:'sensitivity'!$CN$9),--(I$9&gt;=sensitivity!$D$9:'sensitivity'!$CN$9),sensitivity!$D137:'sensitivity'!$CN137)</f>
        <v>#REF!</v>
      </c>
      <c r="J137" s="35" t="e">
        <f>SUMPRODUCT(--(J$8&lt;=sensitivity!$D$9:'sensitivity'!$CN$9),--(J$9&gt;=sensitivity!$D$9:'sensitivity'!$CN$9),sensitivity!$D137:'sensitivity'!$CN137)</f>
        <v>#REF!</v>
      </c>
      <c r="K137" s="35" t="e">
        <f>SUMPRODUCT(--(K$8&lt;=sensitivity!$D$9:'sensitivity'!$CN$9),--(K$9&gt;=sensitivity!$D$9:'sensitivity'!$CN$9),sensitivity!$D137:'sensitivity'!$CN137)</f>
        <v>#REF!</v>
      </c>
      <c r="L137" s="35" t="e">
        <f>SUMPRODUCT(--(L$8&lt;=sensitivity!$D$9:'sensitivity'!$CN$9),--(L$9&gt;=sensitivity!$D$9:'sensitivity'!$CN$9),sensitivity!$D137:'sensitivity'!$CN137)</f>
        <v>#REF!</v>
      </c>
      <c r="M137" s="35" t="e">
        <f>SUMPRODUCT(--(M$8&lt;=sensitivity!$D$9:'sensitivity'!$CN$9),--(M$9&gt;=sensitivity!$D$9:'sensitivity'!$CN$9),sensitivity!$D137:'sensitivity'!$CN137)</f>
        <v>#REF!</v>
      </c>
      <c r="N137" s="35" t="e">
        <f>SUMPRODUCT(--(N$8&lt;=sensitivity!$D$9:'sensitivity'!$CN$9),--(N$9&gt;=sensitivity!$D$9:'sensitivity'!$CN$9),sensitivity!$D137:'sensitivity'!$CN137)</f>
        <v>#REF!</v>
      </c>
      <c r="O137" s="35" t="e">
        <f>SUMPRODUCT(--(O$8&lt;=sensitivity!$D$9:'sensitivity'!$CN$9),--(O$9&gt;=sensitivity!$D$9:'sensitivity'!$CN$9),sensitivity!$D137:'sensitivity'!$CN137)</f>
        <v>#REF!</v>
      </c>
      <c r="P137" s="35" t="e">
        <f>SUMPRODUCT(--(P$8&lt;=sensitivity!$D$9:'sensitivity'!$CN$9),--(P$9&gt;=sensitivity!$D$9:'sensitivity'!$CN$9),sensitivity!$D137:'sensitivity'!$CN137)</f>
        <v>#REF!</v>
      </c>
      <c r="Q137" s="35" t="e">
        <f>SUMPRODUCT(--(Q$8&lt;=sensitivity!$D$9:'sensitivity'!$CN$9),--(Q$9&gt;=sensitivity!$D$9:'sensitivity'!$CN$9),sensitivity!$D137:'sensitivity'!$CN137)</f>
        <v>#REF!</v>
      </c>
      <c r="R137" s="35" t="e">
        <f>SUMPRODUCT(--(R$8&lt;=sensitivity!$D$9:'sensitivity'!$CN$9),--(R$9&gt;=sensitivity!$D$9:'sensitivity'!$CN$9),sensitivity!$D137:'sensitivity'!$CN137)</f>
        <v>#REF!</v>
      </c>
      <c r="S137" s="35" t="e">
        <f>SUMPRODUCT(--(S$8&lt;=sensitivity!$D$9:'sensitivity'!$CN$9),--(S$9&gt;=sensitivity!$D$9:'sensitivity'!$CN$9),sensitivity!$D137:'sensitivity'!$CN137)</f>
        <v>#REF!</v>
      </c>
      <c r="T137" s="35" t="e">
        <f>SUMPRODUCT(--(T$8&lt;=sensitivity!$D$9:'sensitivity'!$CN$9),--(T$9&gt;=sensitivity!$D$9:'sensitivity'!$CN$9),sensitivity!$D137:'sensitivity'!$CN137)</f>
        <v>#REF!</v>
      </c>
      <c r="U137" s="35" t="e">
        <f>SUMPRODUCT(--(U$8&lt;=sensitivity!$D$9:'sensitivity'!$CN$9),--(U$9&gt;=sensitivity!$D$9:'sensitivity'!$CN$9),sensitivity!$D137:'sensitivity'!$CN137)</f>
        <v>#REF!</v>
      </c>
      <c r="V137" s="35" t="e">
        <f>SUMPRODUCT(--(V$8&lt;=sensitivity!$D$9:'sensitivity'!$CN$9),--(V$9&gt;=sensitivity!$D$9:'sensitivity'!$CN$9),sensitivity!$D137:'sensitivity'!$CN137)</f>
        <v>#REF!</v>
      </c>
      <c r="W137" s="35" t="e">
        <f>SUMPRODUCT(--(W$8&lt;=sensitivity!$D$9:'sensitivity'!$CN$9),--(W$9&gt;=sensitivity!$D$9:'sensitivity'!$CN$9),sensitivity!$D137:'sensitivity'!$CN137)</f>
        <v>#REF!</v>
      </c>
      <c r="X137" s="35" t="e">
        <f>SUMPRODUCT(--(X$8&lt;=sensitivity!$D$9:'sensitivity'!$CN$9),--(X$9&gt;=sensitivity!$D$9:'sensitivity'!$CN$9),sensitivity!$D137:'sensitivity'!$CN137)</f>
        <v>#REF!</v>
      </c>
      <c r="Y137" s="35" t="e">
        <f>SUMPRODUCT(--(Y$8&lt;=sensitivity!$D$9:'sensitivity'!$CN$9),--(Y$9&gt;=sensitivity!$D$9:'sensitivity'!$CN$9),sensitivity!$D137:'sensitivity'!$CN137)</f>
        <v>#REF!</v>
      </c>
      <c r="Z137" s="35" t="e">
        <f>SUMPRODUCT(--(Z$8&lt;=sensitivity!$D$9:'sensitivity'!$CN$9),--(Z$9&gt;=sensitivity!$D$9:'sensitivity'!$CN$9),sensitivity!$D137:'sensitivity'!$CN137)</f>
        <v>#REF!</v>
      </c>
      <c r="AA137" s="35"/>
    </row>
    <row r="138" spans="1:27" ht="13" outlineLevel="1">
      <c r="A138" s="35"/>
      <c r="B138" s="70" t="s">
        <v>225</v>
      </c>
      <c r="C138" s="70" t="e">
        <f t="shared" si="20"/>
        <v>#REF!</v>
      </c>
      <c r="D138" s="71">
        <f>sensitivity!D138</f>
        <v>0</v>
      </c>
      <c r="E138" s="70" t="e">
        <f>SUMPRODUCT(--(E$8&lt;=sensitivity!$D$9:'sensitivity'!$CN$9),--(E$9&gt;=sensitivity!$D$9:'sensitivity'!$CN$9),sensitivity!$D138:'sensitivity'!$CN138)</f>
        <v>#REF!</v>
      </c>
      <c r="F138" s="70" t="e">
        <f>SUMPRODUCT(--(F$8&lt;=sensitivity!$D$9:'sensitivity'!$CN$9),--(F$9&gt;=sensitivity!$D$9:'sensitivity'!$CN$9),sensitivity!$D138:'sensitivity'!$CN138)</f>
        <v>#REF!</v>
      </c>
      <c r="G138" s="70" t="e">
        <f>SUMPRODUCT(--(G$8&lt;=sensitivity!$D$9:'sensitivity'!$CN$9),--(G$9&gt;=sensitivity!$D$9:'sensitivity'!$CN$9),sensitivity!$D138:'sensitivity'!$CN138)</f>
        <v>#REF!</v>
      </c>
      <c r="H138" s="70" t="e">
        <f>SUMPRODUCT(--(H$8&lt;=sensitivity!$D$9:'sensitivity'!$CN$9),--(H$9&gt;=sensitivity!$D$9:'sensitivity'!$CN$9),sensitivity!$D138:'sensitivity'!$CN138)</f>
        <v>#REF!</v>
      </c>
      <c r="I138" s="70" t="e">
        <f>SUMPRODUCT(--(I$8&lt;=sensitivity!$D$9:'sensitivity'!$CN$9),--(I$9&gt;=sensitivity!$D$9:'sensitivity'!$CN$9),sensitivity!$D138:'sensitivity'!$CN138)</f>
        <v>#REF!</v>
      </c>
      <c r="J138" s="70" t="e">
        <f>SUMPRODUCT(--(J$8&lt;=sensitivity!$D$9:'sensitivity'!$CN$9),--(J$9&gt;=sensitivity!$D$9:'sensitivity'!$CN$9),sensitivity!$D138:'sensitivity'!$CN138)</f>
        <v>#REF!</v>
      </c>
      <c r="K138" s="70" t="e">
        <f>SUMPRODUCT(--(K$8&lt;=sensitivity!$D$9:'sensitivity'!$CN$9),--(K$9&gt;=sensitivity!$D$9:'sensitivity'!$CN$9),sensitivity!$D138:'sensitivity'!$CN138)</f>
        <v>#REF!</v>
      </c>
      <c r="L138" s="70" t="e">
        <f>SUMPRODUCT(--(L$8&lt;=sensitivity!$D$9:'sensitivity'!$CN$9),--(L$9&gt;=sensitivity!$D$9:'sensitivity'!$CN$9),sensitivity!$D138:'sensitivity'!$CN138)</f>
        <v>#REF!</v>
      </c>
      <c r="M138" s="70" t="e">
        <f>SUMPRODUCT(--(M$8&lt;=sensitivity!$D$9:'sensitivity'!$CN$9),--(M$9&gt;=sensitivity!$D$9:'sensitivity'!$CN$9),sensitivity!$D138:'sensitivity'!$CN138)</f>
        <v>#REF!</v>
      </c>
      <c r="N138" s="70" t="e">
        <f>SUMPRODUCT(--(N$8&lt;=sensitivity!$D$9:'sensitivity'!$CN$9),--(N$9&gt;=sensitivity!$D$9:'sensitivity'!$CN$9),sensitivity!$D138:'sensitivity'!$CN138)</f>
        <v>#REF!</v>
      </c>
      <c r="O138" s="70" t="e">
        <f>SUMPRODUCT(--(O$8&lt;=sensitivity!$D$9:'sensitivity'!$CN$9),--(O$9&gt;=sensitivity!$D$9:'sensitivity'!$CN$9),sensitivity!$D138:'sensitivity'!$CN138)</f>
        <v>#REF!</v>
      </c>
      <c r="P138" s="70" t="e">
        <f>SUMPRODUCT(--(P$8&lt;=sensitivity!$D$9:'sensitivity'!$CN$9),--(P$9&gt;=sensitivity!$D$9:'sensitivity'!$CN$9),sensitivity!$D138:'sensitivity'!$CN138)</f>
        <v>#REF!</v>
      </c>
      <c r="Q138" s="70" t="e">
        <f>SUMPRODUCT(--(Q$8&lt;=sensitivity!$D$9:'sensitivity'!$CN$9),--(Q$9&gt;=sensitivity!$D$9:'sensitivity'!$CN$9),sensitivity!$D138:'sensitivity'!$CN138)</f>
        <v>#REF!</v>
      </c>
      <c r="R138" s="70" t="e">
        <f>SUMPRODUCT(--(R$8&lt;=sensitivity!$D$9:'sensitivity'!$CN$9),--(R$9&gt;=sensitivity!$D$9:'sensitivity'!$CN$9),sensitivity!$D138:'sensitivity'!$CN138)</f>
        <v>#REF!</v>
      </c>
      <c r="S138" s="70" t="e">
        <f>SUMPRODUCT(--(S$8&lt;=sensitivity!$D$9:'sensitivity'!$CN$9),--(S$9&gt;=sensitivity!$D$9:'sensitivity'!$CN$9),sensitivity!$D138:'sensitivity'!$CN138)</f>
        <v>#REF!</v>
      </c>
      <c r="T138" s="70" t="e">
        <f>SUMPRODUCT(--(T$8&lt;=sensitivity!$D$9:'sensitivity'!$CN$9),--(T$9&gt;=sensitivity!$D$9:'sensitivity'!$CN$9),sensitivity!$D138:'sensitivity'!$CN138)</f>
        <v>#REF!</v>
      </c>
      <c r="U138" s="70" t="e">
        <f>SUMPRODUCT(--(U$8&lt;=sensitivity!$D$9:'sensitivity'!$CN$9),--(U$9&gt;=sensitivity!$D$9:'sensitivity'!$CN$9),sensitivity!$D138:'sensitivity'!$CN138)</f>
        <v>#REF!</v>
      </c>
      <c r="V138" s="70" t="e">
        <f>SUMPRODUCT(--(V$8&lt;=sensitivity!$D$9:'sensitivity'!$CN$9),--(V$9&gt;=sensitivity!$D$9:'sensitivity'!$CN$9),sensitivity!$D138:'sensitivity'!$CN138)</f>
        <v>#REF!</v>
      </c>
      <c r="W138" s="70" t="e">
        <f>SUMPRODUCT(--(W$8&lt;=sensitivity!$D$9:'sensitivity'!$CN$9),--(W$9&gt;=sensitivity!$D$9:'sensitivity'!$CN$9),sensitivity!$D138:'sensitivity'!$CN138)</f>
        <v>#REF!</v>
      </c>
      <c r="X138" s="70" t="e">
        <f>SUMPRODUCT(--(X$8&lt;=sensitivity!$D$9:'sensitivity'!$CN$9),--(X$9&gt;=sensitivity!$D$9:'sensitivity'!$CN$9),sensitivity!$D138:'sensitivity'!$CN138)</f>
        <v>#REF!</v>
      </c>
      <c r="Y138" s="70" t="e">
        <f>SUMPRODUCT(--(Y$8&lt;=sensitivity!$D$9:'sensitivity'!$CN$9),--(Y$9&gt;=sensitivity!$D$9:'sensitivity'!$CN$9),sensitivity!$D138:'sensitivity'!$CN138)</f>
        <v>#REF!</v>
      </c>
      <c r="Z138" s="70" t="e">
        <f>SUMPRODUCT(--(Z$8&lt;=sensitivity!$D$9:'sensitivity'!$CN$9),--(Z$9&gt;=sensitivity!$D$9:'sensitivity'!$CN$9),sensitivity!$D138:'sensitivity'!$CN138)</f>
        <v>#REF!</v>
      </c>
      <c r="AA138" s="70"/>
    </row>
    <row r="139" spans="1:27" ht="13" outlineLevel="1">
      <c r="A139" s="35"/>
      <c r="B139" s="63" t="s">
        <v>226</v>
      </c>
      <c r="C139" s="35" t="e">
        <f t="shared" si="20"/>
        <v>#REF!</v>
      </c>
      <c r="D139" s="60">
        <f>sensitivity!D139</f>
        <v>0</v>
      </c>
      <c r="E139" s="35" t="e">
        <f>SUMPRODUCT(--(E$8&lt;=sensitivity!$D$9:'sensitivity'!$CN$9),--(E$9&gt;=sensitivity!$D$9:'sensitivity'!$CN$9),sensitivity!$D139:'sensitivity'!$CN139)</f>
        <v>#REF!</v>
      </c>
      <c r="F139" s="35" t="e">
        <f>SUMPRODUCT(--(F$8&lt;=sensitivity!$D$9:'sensitivity'!$CN$9),--(F$9&gt;=sensitivity!$D$9:'sensitivity'!$CN$9),sensitivity!$D139:'sensitivity'!$CN139)</f>
        <v>#REF!</v>
      </c>
      <c r="G139" s="35" t="e">
        <f>SUMPRODUCT(--(G$8&lt;=sensitivity!$D$9:'sensitivity'!$CN$9),--(G$9&gt;=sensitivity!$D$9:'sensitivity'!$CN$9),sensitivity!$D139:'sensitivity'!$CN139)</f>
        <v>#REF!</v>
      </c>
      <c r="H139" s="35" t="e">
        <f>SUMPRODUCT(--(H$8&lt;=sensitivity!$D$9:'sensitivity'!$CN$9),--(H$9&gt;=sensitivity!$D$9:'sensitivity'!$CN$9),sensitivity!$D139:'sensitivity'!$CN139)</f>
        <v>#REF!</v>
      </c>
      <c r="I139" s="35" t="e">
        <f>SUMPRODUCT(--(I$8&lt;=sensitivity!$D$9:'sensitivity'!$CN$9),--(I$9&gt;=sensitivity!$D$9:'sensitivity'!$CN$9),sensitivity!$D139:'sensitivity'!$CN139)</f>
        <v>#REF!</v>
      </c>
      <c r="J139" s="35" t="e">
        <f>SUMPRODUCT(--(J$8&lt;=sensitivity!$D$9:'sensitivity'!$CN$9),--(J$9&gt;=sensitivity!$D$9:'sensitivity'!$CN$9),sensitivity!$D139:'sensitivity'!$CN139)</f>
        <v>#REF!</v>
      </c>
      <c r="K139" s="35" t="e">
        <f>SUMPRODUCT(--(K$8&lt;=sensitivity!$D$9:'sensitivity'!$CN$9),--(K$9&gt;=sensitivity!$D$9:'sensitivity'!$CN$9),sensitivity!$D139:'sensitivity'!$CN139)</f>
        <v>#REF!</v>
      </c>
      <c r="L139" s="35" t="e">
        <f>SUMPRODUCT(--(L$8&lt;=sensitivity!$D$9:'sensitivity'!$CN$9),--(L$9&gt;=sensitivity!$D$9:'sensitivity'!$CN$9),sensitivity!$D139:'sensitivity'!$CN139)</f>
        <v>#REF!</v>
      </c>
      <c r="M139" s="35" t="e">
        <f>SUMPRODUCT(--(M$8&lt;=sensitivity!$D$9:'sensitivity'!$CN$9),--(M$9&gt;=sensitivity!$D$9:'sensitivity'!$CN$9),sensitivity!$D139:'sensitivity'!$CN139)</f>
        <v>#REF!</v>
      </c>
      <c r="N139" s="35" t="e">
        <f>SUMPRODUCT(--(N$8&lt;=sensitivity!$D$9:'sensitivity'!$CN$9),--(N$9&gt;=sensitivity!$D$9:'sensitivity'!$CN$9),sensitivity!$D139:'sensitivity'!$CN139)</f>
        <v>#REF!</v>
      </c>
      <c r="O139" s="35" t="e">
        <f>SUMPRODUCT(--(O$8&lt;=sensitivity!$D$9:'sensitivity'!$CN$9),--(O$9&gt;=sensitivity!$D$9:'sensitivity'!$CN$9),sensitivity!$D139:'sensitivity'!$CN139)</f>
        <v>#REF!</v>
      </c>
      <c r="P139" s="35" t="e">
        <f>SUMPRODUCT(--(P$8&lt;=sensitivity!$D$9:'sensitivity'!$CN$9),--(P$9&gt;=sensitivity!$D$9:'sensitivity'!$CN$9),sensitivity!$D139:'sensitivity'!$CN139)</f>
        <v>#REF!</v>
      </c>
      <c r="Q139" s="35" t="e">
        <f>SUMPRODUCT(--(Q$8&lt;=sensitivity!$D$9:'sensitivity'!$CN$9),--(Q$9&gt;=sensitivity!$D$9:'sensitivity'!$CN$9),sensitivity!$D139:'sensitivity'!$CN139)</f>
        <v>#REF!</v>
      </c>
      <c r="R139" s="35" t="e">
        <f>SUMPRODUCT(--(R$8&lt;=sensitivity!$D$9:'sensitivity'!$CN$9),--(R$9&gt;=sensitivity!$D$9:'sensitivity'!$CN$9),sensitivity!$D139:'sensitivity'!$CN139)</f>
        <v>#REF!</v>
      </c>
      <c r="S139" s="35" t="e">
        <f>SUMPRODUCT(--(S$8&lt;=sensitivity!$D$9:'sensitivity'!$CN$9),--(S$9&gt;=sensitivity!$D$9:'sensitivity'!$CN$9),sensitivity!$D139:'sensitivity'!$CN139)</f>
        <v>#REF!</v>
      </c>
      <c r="T139" s="35" t="e">
        <f>SUMPRODUCT(--(T$8&lt;=sensitivity!$D$9:'sensitivity'!$CN$9),--(T$9&gt;=sensitivity!$D$9:'sensitivity'!$CN$9),sensitivity!$D139:'sensitivity'!$CN139)</f>
        <v>#REF!</v>
      </c>
      <c r="U139" s="35" t="e">
        <f>SUMPRODUCT(--(U$8&lt;=sensitivity!$D$9:'sensitivity'!$CN$9),--(U$9&gt;=sensitivity!$D$9:'sensitivity'!$CN$9),sensitivity!$D139:'sensitivity'!$CN139)</f>
        <v>#REF!</v>
      </c>
      <c r="V139" s="35" t="e">
        <f>SUMPRODUCT(--(V$8&lt;=sensitivity!$D$9:'sensitivity'!$CN$9),--(V$9&gt;=sensitivity!$D$9:'sensitivity'!$CN$9),sensitivity!$D139:'sensitivity'!$CN139)</f>
        <v>#REF!</v>
      </c>
      <c r="W139" s="35" t="e">
        <f>SUMPRODUCT(--(W$8&lt;=sensitivity!$D$9:'sensitivity'!$CN$9),--(W$9&gt;=sensitivity!$D$9:'sensitivity'!$CN$9),sensitivity!$D139:'sensitivity'!$CN139)</f>
        <v>#REF!</v>
      </c>
      <c r="X139" s="35" t="e">
        <f>SUMPRODUCT(--(X$8&lt;=sensitivity!$D$9:'sensitivity'!$CN$9),--(X$9&gt;=sensitivity!$D$9:'sensitivity'!$CN$9),sensitivity!$D139:'sensitivity'!$CN139)</f>
        <v>#REF!</v>
      </c>
      <c r="Y139" s="35" t="e">
        <f>SUMPRODUCT(--(Y$8&lt;=sensitivity!$D$9:'sensitivity'!$CN$9),--(Y$9&gt;=sensitivity!$D$9:'sensitivity'!$CN$9),sensitivity!$D139:'sensitivity'!$CN139)</f>
        <v>#REF!</v>
      </c>
      <c r="Z139" s="35" t="e">
        <f>SUMPRODUCT(--(Z$8&lt;=sensitivity!$D$9:'sensitivity'!$CN$9),--(Z$9&gt;=sensitivity!$D$9:'sensitivity'!$CN$9),sensitivity!$D139:'sensitivity'!$CN139)</f>
        <v>#REF!</v>
      </c>
      <c r="AA139" s="35"/>
    </row>
    <row r="140" spans="1:27" ht="13" outlineLevel="1">
      <c r="A140" s="35"/>
      <c r="B140" s="70" t="s">
        <v>227</v>
      </c>
      <c r="C140" s="70" t="e">
        <f t="shared" si="20"/>
        <v>#REF!</v>
      </c>
      <c r="D140" s="71">
        <f>sensitivity!D140</f>
        <v>0</v>
      </c>
      <c r="E140" s="70" t="e">
        <f>SUMPRODUCT(--(E$8&lt;=sensitivity!$D$9:'sensitivity'!$CN$9),--(E$9&gt;=sensitivity!$D$9:'sensitivity'!$CN$9),sensitivity!$D140:'sensitivity'!$CN140)</f>
        <v>#REF!</v>
      </c>
      <c r="F140" s="70" t="e">
        <f>SUMPRODUCT(--(F$8&lt;=sensitivity!$D$9:'sensitivity'!$CN$9),--(F$9&gt;=sensitivity!$D$9:'sensitivity'!$CN$9),sensitivity!$D140:'sensitivity'!$CN140)</f>
        <v>#REF!</v>
      </c>
      <c r="G140" s="70" t="e">
        <f>SUMPRODUCT(--(G$8&lt;=sensitivity!$D$9:'sensitivity'!$CN$9),--(G$9&gt;=sensitivity!$D$9:'sensitivity'!$CN$9),sensitivity!$D140:'sensitivity'!$CN140)</f>
        <v>#REF!</v>
      </c>
      <c r="H140" s="70" t="e">
        <f>SUMPRODUCT(--(H$8&lt;=sensitivity!$D$9:'sensitivity'!$CN$9),--(H$9&gt;=sensitivity!$D$9:'sensitivity'!$CN$9),sensitivity!$D140:'sensitivity'!$CN140)</f>
        <v>#REF!</v>
      </c>
      <c r="I140" s="70" t="e">
        <f>SUMPRODUCT(--(I$8&lt;=sensitivity!$D$9:'sensitivity'!$CN$9),--(I$9&gt;=sensitivity!$D$9:'sensitivity'!$CN$9),sensitivity!$D140:'sensitivity'!$CN140)</f>
        <v>#REF!</v>
      </c>
      <c r="J140" s="70" t="e">
        <f>SUMPRODUCT(--(J$8&lt;=sensitivity!$D$9:'sensitivity'!$CN$9),--(J$9&gt;=sensitivity!$D$9:'sensitivity'!$CN$9),sensitivity!$D140:'sensitivity'!$CN140)</f>
        <v>#REF!</v>
      </c>
      <c r="K140" s="70" t="e">
        <f>SUMPRODUCT(--(K$8&lt;=sensitivity!$D$9:'sensitivity'!$CN$9),--(K$9&gt;=sensitivity!$D$9:'sensitivity'!$CN$9),sensitivity!$D140:'sensitivity'!$CN140)</f>
        <v>#REF!</v>
      </c>
      <c r="L140" s="70" t="e">
        <f>SUMPRODUCT(--(L$8&lt;=sensitivity!$D$9:'sensitivity'!$CN$9),--(L$9&gt;=sensitivity!$D$9:'sensitivity'!$CN$9),sensitivity!$D140:'sensitivity'!$CN140)</f>
        <v>#REF!</v>
      </c>
      <c r="M140" s="70" t="e">
        <f>SUMPRODUCT(--(M$8&lt;=sensitivity!$D$9:'sensitivity'!$CN$9),--(M$9&gt;=sensitivity!$D$9:'sensitivity'!$CN$9),sensitivity!$D140:'sensitivity'!$CN140)</f>
        <v>#REF!</v>
      </c>
      <c r="N140" s="70" t="e">
        <f>SUMPRODUCT(--(N$8&lt;=sensitivity!$D$9:'sensitivity'!$CN$9),--(N$9&gt;=sensitivity!$D$9:'sensitivity'!$CN$9),sensitivity!$D140:'sensitivity'!$CN140)</f>
        <v>#REF!</v>
      </c>
      <c r="O140" s="70" t="e">
        <f>SUMPRODUCT(--(O$8&lt;=sensitivity!$D$9:'sensitivity'!$CN$9),--(O$9&gt;=sensitivity!$D$9:'sensitivity'!$CN$9),sensitivity!$D140:'sensitivity'!$CN140)</f>
        <v>#REF!</v>
      </c>
      <c r="P140" s="70" t="e">
        <f>SUMPRODUCT(--(P$8&lt;=sensitivity!$D$9:'sensitivity'!$CN$9),--(P$9&gt;=sensitivity!$D$9:'sensitivity'!$CN$9),sensitivity!$D140:'sensitivity'!$CN140)</f>
        <v>#REF!</v>
      </c>
      <c r="Q140" s="70" t="e">
        <f>SUMPRODUCT(--(Q$8&lt;=sensitivity!$D$9:'sensitivity'!$CN$9),--(Q$9&gt;=sensitivity!$D$9:'sensitivity'!$CN$9),sensitivity!$D140:'sensitivity'!$CN140)</f>
        <v>#REF!</v>
      </c>
      <c r="R140" s="70" t="e">
        <f>SUMPRODUCT(--(R$8&lt;=sensitivity!$D$9:'sensitivity'!$CN$9),--(R$9&gt;=sensitivity!$D$9:'sensitivity'!$CN$9),sensitivity!$D140:'sensitivity'!$CN140)</f>
        <v>#REF!</v>
      </c>
      <c r="S140" s="70" t="e">
        <f>SUMPRODUCT(--(S$8&lt;=sensitivity!$D$9:'sensitivity'!$CN$9),--(S$9&gt;=sensitivity!$D$9:'sensitivity'!$CN$9),sensitivity!$D140:'sensitivity'!$CN140)</f>
        <v>#REF!</v>
      </c>
      <c r="T140" s="70" t="e">
        <f>SUMPRODUCT(--(T$8&lt;=sensitivity!$D$9:'sensitivity'!$CN$9),--(T$9&gt;=sensitivity!$D$9:'sensitivity'!$CN$9),sensitivity!$D140:'sensitivity'!$CN140)</f>
        <v>#REF!</v>
      </c>
      <c r="U140" s="70" t="e">
        <f>SUMPRODUCT(--(U$8&lt;=sensitivity!$D$9:'sensitivity'!$CN$9),--(U$9&gt;=sensitivity!$D$9:'sensitivity'!$CN$9),sensitivity!$D140:'sensitivity'!$CN140)</f>
        <v>#REF!</v>
      </c>
      <c r="V140" s="70" t="e">
        <f>SUMPRODUCT(--(V$8&lt;=sensitivity!$D$9:'sensitivity'!$CN$9),--(V$9&gt;=sensitivity!$D$9:'sensitivity'!$CN$9),sensitivity!$D140:'sensitivity'!$CN140)</f>
        <v>#REF!</v>
      </c>
      <c r="W140" s="70" t="e">
        <f>SUMPRODUCT(--(W$8&lt;=sensitivity!$D$9:'sensitivity'!$CN$9),--(W$9&gt;=sensitivity!$D$9:'sensitivity'!$CN$9),sensitivity!$D140:'sensitivity'!$CN140)</f>
        <v>#REF!</v>
      </c>
      <c r="X140" s="70" t="e">
        <f>SUMPRODUCT(--(X$8&lt;=sensitivity!$D$9:'sensitivity'!$CN$9),--(X$9&gt;=sensitivity!$D$9:'sensitivity'!$CN$9),sensitivity!$D140:'sensitivity'!$CN140)</f>
        <v>#REF!</v>
      </c>
      <c r="Y140" s="70" t="e">
        <f>SUMPRODUCT(--(Y$8&lt;=sensitivity!$D$9:'sensitivity'!$CN$9),--(Y$9&gt;=sensitivity!$D$9:'sensitivity'!$CN$9),sensitivity!$D140:'sensitivity'!$CN140)</f>
        <v>#REF!</v>
      </c>
      <c r="Z140" s="70" t="e">
        <f>SUMPRODUCT(--(Z$8&lt;=sensitivity!$D$9:'sensitivity'!$CN$9),--(Z$9&gt;=sensitivity!$D$9:'sensitivity'!$CN$9),sensitivity!$D140:'sensitivity'!$CN140)</f>
        <v>#REF!</v>
      </c>
      <c r="AA140" s="70"/>
    </row>
    <row r="141" spans="1:27" ht="13" outlineLevel="1">
      <c r="A141" s="35"/>
      <c r="B141" s="108" t="s">
        <v>164</v>
      </c>
      <c r="C141" s="74" t="e">
        <f t="shared" si="20"/>
        <v>#REF!</v>
      </c>
      <c r="D141" s="109">
        <f>sensitivity!D141</f>
        <v>0</v>
      </c>
      <c r="E141" s="74" t="e">
        <f>SUMPRODUCT(--(E$8&lt;=sensitivity!$D$9:'sensitivity'!$CN$9),--(E$9&gt;=sensitivity!$D$9:'sensitivity'!$CN$9),sensitivity!$D141:'sensitivity'!$CN141)</f>
        <v>#REF!</v>
      </c>
      <c r="F141" s="74" t="e">
        <f>SUMPRODUCT(--(F$8&lt;=sensitivity!$D$9:'sensitivity'!$CN$9),--(F$9&gt;=sensitivity!$D$9:'sensitivity'!$CN$9),sensitivity!$D141:'sensitivity'!$CN141)</f>
        <v>#REF!</v>
      </c>
      <c r="G141" s="74" t="e">
        <f>SUMPRODUCT(--(G$8&lt;=sensitivity!$D$9:'sensitivity'!$CN$9),--(G$9&gt;=sensitivity!$D$9:'sensitivity'!$CN$9),sensitivity!$D141:'sensitivity'!$CN141)</f>
        <v>#REF!</v>
      </c>
      <c r="H141" s="74" t="e">
        <f>SUMPRODUCT(--(H$8&lt;=sensitivity!$D$9:'sensitivity'!$CN$9),--(H$9&gt;=sensitivity!$D$9:'sensitivity'!$CN$9),sensitivity!$D141:'sensitivity'!$CN141)</f>
        <v>#REF!</v>
      </c>
      <c r="I141" s="74" t="e">
        <f>SUMPRODUCT(--(I$8&lt;=sensitivity!$D$9:'sensitivity'!$CN$9),--(I$9&gt;=sensitivity!$D$9:'sensitivity'!$CN$9),sensitivity!$D141:'sensitivity'!$CN141)</f>
        <v>#REF!</v>
      </c>
      <c r="J141" s="74" t="e">
        <f>SUMPRODUCT(--(J$8&lt;=sensitivity!$D$9:'sensitivity'!$CN$9),--(J$9&gt;=sensitivity!$D$9:'sensitivity'!$CN$9),sensitivity!$D141:'sensitivity'!$CN141)</f>
        <v>#REF!</v>
      </c>
      <c r="K141" s="74" t="e">
        <f>SUMPRODUCT(--(K$8&lt;=sensitivity!$D$9:'sensitivity'!$CN$9),--(K$9&gt;=sensitivity!$D$9:'sensitivity'!$CN$9),sensitivity!$D141:'sensitivity'!$CN141)</f>
        <v>#REF!</v>
      </c>
      <c r="L141" s="74" t="e">
        <f>SUMPRODUCT(--(L$8&lt;=sensitivity!$D$9:'sensitivity'!$CN$9),--(L$9&gt;=sensitivity!$D$9:'sensitivity'!$CN$9),sensitivity!$D141:'sensitivity'!$CN141)</f>
        <v>#REF!</v>
      </c>
      <c r="M141" s="74" t="e">
        <f>SUMPRODUCT(--(M$8&lt;=sensitivity!$D$9:'sensitivity'!$CN$9),--(M$9&gt;=sensitivity!$D$9:'sensitivity'!$CN$9),sensitivity!$D141:'sensitivity'!$CN141)</f>
        <v>#REF!</v>
      </c>
      <c r="N141" s="74" t="e">
        <f>SUMPRODUCT(--(N$8&lt;=sensitivity!$D$9:'sensitivity'!$CN$9),--(N$9&gt;=sensitivity!$D$9:'sensitivity'!$CN$9),sensitivity!$D141:'sensitivity'!$CN141)</f>
        <v>#REF!</v>
      </c>
      <c r="O141" s="74" t="e">
        <f>SUMPRODUCT(--(O$8&lt;=sensitivity!$D$9:'sensitivity'!$CN$9),--(O$9&gt;=sensitivity!$D$9:'sensitivity'!$CN$9),sensitivity!$D141:'sensitivity'!$CN141)</f>
        <v>#REF!</v>
      </c>
      <c r="P141" s="74" t="e">
        <f>SUMPRODUCT(--(P$8&lt;=sensitivity!$D$9:'sensitivity'!$CN$9),--(P$9&gt;=sensitivity!$D$9:'sensitivity'!$CN$9),sensitivity!$D141:'sensitivity'!$CN141)</f>
        <v>#REF!</v>
      </c>
      <c r="Q141" s="74" t="e">
        <f>SUMPRODUCT(--(Q$8&lt;=sensitivity!$D$9:'sensitivity'!$CN$9),--(Q$9&gt;=sensitivity!$D$9:'sensitivity'!$CN$9),sensitivity!$D141:'sensitivity'!$CN141)</f>
        <v>#REF!</v>
      </c>
      <c r="R141" s="74" t="e">
        <f>SUMPRODUCT(--(R$8&lt;=sensitivity!$D$9:'sensitivity'!$CN$9),--(R$9&gt;=sensitivity!$D$9:'sensitivity'!$CN$9),sensitivity!$D141:'sensitivity'!$CN141)</f>
        <v>#REF!</v>
      </c>
      <c r="S141" s="74" t="e">
        <f>SUMPRODUCT(--(S$8&lt;=sensitivity!$D$9:'sensitivity'!$CN$9),--(S$9&gt;=sensitivity!$D$9:'sensitivity'!$CN$9),sensitivity!$D141:'sensitivity'!$CN141)</f>
        <v>#REF!</v>
      </c>
      <c r="T141" s="74" t="e">
        <f>SUMPRODUCT(--(T$8&lt;=sensitivity!$D$9:'sensitivity'!$CN$9),--(T$9&gt;=sensitivity!$D$9:'sensitivity'!$CN$9),sensitivity!$D141:'sensitivity'!$CN141)</f>
        <v>#REF!</v>
      </c>
      <c r="U141" s="74" t="e">
        <f>SUMPRODUCT(--(U$8&lt;=sensitivity!$D$9:'sensitivity'!$CN$9),--(U$9&gt;=sensitivity!$D$9:'sensitivity'!$CN$9),sensitivity!$D141:'sensitivity'!$CN141)</f>
        <v>#REF!</v>
      </c>
      <c r="V141" s="74" t="e">
        <f>SUMPRODUCT(--(V$8&lt;=sensitivity!$D$9:'sensitivity'!$CN$9),--(V$9&gt;=sensitivity!$D$9:'sensitivity'!$CN$9),sensitivity!$D141:'sensitivity'!$CN141)</f>
        <v>#REF!</v>
      </c>
      <c r="W141" s="74" t="e">
        <f>SUMPRODUCT(--(W$8&lt;=sensitivity!$D$9:'sensitivity'!$CN$9),--(W$9&gt;=sensitivity!$D$9:'sensitivity'!$CN$9),sensitivity!$D141:'sensitivity'!$CN141)</f>
        <v>#REF!</v>
      </c>
      <c r="X141" s="74" t="e">
        <f>SUMPRODUCT(--(X$8&lt;=sensitivity!$D$9:'sensitivity'!$CN$9),--(X$9&gt;=sensitivity!$D$9:'sensitivity'!$CN$9),sensitivity!$D141:'sensitivity'!$CN141)</f>
        <v>#REF!</v>
      </c>
      <c r="Y141" s="74" t="e">
        <f>SUMPRODUCT(--(Y$8&lt;=sensitivity!$D$9:'sensitivity'!$CN$9),--(Y$9&gt;=sensitivity!$D$9:'sensitivity'!$CN$9),sensitivity!$D141:'sensitivity'!$CN141)</f>
        <v>#REF!</v>
      </c>
      <c r="Z141" s="74" t="e">
        <f>SUMPRODUCT(--(Z$8&lt;=sensitivity!$D$9:'sensitivity'!$CN$9),--(Z$9&gt;=sensitivity!$D$9:'sensitivity'!$CN$9),sensitivity!$D141:'sensitivity'!$CN141)</f>
        <v>#REF!</v>
      </c>
      <c r="AA141" s="74"/>
    </row>
    <row r="142" spans="1:27" ht="13" outlineLevel="1">
      <c r="A142" s="35"/>
      <c r="B142" s="108" t="s">
        <v>630</v>
      </c>
      <c r="C142" s="74" t="e">
        <f t="shared" ref="C142" si="21">SUM(D142:AA142)</f>
        <v>#REF!</v>
      </c>
      <c r="D142" s="109">
        <f>sensitivity!D142</f>
        <v>0</v>
      </c>
      <c r="E142" s="74" t="e">
        <f>SUMPRODUCT(--(E$8&lt;=sensitivity!$D$9:'sensitivity'!$CN$9),--(E$9&gt;=sensitivity!$D$9:'sensitivity'!$CN$9),sensitivity!$D142:'sensitivity'!$CN142)</f>
        <v>#REF!</v>
      </c>
      <c r="F142" s="74" t="e">
        <f>SUMPRODUCT(--(F$8&lt;=sensitivity!$D$9:'sensitivity'!$CN$9),--(F$9&gt;=sensitivity!$D$9:'sensitivity'!$CN$9),sensitivity!$D142:'sensitivity'!$CN142)</f>
        <v>#REF!</v>
      </c>
      <c r="G142" s="74" t="e">
        <f>SUMPRODUCT(--(G$8&lt;=sensitivity!$D$9:'sensitivity'!$CN$9),--(G$9&gt;=sensitivity!$D$9:'sensitivity'!$CN$9),sensitivity!$D142:'sensitivity'!$CN142)</f>
        <v>#REF!</v>
      </c>
      <c r="H142" s="74" t="e">
        <f>SUMPRODUCT(--(H$8&lt;=sensitivity!$D$9:'sensitivity'!$CN$9),--(H$9&gt;=sensitivity!$D$9:'sensitivity'!$CN$9),sensitivity!$D142:'sensitivity'!$CN142)</f>
        <v>#REF!</v>
      </c>
      <c r="I142" s="74" t="e">
        <f>SUMPRODUCT(--(I$8&lt;=sensitivity!$D$9:'sensitivity'!$CN$9),--(I$9&gt;=sensitivity!$D$9:'sensitivity'!$CN$9),sensitivity!$D142:'sensitivity'!$CN142)</f>
        <v>#REF!</v>
      </c>
      <c r="J142" s="74" t="e">
        <f>SUMPRODUCT(--(J$8&lt;=sensitivity!$D$9:'sensitivity'!$CN$9),--(J$9&gt;=sensitivity!$D$9:'sensitivity'!$CN$9),sensitivity!$D142:'sensitivity'!$CN142)</f>
        <v>#REF!</v>
      </c>
      <c r="K142" s="74" t="e">
        <f>SUMPRODUCT(--(K$8&lt;=sensitivity!$D$9:'sensitivity'!$CN$9),--(K$9&gt;=sensitivity!$D$9:'sensitivity'!$CN$9),sensitivity!$D142:'sensitivity'!$CN142)</f>
        <v>#REF!</v>
      </c>
      <c r="L142" s="74" t="e">
        <f>SUMPRODUCT(--(L$8&lt;=sensitivity!$D$9:'sensitivity'!$CN$9),--(L$9&gt;=sensitivity!$D$9:'sensitivity'!$CN$9),sensitivity!$D142:'sensitivity'!$CN142)</f>
        <v>#REF!</v>
      </c>
      <c r="M142" s="74" t="e">
        <f>SUMPRODUCT(--(M$8&lt;=sensitivity!$D$9:'sensitivity'!$CN$9),--(M$9&gt;=sensitivity!$D$9:'sensitivity'!$CN$9),sensitivity!$D142:'sensitivity'!$CN142)</f>
        <v>#REF!</v>
      </c>
      <c r="N142" s="74" t="e">
        <f>SUMPRODUCT(--(N$8&lt;=sensitivity!$D$9:'sensitivity'!$CN$9),--(N$9&gt;=sensitivity!$D$9:'sensitivity'!$CN$9),sensitivity!$D142:'sensitivity'!$CN142)</f>
        <v>#REF!</v>
      </c>
      <c r="O142" s="74" t="e">
        <f>SUMPRODUCT(--(O$8&lt;=sensitivity!$D$9:'sensitivity'!$CN$9),--(O$9&gt;=sensitivity!$D$9:'sensitivity'!$CN$9),sensitivity!$D142:'sensitivity'!$CN142)</f>
        <v>#REF!</v>
      </c>
      <c r="P142" s="74" t="e">
        <f>SUMPRODUCT(--(P$8&lt;=sensitivity!$D$9:'sensitivity'!$CN$9),--(P$9&gt;=sensitivity!$D$9:'sensitivity'!$CN$9),sensitivity!$D142:'sensitivity'!$CN142)</f>
        <v>#REF!</v>
      </c>
      <c r="Q142" s="74" t="e">
        <f>SUMPRODUCT(--(Q$8&lt;=sensitivity!$D$9:'sensitivity'!$CN$9),--(Q$9&gt;=sensitivity!$D$9:'sensitivity'!$CN$9),sensitivity!$D142:'sensitivity'!$CN142)</f>
        <v>#REF!</v>
      </c>
      <c r="R142" s="74" t="e">
        <f>SUMPRODUCT(--(R$8&lt;=sensitivity!$D$9:'sensitivity'!$CN$9),--(R$9&gt;=sensitivity!$D$9:'sensitivity'!$CN$9),sensitivity!$D142:'sensitivity'!$CN142)</f>
        <v>#REF!</v>
      </c>
      <c r="S142" s="74" t="e">
        <f>SUMPRODUCT(--(S$8&lt;=sensitivity!$D$9:'sensitivity'!$CN$9),--(S$9&gt;=sensitivity!$D$9:'sensitivity'!$CN$9),sensitivity!$D142:'sensitivity'!$CN142)</f>
        <v>#REF!</v>
      </c>
      <c r="T142" s="74" t="e">
        <f>SUMPRODUCT(--(T$8&lt;=sensitivity!$D$9:'sensitivity'!$CN$9),--(T$9&gt;=sensitivity!$D$9:'sensitivity'!$CN$9),sensitivity!$D142:'sensitivity'!$CN142)</f>
        <v>#REF!</v>
      </c>
      <c r="U142" s="74" t="e">
        <f>SUMPRODUCT(--(U$8&lt;=sensitivity!$D$9:'sensitivity'!$CN$9),--(U$9&gt;=sensitivity!$D$9:'sensitivity'!$CN$9),sensitivity!$D142:'sensitivity'!$CN142)</f>
        <v>#REF!</v>
      </c>
      <c r="V142" s="74" t="e">
        <f>SUMPRODUCT(--(V$8&lt;=sensitivity!$D$9:'sensitivity'!$CN$9),--(V$9&gt;=sensitivity!$D$9:'sensitivity'!$CN$9),sensitivity!$D142:'sensitivity'!$CN142)</f>
        <v>#REF!</v>
      </c>
      <c r="W142" s="74" t="e">
        <f>SUMPRODUCT(--(W$8&lt;=sensitivity!$D$9:'sensitivity'!$CN$9),--(W$9&gt;=sensitivity!$D$9:'sensitivity'!$CN$9),sensitivity!$D142:'sensitivity'!$CN142)</f>
        <v>#REF!</v>
      </c>
      <c r="X142" s="74" t="e">
        <f>SUMPRODUCT(--(X$8&lt;=sensitivity!$D$9:'sensitivity'!$CN$9),--(X$9&gt;=sensitivity!$D$9:'sensitivity'!$CN$9),sensitivity!$D142:'sensitivity'!$CN142)</f>
        <v>#REF!</v>
      </c>
      <c r="Y142" s="74" t="e">
        <f>SUMPRODUCT(--(Y$8&lt;=sensitivity!$D$9:'sensitivity'!$CN$9),--(Y$9&gt;=sensitivity!$D$9:'sensitivity'!$CN$9),sensitivity!$D142:'sensitivity'!$CN142)</f>
        <v>#REF!</v>
      </c>
      <c r="Z142" s="74" t="e">
        <f>SUMPRODUCT(--(Z$8&lt;=sensitivity!$D$9:'sensitivity'!$CN$9),--(Z$9&gt;=sensitivity!$D$9:'sensitivity'!$CN$9),sensitivity!$D142:'sensitivity'!$CN142)</f>
        <v>#REF!</v>
      </c>
      <c r="AA142" s="74"/>
    </row>
    <row r="143" spans="1:27" ht="13" outlineLevel="1">
      <c r="A143" s="35"/>
      <c r="B143" s="63"/>
      <c r="C143" s="35"/>
      <c r="D143" s="60">
        <f>sensitivity!D143</f>
        <v>0</v>
      </c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</row>
    <row r="144" spans="1:27" ht="13" outlineLevel="1">
      <c r="A144" s="35"/>
      <c r="B144" s="35" t="s">
        <v>226</v>
      </c>
      <c r="C144" s="35"/>
      <c r="D144" s="60">
        <f>sensitivity!D144</f>
        <v>0</v>
      </c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</row>
    <row r="145" spans="1:27" ht="13" outlineLevel="1">
      <c r="A145" s="35"/>
      <c r="B145" s="49" t="s">
        <v>228</v>
      </c>
      <c r="C145" s="50"/>
      <c r="D145" s="53">
        <f>sensitivity!D145</f>
        <v>0</v>
      </c>
      <c r="E145" s="50" t="e">
        <f>SUMPRODUCT(--(E$8=sensitivity!$D$9:$CN$9),sensitivity!$D145:$CN145)</f>
        <v>#REF!</v>
      </c>
      <c r="F145" s="50" t="e">
        <f>SUMPRODUCT(--(F$8=sensitivity!$D$9:$CN$9),sensitivity!$D145:$CN145)</f>
        <v>#REF!</v>
      </c>
      <c r="G145" s="50" t="e">
        <f>SUMPRODUCT(--(G$8=sensitivity!$D$9:$CN$9),sensitivity!$D145:$CN145)</f>
        <v>#REF!</v>
      </c>
      <c r="H145" s="50" t="e">
        <f>SUMPRODUCT(--(H$8=sensitivity!$D$9:$CN$9),sensitivity!$D145:$CN145)</f>
        <v>#REF!</v>
      </c>
      <c r="I145" s="50" t="e">
        <f>SUMPRODUCT(--(I$8=sensitivity!$D$9:$CN$9),sensitivity!$D145:$CN145)</f>
        <v>#REF!</v>
      </c>
      <c r="J145" s="50" t="e">
        <f>SUMPRODUCT(--(J$8=sensitivity!$D$9:$CN$9),sensitivity!$D145:$CN145)</f>
        <v>#REF!</v>
      </c>
      <c r="K145" s="50" t="e">
        <f>SUMPRODUCT(--(K$8=sensitivity!$D$9:$CN$9),sensitivity!$D145:$CN145)</f>
        <v>#REF!</v>
      </c>
      <c r="L145" s="50" t="e">
        <f>SUMPRODUCT(--(L$8=sensitivity!$D$9:$CN$9),sensitivity!$D145:$CN145)</f>
        <v>#REF!</v>
      </c>
      <c r="M145" s="50" t="e">
        <f>SUMPRODUCT(--(M$8=sensitivity!$D$9:$CN$9),sensitivity!$D145:$CN145)</f>
        <v>#REF!</v>
      </c>
      <c r="N145" s="50" t="e">
        <f>SUMPRODUCT(--(N$8=sensitivity!$D$9:$CN$9),sensitivity!$D145:$CN145)</f>
        <v>#REF!</v>
      </c>
      <c r="O145" s="50" t="e">
        <f>SUMPRODUCT(--(O$8=sensitivity!$D$9:$CN$9),sensitivity!$D145:$CN145)</f>
        <v>#REF!</v>
      </c>
      <c r="P145" s="50" t="e">
        <f>SUMPRODUCT(--(P$8=sensitivity!$D$9:$CN$9),sensitivity!$D145:$CN145)</f>
        <v>#REF!</v>
      </c>
      <c r="Q145" s="50" t="e">
        <f>SUMPRODUCT(--(Q$8=sensitivity!$D$9:$CN$9),sensitivity!$D145:$CN145)</f>
        <v>#REF!</v>
      </c>
      <c r="R145" s="50" t="e">
        <f>SUMPRODUCT(--(R$8=sensitivity!$D$9:$CN$9),sensitivity!$D145:$CN145)</f>
        <v>#REF!</v>
      </c>
      <c r="S145" s="50" t="e">
        <f>SUMPRODUCT(--(S$8=sensitivity!$D$9:$CN$9),sensitivity!$D145:$CN145)</f>
        <v>#REF!</v>
      </c>
      <c r="T145" s="50" t="e">
        <f>SUMPRODUCT(--(T$8=sensitivity!$D$9:$CN$9),sensitivity!$D145:$CN145)</f>
        <v>#REF!</v>
      </c>
      <c r="U145" s="50" t="e">
        <f>SUMPRODUCT(--(U$8=sensitivity!$D$9:$CN$9),sensitivity!$D145:$CN145)</f>
        <v>#REF!</v>
      </c>
      <c r="V145" s="50" t="e">
        <f>SUMPRODUCT(--(V$8=sensitivity!$D$9:$CN$9),sensitivity!$D145:$CN145)</f>
        <v>#REF!</v>
      </c>
      <c r="W145" s="50" t="e">
        <f>SUMPRODUCT(--(W$8=sensitivity!$D$9:$CN$9),sensitivity!$D145:$CN145)</f>
        <v>#REF!</v>
      </c>
      <c r="X145" s="50" t="e">
        <f>SUMPRODUCT(--(X$8=sensitivity!$D$9:$CN$9),sensitivity!$D145:$CN145)</f>
        <v>#REF!</v>
      </c>
      <c r="Y145" s="50" t="e">
        <f>SUMPRODUCT(--(Y$8=sensitivity!$D$9:$CN$9),sensitivity!$D145:$CN145)</f>
        <v>#REF!</v>
      </c>
      <c r="Z145" s="50" t="e">
        <f>SUMPRODUCT(--(Z$8=sensitivity!$D$9:$CN$9),sensitivity!$D145:$CN145)</f>
        <v>#REF!</v>
      </c>
      <c r="AA145" s="50"/>
    </row>
    <row r="146" spans="1:27" ht="13" outlineLevel="1">
      <c r="A146" s="35"/>
      <c r="B146" s="63" t="s">
        <v>226</v>
      </c>
      <c r="C146" s="35" t="e">
        <f t="shared" ref="C146:C147" si="22">SUM(D146:AA146)</f>
        <v>#REF!</v>
      </c>
      <c r="D146" s="60">
        <f>sensitivity!D146</f>
        <v>0</v>
      </c>
      <c r="E146" s="35" t="e">
        <f>SUMPRODUCT(--(E$8&lt;=sensitivity!$D$9:'sensitivity'!$CN$9),--(E$9&gt;=sensitivity!$D$9:'sensitivity'!$CN$9),sensitivity!$D146:'sensitivity'!$CN146)</f>
        <v>#REF!</v>
      </c>
      <c r="F146" s="35" t="e">
        <f>SUMPRODUCT(--(F$8&lt;=sensitivity!$D$9:'sensitivity'!$CN$9),--(F$9&gt;=sensitivity!$D$9:'sensitivity'!$CN$9),sensitivity!$D146:'sensitivity'!$CN146)</f>
        <v>#REF!</v>
      </c>
      <c r="G146" s="35" t="e">
        <f>SUMPRODUCT(--(G$8&lt;=sensitivity!$D$9:'sensitivity'!$CN$9),--(G$9&gt;=sensitivity!$D$9:'sensitivity'!$CN$9),sensitivity!$D146:'sensitivity'!$CN146)</f>
        <v>#REF!</v>
      </c>
      <c r="H146" s="35" t="e">
        <f>SUMPRODUCT(--(H$8&lt;=sensitivity!$D$9:'sensitivity'!$CN$9),--(H$9&gt;=sensitivity!$D$9:'sensitivity'!$CN$9),sensitivity!$D146:'sensitivity'!$CN146)</f>
        <v>#REF!</v>
      </c>
      <c r="I146" s="35" t="e">
        <f>SUMPRODUCT(--(I$8&lt;=sensitivity!$D$9:'sensitivity'!$CN$9),--(I$9&gt;=sensitivity!$D$9:'sensitivity'!$CN$9),sensitivity!$D146:'sensitivity'!$CN146)</f>
        <v>#REF!</v>
      </c>
      <c r="J146" s="35" t="e">
        <f>SUMPRODUCT(--(J$8&lt;=sensitivity!$D$9:'sensitivity'!$CN$9),--(J$9&gt;=sensitivity!$D$9:'sensitivity'!$CN$9),sensitivity!$D146:'sensitivity'!$CN146)</f>
        <v>#REF!</v>
      </c>
      <c r="K146" s="35" t="e">
        <f>SUMPRODUCT(--(K$8&lt;=sensitivity!$D$9:'sensitivity'!$CN$9),--(K$9&gt;=sensitivity!$D$9:'sensitivity'!$CN$9),sensitivity!$D146:'sensitivity'!$CN146)</f>
        <v>#REF!</v>
      </c>
      <c r="L146" s="35" t="e">
        <f>SUMPRODUCT(--(L$8&lt;=sensitivity!$D$9:'sensitivity'!$CN$9),--(L$9&gt;=sensitivity!$D$9:'sensitivity'!$CN$9),sensitivity!$D146:'sensitivity'!$CN146)</f>
        <v>#REF!</v>
      </c>
      <c r="M146" s="35" t="e">
        <f>SUMPRODUCT(--(M$8&lt;=sensitivity!$D$9:'sensitivity'!$CN$9),--(M$9&gt;=sensitivity!$D$9:'sensitivity'!$CN$9),sensitivity!$D146:'sensitivity'!$CN146)</f>
        <v>#REF!</v>
      </c>
      <c r="N146" s="35" t="e">
        <f>SUMPRODUCT(--(N$8&lt;=sensitivity!$D$9:'sensitivity'!$CN$9),--(N$9&gt;=sensitivity!$D$9:'sensitivity'!$CN$9),sensitivity!$D146:'sensitivity'!$CN146)</f>
        <v>#REF!</v>
      </c>
      <c r="O146" s="35" t="e">
        <f>SUMPRODUCT(--(O$8&lt;=sensitivity!$D$9:'sensitivity'!$CN$9),--(O$9&gt;=sensitivity!$D$9:'sensitivity'!$CN$9),sensitivity!$D146:'sensitivity'!$CN146)</f>
        <v>#REF!</v>
      </c>
      <c r="P146" s="35" t="e">
        <f>SUMPRODUCT(--(P$8&lt;=sensitivity!$D$9:'sensitivity'!$CN$9),--(P$9&gt;=sensitivity!$D$9:'sensitivity'!$CN$9),sensitivity!$D146:'sensitivity'!$CN146)</f>
        <v>#REF!</v>
      </c>
      <c r="Q146" s="35" t="e">
        <f>SUMPRODUCT(--(Q$8&lt;=sensitivity!$D$9:'sensitivity'!$CN$9),--(Q$9&gt;=sensitivity!$D$9:'sensitivity'!$CN$9),sensitivity!$D146:'sensitivity'!$CN146)</f>
        <v>#REF!</v>
      </c>
      <c r="R146" s="35" t="e">
        <f>SUMPRODUCT(--(R$8&lt;=sensitivity!$D$9:'sensitivity'!$CN$9),--(R$9&gt;=sensitivity!$D$9:'sensitivity'!$CN$9),sensitivity!$D146:'sensitivity'!$CN146)</f>
        <v>#REF!</v>
      </c>
      <c r="S146" s="35" t="e">
        <f>SUMPRODUCT(--(S$8&lt;=sensitivity!$D$9:'sensitivity'!$CN$9),--(S$9&gt;=sensitivity!$D$9:'sensitivity'!$CN$9),sensitivity!$D146:'sensitivity'!$CN146)</f>
        <v>#REF!</v>
      </c>
      <c r="T146" s="35" t="e">
        <f>SUMPRODUCT(--(T$8&lt;=sensitivity!$D$9:'sensitivity'!$CN$9),--(T$9&gt;=sensitivity!$D$9:'sensitivity'!$CN$9),sensitivity!$D146:'sensitivity'!$CN146)</f>
        <v>#REF!</v>
      </c>
      <c r="U146" s="35" t="e">
        <f>SUMPRODUCT(--(U$8&lt;=sensitivity!$D$9:'sensitivity'!$CN$9),--(U$9&gt;=sensitivity!$D$9:'sensitivity'!$CN$9),sensitivity!$D146:'sensitivity'!$CN146)</f>
        <v>#REF!</v>
      </c>
      <c r="V146" s="35" t="e">
        <f>SUMPRODUCT(--(V$8&lt;=sensitivity!$D$9:'sensitivity'!$CN$9),--(V$9&gt;=sensitivity!$D$9:'sensitivity'!$CN$9),sensitivity!$D146:'sensitivity'!$CN146)</f>
        <v>#REF!</v>
      </c>
      <c r="W146" s="35" t="e">
        <f>SUMPRODUCT(--(W$8&lt;=sensitivity!$D$9:'sensitivity'!$CN$9),--(W$9&gt;=sensitivity!$D$9:'sensitivity'!$CN$9),sensitivity!$D146:'sensitivity'!$CN146)</f>
        <v>#REF!</v>
      </c>
      <c r="X146" s="35" t="e">
        <f>SUMPRODUCT(--(X$8&lt;=sensitivity!$D$9:'sensitivity'!$CN$9),--(X$9&gt;=sensitivity!$D$9:'sensitivity'!$CN$9),sensitivity!$D146:'sensitivity'!$CN146)</f>
        <v>#REF!</v>
      </c>
      <c r="Y146" s="35" t="e">
        <f>SUMPRODUCT(--(Y$8&lt;=sensitivity!$D$9:'sensitivity'!$CN$9),--(Y$9&gt;=sensitivity!$D$9:'sensitivity'!$CN$9),sensitivity!$D146:'sensitivity'!$CN146)</f>
        <v>#REF!</v>
      </c>
      <c r="Z146" s="35" t="e">
        <f>SUMPRODUCT(--(Z$8&lt;=sensitivity!$D$9:'sensitivity'!$CN$9),--(Z$9&gt;=sensitivity!$D$9:'sensitivity'!$CN$9),sensitivity!$D146:'sensitivity'!$CN146)</f>
        <v>#REF!</v>
      </c>
      <c r="AA146" s="35"/>
    </row>
    <row r="147" spans="1:27" ht="13" outlineLevel="1">
      <c r="A147" s="35"/>
      <c r="B147" s="63" t="s">
        <v>229</v>
      </c>
      <c r="C147" s="35" t="e">
        <f t="shared" si="22"/>
        <v>#REF!</v>
      </c>
      <c r="D147" s="60">
        <f>sensitivity!D147</f>
        <v>0</v>
      </c>
      <c r="E147" s="35" t="e">
        <f>SUMPRODUCT(--(E$8&lt;=sensitivity!$D$9:'sensitivity'!$CN$9),--(E$9&gt;=sensitivity!$D$9:'sensitivity'!$CN$9),sensitivity!$D147:'sensitivity'!$CN147)</f>
        <v>#REF!</v>
      </c>
      <c r="F147" s="35" t="e">
        <f>SUMPRODUCT(--(F$8&lt;=sensitivity!$D$9:'sensitivity'!$CN$9),--(F$9&gt;=sensitivity!$D$9:'sensitivity'!$CN$9),sensitivity!$D147:'sensitivity'!$CN147)</f>
        <v>#REF!</v>
      </c>
      <c r="G147" s="35" t="e">
        <f>SUMPRODUCT(--(G$8&lt;=sensitivity!$D$9:'sensitivity'!$CN$9),--(G$9&gt;=sensitivity!$D$9:'sensitivity'!$CN$9),sensitivity!$D147:'sensitivity'!$CN147)</f>
        <v>#REF!</v>
      </c>
      <c r="H147" s="35" t="e">
        <f>SUMPRODUCT(--(H$8&lt;=sensitivity!$D$9:'sensitivity'!$CN$9),--(H$9&gt;=sensitivity!$D$9:'sensitivity'!$CN$9),sensitivity!$D147:'sensitivity'!$CN147)</f>
        <v>#REF!</v>
      </c>
      <c r="I147" s="35" t="e">
        <f>SUMPRODUCT(--(I$8&lt;=sensitivity!$D$9:'sensitivity'!$CN$9),--(I$9&gt;=sensitivity!$D$9:'sensitivity'!$CN$9),sensitivity!$D147:'sensitivity'!$CN147)</f>
        <v>#REF!</v>
      </c>
      <c r="J147" s="35" t="e">
        <f>SUMPRODUCT(--(J$8&lt;=sensitivity!$D$9:'sensitivity'!$CN$9),--(J$9&gt;=sensitivity!$D$9:'sensitivity'!$CN$9),sensitivity!$D147:'sensitivity'!$CN147)</f>
        <v>#REF!</v>
      </c>
      <c r="K147" s="35" t="e">
        <f>SUMPRODUCT(--(K$8&lt;=sensitivity!$D$9:'sensitivity'!$CN$9),--(K$9&gt;=sensitivity!$D$9:'sensitivity'!$CN$9),sensitivity!$D147:'sensitivity'!$CN147)</f>
        <v>#REF!</v>
      </c>
      <c r="L147" s="35" t="e">
        <f>SUMPRODUCT(--(L$8&lt;=sensitivity!$D$9:'sensitivity'!$CN$9),--(L$9&gt;=sensitivity!$D$9:'sensitivity'!$CN$9),sensitivity!$D147:'sensitivity'!$CN147)</f>
        <v>#REF!</v>
      </c>
      <c r="M147" s="35" t="e">
        <f>SUMPRODUCT(--(M$8&lt;=sensitivity!$D$9:'sensitivity'!$CN$9),--(M$9&gt;=sensitivity!$D$9:'sensitivity'!$CN$9),sensitivity!$D147:'sensitivity'!$CN147)</f>
        <v>#REF!</v>
      </c>
      <c r="N147" s="35" t="e">
        <f>SUMPRODUCT(--(N$8&lt;=sensitivity!$D$9:'sensitivity'!$CN$9),--(N$9&gt;=sensitivity!$D$9:'sensitivity'!$CN$9),sensitivity!$D147:'sensitivity'!$CN147)</f>
        <v>#REF!</v>
      </c>
      <c r="O147" s="35" t="e">
        <f>SUMPRODUCT(--(O$8&lt;=sensitivity!$D$9:'sensitivity'!$CN$9),--(O$9&gt;=sensitivity!$D$9:'sensitivity'!$CN$9),sensitivity!$D147:'sensitivity'!$CN147)</f>
        <v>#REF!</v>
      </c>
      <c r="P147" s="35" t="e">
        <f>SUMPRODUCT(--(P$8&lt;=sensitivity!$D$9:'sensitivity'!$CN$9),--(P$9&gt;=sensitivity!$D$9:'sensitivity'!$CN$9),sensitivity!$D147:'sensitivity'!$CN147)</f>
        <v>#REF!</v>
      </c>
      <c r="Q147" s="35" t="e">
        <f>SUMPRODUCT(--(Q$8&lt;=sensitivity!$D$9:'sensitivity'!$CN$9),--(Q$9&gt;=sensitivity!$D$9:'sensitivity'!$CN$9),sensitivity!$D147:'sensitivity'!$CN147)</f>
        <v>#REF!</v>
      </c>
      <c r="R147" s="35" t="e">
        <f>SUMPRODUCT(--(R$8&lt;=sensitivity!$D$9:'sensitivity'!$CN$9),--(R$9&gt;=sensitivity!$D$9:'sensitivity'!$CN$9),sensitivity!$D147:'sensitivity'!$CN147)</f>
        <v>#REF!</v>
      </c>
      <c r="S147" s="35" t="e">
        <f>SUMPRODUCT(--(S$8&lt;=sensitivity!$D$9:'sensitivity'!$CN$9),--(S$9&gt;=sensitivity!$D$9:'sensitivity'!$CN$9),sensitivity!$D147:'sensitivity'!$CN147)</f>
        <v>#REF!</v>
      </c>
      <c r="T147" s="35" t="e">
        <f>SUMPRODUCT(--(T$8&lt;=sensitivity!$D$9:'sensitivity'!$CN$9),--(T$9&gt;=sensitivity!$D$9:'sensitivity'!$CN$9),sensitivity!$D147:'sensitivity'!$CN147)</f>
        <v>#REF!</v>
      </c>
      <c r="U147" s="35" t="e">
        <f>SUMPRODUCT(--(U$8&lt;=sensitivity!$D$9:'sensitivity'!$CN$9),--(U$9&gt;=sensitivity!$D$9:'sensitivity'!$CN$9),sensitivity!$D147:'sensitivity'!$CN147)</f>
        <v>#REF!</v>
      </c>
      <c r="V147" s="35" t="e">
        <f>SUMPRODUCT(--(V$8&lt;=sensitivity!$D$9:'sensitivity'!$CN$9),--(V$9&gt;=sensitivity!$D$9:'sensitivity'!$CN$9),sensitivity!$D147:'sensitivity'!$CN147)</f>
        <v>#REF!</v>
      </c>
      <c r="W147" s="35" t="e">
        <f>SUMPRODUCT(--(W$8&lt;=sensitivity!$D$9:'sensitivity'!$CN$9),--(W$9&gt;=sensitivity!$D$9:'sensitivity'!$CN$9),sensitivity!$D147:'sensitivity'!$CN147)</f>
        <v>#REF!</v>
      </c>
      <c r="X147" s="35" t="e">
        <f>SUMPRODUCT(--(X$8&lt;=sensitivity!$D$9:'sensitivity'!$CN$9),--(X$9&gt;=sensitivity!$D$9:'sensitivity'!$CN$9),sensitivity!$D147:'sensitivity'!$CN147)</f>
        <v>#REF!</v>
      </c>
      <c r="Y147" s="35" t="e">
        <f>SUMPRODUCT(--(Y$8&lt;=sensitivity!$D$9:'sensitivity'!$CN$9),--(Y$9&gt;=sensitivity!$D$9:'sensitivity'!$CN$9),sensitivity!$D147:'sensitivity'!$CN147)</f>
        <v>#REF!</v>
      </c>
      <c r="Z147" s="35" t="e">
        <f>SUMPRODUCT(--(Z$8&lt;=sensitivity!$D$9:'sensitivity'!$CN$9),--(Z$9&gt;=sensitivity!$D$9:'sensitivity'!$CN$9),sensitivity!$D147:'sensitivity'!$CN147)</f>
        <v>#REF!</v>
      </c>
      <c r="AA147" s="35"/>
    </row>
    <row r="148" spans="1:27" ht="13" outlineLevel="1">
      <c r="A148" s="35"/>
      <c r="B148" s="54" t="s">
        <v>230</v>
      </c>
      <c r="C148" s="55"/>
      <c r="D148" s="58">
        <f>sensitivity!D148</f>
        <v>0</v>
      </c>
      <c r="E148" s="55" t="e">
        <f>SUMPRODUCT(--(E$9=sensitivity!$D$9:$CN$9),sensitivity!$D148:$CN148)</f>
        <v>#REF!</v>
      </c>
      <c r="F148" s="55" t="e">
        <f>SUMPRODUCT(--(F$9=sensitivity!$D$9:$CN$9),sensitivity!$D148:$CN148)</f>
        <v>#REF!</v>
      </c>
      <c r="G148" s="55" t="e">
        <f>SUMPRODUCT(--(G$9=sensitivity!$D$9:$CN$9),sensitivity!$D148:$CN148)</f>
        <v>#REF!</v>
      </c>
      <c r="H148" s="55" t="e">
        <f>SUMPRODUCT(--(H$9=sensitivity!$D$9:$CN$9),sensitivity!$D148:$CN148)</f>
        <v>#REF!</v>
      </c>
      <c r="I148" s="55" t="e">
        <f>SUMPRODUCT(--(I$9=sensitivity!$D$9:$CN$9),sensitivity!$D148:$CN148)</f>
        <v>#REF!</v>
      </c>
      <c r="J148" s="55" t="e">
        <f>SUMPRODUCT(--(J$9=sensitivity!$D$9:$CN$9),sensitivity!$D148:$CN148)</f>
        <v>#REF!</v>
      </c>
      <c r="K148" s="55" t="e">
        <f>SUMPRODUCT(--(K$9=sensitivity!$D$9:$CN$9),sensitivity!$D148:$CN148)</f>
        <v>#REF!</v>
      </c>
      <c r="L148" s="55" t="e">
        <f>SUMPRODUCT(--(L$9=sensitivity!$D$9:$CN$9),sensitivity!$D148:$CN148)</f>
        <v>#REF!</v>
      </c>
      <c r="M148" s="55" t="e">
        <f>SUMPRODUCT(--(M$9=sensitivity!$D$9:$CN$9),sensitivity!$D148:$CN148)</f>
        <v>#REF!</v>
      </c>
      <c r="N148" s="55" t="e">
        <f>SUMPRODUCT(--(N$9=sensitivity!$D$9:$CN$9),sensitivity!$D148:$CN148)</f>
        <v>#REF!</v>
      </c>
      <c r="O148" s="55" t="e">
        <f>SUMPRODUCT(--(O$9=sensitivity!$D$9:$CN$9),sensitivity!$D148:$CN148)</f>
        <v>#REF!</v>
      </c>
      <c r="P148" s="55" t="e">
        <f>SUMPRODUCT(--(P$9=sensitivity!$D$9:$CN$9),sensitivity!$D148:$CN148)</f>
        <v>#REF!</v>
      </c>
      <c r="Q148" s="55" t="e">
        <f>SUMPRODUCT(--(Q$9=sensitivity!$D$9:$CN$9),sensitivity!$D148:$CN148)</f>
        <v>#REF!</v>
      </c>
      <c r="R148" s="55" t="e">
        <f>SUMPRODUCT(--(R$9=sensitivity!$D$9:$CN$9),sensitivity!$D148:$CN148)</f>
        <v>#REF!</v>
      </c>
      <c r="S148" s="55" t="e">
        <f>SUMPRODUCT(--(S$9=sensitivity!$D$9:$CN$9),sensitivity!$D148:$CN148)</f>
        <v>#REF!</v>
      </c>
      <c r="T148" s="55" t="e">
        <f>SUMPRODUCT(--(T$9=sensitivity!$D$9:$CN$9),sensitivity!$D148:$CN148)</f>
        <v>#REF!</v>
      </c>
      <c r="U148" s="55" t="e">
        <f>SUMPRODUCT(--(U$9=sensitivity!$D$9:$CN$9),sensitivity!$D148:$CN148)</f>
        <v>#REF!</v>
      </c>
      <c r="V148" s="55" t="e">
        <f>SUMPRODUCT(--(V$9=sensitivity!$D$9:$CN$9),sensitivity!$D148:$CN148)</f>
        <v>#REF!</v>
      </c>
      <c r="W148" s="55" t="e">
        <f>SUMPRODUCT(--(W$9=sensitivity!$D$9:$CN$9),sensitivity!$D148:$CN148)</f>
        <v>#REF!</v>
      </c>
      <c r="X148" s="55" t="e">
        <f>SUMPRODUCT(--(X$9=sensitivity!$D$9:$CN$9),sensitivity!$D148:$CN148)</f>
        <v>#REF!</v>
      </c>
      <c r="Y148" s="55" t="e">
        <f>SUMPRODUCT(--(Y$9=sensitivity!$D$9:$CN$9),sensitivity!$D148:$CN148)</f>
        <v>#REF!</v>
      </c>
      <c r="Z148" s="55" t="e">
        <f>SUMPRODUCT(--(Z$9=sensitivity!$D$9:$CN$9),sensitivity!$D148:$CN148)</f>
        <v>#REF!</v>
      </c>
      <c r="AA148" s="55"/>
    </row>
    <row r="149" spans="1:27" ht="13" outlineLevel="1">
      <c r="A149" s="35"/>
      <c r="B149" s="35"/>
      <c r="C149" s="35"/>
      <c r="D149" s="60">
        <f>sensitivity!D149</f>
        <v>0</v>
      </c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</row>
    <row r="150" spans="1:27" ht="13" outlineLevel="1">
      <c r="A150" s="35"/>
      <c r="B150" s="35" t="s">
        <v>231</v>
      </c>
      <c r="C150" s="35"/>
      <c r="D150" s="60">
        <f>sensitivity!D150</f>
        <v>0</v>
      </c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</row>
    <row r="151" spans="1:27" ht="13" outlineLevel="1">
      <c r="A151" s="35"/>
      <c r="B151" s="49" t="s">
        <v>228</v>
      </c>
      <c r="C151" s="50"/>
      <c r="D151" s="53">
        <f>sensitivity!D151</f>
        <v>0</v>
      </c>
      <c r="E151" s="50" t="e">
        <f>SUMPRODUCT(--(E$9=sensitivity!$D$9:$CN$9),sensitivity!$D151:$CN151)</f>
        <v>#REF!</v>
      </c>
      <c r="F151" s="50" t="e">
        <f>SUMPRODUCT(--(F$9=sensitivity!$D$9:$CN$9),sensitivity!$D151:$CN151)</f>
        <v>#REF!</v>
      </c>
      <c r="G151" s="50" t="e">
        <f>SUMPRODUCT(--(G$9=sensitivity!$D$9:$CN$9),sensitivity!$D151:$CN151)</f>
        <v>#REF!</v>
      </c>
      <c r="H151" s="50" t="e">
        <f>SUMPRODUCT(--(H$9=sensitivity!$D$9:$CN$9),sensitivity!$D151:$CN151)</f>
        <v>#REF!</v>
      </c>
      <c r="I151" s="50" t="e">
        <f>SUMPRODUCT(--(I$9=sensitivity!$D$9:$CN$9),sensitivity!$D151:$CN151)</f>
        <v>#REF!</v>
      </c>
      <c r="J151" s="50" t="e">
        <f>SUMPRODUCT(--(J$9=sensitivity!$D$9:$CN$9),sensitivity!$D151:$CN151)</f>
        <v>#REF!</v>
      </c>
      <c r="K151" s="50" t="e">
        <f>SUMPRODUCT(--(K$9=sensitivity!$D$9:$CN$9),sensitivity!$D151:$CN151)</f>
        <v>#REF!</v>
      </c>
      <c r="L151" s="50" t="e">
        <f>SUMPRODUCT(--(L$9=sensitivity!$D$9:$CN$9),sensitivity!$D151:$CN151)</f>
        <v>#REF!</v>
      </c>
      <c r="M151" s="50" t="e">
        <f>SUMPRODUCT(--(M$9=sensitivity!$D$9:$CN$9),sensitivity!$D151:$CN151)</f>
        <v>#REF!</v>
      </c>
      <c r="N151" s="50" t="e">
        <f>SUMPRODUCT(--(N$9=sensitivity!$D$9:$CN$9),sensitivity!$D151:$CN151)</f>
        <v>#REF!</v>
      </c>
      <c r="O151" s="50" t="e">
        <f>SUMPRODUCT(--(O$9=sensitivity!$D$9:$CN$9),sensitivity!$D151:$CN151)</f>
        <v>#REF!</v>
      </c>
      <c r="P151" s="50" t="e">
        <f>SUMPRODUCT(--(P$9=sensitivity!$D$9:$CN$9),sensitivity!$D151:$CN151)</f>
        <v>#REF!</v>
      </c>
      <c r="Q151" s="50" t="e">
        <f>SUMPRODUCT(--(Q$9=sensitivity!$D$9:$CN$9),sensitivity!$D151:$CN151)</f>
        <v>#REF!</v>
      </c>
      <c r="R151" s="50" t="e">
        <f>SUMPRODUCT(--(R$9=sensitivity!$D$9:$CN$9),sensitivity!$D151:$CN151)</f>
        <v>#REF!</v>
      </c>
      <c r="S151" s="50" t="e">
        <f>SUMPRODUCT(--(S$9=sensitivity!$D$9:$CN$9),sensitivity!$D151:$CN151)</f>
        <v>#REF!</v>
      </c>
      <c r="T151" s="50" t="e">
        <f>SUMPRODUCT(--(T$9=sensitivity!$D$9:$CN$9),sensitivity!$D151:$CN151)</f>
        <v>#REF!</v>
      </c>
      <c r="U151" s="50" t="e">
        <f>SUMPRODUCT(--(U$9=sensitivity!$D$9:$CN$9),sensitivity!$D151:$CN151)</f>
        <v>#REF!</v>
      </c>
      <c r="V151" s="50" t="e">
        <f>SUMPRODUCT(--(V$9=sensitivity!$D$9:$CN$9),sensitivity!$D151:$CN151)</f>
        <v>#REF!</v>
      </c>
      <c r="W151" s="50" t="e">
        <f>SUMPRODUCT(--(W$9=sensitivity!$D$9:$CN$9),sensitivity!$D151:$CN151)</f>
        <v>#REF!</v>
      </c>
      <c r="X151" s="50" t="e">
        <f>SUMPRODUCT(--(X$9=sensitivity!$D$9:$CN$9),sensitivity!$D151:$CN151)</f>
        <v>#REF!</v>
      </c>
      <c r="Y151" s="50" t="e">
        <f>SUMPRODUCT(--(Y$9=sensitivity!$D$9:$CN$9),sensitivity!$D151:$CN151)</f>
        <v>#REF!</v>
      </c>
      <c r="Z151" s="50" t="e">
        <f>SUMPRODUCT(--(Z$9=sensitivity!$D$9:$CN$9),sensitivity!$D151:$CN151)</f>
        <v>#REF!</v>
      </c>
      <c r="AA151" s="50"/>
    </row>
    <row r="152" spans="1:27" ht="13" outlineLevel="1">
      <c r="A152" s="35"/>
      <c r="B152" s="63" t="s">
        <v>232</v>
      </c>
      <c r="C152" s="35" t="e">
        <f>SUM(D152:AA152)</f>
        <v>#REF!</v>
      </c>
      <c r="D152" s="60">
        <f>sensitivity!D152</f>
        <v>0</v>
      </c>
      <c r="E152" s="35" t="e">
        <f>SUMPRODUCT(--(E$8&lt;=sensitivity!$D$9:'sensitivity'!$CN$9),--(E$9&gt;=sensitivity!$D$9:'sensitivity'!$CN$9),sensitivity!$D152:'sensitivity'!$CN152)</f>
        <v>#REF!</v>
      </c>
      <c r="F152" s="35" t="e">
        <f>SUMPRODUCT(--(F$8&lt;=sensitivity!$D$9:'sensitivity'!$CN$9),--(F$9&gt;=sensitivity!$D$9:'sensitivity'!$CN$9),sensitivity!$D152:'sensitivity'!$CN152)</f>
        <v>#REF!</v>
      </c>
      <c r="G152" s="35" t="e">
        <f>SUMPRODUCT(--(G$8&lt;=sensitivity!$D$9:'sensitivity'!$CN$9),--(G$9&gt;=sensitivity!$D$9:'sensitivity'!$CN$9),sensitivity!$D152:'sensitivity'!$CN152)</f>
        <v>#REF!</v>
      </c>
      <c r="H152" s="35" t="e">
        <f>SUMPRODUCT(--(H$8&lt;=sensitivity!$D$9:'sensitivity'!$CN$9),--(H$9&gt;=sensitivity!$D$9:'sensitivity'!$CN$9),sensitivity!$D152:'sensitivity'!$CN152)</f>
        <v>#REF!</v>
      </c>
      <c r="I152" s="35" t="e">
        <f>SUMPRODUCT(--(I$8&lt;=sensitivity!$D$9:'sensitivity'!$CN$9),--(I$9&gt;=sensitivity!$D$9:'sensitivity'!$CN$9),sensitivity!$D152:'sensitivity'!$CN152)</f>
        <v>#REF!</v>
      </c>
      <c r="J152" s="35" t="e">
        <f>SUMPRODUCT(--(J$8&lt;=sensitivity!$D$9:'sensitivity'!$CN$9),--(J$9&gt;=sensitivity!$D$9:'sensitivity'!$CN$9),sensitivity!$D152:'sensitivity'!$CN152)</f>
        <v>#REF!</v>
      </c>
      <c r="K152" s="35" t="e">
        <f>SUMPRODUCT(--(K$8&lt;=sensitivity!$D$9:'sensitivity'!$CN$9),--(K$9&gt;=sensitivity!$D$9:'sensitivity'!$CN$9),sensitivity!$D152:'sensitivity'!$CN152)</f>
        <v>#REF!</v>
      </c>
      <c r="L152" s="35" t="e">
        <f>SUMPRODUCT(--(L$8&lt;=sensitivity!$D$9:'sensitivity'!$CN$9),--(L$9&gt;=sensitivity!$D$9:'sensitivity'!$CN$9),sensitivity!$D152:'sensitivity'!$CN152)</f>
        <v>#REF!</v>
      </c>
      <c r="M152" s="35" t="e">
        <f>SUMPRODUCT(--(M$8&lt;=sensitivity!$D$9:'sensitivity'!$CN$9),--(M$9&gt;=sensitivity!$D$9:'sensitivity'!$CN$9),sensitivity!$D152:'sensitivity'!$CN152)</f>
        <v>#REF!</v>
      </c>
      <c r="N152" s="35" t="e">
        <f>SUMPRODUCT(--(N$8&lt;=sensitivity!$D$9:'sensitivity'!$CN$9),--(N$9&gt;=sensitivity!$D$9:'sensitivity'!$CN$9),sensitivity!$D152:'sensitivity'!$CN152)</f>
        <v>#REF!</v>
      </c>
      <c r="O152" s="35" t="e">
        <f>SUMPRODUCT(--(O$8&lt;=sensitivity!$D$9:'sensitivity'!$CN$9),--(O$9&gt;=sensitivity!$D$9:'sensitivity'!$CN$9),sensitivity!$D152:'sensitivity'!$CN152)</f>
        <v>#REF!</v>
      </c>
      <c r="P152" s="35" t="e">
        <f>SUMPRODUCT(--(P$8&lt;=sensitivity!$D$9:'sensitivity'!$CN$9),--(P$9&gt;=sensitivity!$D$9:'sensitivity'!$CN$9),sensitivity!$D152:'sensitivity'!$CN152)</f>
        <v>#REF!</v>
      </c>
      <c r="Q152" s="35" t="e">
        <f>SUMPRODUCT(--(Q$8&lt;=sensitivity!$D$9:'sensitivity'!$CN$9),--(Q$9&gt;=sensitivity!$D$9:'sensitivity'!$CN$9),sensitivity!$D152:'sensitivity'!$CN152)</f>
        <v>#REF!</v>
      </c>
      <c r="R152" s="35" t="e">
        <f>SUMPRODUCT(--(R$8&lt;=sensitivity!$D$9:'sensitivity'!$CN$9),--(R$9&gt;=sensitivity!$D$9:'sensitivity'!$CN$9),sensitivity!$D152:'sensitivity'!$CN152)</f>
        <v>#REF!</v>
      </c>
      <c r="S152" s="35" t="e">
        <f>SUMPRODUCT(--(S$8&lt;=sensitivity!$D$9:'sensitivity'!$CN$9),--(S$9&gt;=sensitivity!$D$9:'sensitivity'!$CN$9),sensitivity!$D152:'sensitivity'!$CN152)</f>
        <v>#REF!</v>
      </c>
      <c r="T152" s="35" t="e">
        <f>SUMPRODUCT(--(T$8&lt;=sensitivity!$D$9:'sensitivity'!$CN$9),--(T$9&gt;=sensitivity!$D$9:'sensitivity'!$CN$9),sensitivity!$D152:'sensitivity'!$CN152)</f>
        <v>#REF!</v>
      </c>
      <c r="U152" s="35" t="e">
        <f>SUMPRODUCT(--(U$8&lt;=sensitivity!$D$9:'sensitivity'!$CN$9),--(U$9&gt;=sensitivity!$D$9:'sensitivity'!$CN$9),sensitivity!$D152:'sensitivity'!$CN152)</f>
        <v>#REF!</v>
      </c>
      <c r="V152" s="35" t="e">
        <f>SUMPRODUCT(--(V$8&lt;=sensitivity!$D$9:'sensitivity'!$CN$9),--(V$9&gt;=sensitivity!$D$9:'sensitivity'!$CN$9),sensitivity!$D152:'sensitivity'!$CN152)</f>
        <v>#REF!</v>
      </c>
      <c r="W152" s="35" t="e">
        <f>SUMPRODUCT(--(W$8&lt;=sensitivity!$D$9:'sensitivity'!$CN$9),--(W$9&gt;=sensitivity!$D$9:'sensitivity'!$CN$9),sensitivity!$D152:'sensitivity'!$CN152)</f>
        <v>#REF!</v>
      </c>
      <c r="X152" s="35" t="e">
        <f>SUMPRODUCT(--(X$8&lt;=sensitivity!$D$9:'sensitivity'!$CN$9),--(X$9&gt;=sensitivity!$D$9:'sensitivity'!$CN$9),sensitivity!$D152:'sensitivity'!$CN152)</f>
        <v>#REF!</v>
      </c>
      <c r="Y152" s="35" t="e">
        <f>SUMPRODUCT(--(Y$8&lt;=sensitivity!$D$9:'sensitivity'!$CN$9),--(Y$9&gt;=sensitivity!$D$9:'sensitivity'!$CN$9),sensitivity!$D152:'sensitivity'!$CN152)</f>
        <v>#REF!</v>
      </c>
      <c r="Z152" s="35" t="e">
        <f>SUMPRODUCT(--(Z$8&lt;=sensitivity!$D$9:'sensitivity'!$CN$9),--(Z$9&gt;=sensitivity!$D$9:'sensitivity'!$CN$9),sensitivity!$D152:'sensitivity'!$CN152)</f>
        <v>#REF!</v>
      </c>
      <c r="AA152" s="35"/>
    </row>
    <row r="153" spans="1:27" ht="13" outlineLevel="1">
      <c r="A153" s="35"/>
      <c r="B153" s="63" t="s">
        <v>233</v>
      </c>
      <c r="C153" s="35" t="e">
        <f>SUM(D153:AA153)</f>
        <v>#REF!</v>
      </c>
      <c r="D153" s="60">
        <f>sensitivity!D153</f>
        <v>0</v>
      </c>
      <c r="E153" s="35" t="e">
        <f>SUMPRODUCT(--(E$8&lt;=sensitivity!$D$9:'sensitivity'!$CN$9),--(E$9&gt;=sensitivity!$D$9:'sensitivity'!$CN$9),sensitivity!$D153:'sensitivity'!$CN153)</f>
        <v>#REF!</v>
      </c>
      <c r="F153" s="35" t="e">
        <f>SUMPRODUCT(--(F$8&lt;=sensitivity!$D$9:'sensitivity'!$CN$9),--(F$9&gt;=sensitivity!$D$9:'sensitivity'!$CN$9),sensitivity!$D153:'sensitivity'!$CN153)</f>
        <v>#REF!</v>
      </c>
      <c r="G153" s="35" t="e">
        <f>SUMPRODUCT(--(G$8&lt;=sensitivity!$D$9:'sensitivity'!$CN$9),--(G$9&gt;=sensitivity!$D$9:'sensitivity'!$CN$9),sensitivity!$D153:'sensitivity'!$CN153)</f>
        <v>#REF!</v>
      </c>
      <c r="H153" s="35" t="e">
        <f>SUMPRODUCT(--(H$8&lt;=sensitivity!$D$9:'sensitivity'!$CN$9),--(H$9&gt;=sensitivity!$D$9:'sensitivity'!$CN$9),sensitivity!$D153:'sensitivity'!$CN153)</f>
        <v>#REF!</v>
      </c>
      <c r="I153" s="35" t="e">
        <f>SUMPRODUCT(--(I$8&lt;=sensitivity!$D$9:'sensitivity'!$CN$9),--(I$9&gt;=sensitivity!$D$9:'sensitivity'!$CN$9),sensitivity!$D153:'sensitivity'!$CN153)</f>
        <v>#REF!</v>
      </c>
      <c r="J153" s="35" t="e">
        <f>SUMPRODUCT(--(J$8&lt;=sensitivity!$D$9:'sensitivity'!$CN$9),--(J$9&gt;=sensitivity!$D$9:'sensitivity'!$CN$9),sensitivity!$D153:'sensitivity'!$CN153)</f>
        <v>#REF!</v>
      </c>
      <c r="K153" s="35" t="e">
        <f>SUMPRODUCT(--(K$8&lt;=sensitivity!$D$9:'sensitivity'!$CN$9),--(K$9&gt;=sensitivity!$D$9:'sensitivity'!$CN$9),sensitivity!$D153:'sensitivity'!$CN153)</f>
        <v>#REF!</v>
      </c>
      <c r="L153" s="35" t="e">
        <f>SUMPRODUCT(--(L$8&lt;=sensitivity!$D$9:'sensitivity'!$CN$9),--(L$9&gt;=sensitivity!$D$9:'sensitivity'!$CN$9),sensitivity!$D153:'sensitivity'!$CN153)</f>
        <v>#REF!</v>
      </c>
      <c r="M153" s="35" t="e">
        <f>SUMPRODUCT(--(M$8&lt;=sensitivity!$D$9:'sensitivity'!$CN$9),--(M$9&gt;=sensitivity!$D$9:'sensitivity'!$CN$9),sensitivity!$D153:'sensitivity'!$CN153)</f>
        <v>#REF!</v>
      </c>
      <c r="N153" s="35" t="e">
        <f>SUMPRODUCT(--(N$8&lt;=sensitivity!$D$9:'sensitivity'!$CN$9),--(N$9&gt;=sensitivity!$D$9:'sensitivity'!$CN$9),sensitivity!$D153:'sensitivity'!$CN153)</f>
        <v>#REF!</v>
      </c>
      <c r="O153" s="35" t="e">
        <f>SUMPRODUCT(--(O$8&lt;=sensitivity!$D$9:'sensitivity'!$CN$9),--(O$9&gt;=sensitivity!$D$9:'sensitivity'!$CN$9),sensitivity!$D153:'sensitivity'!$CN153)</f>
        <v>#REF!</v>
      </c>
      <c r="P153" s="35" t="e">
        <f>SUMPRODUCT(--(P$8&lt;=sensitivity!$D$9:'sensitivity'!$CN$9),--(P$9&gt;=sensitivity!$D$9:'sensitivity'!$CN$9),sensitivity!$D153:'sensitivity'!$CN153)</f>
        <v>#REF!</v>
      </c>
      <c r="Q153" s="35" t="e">
        <f>SUMPRODUCT(--(Q$8&lt;=sensitivity!$D$9:'sensitivity'!$CN$9),--(Q$9&gt;=sensitivity!$D$9:'sensitivity'!$CN$9),sensitivity!$D153:'sensitivity'!$CN153)</f>
        <v>#REF!</v>
      </c>
      <c r="R153" s="35" t="e">
        <f>SUMPRODUCT(--(R$8&lt;=sensitivity!$D$9:'sensitivity'!$CN$9),--(R$9&gt;=sensitivity!$D$9:'sensitivity'!$CN$9),sensitivity!$D153:'sensitivity'!$CN153)</f>
        <v>#REF!</v>
      </c>
      <c r="S153" s="35" t="e">
        <f>SUMPRODUCT(--(S$8&lt;=sensitivity!$D$9:'sensitivity'!$CN$9),--(S$9&gt;=sensitivity!$D$9:'sensitivity'!$CN$9),sensitivity!$D153:'sensitivity'!$CN153)</f>
        <v>#REF!</v>
      </c>
      <c r="T153" s="35" t="e">
        <f>SUMPRODUCT(--(T$8&lt;=sensitivity!$D$9:'sensitivity'!$CN$9),--(T$9&gt;=sensitivity!$D$9:'sensitivity'!$CN$9),sensitivity!$D153:'sensitivity'!$CN153)</f>
        <v>#REF!</v>
      </c>
      <c r="U153" s="35" t="e">
        <f>SUMPRODUCT(--(U$8&lt;=sensitivity!$D$9:'sensitivity'!$CN$9),--(U$9&gt;=sensitivity!$D$9:'sensitivity'!$CN$9),sensitivity!$D153:'sensitivity'!$CN153)</f>
        <v>#REF!</v>
      </c>
      <c r="V153" s="35" t="e">
        <f>SUMPRODUCT(--(V$8&lt;=sensitivity!$D$9:'sensitivity'!$CN$9),--(V$9&gt;=sensitivity!$D$9:'sensitivity'!$CN$9),sensitivity!$D153:'sensitivity'!$CN153)</f>
        <v>#REF!</v>
      </c>
      <c r="W153" s="35" t="e">
        <f>SUMPRODUCT(--(W$8&lt;=sensitivity!$D$9:'sensitivity'!$CN$9),--(W$9&gt;=sensitivity!$D$9:'sensitivity'!$CN$9),sensitivity!$D153:'sensitivity'!$CN153)</f>
        <v>#REF!</v>
      </c>
      <c r="X153" s="35" t="e">
        <f>SUMPRODUCT(--(X$8&lt;=sensitivity!$D$9:'sensitivity'!$CN$9),--(X$9&gt;=sensitivity!$D$9:'sensitivity'!$CN$9),sensitivity!$D153:'sensitivity'!$CN153)</f>
        <v>#REF!</v>
      </c>
      <c r="Y153" s="35" t="e">
        <f>SUMPRODUCT(--(Y$8&lt;=sensitivity!$D$9:'sensitivity'!$CN$9),--(Y$9&gt;=sensitivity!$D$9:'sensitivity'!$CN$9),sensitivity!$D153:'sensitivity'!$CN153)</f>
        <v>#REF!</v>
      </c>
      <c r="Z153" s="35" t="e">
        <f>SUMPRODUCT(--(Z$8&lt;=sensitivity!$D$9:'sensitivity'!$CN$9),--(Z$9&gt;=sensitivity!$D$9:'sensitivity'!$CN$9),sensitivity!$D153:'sensitivity'!$CN153)</f>
        <v>#REF!</v>
      </c>
      <c r="AA153" s="35"/>
    </row>
    <row r="154" spans="1:27" ht="13" outlineLevel="1">
      <c r="A154" s="88"/>
      <c r="B154" s="110" t="s">
        <v>230</v>
      </c>
      <c r="C154" s="111"/>
      <c r="D154" s="58">
        <f>sensitivity!D154</f>
        <v>0</v>
      </c>
      <c r="E154" s="111" t="e">
        <f>SUMPRODUCT(--(E$9=sensitivity!$D$9:$CN$9),sensitivity!$D154:$CN154)</f>
        <v>#REF!</v>
      </c>
      <c r="F154" s="111" t="e">
        <f>SUMPRODUCT(--(F$9=sensitivity!$D$9:$CN$9),sensitivity!$D154:$CN154)</f>
        <v>#REF!</v>
      </c>
      <c r="G154" s="111" t="e">
        <f>SUMPRODUCT(--(G$9=sensitivity!$D$9:$CN$9),sensitivity!$D154:$CN154)</f>
        <v>#REF!</v>
      </c>
      <c r="H154" s="111" t="e">
        <f>SUMPRODUCT(--(H$9=sensitivity!$D$9:$CN$9),sensitivity!$D154:$CN154)</f>
        <v>#REF!</v>
      </c>
      <c r="I154" s="111" t="e">
        <f>SUMPRODUCT(--(I$9=sensitivity!$D$9:$CN$9),sensitivity!$D154:$CN154)</f>
        <v>#REF!</v>
      </c>
      <c r="J154" s="111" t="e">
        <f>SUMPRODUCT(--(J$9=sensitivity!$D$9:$CN$9),sensitivity!$D154:$CN154)</f>
        <v>#REF!</v>
      </c>
      <c r="K154" s="111" t="e">
        <f>SUMPRODUCT(--(K$9=sensitivity!$D$9:$CN$9),sensitivity!$D154:$CN154)</f>
        <v>#REF!</v>
      </c>
      <c r="L154" s="111" t="e">
        <f>SUMPRODUCT(--(L$9=sensitivity!$D$9:$CN$9),sensitivity!$D154:$CN154)</f>
        <v>#REF!</v>
      </c>
      <c r="M154" s="111" t="e">
        <f>SUMPRODUCT(--(M$9=sensitivity!$D$9:$CN$9),sensitivity!$D154:$CN154)</f>
        <v>#REF!</v>
      </c>
      <c r="N154" s="111" t="e">
        <f>SUMPRODUCT(--(N$9=sensitivity!$D$9:$CN$9),sensitivity!$D154:$CN154)</f>
        <v>#REF!</v>
      </c>
      <c r="O154" s="111" t="e">
        <f>SUMPRODUCT(--(O$9=sensitivity!$D$9:$CN$9),sensitivity!$D154:$CN154)</f>
        <v>#REF!</v>
      </c>
      <c r="P154" s="111" t="e">
        <f>SUMPRODUCT(--(P$9=sensitivity!$D$9:$CN$9),sensitivity!$D154:$CN154)</f>
        <v>#REF!</v>
      </c>
      <c r="Q154" s="111" t="e">
        <f>SUMPRODUCT(--(Q$9=sensitivity!$D$9:$CN$9),sensitivity!$D154:$CN154)</f>
        <v>#REF!</v>
      </c>
      <c r="R154" s="111" t="e">
        <f>SUMPRODUCT(--(R$9=sensitivity!$D$9:$CN$9),sensitivity!$D154:$CN154)</f>
        <v>#REF!</v>
      </c>
      <c r="S154" s="111" t="e">
        <f>SUMPRODUCT(--(S$9=sensitivity!$D$9:$CN$9),sensitivity!$D154:$CN154)</f>
        <v>#REF!</v>
      </c>
      <c r="T154" s="111" t="e">
        <f>SUMPRODUCT(--(T$9=sensitivity!$D$9:$CN$9),sensitivity!$D154:$CN154)</f>
        <v>#REF!</v>
      </c>
      <c r="U154" s="111" t="e">
        <f>SUMPRODUCT(--(U$9=sensitivity!$D$9:$CN$9),sensitivity!$D154:$CN154)</f>
        <v>#REF!</v>
      </c>
      <c r="V154" s="111" t="e">
        <f>SUMPRODUCT(--(V$9=sensitivity!$D$9:$CN$9),sensitivity!$D154:$CN154)</f>
        <v>#REF!</v>
      </c>
      <c r="W154" s="111" t="e">
        <f>SUMPRODUCT(--(W$9=sensitivity!$D$9:$CN$9),sensitivity!$D154:$CN154)</f>
        <v>#REF!</v>
      </c>
      <c r="X154" s="111" t="e">
        <f>SUMPRODUCT(--(X$9=sensitivity!$D$9:$CN$9),sensitivity!$D154:$CN154)</f>
        <v>#REF!</v>
      </c>
      <c r="Y154" s="111" t="e">
        <f>SUMPRODUCT(--(Y$9=sensitivity!$D$9:$CN$9),sensitivity!$D154:$CN154)</f>
        <v>#REF!</v>
      </c>
      <c r="Z154" s="111" t="e">
        <f>SUMPRODUCT(--(Z$9=sensitivity!$D$9:$CN$9),sensitivity!$D154:$CN154)</f>
        <v>#REF!</v>
      </c>
      <c r="AA154" s="111"/>
    </row>
    <row r="155" spans="1:27" ht="13" outlineLevel="1">
      <c r="A155" s="88"/>
      <c r="B155" s="89"/>
      <c r="C155" s="88"/>
      <c r="D155" s="60">
        <f>sensitivity!D155</f>
        <v>0</v>
      </c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</row>
    <row r="156" spans="1:27" ht="13" outlineLevel="1">
      <c r="A156" s="35"/>
      <c r="B156" s="35" t="s">
        <v>234</v>
      </c>
      <c r="C156" s="35"/>
      <c r="D156" s="60">
        <f>sensitivity!D156</f>
        <v>0</v>
      </c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</row>
    <row r="157" spans="1:27" ht="13" outlineLevel="1">
      <c r="A157" s="35"/>
      <c r="B157" s="49" t="s">
        <v>228</v>
      </c>
      <c r="C157" s="50"/>
      <c r="D157" s="53">
        <f>sensitivity!D157</f>
        <v>0</v>
      </c>
      <c r="E157" s="50" t="e">
        <f>SUMPRODUCT(--(E$9=sensitivity!$D$9:$CN$9),sensitivity!$D157:$CN157)</f>
        <v>#REF!</v>
      </c>
      <c r="F157" s="50" t="e">
        <f>SUMPRODUCT(--(F$9=sensitivity!$D$9:$CN$9),sensitivity!$D157:$CN157)</f>
        <v>#REF!</v>
      </c>
      <c r="G157" s="50" t="e">
        <f>SUMPRODUCT(--(G$9=sensitivity!$D$9:$CN$9),sensitivity!$D157:$CN157)</f>
        <v>#REF!</v>
      </c>
      <c r="H157" s="50" t="e">
        <f>SUMPRODUCT(--(H$9=sensitivity!$D$9:$CN$9),sensitivity!$D157:$CN157)</f>
        <v>#REF!</v>
      </c>
      <c r="I157" s="50" t="e">
        <f>SUMPRODUCT(--(I$9=sensitivity!$D$9:$CN$9),sensitivity!$D157:$CN157)</f>
        <v>#REF!</v>
      </c>
      <c r="J157" s="50" t="e">
        <f>SUMPRODUCT(--(J$9=sensitivity!$D$9:$CN$9),sensitivity!$D157:$CN157)</f>
        <v>#REF!</v>
      </c>
      <c r="K157" s="50" t="e">
        <f>SUMPRODUCT(--(K$9=sensitivity!$D$9:$CN$9),sensitivity!$D157:$CN157)</f>
        <v>#REF!</v>
      </c>
      <c r="L157" s="50" t="e">
        <f>SUMPRODUCT(--(L$9=sensitivity!$D$9:$CN$9),sensitivity!$D157:$CN157)</f>
        <v>#REF!</v>
      </c>
      <c r="M157" s="50" t="e">
        <f>SUMPRODUCT(--(M$9=sensitivity!$D$9:$CN$9),sensitivity!$D157:$CN157)</f>
        <v>#REF!</v>
      </c>
      <c r="N157" s="50" t="e">
        <f>SUMPRODUCT(--(N$9=sensitivity!$D$9:$CN$9),sensitivity!$D157:$CN157)</f>
        <v>#REF!</v>
      </c>
      <c r="O157" s="50" t="e">
        <f>SUMPRODUCT(--(O$9=sensitivity!$D$9:$CN$9),sensitivity!$D157:$CN157)</f>
        <v>#REF!</v>
      </c>
      <c r="P157" s="50" t="e">
        <f>SUMPRODUCT(--(P$9=sensitivity!$D$9:$CN$9),sensitivity!$D157:$CN157)</f>
        <v>#REF!</v>
      </c>
      <c r="Q157" s="50" t="e">
        <f>SUMPRODUCT(--(Q$9=sensitivity!$D$9:$CN$9),sensitivity!$D157:$CN157)</f>
        <v>#REF!</v>
      </c>
      <c r="R157" s="50" t="e">
        <f>SUMPRODUCT(--(R$9=sensitivity!$D$9:$CN$9),sensitivity!$D157:$CN157)</f>
        <v>#REF!</v>
      </c>
      <c r="S157" s="50" t="e">
        <f>SUMPRODUCT(--(S$9=sensitivity!$D$9:$CN$9),sensitivity!$D157:$CN157)</f>
        <v>#REF!</v>
      </c>
      <c r="T157" s="50" t="e">
        <f>SUMPRODUCT(--(T$9=sensitivity!$D$9:$CN$9),sensitivity!$D157:$CN157)</f>
        <v>#REF!</v>
      </c>
      <c r="U157" s="50" t="e">
        <f>SUMPRODUCT(--(U$9=sensitivity!$D$9:$CN$9),sensitivity!$D157:$CN157)</f>
        <v>#REF!</v>
      </c>
      <c r="V157" s="50" t="e">
        <f>SUMPRODUCT(--(V$9=sensitivity!$D$9:$CN$9),sensitivity!$D157:$CN157)</f>
        <v>#REF!</v>
      </c>
      <c r="W157" s="50" t="e">
        <f>SUMPRODUCT(--(W$9=sensitivity!$D$9:$CN$9),sensitivity!$D157:$CN157)</f>
        <v>#REF!</v>
      </c>
      <c r="X157" s="50" t="e">
        <f>SUMPRODUCT(--(X$9=sensitivity!$D$9:$CN$9),sensitivity!$D157:$CN157)</f>
        <v>#REF!</v>
      </c>
      <c r="Y157" s="50" t="e">
        <f>SUMPRODUCT(--(Y$9=sensitivity!$D$9:$CN$9),sensitivity!$D157:$CN157)</f>
        <v>#REF!</v>
      </c>
      <c r="Z157" s="50" t="e">
        <f>SUMPRODUCT(--(Z$9=sensitivity!$D$9:$CN$9),sensitivity!$D157:$CN157)</f>
        <v>#REF!</v>
      </c>
      <c r="AA157" s="50"/>
    </row>
    <row r="158" spans="1:27" ht="13" outlineLevel="1">
      <c r="A158" s="35"/>
      <c r="B158" s="63" t="s">
        <v>235</v>
      </c>
      <c r="C158" s="35" t="e">
        <f t="shared" ref="C158:C159" si="23">SUM(D158:AA158)</f>
        <v>#REF!</v>
      </c>
      <c r="D158" s="60" t="e">
        <f>sensitivity!D158</f>
        <v>#REF!</v>
      </c>
      <c r="E158" s="35" t="e">
        <f>SUMPRODUCT(--(E$8&lt;=sensitivity!$D$9:'sensitivity'!$CN$9),--(E$9&gt;=sensitivity!$D$9:'sensitivity'!$CN$9),sensitivity!$D158:'sensitivity'!$CN158)</f>
        <v>#REF!</v>
      </c>
      <c r="F158" s="35" t="e">
        <f>SUMPRODUCT(--(F$8&lt;=sensitivity!$D$9:'sensitivity'!$CN$9),--(F$9&gt;=sensitivity!$D$9:'sensitivity'!$CN$9),sensitivity!$D158:'sensitivity'!$CN158)</f>
        <v>#REF!</v>
      </c>
      <c r="G158" s="35" t="e">
        <f>SUMPRODUCT(--(G$8&lt;=sensitivity!$D$9:'sensitivity'!$CN$9),--(G$9&gt;=sensitivity!$D$9:'sensitivity'!$CN$9),sensitivity!$D158:'sensitivity'!$CN158)</f>
        <v>#REF!</v>
      </c>
      <c r="H158" s="35" t="e">
        <f>SUMPRODUCT(--(H$8&lt;=sensitivity!$D$9:'sensitivity'!$CN$9),--(H$9&gt;=sensitivity!$D$9:'sensitivity'!$CN$9),sensitivity!$D158:'sensitivity'!$CN158)</f>
        <v>#REF!</v>
      </c>
      <c r="I158" s="35" t="e">
        <f>SUMPRODUCT(--(I$8&lt;=sensitivity!$D$9:'sensitivity'!$CN$9),--(I$9&gt;=sensitivity!$D$9:'sensitivity'!$CN$9),sensitivity!$D158:'sensitivity'!$CN158)</f>
        <v>#REF!</v>
      </c>
      <c r="J158" s="35" t="e">
        <f>SUMPRODUCT(--(J$8&lt;=sensitivity!$D$9:'sensitivity'!$CN$9),--(J$9&gt;=sensitivity!$D$9:'sensitivity'!$CN$9),sensitivity!$D158:'sensitivity'!$CN158)</f>
        <v>#REF!</v>
      </c>
      <c r="K158" s="35" t="e">
        <f>SUMPRODUCT(--(K$8&lt;=sensitivity!$D$9:'sensitivity'!$CN$9),--(K$9&gt;=sensitivity!$D$9:'sensitivity'!$CN$9),sensitivity!$D158:'sensitivity'!$CN158)</f>
        <v>#REF!</v>
      </c>
      <c r="L158" s="35" t="e">
        <f>SUMPRODUCT(--(L$8&lt;=sensitivity!$D$9:'sensitivity'!$CN$9),--(L$9&gt;=sensitivity!$D$9:'sensitivity'!$CN$9),sensitivity!$D158:'sensitivity'!$CN158)</f>
        <v>#REF!</v>
      </c>
      <c r="M158" s="35" t="e">
        <f>SUMPRODUCT(--(M$8&lt;=sensitivity!$D$9:'sensitivity'!$CN$9),--(M$9&gt;=sensitivity!$D$9:'sensitivity'!$CN$9),sensitivity!$D158:'sensitivity'!$CN158)</f>
        <v>#REF!</v>
      </c>
      <c r="N158" s="35" t="e">
        <f>SUMPRODUCT(--(N$8&lt;=sensitivity!$D$9:'sensitivity'!$CN$9),--(N$9&gt;=sensitivity!$D$9:'sensitivity'!$CN$9),sensitivity!$D158:'sensitivity'!$CN158)</f>
        <v>#REF!</v>
      </c>
      <c r="O158" s="35" t="e">
        <f>SUMPRODUCT(--(O$8&lt;=sensitivity!$D$9:'sensitivity'!$CN$9),--(O$9&gt;=sensitivity!$D$9:'sensitivity'!$CN$9),sensitivity!$D158:'sensitivity'!$CN158)</f>
        <v>#REF!</v>
      </c>
      <c r="P158" s="35" t="e">
        <f>SUMPRODUCT(--(P$8&lt;=sensitivity!$D$9:'sensitivity'!$CN$9),--(P$9&gt;=sensitivity!$D$9:'sensitivity'!$CN$9),sensitivity!$D158:'sensitivity'!$CN158)</f>
        <v>#REF!</v>
      </c>
      <c r="Q158" s="35" t="e">
        <f>SUMPRODUCT(--(Q$8&lt;=sensitivity!$D$9:'sensitivity'!$CN$9),--(Q$9&gt;=sensitivity!$D$9:'sensitivity'!$CN$9),sensitivity!$D158:'sensitivity'!$CN158)</f>
        <v>#REF!</v>
      </c>
      <c r="R158" s="35" t="e">
        <f>SUMPRODUCT(--(R$8&lt;=sensitivity!$D$9:'sensitivity'!$CN$9),--(R$9&gt;=sensitivity!$D$9:'sensitivity'!$CN$9),sensitivity!$D158:'sensitivity'!$CN158)</f>
        <v>#REF!</v>
      </c>
      <c r="S158" s="35" t="e">
        <f>SUMPRODUCT(--(S$8&lt;=sensitivity!$D$9:'sensitivity'!$CN$9),--(S$9&gt;=sensitivity!$D$9:'sensitivity'!$CN$9),sensitivity!$D158:'sensitivity'!$CN158)</f>
        <v>#REF!</v>
      </c>
      <c r="T158" s="35" t="e">
        <f>SUMPRODUCT(--(T$8&lt;=sensitivity!$D$9:'sensitivity'!$CN$9),--(T$9&gt;=sensitivity!$D$9:'sensitivity'!$CN$9),sensitivity!$D158:'sensitivity'!$CN158)</f>
        <v>#REF!</v>
      </c>
      <c r="U158" s="35" t="e">
        <f>SUMPRODUCT(--(U$8&lt;=sensitivity!$D$9:'sensitivity'!$CN$9),--(U$9&gt;=sensitivity!$D$9:'sensitivity'!$CN$9),sensitivity!$D158:'sensitivity'!$CN158)</f>
        <v>#REF!</v>
      </c>
      <c r="V158" s="35" t="e">
        <f>SUMPRODUCT(--(V$8&lt;=sensitivity!$D$9:'sensitivity'!$CN$9),--(V$9&gt;=sensitivity!$D$9:'sensitivity'!$CN$9),sensitivity!$D158:'sensitivity'!$CN158)</f>
        <v>#REF!</v>
      </c>
      <c r="W158" s="35" t="e">
        <f>SUMPRODUCT(--(W$8&lt;=sensitivity!$D$9:'sensitivity'!$CN$9),--(W$9&gt;=sensitivity!$D$9:'sensitivity'!$CN$9),sensitivity!$D158:'sensitivity'!$CN158)</f>
        <v>#REF!</v>
      </c>
      <c r="X158" s="35" t="e">
        <f>SUMPRODUCT(--(X$8&lt;=sensitivity!$D$9:'sensitivity'!$CN$9),--(X$9&gt;=sensitivity!$D$9:'sensitivity'!$CN$9),sensitivity!$D158:'sensitivity'!$CN158)</f>
        <v>#REF!</v>
      </c>
      <c r="Y158" s="35" t="e">
        <f>SUMPRODUCT(--(Y$8&lt;=sensitivity!$D$9:'sensitivity'!$CN$9),--(Y$9&gt;=sensitivity!$D$9:'sensitivity'!$CN$9),sensitivity!$D158:'sensitivity'!$CN158)</f>
        <v>#REF!</v>
      </c>
      <c r="Z158" s="35" t="e">
        <f>SUMPRODUCT(--(Z$8&lt;=sensitivity!$D$9:'sensitivity'!$CN$9),--(Z$9&gt;=sensitivity!$D$9:'sensitivity'!$CN$9),sensitivity!$D158:'sensitivity'!$CN158)</f>
        <v>#REF!</v>
      </c>
      <c r="AA158" s="35"/>
    </row>
    <row r="159" spans="1:27" ht="13" outlineLevel="1">
      <c r="A159" s="35"/>
      <c r="B159" s="63" t="s">
        <v>236</v>
      </c>
      <c r="C159" s="35" t="e">
        <f t="shared" si="23"/>
        <v>#REF!</v>
      </c>
      <c r="D159" s="60">
        <f>sensitivity!D159</f>
        <v>0</v>
      </c>
      <c r="E159" s="35" t="e">
        <f>SUMPRODUCT(--(E$8&lt;=sensitivity!$D$9:'sensitivity'!$CN$9),--(E$9&gt;=sensitivity!$D$9:'sensitivity'!$CN$9),sensitivity!$D159:'sensitivity'!$CN159)</f>
        <v>#REF!</v>
      </c>
      <c r="F159" s="35" t="e">
        <f>SUMPRODUCT(--(F$8&lt;=sensitivity!$D$9:'sensitivity'!$CN$9),--(F$9&gt;=sensitivity!$D$9:'sensitivity'!$CN$9),sensitivity!$D159:'sensitivity'!$CN159)</f>
        <v>#REF!</v>
      </c>
      <c r="G159" s="35" t="e">
        <f>SUMPRODUCT(--(G$8&lt;=sensitivity!$D$9:'sensitivity'!$CN$9),--(G$9&gt;=sensitivity!$D$9:'sensitivity'!$CN$9),sensitivity!$D159:'sensitivity'!$CN159)</f>
        <v>#REF!</v>
      </c>
      <c r="H159" s="35" t="e">
        <f>SUMPRODUCT(--(H$8&lt;=sensitivity!$D$9:'sensitivity'!$CN$9),--(H$9&gt;=sensitivity!$D$9:'sensitivity'!$CN$9),sensitivity!$D159:'sensitivity'!$CN159)</f>
        <v>#REF!</v>
      </c>
      <c r="I159" s="35" t="e">
        <f>SUMPRODUCT(--(I$8&lt;=sensitivity!$D$9:'sensitivity'!$CN$9),--(I$9&gt;=sensitivity!$D$9:'sensitivity'!$CN$9),sensitivity!$D159:'sensitivity'!$CN159)</f>
        <v>#REF!</v>
      </c>
      <c r="J159" s="35" t="e">
        <f>SUMPRODUCT(--(J$8&lt;=sensitivity!$D$9:'sensitivity'!$CN$9),--(J$9&gt;=sensitivity!$D$9:'sensitivity'!$CN$9),sensitivity!$D159:'sensitivity'!$CN159)</f>
        <v>#REF!</v>
      </c>
      <c r="K159" s="35" t="e">
        <f>SUMPRODUCT(--(K$8&lt;=sensitivity!$D$9:'sensitivity'!$CN$9),--(K$9&gt;=sensitivity!$D$9:'sensitivity'!$CN$9),sensitivity!$D159:'sensitivity'!$CN159)</f>
        <v>#REF!</v>
      </c>
      <c r="L159" s="35" t="e">
        <f>SUMPRODUCT(--(L$8&lt;=sensitivity!$D$9:'sensitivity'!$CN$9),--(L$9&gt;=sensitivity!$D$9:'sensitivity'!$CN$9),sensitivity!$D159:'sensitivity'!$CN159)</f>
        <v>#REF!</v>
      </c>
      <c r="M159" s="35" t="e">
        <f>SUMPRODUCT(--(M$8&lt;=sensitivity!$D$9:'sensitivity'!$CN$9),--(M$9&gt;=sensitivity!$D$9:'sensitivity'!$CN$9),sensitivity!$D159:'sensitivity'!$CN159)</f>
        <v>#REF!</v>
      </c>
      <c r="N159" s="35" t="e">
        <f>SUMPRODUCT(--(N$8&lt;=sensitivity!$D$9:'sensitivity'!$CN$9),--(N$9&gt;=sensitivity!$D$9:'sensitivity'!$CN$9),sensitivity!$D159:'sensitivity'!$CN159)</f>
        <v>#REF!</v>
      </c>
      <c r="O159" s="35" t="e">
        <f>SUMPRODUCT(--(O$8&lt;=sensitivity!$D$9:'sensitivity'!$CN$9),--(O$9&gt;=sensitivity!$D$9:'sensitivity'!$CN$9),sensitivity!$D159:'sensitivity'!$CN159)</f>
        <v>#REF!</v>
      </c>
      <c r="P159" s="35" t="e">
        <f>SUMPRODUCT(--(P$8&lt;=sensitivity!$D$9:'sensitivity'!$CN$9),--(P$9&gt;=sensitivity!$D$9:'sensitivity'!$CN$9),sensitivity!$D159:'sensitivity'!$CN159)</f>
        <v>#REF!</v>
      </c>
      <c r="Q159" s="35" t="e">
        <f>SUMPRODUCT(--(Q$8&lt;=sensitivity!$D$9:'sensitivity'!$CN$9),--(Q$9&gt;=sensitivity!$D$9:'sensitivity'!$CN$9),sensitivity!$D159:'sensitivity'!$CN159)</f>
        <v>#REF!</v>
      </c>
      <c r="R159" s="35" t="e">
        <f>SUMPRODUCT(--(R$8&lt;=sensitivity!$D$9:'sensitivity'!$CN$9),--(R$9&gt;=sensitivity!$D$9:'sensitivity'!$CN$9),sensitivity!$D159:'sensitivity'!$CN159)</f>
        <v>#REF!</v>
      </c>
      <c r="S159" s="35" t="e">
        <f>SUMPRODUCT(--(S$8&lt;=sensitivity!$D$9:'sensitivity'!$CN$9),--(S$9&gt;=sensitivity!$D$9:'sensitivity'!$CN$9),sensitivity!$D159:'sensitivity'!$CN159)</f>
        <v>#REF!</v>
      </c>
      <c r="T159" s="35" t="e">
        <f>SUMPRODUCT(--(T$8&lt;=sensitivity!$D$9:'sensitivity'!$CN$9),--(T$9&gt;=sensitivity!$D$9:'sensitivity'!$CN$9),sensitivity!$D159:'sensitivity'!$CN159)</f>
        <v>#REF!</v>
      </c>
      <c r="U159" s="35" t="e">
        <f>SUMPRODUCT(--(U$8&lt;=sensitivity!$D$9:'sensitivity'!$CN$9),--(U$9&gt;=sensitivity!$D$9:'sensitivity'!$CN$9),sensitivity!$D159:'sensitivity'!$CN159)</f>
        <v>#REF!</v>
      </c>
      <c r="V159" s="35" t="e">
        <f>SUMPRODUCT(--(V$8&lt;=sensitivity!$D$9:'sensitivity'!$CN$9),--(V$9&gt;=sensitivity!$D$9:'sensitivity'!$CN$9),sensitivity!$D159:'sensitivity'!$CN159)</f>
        <v>#REF!</v>
      </c>
      <c r="W159" s="35" t="e">
        <f>SUMPRODUCT(--(W$8&lt;=sensitivity!$D$9:'sensitivity'!$CN$9),--(W$9&gt;=sensitivity!$D$9:'sensitivity'!$CN$9),sensitivity!$D159:'sensitivity'!$CN159)</f>
        <v>#REF!</v>
      </c>
      <c r="X159" s="35" t="e">
        <f>SUMPRODUCT(--(X$8&lt;=sensitivity!$D$9:'sensitivity'!$CN$9),--(X$9&gt;=sensitivity!$D$9:'sensitivity'!$CN$9),sensitivity!$D159:'sensitivity'!$CN159)</f>
        <v>#REF!</v>
      </c>
      <c r="Y159" s="35" t="e">
        <f>SUMPRODUCT(--(Y$8&lt;=sensitivity!$D$9:'sensitivity'!$CN$9),--(Y$9&gt;=sensitivity!$D$9:'sensitivity'!$CN$9),sensitivity!$D159:'sensitivity'!$CN159)</f>
        <v>#REF!</v>
      </c>
      <c r="Z159" s="35" t="e">
        <f>SUMPRODUCT(--(Z$8&lt;=sensitivity!$D$9:'sensitivity'!$CN$9),--(Z$9&gt;=sensitivity!$D$9:'sensitivity'!$CN$9),sensitivity!$D159:'sensitivity'!$CN159)</f>
        <v>#REF!</v>
      </c>
      <c r="AA159" s="35"/>
    </row>
    <row r="160" spans="1:27" ht="13" outlineLevel="1">
      <c r="A160" s="88"/>
      <c r="B160" s="110" t="s">
        <v>230</v>
      </c>
      <c r="C160" s="111"/>
      <c r="D160" s="58" t="e">
        <f>sensitivity!D160</f>
        <v>#REF!</v>
      </c>
      <c r="E160" s="111" t="e">
        <f>SUMPRODUCT(--(E$9=sensitivity!$D$9:$CN$9),sensitivity!$D160:$CN160)</f>
        <v>#REF!</v>
      </c>
      <c r="F160" s="111" t="e">
        <f>SUMPRODUCT(--(F$9=sensitivity!$D$9:$CN$9),sensitivity!$D160:$CN160)</f>
        <v>#REF!</v>
      </c>
      <c r="G160" s="111" t="e">
        <f>SUMPRODUCT(--(G$9=sensitivity!$D$9:$CN$9),sensitivity!$D160:$CN160)</f>
        <v>#REF!</v>
      </c>
      <c r="H160" s="111" t="e">
        <f>SUMPRODUCT(--(H$9=sensitivity!$D$9:$CN$9),sensitivity!$D160:$CN160)</f>
        <v>#REF!</v>
      </c>
      <c r="I160" s="111" t="e">
        <f>SUMPRODUCT(--(I$9=sensitivity!$D$9:$CN$9),sensitivity!$D160:$CN160)</f>
        <v>#REF!</v>
      </c>
      <c r="J160" s="111" t="e">
        <f>SUMPRODUCT(--(J$9=sensitivity!$D$9:$CN$9),sensitivity!$D160:$CN160)</f>
        <v>#REF!</v>
      </c>
      <c r="K160" s="111" t="e">
        <f>SUMPRODUCT(--(K$9=sensitivity!$D$9:$CN$9),sensitivity!$D160:$CN160)</f>
        <v>#REF!</v>
      </c>
      <c r="L160" s="111" t="e">
        <f>SUMPRODUCT(--(L$9=sensitivity!$D$9:$CN$9),sensitivity!$D160:$CN160)</f>
        <v>#REF!</v>
      </c>
      <c r="M160" s="111" t="e">
        <f>SUMPRODUCT(--(M$9=sensitivity!$D$9:$CN$9),sensitivity!$D160:$CN160)</f>
        <v>#REF!</v>
      </c>
      <c r="N160" s="111" t="e">
        <f>SUMPRODUCT(--(N$9=sensitivity!$D$9:$CN$9),sensitivity!$D160:$CN160)</f>
        <v>#REF!</v>
      </c>
      <c r="O160" s="111" t="e">
        <f>SUMPRODUCT(--(O$9=sensitivity!$D$9:$CN$9),sensitivity!$D160:$CN160)</f>
        <v>#REF!</v>
      </c>
      <c r="P160" s="111" t="e">
        <f>SUMPRODUCT(--(P$9=sensitivity!$D$9:$CN$9),sensitivity!$D160:$CN160)</f>
        <v>#REF!</v>
      </c>
      <c r="Q160" s="111" t="e">
        <f>SUMPRODUCT(--(Q$9=sensitivity!$D$9:$CN$9),sensitivity!$D160:$CN160)</f>
        <v>#REF!</v>
      </c>
      <c r="R160" s="111" t="e">
        <f>SUMPRODUCT(--(R$9=sensitivity!$D$9:$CN$9),sensitivity!$D160:$CN160)</f>
        <v>#REF!</v>
      </c>
      <c r="S160" s="111" t="e">
        <f>SUMPRODUCT(--(S$9=sensitivity!$D$9:$CN$9),sensitivity!$D160:$CN160)</f>
        <v>#REF!</v>
      </c>
      <c r="T160" s="111" t="e">
        <f>SUMPRODUCT(--(T$9=sensitivity!$D$9:$CN$9),sensitivity!$D160:$CN160)</f>
        <v>#REF!</v>
      </c>
      <c r="U160" s="111" t="e">
        <f>SUMPRODUCT(--(U$9=sensitivity!$D$9:$CN$9),sensitivity!$D160:$CN160)</f>
        <v>#REF!</v>
      </c>
      <c r="V160" s="111" t="e">
        <f>SUMPRODUCT(--(V$9=sensitivity!$D$9:$CN$9),sensitivity!$D160:$CN160)</f>
        <v>#REF!</v>
      </c>
      <c r="W160" s="111" t="e">
        <f>SUMPRODUCT(--(W$9=sensitivity!$D$9:$CN$9),sensitivity!$D160:$CN160)</f>
        <v>#REF!</v>
      </c>
      <c r="X160" s="111" t="e">
        <f>SUMPRODUCT(--(X$9=sensitivity!$D$9:$CN$9),sensitivity!$D160:$CN160)</f>
        <v>#REF!</v>
      </c>
      <c r="Y160" s="111" t="e">
        <f>SUMPRODUCT(--(Y$9=sensitivity!$D$9:$CN$9),sensitivity!$D160:$CN160)</f>
        <v>#REF!</v>
      </c>
      <c r="Z160" s="111" t="e">
        <f>SUMPRODUCT(--(Z$9=sensitivity!$D$9:$CN$9),sensitivity!$D160:$CN160)</f>
        <v>#REF!</v>
      </c>
      <c r="AA160" s="111"/>
    </row>
    <row r="161" spans="1:27" ht="13" outlineLevel="1">
      <c r="A161" s="88"/>
      <c r="B161" s="89"/>
      <c r="C161" s="88"/>
      <c r="D161" s="60">
        <f>sensitivity!D161</f>
        <v>0</v>
      </c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</row>
    <row r="162" spans="1:27" ht="13" outlineLevel="1">
      <c r="A162" s="35"/>
      <c r="B162" s="35" t="s">
        <v>237</v>
      </c>
      <c r="C162" s="35"/>
      <c r="D162" s="60">
        <f>sensitivity!D162</f>
        <v>0</v>
      </c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</row>
    <row r="163" spans="1:27" ht="13" outlineLevel="1">
      <c r="A163" s="35"/>
      <c r="B163" s="49" t="s">
        <v>228</v>
      </c>
      <c r="C163" s="50"/>
      <c r="D163" s="53">
        <f>sensitivity!D163</f>
        <v>0</v>
      </c>
      <c r="E163" s="50" t="e">
        <f>SUMPRODUCT(--(E$9=sensitivity!$D$9:$CN$9),sensitivity!$D163:$CN163)</f>
        <v>#REF!</v>
      </c>
      <c r="F163" s="50" t="e">
        <f>SUMPRODUCT(--(F$9=sensitivity!$D$9:$CN$9),sensitivity!$D163:$CN163)</f>
        <v>#REF!</v>
      </c>
      <c r="G163" s="50" t="e">
        <f>SUMPRODUCT(--(G$9=sensitivity!$D$9:$CN$9),sensitivity!$D163:$CN163)</f>
        <v>#REF!</v>
      </c>
      <c r="H163" s="50" t="e">
        <f>SUMPRODUCT(--(H$9=sensitivity!$D$9:$CN$9),sensitivity!$D163:$CN163)</f>
        <v>#REF!</v>
      </c>
      <c r="I163" s="50" t="e">
        <f>SUMPRODUCT(--(I$9=sensitivity!$D$9:$CN$9),sensitivity!$D163:$CN163)</f>
        <v>#REF!</v>
      </c>
      <c r="J163" s="50" t="e">
        <f>SUMPRODUCT(--(J$9=sensitivity!$D$9:$CN$9),sensitivity!$D163:$CN163)</f>
        <v>#REF!</v>
      </c>
      <c r="K163" s="50" t="e">
        <f>SUMPRODUCT(--(K$9=sensitivity!$D$9:$CN$9),sensitivity!$D163:$CN163)</f>
        <v>#REF!</v>
      </c>
      <c r="L163" s="50" t="e">
        <f>SUMPRODUCT(--(L$9=sensitivity!$D$9:$CN$9),sensitivity!$D163:$CN163)</f>
        <v>#REF!</v>
      </c>
      <c r="M163" s="50" t="e">
        <f>SUMPRODUCT(--(M$9=sensitivity!$D$9:$CN$9),sensitivity!$D163:$CN163)</f>
        <v>#REF!</v>
      </c>
      <c r="N163" s="50" t="e">
        <f>SUMPRODUCT(--(N$9=sensitivity!$D$9:$CN$9),sensitivity!$D163:$CN163)</f>
        <v>#REF!</v>
      </c>
      <c r="O163" s="50" t="e">
        <f>SUMPRODUCT(--(O$9=sensitivity!$D$9:$CN$9),sensitivity!$D163:$CN163)</f>
        <v>#REF!</v>
      </c>
      <c r="P163" s="50" t="e">
        <f>SUMPRODUCT(--(P$9=sensitivity!$D$9:$CN$9),sensitivity!$D163:$CN163)</f>
        <v>#REF!</v>
      </c>
      <c r="Q163" s="50" t="e">
        <f>SUMPRODUCT(--(Q$9=sensitivity!$D$9:$CN$9),sensitivity!$D163:$CN163)</f>
        <v>#REF!</v>
      </c>
      <c r="R163" s="50" t="e">
        <f>SUMPRODUCT(--(R$9=sensitivity!$D$9:$CN$9),sensitivity!$D163:$CN163)</f>
        <v>#REF!</v>
      </c>
      <c r="S163" s="50" t="e">
        <f>SUMPRODUCT(--(S$9=sensitivity!$D$9:$CN$9),sensitivity!$D163:$CN163)</f>
        <v>#REF!</v>
      </c>
      <c r="T163" s="50" t="e">
        <f>SUMPRODUCT(--(T$9=sensitivity!$D$9:$CN$9),sensitivity!$D163:$CN163)</f>
        <v>#REF!</v>
      </c>
      <c r="U163" s="50" t="e">
        <f>SUMPRODUCT(--(U$9=sensitivity!$D$9:$CN$9),sensitivity!$D163:$CN163)</f>
        <v>#REF!</v>
      </c>
      <c r="V163" s="50" t="e">
        <f>SUMPRODUCT(--(V$9=sensitivity!$D$9:$CN$9),sensitivity!$D163:$CN163)</f>
        <v>#REF!</v>
      </c>
      <c r="W163" s="50" t="e">
        <f>SUMPRODUCT(--(W$9=sensitivity!$D$9:$CN$9),sensitivity!$D163:$CN163)</f>
        <v>#REF!</v>
      </c>
      <c r="X163" s="50" t="e">
        <f>SUMPRODUCT(--(X$9=sensitivity!$D$9:$CN$9),sensitivity!$D163:$CN163)</f>
        <v>#REF!</v>
      </c>
      <c r="Y163" s="50" t="e">
        <f>SUMPRODUCT(--(Y$9=sensitivity!$D$9:$CN$9),sensitivity!$D163:$CN163)</f>
        <v>#REF!</v>
      </c>
      <c r="Z163" s="50" t="e">
        <f>SUMPRODUCT(--(Z$9=sensitivity!$D$9:$CN$9),sensitivity!$D163:$CN163)</f>
        <v>#REF!</v>
      </c>
      <c r="AA163" s="50"/>
    </row>
    <row r="164" spans="1:27" ht="13" outlineLevel="1">
      <c r="A164" s="35"/>
      <c r="B164" s="63" t="s">
        <v>184</v>
      </c>
      <c r="C164" s="35" t="e">
        <f t="shared" ref="C164:C165" si="24">SUM(D164:AA164)</f>
        <v>#REF!</v>
      </c>
      <c r="D164" s="60" t="e">
        <f>sensitivity!D164</f>
        <v>#REF!</v>
      </c>
      <c r="E164" s="35" t="e">
        <f>SUMPRODUCT(--(E$8&lt;=sensitivity!$D$9:'sensitivity'!$CN$9),--(E$9&gt;=sensitivity!$D$9:'sensitivity'!$CN$9),sensitivity!$D164:'sensitivity'!$CN164)</f>
        <v>#REF!</v>
      </c>
      <c r="F164" s="35" t="e">
        <f>SUMPRODUCT(--(F$8&lt;=sensitivity!$D$9:'sensitivity'!$CN$9),--(F$9&gt;=sensitivity!$D$9:'sensitivity'!$CN$9),sensitivity!$D164:'sensitivity'!$CN164)</f>
        <v>#REF!</v>
      </c>
      <c r="G164" s="35" t="e">
        <f>SUMPRODUCT(--(G$8&lt;=sensitivity!$D$9:'sensitivity'!$CN$9),--(G$9&gt;=sensitivity!$D$9:'sensitivity'!$CN$9),sensitivity!$D164:'sensitivity'!$CN164)</f>
        <v>#REF!</v>
      </c>
      <c r="H164" s="35" t="e">
        <f>SUMPRODUCT(--(H$8&lt;=sensitivity!$D$9:'sensitivity'!$CN$9),--(H$9&gt;=sensitivity!$D$9:'sensitivity'!$CN$9),sensitivity!$D164:'sensitivity'!$CN164)</f>
        <v>#REF!</v>
      </c>
      <c r="I164" s="35" t="e">
        <f>SUMPRODUCT(--(I$8&lt;=sensitivity!$D$9:'sensitivity'!$CN$9),--(I$9&gt;=sensitivity!$D$9:'sensitivity'!$CN$9),sensitivity!$D164:'sensitivity'!$CN164)</f>
        <v>#REF!</v>
      </c>
      <c r="J164" s="35" t="e">
        <f>SUMPRODUCT(--(J$8&lt;=sensitivity!$D$9:'sensitivity'!$CN$9),--(J$9&gt;=sensitivity!$D$9:'sensitivity'!$CN$9),sensitivity!$D164:'sensitivity'!$CN164)</f>
        <v>#REF!</v>
      </c>
      <c r="K164" s="35" t="e">
        <f>SUMPRODUCT(--(K$8&lt;=sensitivity!$D$9:'sensitivity'!$CN$9),--(K$9&gt;=sensitivity!$D$9:'sensitivity'!$CN$9),sensitivity!$D164:'sensitivity'!$CN164)</f>
        <v>#REF!</v>
      </c>
      <c r="L164" s="35" t="e">
        <f>SUMPRODUCT(--(L$8&lt;=sensitivity!$D$9:'sensitivity'!$CN$9),--(L$9&gt;=sensitivity!$D$9:'sensitivity'!$CN$9),sensitivity!$D164:'sensitivity'!$CN164)</f>
        <v>#REF!</v>
      </c>
      <c r="M164" s="35" t="e">
        <f>SUMPRODUCT(--(M$8&lt;=sensitivity!$D$9:'sensitivity'!$CN$9),--(M$9&gt;=sensitivity!$D$9:'sensitivity'!$CN$9),sensitivity!$D164:'sensitivity'!$CN164)</f>
        <v>#REF!</v>
      </c>
      <c r="N164" s="35" t="e">
        <f>SUMPRODUCT(--(N$8&lt;=sensitivity!$D$9:'sensitivity'!$CN$9),--(N$9&gt;=sensitivity!$D$9:'sensitivity'!$CN$9),sensitivity!$D164:'sensitivity'!$CN164)</f>
        <v>#REF!</v>
      </c>
      <c r="O164" s="35" t="e">
        <f>SUMPRODUCT(--(O$8&lt;=sensitivity!$D$9:'sensitivity'!$CN$9),--(O$9&gt;=sensitivity!$D$9:'sensitivity'!$CN$9),sensitivity!$D164:'sensitivity'!$CN164)</f>
        <v>#REF!</v>
      </c>
      <c r="P164" s="35" t="e">
        <f>SUMPRODUCT(--(P$8&lt;=sensitivity!$D$9:'sensitivity'!$CN$9),--(P$9&gt;=sensitivity!$D$9:'sensitivity'!$CN$9),sensitivity!$D164:'sensitivity'!$CN164)</f>
        <v>#REF!</v>
      </c>
      <c r="Q164" s="35" t="e">
        <f>SUMPRODUCT(--(Q$8&lt;=sensitivity!$D$9:'sensitivity'!$CN$9),--(Q$9&gt;=sensitivity!$D$9:'sensitivity'!$CN$9),sensitivity!$D164:'sensitivity'!$CN164)</f>
        <v>#REF!</v>
      </c>
      <c r="R164" s="35" t="e">
        <f>SUMPRODUCT(--(R$8&lt;=sensitivity!$D$9:'sensitivity'!$CN$9),--(R$9&gt;=sensitivity!$D$9:'sensitivity'!$CN$9),sensitivity!$D164:'sensitivity'!$CN164)</f>
        <v>#REF!</v>
      </c>
      <c r="S164" s="35" t="e">
        <f>SUMPRODUCT(--(S$8&lt;=sensitivity!$D$9:'sensitivity'!$CN$9),--(S$9&gt;=sensitivity!$D$9:'sensitivity'!$CN$9),sensitivity!$D164:'sensitivity'!$CN164)</f>
        <v>#REF!</v>
      </c>
      <c r="T164" s="35" t="e">
        <f>SUMPRODUCT(--(T$8&lt;=sensitivity!$D$9:'sensitivity'!$CN$9),--(T$9&gt;=sensitivity!$D$9:'sensitivity'!$CN$9),sensitivity!$D164:'sensitivity'!$CN164)</f>
        <v>#REF!</v>
      </c>
      <c r="U164" s="35" t="e">
        <f>SUMPRODUCT(--(U$8&lt;=sensitivity!$D$9:'sensitivity'!$CN$9),--(U$9&gt;=sensitivity!$D$9:'sensitivity'!$CN$9),sensitivity!$D164:'sensitivity'!$CN164)</f>
        <v>#REF!</v>
      </c>
      <c r="V164" s="35" t="e">
        <f>SUMPRODUCT(--(V$8&lt;=sensitivity!$D$9:'sensitivity'!$CN$9),--(V$9&gt;=sensitivity!$D$9:'sensitivity'!$CN$9),sensitivity!$D164:'sensitivity'!$CN164)</f>
        <v>#REF!</v>
      </c>
      <c r="W164" s="35" t="e">
        <f>SUMPRODUCT(--(W$8&lt;=sensitivity!$D$9:'sensitivity'!$CN$9),--(W$9&gt;=sensitivity!$D$9:'sensitivity'!$CN$9),sensitivity!$D164:'sensitivity'!$CN164)</f>
        <v>#REF!</v>
      </c>
      <c r="X164" s="35" t="e">
        <f>SUMPRODUCT(--(X$8&lt;=sensitivity!$D$9:'sensitivity'!$CN$9),--(X$9&gt;=sensitivity!$D$9:'sensitivity'!$CN$9),sensitivity!$D164:'sensitivity'!$CN164)</f>
        <v>#REF!</v>
      </c>
      <c r="Y164" s="35" t="e">
        <f>SUMPRODUCT(--(Y$8&lt;=sensitivity!$D$9:'sensitivity'!$CN$9),--(Y$9&gt;=sensitivity!$D$9:'sensitivity'!$CN$9),sensitivity!$D164:'sensitivity'!$CN164)</f>
        <v>#REF!</v>
      </c>
      <c r="Z164" s="35" t="e">
        <f>SUMPRODUCT(--(Z$8&lt;=sensitivity!$D$9:'sensitivity'!$CN$9),--(Z$9&gt;=sensitivity!$D$9:'sensitivity'!$CN$9),sensitivity!$D164:'sensitivity'!$CN164)</f>
        <v>#REF!</v>
      </c>
      <c r="AA164" s="35"/>
    </row>
    <row r="165" spans="1:27" ht="13" outlineLevel="1">
      <c r="A165" s="35"/>
      <c r="B165" s="63" t="s">
        <v>185</v>
      </c>
      <c r="C165" s="35" t="e">
        <f t="shared" si="24"/>
        <v>#REF!</v>
      </c>
      <c r="D165" s="60" t="e">
        <f>sensitivity!D165</f>
        <v>#REF!</v>
      </c>
      <c r="E165" s="35" t="e">
        <f>SUMPRODUCT(--(E$8&lt;=sensitivity!$D$9:'sensitivity'!$CN$9),--(E$9&gt;=sensitivity!$D$9:'sensitivity'!$CN$9),sensitivity!$D165:'sensitivity'!$CN165)</f>
        <v>#REF!</v>
      </c>
      <c r="F165" s="35" t="e">
        <f>SUMPRODUCT(--(F$8&lt;=sensitivity!$D$9:'sensitivity'!$CN$9),--(F$9&gt;=sensitivity!$D$9:'sensitivity'!$CN$9),sensitivity!$D165:'sensitivity'!$CN165)</f>
        <v>#REF!</v>
      </c>
      <c r="G165" s="35" t="e">
        <f>SUMPRODUCT(--(G$8&lt;=sensitivity!$D$9:'sensitivity'!$CN$9),--(G$9&gt;=sensitivity!$D$9:'sensitivity'!$CN$9),sensitivity!$D165:'sensitivity'!$CN165)</f>
        <v>#REF!</v>
      </c>
      <c r="H165" s="35" t="e">
        <f>SUMPRODUCT(--(H$8&lt;=sensitivity!$D$9:'sensitivity'!$CN$9),--(H$9&gt;=sensitivity!$D$9:'sensitivity'!$CN$9),sensitivity!$D165:'sensitivity'!$CN165)</f>
        <v>#REF!</v>
      </c>
      <c r="I165" s="35" t="e">
        <f>SUMPRODUCT(--(I$8&lt;=sensitivity!$D$9:'sensitivity'!$CN$9),--(I$9&gt;=sensitivity!$D$9:'sensitivity'!$CN$9),sensitivity!$D165:'sensitivity'!$CN165)</f>
        <v>#REF!</v>
      </c>
      <c r="J165" s="35" t="e">
        <f>SUMPRODUCT(--(J$8&lt;=sensitivity!$D$9:'sensitivity'!$CN$9),--(J$9&gt;=sensitivity!$D$9:'sensitivity'!$CN$9),sensitivity!$D165:'sensitivity'!$CN165)</f>
        <v>#REF!</v>
      </c>
      <c r="K165" s="35" t="e">
        <f>SUMPRODUCT(--(K$8&lt;=sensitivity!$D$9:'sensitivity'!$CN$9),--(K$9&gt;=sensitivity!$D$9:'sensitivity'!$CN$9),sensitivity!$D165:'sensitivity'!$CN165)</f>
        <v>#REF!</v>
      </c>
      <c r="L165" s="35" t="e">
        <f>SUMPRODUCT(--(L$8&lt;=sensitivity!$D$9:'sensitivity'!$CN$9),--(L$9&gt;=sensitivity!$D$9:'sensitivity'!$CN$9),sensitivity!$D165:'sensitivity'!$CN165)</f>
        <v>#REF!</v>
      </c>
      <c r="M165" s="35" t="e">
        <f>SUMPRODUCT(--(M$8&lt;=sensitivity!$D$9:'sensitivity'!$CN$9),--(M$9&gt;=sensitivity!$D$9:'sensitivity'!$CN$9),sensitivity!$D165:'sensitivity'!$CN165)</f>
        <v>#REF!</v>
      </c>
      <c r="N165" s="35" t="e">
        <f>SUMPRODUCT(--(N$8&lt;=sensitivity!$D$9:'sensitivity'!$CN$9),--(N$9&gt;=sensitivity!$D$9:'sensitivity'!$CN$9),sensitivity!$D165:'sensitivity'!$CN165)</f>
        <v>#REF!</v>
      </c>
      <c r="O165" s="35" t="e">
        <f>SUMPRODUCT(--(O$8&lt;=sensitivity!$D$9:'sensitivity'!$CN$9),--(O$9&gt;=sensitivity!$D$9:'sensitivity'!$CN$9),sensitivity!$D165:'sensitivity'!$CN165)</f>
        <v>#REF!</v>
      </c>
      <c r="P165" s="35" t="e">
        <f>SUMPRODUCT(--(P$8&lt;=sensitivity!$D$9:'sensitivity'!$CN$9),--(P$9&gt;=sensitivity!$D$9:'sensitivity'!$CN$9),sensitivity!$D165:'sensitivity'!$CN165)</f>
        <v>#REF!</v>
      </c>
      <c r="Q165" s="35" t="e">
        <f>SUMPRODUCT(--(Q$8&lt;=sensitivity!$D$9:'sensitivity'!$CN$9),--(Q$9&gt;=sensitivity!$D$9:'sensitivity'!$CN$9),sensitivity!$D165:'sensitivity'!$CN165)</f>
        <v>#REF!</v>
      </c>
      <c r="R165" s="35" t="e">
        <f>SUMPRODUCT(--(R$8&lt;=sensitivity!$D$9:'sensitivity'!$CN$9),--(R$9&gt;=sensitivity!$D$9:'sensitivity'!$CN$9),sensitivity!$D165:'sensitivity'!$CN165)</f>
        <v>#REF!</v>
      </c>
      <c r="S165" s="35" t="e">
        <f>SUMPRODUCT(--(S$8&lt;=sensitivity!$D$9:'sensitivity'!$CN$9),--(S$9&gt;=sensitivity!$D$9:'sensitivity'!$CN$9),sensitivity!$D165:'sensitivity'!$CN165)</f>
        <v>#REF!</v>
      </c>
      <c r="T165" s="35" t="e">
        <f>SUMPRODUCT(--(T$8&lt;=sensitivity!$D$9:'sensitivity'!$CN$9),--(T$9&gt;=sensitivity!$D$9:'sensitivity'!$CN$9),sensitivity!$D165:'sensitivity'!$CN165)</f>
        <v>#REF!</v>
      </c>
      <c r="U165" s="35" t="e">
        <f>SUMPRODUCT(--(U$8&lt;=sensitivity!$D$9:'sensitivity'!$CN$9),--(U$9&gt;=sensitivity!$D$9:'sensitivity'!$CN$9),sensitivity!$D165:'sensitivity'!$CN165)</f>
        <v>#REF!</v>
      </c>
      <c r="V165" s="35" t="e">
        <f>SUMPRODUCT(--(V$8&lt;=sensitivity!$D$9:'sensitivity'!$CN$9),--(V$9&gt;=sensitivity!$D$9:'sensitivity'!$CN$9),sensitivity!$D165:'sensitivity'!$CN165)</f>
        <v>#REF!</v>
      </c>
      <c r="W165" s="35" t="e">
        <f>SUMPRODUCT(--(W$8&lt;=sensitivity!$D$9:'sensitivity'!$CN$9),--(W$9&gt;=sensitivity!$D$9:'sensitivity'!$CN$9),sensitivity!$D165:'sensitivity'!$CN165)</f>
        <v>#REF!</v>
      </c>
      <c r="X165" s="35" t="e">
        <f>SUMPRODUCT(--(X$8&lt;=sensitivity!$D$9:'sensitivity'!$CN$9),--(X$9&gt;=sensitivity!$D$9:'sensitivity'!$CN$9),sensitivity!$D165:'sensitivity'!$CN165)</f>
        <v>#REF!</v>
      </c>
      <c r="Y165" s="35" t="e">
        <f>SUMPRODUCT(--(Y$8&lt;=sensitivity!$D$9:'sensitivity'!$CN$9),--(Y$9&gt;=sensitivity!$D$9:'sensitivity'!$CN$9),sensitivity!$D165:'sensitivity'!$CN165)</f>
        <v>#REF!</v>
      </c>
      <c r="Z165" s="35" t="e">
        <f>SUMPRODUCT(--(Z$8&lt;=sensitivity!$D$9:'sensitivity'!$CN$9),--(Z$9&gt;=sensitivity!$D$9:'sensitivity'!$CN$9),sensitivity!$D165:'sensitivity'!$CN165)</f>
        <v>#REF!</v>
      </c>
      <c r="AA165" s="35"/>
    </row>
    <row r="166" spans="1:27" ht="13" outlineLevel="1">
      <c r="A166" s="35"/>
      <c r="B166" s="54" t="s">
        <v>230</v>
      </c>
      <c r="C166" s="55"/>
      <c r="D166" s="58" t="e">
        <f>sensitivity!D166</f>
        <v>#REF!</v>
      </c>
      <c r="E166" s="55" t="e">
        <f>SUMPRODUCT(--(E$9=sensitivity!$D$9:$CN$9),sensitivity!$D166:$CN166)</f>
        <v>#REF!</v>
      </c>
      <c r="F166" s="55" t="e">
        <f>SUMPRODUCT(--(F$9=sensitivity!$D$9:$CN$9),sensitivity!$D166:$CN166)</f>
        <v>#REF!</v>
      </c>
      <c r="G166" s="55" t="e">
        <f>SUMPRODUCT(--(G$9=sensitivity!$D$9:$CN$9),sensitivity!$D166:$CN166)</f>
        <v>#REF!</v>
      </c>
      <c r="H166" s="55" t="e">
        <f>SUMPRODUCT(--(H$9=sensitivity!$D$9:$CN$9),sensitivity!$D166:$CN166)</f>
        <v>#REF!</v>
      </c>
      <c r="I166" s="55" t="e">
        <f>SUMPRODUCT(--(I$9=sensitivity!$D$9:$CN$9),sensitivity!$D166:$CN166)</f>
        <v>#REF!</v>
      </c>
      <c r="J166" s="55" t="e">
        <f>SUMPRODUCT(--(J$9=sensitivity!$D$9:$CN$9),sensitivity!$D166:$CN166)</f>
        <v>#REF!</v>
      </c>
      <c r="K166" s="55" t="e">
        <f>SUMPRODUCT(--(K$9=sensitivity!$D$9:$CN$9),sensitivity!$D166:$CN166)</f>
        <v>#REF!</v>
      </c>
      <c r="L166" s="55" t="e">
        <f>SUMPRODUCT(--(L$9=sensitivity!$D$9:$CN$9),sensitivity!$D166:$CN166)</f>
        <v>#REF!</v>
      </c>
      <c r="M166" s="55" t="e">
        <f>SUMPRODUCT(--(M$9=sensitivity!$D$9:$CN$9),sensitivity!$D166:$CN166)</f>
        <v>#REF!</v>
      </c>
      <c r="N166" s="55" t="e">
        <f>SUMPRODUCT(--(N$9=sensitivity!$D$9:$CN$9),sensitivity!$D166:$CN166)</f>
        <v>#REF!</v>
      </c>
      <c r="O166" s="55" t="e">
        <f>SUMPRODUCT(--(O$9=sensitivity!$D$9:$CN$9),sensitivity!$D166:$CN166)</f>
        <v>#REF!</v>
      </c>
      <c r="P166" s="55" t="e">
        <f>SUMPRODUCT(--(P$9=sensitivity!$D$9:$CN$9),sensitivity!$D166:$CN166)</f>
        <v>#REF!</v>
      </c>
      <c r="Q166" s="55" t="e">
        <f>SUMPRODUCT(--(Q$9=sensitivity!$D$9:$CN$9),sensitivity!$D166:$CN166)</f>
        <v>#REF!</v>
      </c>
      <c r="R166" s="55" t="e">
        <f>SUMPRODUCT(--(R$9=sensitivity!$D$9:$CN$9),sensitivity!$D166:$CN166)</f>
        <v>#REF!</v>
      </c>
      <c r="S166" s="55" t="e">
        <f>SUMPRODUCT(--(S$9=sensitivity!$D$9:$CN$9),sensitivity!$D166:$CN166)</f>
        <v>#REF!</v>
      </c>
      <c r="T166" s="55" t="e">
        <f>SUMPRODUCT(--(T$9=sensitivity!$D$9:$CN$9),sensitivity!$D166:$CN166)</f>
        <v>#REF!</v>
      </c>
      <c r="U166" s="55" t="e">
        <f>SUMPRODUCT(--(U$9=sensitivity!$D$9:$CN$9),sensitivity!$D166:$CN166)</f>
        <v>#REF!</v>
      </c>
      <c r="V166" s="55" t="e">
        <f>SUMPRODUCT(--(V$9=sensitivity!$D$9:$CN$9),sensitivity!$D166:$CN166)</f>
        <v>#REF!</v>
      </c>
      <c r="W166" s="55" t="e">
        <f>SUMPRODUCT(--(W$9=sensitivity!$D$9:$CN$9),sensitivity!$D166:$CN166)</f>
        <v>#REF!</v>
      </c>
      <c r="X166" s="55" t="e">
        <f>SUMPRODUCT(--(X$9=sensitivity!$D$9:$CN$9),sensitivity!$D166:$CN166)</f>
        <v>#REF!</v>
      </c>
      <c r="Y166" s="55" t="e">
        <f>SUMPRODUCT(--(Y$9=sensitivity!$D$9:$CN$9),sensitivity!$D166:$CN166)</f>
        <v>#REF!</v>
      </c>
      <c r="Z166" s="55" t="e">
        <f>SUMPRODUCT(--(Z$9=sensitivity!$D$9:$CN$9),sensitivity!$D166:$CN166)</f>
        <v>#REF!</v>
      </c>
      <c r="AA166" s="55"/>
    </row>
    <row r="167" spans="1:27" ht="13" outlineLevel="1">
      <c r="A167" s="35"/>
      <c r="B167" s="63" t="s">
        <v>238</v>
      </c>
      <c r="C167" s="35" t="e">
        <f>SUM(D167:AA167)</f>
        <v>#REF!</v>
      </c>
      <c r="D167" s="82">
        <f>sensitivity!D167</f>
        <v>0</v>
      </c>
      <c r="E167" s="83" t="e">
        <f>SUMPRODUCT(--(E$8&lt;=sensitivity!$D$9:'sensitivity'!$CN$9),--(E$9&gt;=sensitivity!$D$9:'sensitivity'!$CN$9),sensitivity!$D167:'sensitivity'!$CN167)</f>
        <v>#REF!</v>
      </c>
      <c r="F167" s="83" t="e">
        <f>SUMPRODUCT(--(F$8&lt;=sensitivity!$D$9:'sensitivity'!$CN$9),--(F$9&gt;=sensitivity!$D$9:'sensitivity'!$CN$9),sensitivity!$D167:'sensitivity'!$CN167)</f>
        <v>#REF!</v>
      </c>
      <c r="G167" s="83" t="e">
        <f>SUMPRODUCT(--(G$8&lt;=sensitivity!$D$9:'sensitivity'!$CN$9),--(G$9&gt;=sensitivity!$D$9:'sensitivity'!$CN$9),sensitivity!$D167:'sensitivity'!$CN167)</f>
        <v>#REF!</v>
      </c>
      <c r="H167" s="83" t="e">
        <f>SUMPRODUCT(--(H$8&lt;=sensitivity!$D$9:'sensitivity'!$CN$9),--(H$9&gt;=sensitivity!$D$9:'sensitivity'!$CN$9),sensitivity!$D167:'sensitivity'!$CN167)</f>
        <v>#REF!</v>
      </c>
      <c r="I167" s="83" t="e">
        <f>SUMPRODUCT(--(I$8&lt;=sensitivity!$D$9:'sensitivity'!$CN$9),--(I$9&gt;=sensitivity!$D$9:'sensitivity'!$CN$9),sensitivity!$D167:'sensitivity'!$CN167)</f>
        <v>#REF!</v>
      </c>
      <c r="J167" s="83" t="e">
        <f>SUMPRODUCT(--(J$8&lt;=sensitivity!$D$9:'sensitivity'!$CN$9),--(J$9&gt;=sensitivity!$D$9:'sensitivity'!$CN$9),sensitivity!$D167:'sensitivity'!$CN167)</f>
        <v>#REF!</v>
      </c>
      <c r="K167" s="83" t="e">
        <f>SUMPRODUCT(--(K$8&lt;=sensitivity!$D$9:'sensitivity'!$CN$9),--(K$9&gt;=sensitivity!$D$9:'sensitivity'!$CN$9),sensitivity!$D167:'sensitivity'!$CN167)</f>
        <v>#REF!</v>
      </c>
      <c r="L167" s="83" t="e">
        <f>SUMPRODUCT(--(L$8&lt;=sensitivity!$D$9:'sensitivity'!$CN$9),--(L$9&gt;=sensitivity!$D$9:'sensitivity'!$CN$9),sensitivity!$D167:'sensitivity'!$CN167)</f>
        <v>#REF!</v>
      </c>
      <c r="M167" s="83" t="e">
        <f>SUMPRODUCT(--(M$8&lt;=sensitivity!$D$9:'sensitivity'!$CN$9),--(M$9&gt;=sensitivity!$D$9:'sensitivity'!$CN$9),sensitivity!$D167:'sensitivity'!$CN167)</f>
        <v>#REF!</v>
      </c>
      <c r="N167" s="83" t="e">
        <f>SUMPRODUCT(--(N$8&lt;=sensitivity!$D$9:'sensitivity'!$CN$9),--(N$9&gt;=sensitivity!$D$9:'sensitivity'!$CN$9),sensitivity!$D167:'sensitivity'!$CN167)</f>
        <v>#REF!</v>
      </c>
      <c r="O167" s="83" t="e">
        <f>SUMPRODUCT(--(O$8&lt;=sensitivity!$D$9:'sensitivity'!$CN$9),--(O$9&gt;=sensitivity!$D$9:'sensitivity'!$CN$9),sensitivity!$D167:'sensitivity'!$CN167)</f>
        <v>#REF!</v>
      </c>
      <c r="P167" s="83" t="e">
        <f>SUMPRODUCT(--(P$8&lt;=sensitivity!$D$9:'sensitivity'!$CN$9),--(P$9&gt;=sensitivity!$D$9:'sensitivity'!$CN$9),sensitivity!$D167:'sensitivity'!$CN167)</f>
        <v>#REF!</v>
      </c>
      <c r="Q167" s="83" t="e">
        <f>SUMPRODUCT(--(Q$8&lt;=sensitivity!$D$9:'sensitivity'!$CN$9),--(Q$9&gt;=sensitivity!$D$9:'sensitivity'!$CN$9),sensitivity!$D167:'sensitivity'!$CN167)</f>
        <v>#REF!</v>
      </c>
      <c r="R167" s="83" t="e">
        <f>SUMPRODUCT(--(R$8&lt;=sensitivity!$D$9:'sensitivity'!$CN$9),--(R$9&gt;=sensitivity!$D$9:'sensitivity'!$CN$9),sensitivity!$D167:'sensitivity'!$CN167)</f>
        <v>#REF!</v>
      </c>
      <c r="S167" s="83" t="e">
        <f>SUMPRODUCT(--(S$8&lt;=sensitivity!$D$9:'sensitivity'!$CN$9),--(S$9&gt;=sensitivity!$D$9:'sensitivity'!$CN$9),sensitivity!$D167:'sensitivity'!$CN167)</f>
        <v>#REF!</v>
      </c>
      <c r="T167" s="83" t="e">
        <f>SUMPRODUCT(--(T$8&lt;=sensitivity!$D$9:'sensitivity'!$CN$9),--(T$9&gt;=sensitivity!$D$9:'sensitivity'!$CN$9),sensitivity!$D167:'sensitivity'!$CN167)</f>
        <v>#REF!</v>
      </c>
      <c r="U167" s="83" t="e">
        <f>SUMPRODUCT(--(U$8&lt;=sensitivity!$D$9:'sensitivity'!$CN$9),--(U$9&gt;=sensitivity!$D$9:'sensitivity'!$CN$9),sensitivity!$D167:'sensitivity'!$CN167)</f>
        <v>#REF!</v>
      </c>
      <c r="V167" s="83" t="e">
        <f>SUMPRODUCT(--(V$8&lt;=sensitivity!$D$9:'sensitivity'!$CN$9),--(V$9&gt;=sensitivity!$D$9:'sensitivity'!$CN$9),sensitivity!$D167:'sensitivity'!$CN167)</f>
        <v>#REF!</v>
      </c>
      <c r="W167" s="83" t="e">
        <f>SUMPRODUCT(--(W$8&lt;=sensitivity!$D$9:'sensitivity'!$CN$9),--(W$9&gt;=sensitivity!$D$9:'sensitivity'!$CN$9),sensitivity!$D167:'sensitivity'!$CN167)</f>
        <v>#REF!</v>
      </c>
      <c r="X167" s="83" t="e">
        <f>SUMPRODUCT(--(X$8&lt;=sensitivity!$D$9:'sensitivity'!$CN$9),--(X$9&gt;=sensitivity!$D$9:'sensitivity'!$CN$9),sensitivity!$D167:'sensitivity'!$CN167)</f>
        <v>#REF!</v>
      </c>
      <c r="Y167" s="83" t="e">
        <f>SUMPRODUCT(--(Y$8&lt;=sensitivity!$D$9:'sensitivity'!$CN$9),--(Y$9&gt;=sensitivity!$D$9:'sensitivity'!$CN$9),sensitivity!$D167:'sensitivity'!$CN167)</f>
        <v>#REF!</v>
      </c>
      <c r="Z167" s="83" t="e">
        <f>SUMPRODUCT(--(Z$8&lt;=sensitivity!$D$9:'sensitivity'!$CN$9),--(Z$9&gt;=sensitivity!$D$9:'sensitivity'!$CN$9),sensitivity!$D167:'sensitivity'!$CN167)</f>
        <v>#REF!</v>
      </c>
      <c r="AA167" s="83"/>
    </row>
    <row r="168" spans="1:27" ht="13" outlineLevel="1">
      <c r="A168" s="35"/>
      <c r="B168" s="35"/>
      <c r="C168" s="35"/>
      <c r="D168" s="60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</row>
    <row r="169" spans="1:27" ht="13">
      <c r="A169" s="35"/>
      <c r="B169" s="35"/>
      <c r="C169" s="35"/>
      <c r="D169" s="60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</row>
    <row r="170" spans="1:27" ht="13">
      <c r="A170" s="112"/>
      <c r="B170" s="67" t="s">
        <v>239</v>
      </c>
      <c r="C170" s="113"/>
      <c r="D170" s="114" t="str">
        <f>sensitivity!D174</f>
        <v>0 период</v>
      </c>
      <c r="E170" s="62">
        <f t="shared" ref="E170:Z170" si="25">E6</f>
        <v>2022</v>
      </c>
      <c r="F170" s="62">
        <f t="shared" si="25"/>
        <v>2023</v>
      </c>
      <c r="G170" s="62">
        <f t="shared" si="25"/>
        <v>2024</v>
      </c>
      <c r="H170" s="62">
        <f t="shared" si="25"/>
        <v>2025</v>
      </c>
      <c r="I170" s="62">
        <f t="shared" si="25"/>
        <v>2026</v>
      </c>
      <c r="J170" s="62">
        <f t="shared" si="25"/>
        <v>2027</v>
      </c>
      <c r="K170" s="62">
        <f t="shared" si="25"/>
        <v>2028</v>
      </c>
      <c r="L170" s="62">
        <f t="shared" si="25"/>
        <v>2029</v>
      </c>
      <c r="M170" s="62">
        <f t="shared" si="25"/>
        <v>2030</v>
      </c>
      <c r="N170" s="62">
        <f t="shared" si="25"/>
        <v>2031</v>
      </c>
      <c r="O170" s="62">
        <f t="shared" si="25"/>
        <v>2032</v>
      </c>
      <c r="P170" s="62">
        <f t="shared" si="25"/>
        <v>2033</v>
      </c>
      <c r="Q170" s="62">
        <f t="shared" si="25"/>
        <v>2034</v>
      </c>
      <c r="R170" s="62">
        <f t="shared" si="25"/>
        <v>2035</v>
      </c>
      <c r="S170" s="62">
        <f t="shared" si="25"/>
        <v>2036</v>
      </c>
      <c r="T170" s="62">
        <f t="shared" si="25"/>
        <v>2037</v>
      </c>
      <c r="U170" s="62">
        <f t="shared" si="25"/>
        <v>2038</v>
      </c>
      <c r="V170" s="62">
        <f t="shared" si="25"/>
        <v>2039</v>
      </c>
      <c r="W170" s="62">
        <f t="shared" si="25"/>
        <v>2040</v>
      </c>
      <c r="X170" s="62">
        <f t="shared" si="25"/>
        <v>2041</v>
      </c>
      <c r="Y170" s="62">
        <f t="shared" si="25"/>
        <v>2042</v>
      </c>
      <c r="Z170" s="62">
        <f t="shared" si="25"/>
        <v>2043</v>
      </c>
      <c r="AA170" s="62"/>
    </row>
    <row r="171" spans="1:27" ht="13">
      <c r="A171" s="112"/>
      <c r="B171" s="112" t="s">
        <v>240</v>
      </c>
      <c r="C171" s="112"/>
      <c r="D171" s="116">
        <f>sensitivity!D175</f>
        <v>0</v>
      </c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</row>
    <row r="172" spans="1:27" ht="13">
      <c r="A172" s="112"/>
      <c r="B172" s="112" t="s">
        <v>241</v>
      </c>
      <c r="C172" s="112"/>
      <c r="D172" s="116" t="e">
        <f>sensitivity!D176</f>
        <v>#REF!</v>
      </c>
      <c r="E172" s="112" t="e">
        <f>SUMPRODUCT(--(E$9=sensitivity!$D$9:$CN$9),sensitivity!$D176:$CN176)</f>
        <v>#REF!</v>
      </c>
      <c r="F172" s="112" t="e">
        <f>SUMPRODUCT(--(F$9=sensitivity!$D$9:$CN$9),sensitivity!$D176:$CN176)</f>
        <v>#REF!</v>
      </c>
      <c r="G172" s="112" t="e">
        <f>SUMPRODUCT(--(G$9=sensitivity!$D$9:$CN$9),sensitivity!$D176:$CN176)</f>
        <v>#REF!</v>
      </c>
      <c r="H172" s="112" t="e">
        <f>SUMPRODUCT(--(H$9=sensitivity!$D$9:$CN$9),sensitivity!$D176:$CN176)</f>
        <v>#REF!</v>
      </c>
      <c r="I172" s="112" t="e">
        <f>SUMPRODUCT(--(I$9=sensitivity!$D$9:$CN$9),sensitivity!$D176:$CN176)</f>
        <v>#REF!</v>
      </c>
      <c r="J172" s="112" t="e">
        <f>SUMPRODUCT(--(J$9=sensitivity!$D$9:$CN$9),sensitivity!$D176:$CN176)</f>
        <v>#REF!</v>
      </c>
      <c r="K172" s="112" t="e">
        <f>SUMPRODUCT(--(K$9=sensitivity!$D$9:$CN$9),sensitivity!$D176:$CN176)</f>
        <v>#REF!</v>
      </c>
      <c r="L172" s="112" t="e">
        <f>SUMPRODUCT(--(L$9=sensitivity!$D$9:$CN$9),sensitivity!$D176:$CN176)</f>
        <v>#REF!</v>
      </c>
      <c r="M172" s="112" t="e">
        <f>SUMPRODUCT(--(M$9=sensitivity!$D$9:$CN$9),sensitivity!$D176:$CN176)</f>
        <v>#REF!</v>
      </c>
      <c r="N172" s="112" t="e">
        <f>SUMPRODUCT(--(N$9=sensitivity!$D$9:$CN$9),sensitivity!$D176:$CN176)</f>
        <v>#REF!</v>
      </c>
      <c r="O172" s="112" t="e">
        <f>SUMPRODUCT(--(O$9=sensitivity!$D$9:$CN$9),sensitivity!$D176:$CN176)</f>
        <v>#REF!</v>
      </c>
      <c r="P172" s="112" t="e">
        <f>SUMPRODUCT(--(P$9=sensitivity!$D$9:$CN$9),sensitivity!$D176:$CN176)</f>
        <v>#REF!</v>
      </c>
      <c r="Q172" s="112" t="e">
        <f>SUMPRODUCT(--(Q$9=sensitivity!$D$9:$CN$9),sensitivity!$D176:$CN176)</f>
        <v>#REF!</v>
      </c>
      <c r="R172" s="112" t="e">
        <f>SUMPRODUCT(--(R$9=sensitivity!$D$9:$CN$9),sensitivity!$D176:$CN176)</f>
        <v>#REF!</v>
      </c>
      <c r="S172" s="112" t="e">
        <f>SUMPRODUCT(--(S$9=sensitivity!$D$9:$CN$9),sensitivity!$D176:$CN176)</f>
        <v>#REF!</v>
      </c>
      <c r="T172" s="112" t="e">
        <f>SUMPRODUCT(--(T$9=sensitivity!$D$9:$CN$9),sensitivity!$D176:$CN176)</f>
        <v>#REF!</v>
      </c>
      <c r="U172" s="112" t="e">
        <f>SUMPRODUCT(--(U$9=sensitivity!$D$9:$CN$9),sensitivity!$D176:$CN176)</f>
        <v>#REF!</v>
      </c>
      <c r="V172" s="112" t="e">
        <f>SUMPRODUCT(--(V$9=sensitivity!$D$9:$CN$9),sensitivity!$D176:$CN176)</f>
        <v>#REF!</v>
      </c>
      <c r="W172" s="112" t="e">
        <f>SUMPRODUCT(--(W$9=sensitivity!$D$9:$CN$9),sensitivity!$D176:$CN176)</f>
        <v>#REF!</v>
      </c>
      <c r="X172" s="112" t="e">
        <f>SUMPRODUCT(--(X$9=sensitivity!$D$9:$CN$9),sensitivity!$D176:$CN176)</f>
        <v>#REF!</v>
      </c>
      <c r="Y172" s="112" t="e">
        <f>SUMPRODUCT(--(Y$9=sensitivity!$D$9:$CN$9),sensitivity!$D176:$CN176)</f>
        <v>#REF!</v>
      </c>
      <c r="Z172" s="112" t="e">
        <f>SUMPRODUCT(--(Z$9=sensitivity!$D$9:$CN$9),sensitivity!$D176:$CN176)</f>
        <v>#REF!</v>
      </c>
      <c r="AA172" s="112"/>
    </row>
    <row r="173" spans="1:27" ht="13">
      <c r="A173" s="117"/>
      <c r="B173" s="26" t="s">
        <v>242</v>
      </c>
      <c r="C173" s="117"/>
      <c r="D173" s="118" t="e">
        <f>sensitivity!D177</f>
        <v>#REF!</v>
      </c>
      <c r="E173" s="5" t="e">
        <f>SUMPRODUCT(--(E$9=sensitivity!$D$9:$CN$9),sensitivity!$D177:$CN177)</f>
        <v>#REF!</v>
      </c>
      <c r="F173" s="5" t="e">
        <f>SUMPRODUCT(--(F$9=sensitivity!$D$9:$CN$9),sensitivity!$D177:$CN177)</f>
        <v>#REF!</v>
      </c>
      <c r="G173" s="5" t="e">
        <f>SUMPRODUCT(--(G$9=sensitivity!$D$9:$CN$9),sensitivity!$D177:$CN177)</f>
        <v>#REF!</v>
      </c>
      <c r="H173" s="5" t="e">
        <f>SUMPRODUCT(--(H$9=sensitivity!$D$9:$CN$9),sensitivity!$D177:$CN177)</f>
        <v>#REF!</v>
      </c>
      <c r="I173" s="5" t="e">
        <f>SUMPRODUCT(--(I$9=sensitivity!$D$9:$CN$9),sensitivity!$D177:$CN177)</f>
        <v>#REF!</v>
      </c>
      <c r="J173" s="5" t="e">
        <f>SUMPRODUCT(--(J$9=sensitivity!$D$9:$CN$9),sensitivity!$D177:$CN177)</f>
        <v>#REF!</v>
      </c>
      <c r="K173" s="5" t="e">
        <f>SUMPRODUCT(--(K$9=sensitivity!$D$9:$CN$9),sensitivity!$D177:$CN177)</f>
        <v>#REF!</v>
      </c>
      <c r="L173" s="5" t="e">
        <f>SUMPRODUCT(--(L$9=sensitivity!$D$9:$CN$9),sensitivity!$D177:$CN177)</f>
        <v>#REF!</v>
      </c>
      <c r="M173" s="5" t="e">
        <f>SUMPRODUCT(--(M$9=sensitivity!$D$9:$CN$9),sensitivity!$D177:$CN177)</f>
        <v>#REF!</v>
      </c>
      <c r="N173" s="5" t="e">
        <f>SUMPRODUCT(--(N$9=sensitivity!$D$9:$CN$9),sensitivity!$D177:$CN177)</f>
        <v>#REF!</v>
      </c>
      <c r="O173" s="5" t="e">
        <f>SUMPRODUCT(--(O$9=sensitivity!$D$9:$CN$9),sensitivity!$D177:$CN177)</f>
        <v>#REF!</v>
      </c>
      <c r="P173" s="5" t="e">
        <f>SUMPRODUCT(--(P$9=sensitivity!$D$9:$CN$9),sensitivity!$D177:$CN177)</f>
        <v>#REF!</v>
      </c>
      <c r="Q173" s="5" t="e">
        <f>SUMPRODUCT(--(Q$9=sensitivity!$D$9:$CN$9),sensitivity!$D177:$CN177)</f>
        <v>#REF!</v>
      </c>
      <c r="R173" s="5" t="e">
        <f>SUMPRODUCT(--(R$9=sensitivity!$D$9:$CN$9),sensitivity!$D177:$CN177)</f>
        <v>#REF!</v>
      </c>
      <c r="S173" s="5" t="e">
        <f>SUMPRODUCT(--(S$9=sensitivity!$D$9:$CN$9),sensitivity!$D177:$CN177)</f>
        <v>#REF!</v>
      </c>
      <c r="T173" s="5" t="e">
        <f>SUMPRODUCT(--(T$9=sensitivity!$D$9:$CN$9),sensitivity!$D177:$CN177)</f>
        <v>#REF!</v>
      </c>
      <c r="U173" s="5" t="e">
        <f>SUMPRODUCT(--(U$9=sensitivity!$D$9:$CN$9),sensitivity!$D177:$CN177)</f>
        <v>#REF!</v>
      </c>
      <c r="V173" s="5" t="e">
        <f>SUMPRODUCT(--(V$9=sensitivity!$D$9:$CN$9),sensitivity!$D177:$CN177)</f>
        <v>#REF!</v>
      </c>
      <c r="W173" s="5" t="e">
        <f>SUMPRODUCT(--(W$9=sensitivity!$D$9:$CN$9),sensitivity!$D177:$CN177)</f>
        <v>#REF!</v>
      </c>
      <c r="X173" s="5" t="e">
        <f>SUMPRODUCT(--(X$9=sensitivity!$D$9:$CN$9),sensitivity!$D177:$CN177)</f>
        <v>#REF!</v>
      </c>
      <c r="Y173" s="5" t="e">
        <f>SUMPRODUCT(--(Y$9=sensitivity!$D$9:$CN$9),sensitivity!$D177:$CN177)</f>
        <v>#REF!</v>
      </c>
      <c r="Z173" s="5" t="e">
        <f>SUMPRODUCT(--(Z$9=sensitivity!$D$9:$CN$9),sensitivity!$D177:$CN177)</f>
        <v>#REF!</v>
      </c>
      <c r="AA173" s="5"/>
    </row>
    <row r="174" spans="1:27" ht="13">
      <c r="A174" s="117"/>
      <c r="B174" s="26" t="s">
        <v>243</v>
      </c>
      <c r="C174" s="117"/>
      <c r="D174" s="118">
        <f>sensitivity!D178</f>
        <v>0</v>
      </c>
      <c r="E174" s="5" t="e">
        <f>SUMPRODUCT(--(E$9=sensitivity!$D$9:$CN$9),sensitivity!$D178:$CN178)</f>
        <v>#REF!</v>
      </c>
      <c r="F174" s="5" t="e">
        <f>SUMPRODUCT(--(F$9=sensitivity!$D$9:$CN$9),sensitivity!$D178:$CN178)</f>
        <v>#REF!</v>
      </c>
      <c r="G174" s="5" t="e">
        <f>SUMPRODUCT(--(G$9=sensitivity!$D$9:$CN$9),sensitivity!$D178:$CN178)</f>
        <v>#REF!</v>
      </c>
      <c r="H174" s="5" t="e">
        <f>SUMPRODUCT(--(H$9=sensitivity!$D$9:$CN$9),sensitivity!$D178:$CN178)</f>
        <v>#REF!</v>
      </c>
      <c r="I174" s="5" t="e">
        <f>SUMPRODUCT(--(I$9=sensitivity!$D$9:$CN$9),sensitivity!$D178:$CN178)</f>
        <v>#REF!</v>
      </c>
      <c r="J174" s="5" t="e">
        <f>SUMPRODUCT(--(J$9=sensitivity!$D$9:$CN$9),sensitivity!$D178:$CN178)</f>
        <v>#REF!</v>
      </c>
      <c r="K174" s="5" t="e">
        <f>SUMPRODUCT(--(K$9=sensitivity!$D$9:$CN$9),sensitivity!$D178:$CN178)</f>
        <v>#REF!</v>
      </c>
      <c r="L174" s="5" t="e">
        <f>SUMPRODUCT(--(L$9=sensitivity!$D$9:$CN$9),sensitivity!$D178:$CN178)</f>
        <v>#REF!</v>
      </c>
      <c r="M174" s="5" t="e">
        <f>SUMPRODUCT(--(M$9=sensitivity!$D$9:$CN$9),sensitivity!$D178:$CN178)</f>
        <v>#REF!</v>
      </c>
      <c r="N174" s="5" t="e">
        <f>SUMPRODUCT(--(N$9=sensitivity!$D$9:$CN$9),sensitivity!$D178:$CN178)</f>
        <v>#REF!</v>
      </c>
      <c r="O174" s="5" t="e">
        <f>SUMPRODUCT(--(O$9=sensitivity!$D$9:$CN$9),sensitivity!$D178:$CN178)</f>
        <v>#REF!</v>
      </c>
      <c r="P174" s="5" t="e">
        <f>SUMPRODUCT(--(P$9=sensitivity!$D$9:$CN$9),sensitivity!$D178:$CN178)</f>
        <v>#REF!</v>
      </c>
      <c r="Q174" s="5" t="e">
        <f>SUMPRODUCT(--(Q$9=sensitivity!$D$9:$CN$9),sensitivity!$D178:$CN178)</f>
        <v>#REF!</v>
      </c>
      <c r="R174" s="5" t="e">
        <f>SUMPRODUCT(--(R$9=sensitivity!$D$9:$CN$9),sensitivity!$D178:$CN178)</f>
        <v>#REF!</v>
      </c>
      <c r="S174" s="5" t="e">
        <f>SUMPRODUCT(--(S$9=sensitivity!$D$9:$CN$9),sensitivity!$D178:$CN178)</f>
        <v>#REF!</v>
      </c>
      <c r="T174" s="5" t="e">
        <f>SUMPRODUCT(--(T$9=sensitivity!$D$9:$CN$9),sensitivity!$D178:$CN178)</f>
        <v>#REF!</v>
      </c>
      <c r="U174" s="5" t="e">
        <f>SUMPRODUCT(--(U$9=sensitivity!$D$9:$CN$9),sensitivity!$D178:$CN178)</f>
        <v>#REF!</v>
      </c>
      <c r="V174" s="5" t="e">
        <f>SUMPRODUCT(--(V$9=sensitivity!$D$9:$CN$9),sensitivity!$D178:$CN178)</f>
        <v>#REF!</v>
      </c>
      <c r="W174" s="5" t="e">
        <f>SUMPRODUCT(--(W$9=sensitivity!$D$9:$CN$9),sensitivity!$D178:$CN178)</f>
        <v>#REF!</v>
      </c>
      <c r="X174" s="5" t="e">
        <f>SUMPRODUCT(--(X$9=sensitivity!$D$9:$CN$9),sensitivity!$D178:$CN178)</f>
        <v>#REF!</v>
      </c>
      <c r="Y174" s="5" t="e">
        <f>SUMPRODUCT(--(Y$9=sensitivity!$D$9:$CN$9),sensitivity!$D178:$CN178)</f>
        <v>#REF!</v>
      </c>
      <c r="Z174" s="5" t="e">
        <f>SUMPRODUCT(--(Z$9=sensitivity!$D$9:$CN$9),sensitivity!$D178:$CN178)</f>
        <v>#REF!</v>
      </c>
      <c r="AA174" s="5"/>
    </row>
    <row r="175" spans="1:27" ht="13">
      <c r="A175" s="117"/>
      <c r="B175" s="26" t="s">
        <v>244</v>
      </c>
      <c r="C175" s="117"/>
      <c r="D175" s="118">
        <f>sensitivity!D179</f>
        <v>0</v>
      </c>
      <c r="E175" s="5" t="e">
        <f>SUMPRODUCT(--(E$9=sensitivity!$D$9:$CN$9),sensitivity!$D179:$CN179)</f>
        <v>#REF!</v>
      </c>
      <c r="F175" s="5" t="e">
        <f>SUMPRODUCT(--(F$9=sensitivity!$D$9:$CN$9),sensitivity!$D179:$CN179)</f>
        <v>#REF!</v>
      </c>
      <c r="G175" s="5" t="e">
        <f>SUMPRODUCT(--(G$9=sensitivity!$D$9:$CN$9),sensitivity!$D179:$CN179)</f>
        <v>#REF!</v>
      </c>
      <c r="H175" s="5" t="e">
        <f>SUMPRODUCT(--(H$9=sensitivity!$D$9:$CN$9),sensitivity!$D179:$CN179)</f>
        <v>#REF!</v>
      </c>
      <c r="I175" s="5" t="e">
        <f>SUMPRODUCT(--(I$9=sensitivity!$D$9:$CN$9),sensitivity!$D179:$CN179)</f>
        <v>#REF!</v>
      </c>
      <c r="J175" s="5" t="e">
        <f>SUMPRODUCT(--(J$9=sensitivity!$D$9:$CN$9),sensitivity!$D179:$CN179)</f>
        <v>#REF!</v>
      </c>
      <c r="K175" s="5" t="e">
        <f>SUMPRODUCT(--(K$9=sensitivity!$D$9:$CN$9),sensitivity!$D179:$CN179)</f>
        <v>#REF!</v>
      </c>
      <c r="L175" s="5" t="e">
        <f>SUMPRODUCT(--(L$9=sensitivity!$D$9:$CN$9),sensitivity!$D179:$CN179)</f>
        <v>#REF!</v>
      </c>
      <c r="M175" s="5" t="e">
        <f>SUMPRODUCT(--(M$9=sensitivity!$D$9:$CN$9),sensitivity!$D179:$CN179)</f>
        <v>#REF!</v>
      </c>
      <c r="N175" s="5" t="e">
        <f>SUMPRODUCT(--(N$9=sensitivity!$D$9:$CN$9),sensitivity!$D179:$CN179)</f>
        <v>#REF!</v>
      </c>
      <c r="O175" s="5" t="e">
        <f>SUMPRODUCT(--(O$9=sensitivity!$D$9:$CN$9),sensitivity!$D179:$CN179)</f>
        <v>#REF!</v>
      </c>
      <c r="P175" s="5" t="e">
        <f>SUMPRODUCT(--(P$9=sensitivity!$D$9:$CN$9),sensitivity!$D179:$CN179)</f>
        <v>#REF!</v>
      </c>
      <c r="Q175" s="5" t="e">
        <f>SUMPRODUCT(--(Q$9=sensitivity!$D$9:$CN$9),sensitivity!$D179:$CN179)</f>
        <v>#REF!</v>
      </c>
      <c r="R175" s="5" t="e">
        <f>SUMPRODUCT(--(R$9=sensitivity!$D$9:$CN$9),sensitivity!$D179:$CN179)</f>
        <v>#REF!</v>
      </c>
      <c r="S175" s="5" t="e">
        <f>SUMPRODUCT(--(S$9=sensitivity!$D$9:$CN$9),sensitivity!$D179:$CN179)</f>
        <v>#REF!</v>
      </c>
      <c r="T175" s="5" t="e">
        <f>SUMPRODUCT(--(T$9=sensitivity!$D$9:$CN$9),sensitivity!$D179:$CN179)</f>
        <v>#REF!</v>
      </c>
      <c r="U175" s="5" t="e">
        <f>SUMPRODUCT(--(U$9=sensitivity!$D$9:$CN$9),sensitivity!$D179:$CN179)</f>
        <v>#REF!</v>
      </c>
      <c r="V175" s="5" t="e">
        <f>SUMPRODUCT(--(V$9=sensitivity!$D$9:$CN$9),sensitivity!$D179:$CN179)</f>
        <v>#REF!</v>
      </c>
      <c r="W175" s="5" t="e">
        <f>SUMPRODUCT(--(W$9=sensitivity!$D$9:$CN$9),sensitivity!$D179:$CN179)</f>
        <v>#REF!</v>
      </c>
      <c r="X175" s="5" t="e">
        <f>SUMPRODUCT(--(X$9=sensitivity!$D$9:$CN$9),sensitivity!$D179:$CN179)</f>
        <v>#REF!</v>
      </c>
      <c r="Y175" s="5" t="e">
        <f>SUMPRODUCT(--(Y$9=sensitivity!$D$9:$CN$9),sensitivity!$D179:$CN179)</f>
        <v>#REF!</v>
      </c>
      <c r="Z175" s="5" t="e">
        <f>SUMPRODUCT(--(Z$9=sensitivity!$D$9:$CN$9),sensitivity!$D179:$CN179)</f>
        <v>#REF!</v>
      </c>
      <c r="AA175" s="5"/>
    </row>
    <row r="176" spans="1:27" ht="13">
      <c r="A176" s="117"/>
      <c r="B176" s="26" t="s">
        <v>245</v>
      </c>
      <c r="C176" s="117"/>
      <c r="D176" s="118" t="e">
        <f>sensitivity!D180</f>
        <v>#REF!</v>
      </c>
      <c r="E176" s="5" t="e">
        <f>SUMPRODUCT(--(E$9=sensitivity!$D$9:$CN$9),sensitivity!$D180:$CN180)</f>
        <v>#REF!</v>
      </c>
      <c r="F176" s="5" t="e">
        <f>SUMPRODUCT(--(F$9=sensitivity!$D$9:$CN$9),sensitivity!$D180:$CN180)</f>
        <v>#REF!</v>
      </c>
      <c r="G176" s="5" t="e">
        <f>SUMPRODUCT(--(G$9=sensitivity!$D$9:$CN$9),sensitivity!$D180:$CN180)</f>
        <v>#REF!</v>
      </c>
      <c r="H176" s="5" t="e">
        <f>SUMPRODUCT(--(H$9=sensitivity!$D$9:$CN$9),sensitivity!$D180:$CN180)</f>
        <v>#REF!</v>
      </c>
      <c r="I176" s="5" t="e">
        <f>SUMPRODUCT(--(I$9=sensitivity!$D$9:$CN$9),sensitivity!$D180:$CN180)</f>
        <v>#REF!</v>
      </c>
      <c r="J176" s="5" t="e">
        <f>SUMPRODUCT(--(J$9=sensitivity!$D$9:$CN$9),sensitivity!$D180:$CN180)</f>
        <v>#REF!</v>
      </c>
      <c r="K176" s="5" t="e">
        <f>SUMPRODUCT(--(K$9=sensitivity!$D$9:$CN$9),sensitivity!$D180:$CN180)</f>
        <v>#REF!</v>
      </c>
      <c r="L176" s="5" t="e">
        <f>SUMPRODUCT(--(L$9=sensitivity!$D$9:$CN$9),sensitivity!$D180:$CN180)</f>
        <v>#REF!</v>
      </c>
      <c r="M176" s="5" t="e">
        <f>SUMPRODUCT(--(M$9=sensitivity!$D$9:$CN$9),sensitivity!$D180:$CN180)</f>
        <v>#REF!</v>
      </c>
      <c r="N176" s="5" t="e">
        <f>SUMPRODUCT(--(N$9=sensitivity!$D$9:$CN$9),sensitivity!$D180:$CN180)</f>
        <v>#REF!</v>
      </c>
      <c r="O176" s="5" t="e">
        <f>SUMPRODUCT(--(O$9=sensitivity!$D$9:$CN$9),sensitivity!$D180:$CN180)</f>
        <v>#REF!</v>
      </c>
      <c r="P176" s="5" t="e">
        <f>SUMPRODUCT(--(P$9=sensitivity!$D$9:$CN$9),sensitivity!$D180:$CN180)</f>
        <v>#REF!</v>
      </c>
      <c r="Q176" s="5" t="e">
        <f>SUMPRODUCT(--(Q$9=sensitivity!$D$9:$CN$9),sensitivity!$D180:$CN180)</f>
        <v>#REF!</v>
      </c>
      <c r="R176" s="5" t="e">
        <f>SUMPRODUCT(--(R$9=sensitivity!$D$9:$CN$9),sensitivity!$D180:$CN180)</f>
        <v>#REF!</v>
      </c>
      <c r="S176" s="5" t="e">
        <f>SUMPRODUCT(--(S$9=sensitivity!$D$9:$CN$9),sensitivity!$D180:$CN180)</f>
        <v>#REF!</v>
      </c>
      <c r="T176" s="5" t="e">
        <f>SUMPRODUCT(--(T$9=sensitivity!$D$9:$CN$9),sensitivity!$D180:$CN180)</f>
        <v>#REF!</v>
      </c>
      <c r="U176" s="5" t="e">
        <f>SUMPRODUCT(--(U$9=sensitivity!$D$9:$CN$9),sensitivity!$D180:$CN180)</f>
        <v>#REF!</v>
      </c>
      <c r="V176" s="5" t="e">
        <f>SUMPRODUCT(--(V$9=sensitivity!$D$9:$CN$9),sensitivity!$D180:$CN180)</f>
        <v>#REF!</v>
      </c>
      <c r="W176" s="5" t="e">
        <f>SUMPRODUCT(--(W$9=sensitivity!$D$9:$CN$9),sensitivity!$D180:$CN180)</f>
        <v>#REF!</v>
      </c>
      <c r="X176" s="5" t="e">
        <f>SUMPRODUCT(--(X$9=sensitivity!$D$9:$CN$9),sensitivity!$D180:$CN180)</f>
        <v>#REF!</v>
      </c>
      <c r="Y176" s="5" t="e">
        <f>SUMPRODUCT(--(Y$9=sensitivity!$D$9:$CN$9),sensitivity!$D180:$CN180)</f>
        <v>#REF!</v>
      </c>
      <c r="Z176" s="5" t="e">
        <f>SUMPRODUCT(--(Z$9=sensitivity!$D$9:$CN$9),sensitivity!$D180:$CN180)</f>
        <v>#REF!</v>
      </c>
      <c r="AA176" s="5"/>
    </row>
    <row r="177" spans="1:27" ht="13">
      <c r="A177" s="112"/>
      <c r="B177" s="112" t="s">
        <v>246</v>
      </c>
      <c r="C177" s="112"/>
      <c r="D177" s="116" t="e">
        <f>sensitivity!D181</f>
        <v>#REF!</v>
      </c>
      <c r="E177" s="112" t="e">
        <f>SUMPRODUCT(--(E$9=sensitivity!$D$9:$CN$9),sensitivity!$D181:$CN181)</f>
        <v>#REF!</v>
      </c>
      <c r="F177" s="112" t="e">
        <f>SUMPRODUCT(--(F$9=sensitivity!$D$9:$CN$9),sensitivity!$D181:$CN181)</f>
        <v>#REF!</v>
      </c>
      <c r="G177" s="112" t="e">
        <f>SUMPRODUCT(--(G$9=sensitivity!$D$9:$CN$9),sensitivity!$D181:$CN181)</f>
        <v>#REF!</v>
      </c>
      <c r="H177" s="112" t="e">
        <f>SUMPRODUCT(--(H$9=sensitivity!$D$9:$CN$9),sensitivity!$D181:$CN181)</f>
        <v>#REF!</v>
      </c>
      <c r="I177" s="112" t="e">
        <f>SUMPRODUCT(--(I$9=sensitivity!$D$9:$CN$9),sensitivity!$D181:$CN181)</f>
        <v>#REF!</v>
      </c>
      <c r="J177" s="112" t="e">
        <f>SUMPRODUCT(--(J$9=sensitivity!$D$9:$CN$9),sensitivity!$D181:$CN181)</f>
        <v>#REF!</v>
      </c>
      <c r="K177" s="112" t="e">
        <f>SUMPRODUCT(--(K$9=sensitivity!$D$9:$CN$9),sensitivity!$D181:$CN181)</f>
        <v>#REF!</v>
      </c>
      <c r="L177" s="112" t="e">
        <f>SUMPRODUCT(--(L$9=sensitivity!$D$9:$CN$9),sensitivity!$D181:$CN181)</f>
        <v>#REF!</v>
      </c>
      <c r="M177" s="112" t="e">
        <f>SUMPRODUCT(--(M$9=sensitivity!$D$9:$CN$9),sensitivity!$D181:$CN181)</f>
        <v>#REF!</v>
      </c>
      <c r="N177" s="112" t="e">
        <f>SUMPRODUCT(--(N$9=sensitivity!$D$9:$CN$9),sensitivity!$D181:$CN181)</f>
        <v>#REF!</v>
      </c>
      <c r="O177" s="112" t="e">
        <f>SUMPRODUCT(--(O$9=sensitivity!$D$9:$CN$9),sensitivity!$D181:$CN181)</f>
        <v>#REF!</v>
      </c>
      <c r="P177" s="112" t="e">
        <f>SUMPRODUCT(--(P$9=sensitivity!$D$9:$CN$9),sensitivity!$D181:$CN181)</f>
        <v>#REF!</v>
      </c>
      <c r="Q177" s="112" t="e">
        <f>SUMPRODUCT(--(Q$9=sensitivity!$D$9:$CN$9),sensitivity!$D181:$CN181)</f>
        <v>#REF!</v>
      </c>
      <c r="R177" s="112" t="e">
        <f>SUMPRODUCT(--(R$9=sensitivity!$D$9:$CN$9),sensitivity!$D181:$CN181)</f>
        <v>#REF!</v>
      </c>
      <c r="S177" s="112" t="e">
        <f>SUMPRODUCT(--(S$9=sensitivity!$D$9:$CN$9),sensitivity!$D181:$CN181)</f>
        <v>#REF!</v>
      </c>
      <c r="T177" s="112" t="e">
        <f>SUMPRODUCT(--(T$9=sensitivity!$D$9:$CN$9),sensitivity!$D181:$CN181)</f>
        <v>#REF!</v>
      </c>
      <c r="U177" s="112" t="e">
        <f>SUMPRODUCT(--(U$9=sensitivity!$D$9:$CN$9),sensitivity!$D181:$CN181)</f>
        <v>#REF!</v>
      </c>
      <c r="V177" s="112" t="e">
        <f>SUMPRODUCT(--(V$9=sensitivity!$D$9:$CN$9),sensitivity!$D181:$CN181)</f>
        <v>#REF!</v>
      </c>
      <c r="W177" s="112" t="e">
        <f>SUMPRODUCT(--(W$9=sensitivity!$D$9:$CN$9),sensitivity!$D181:$CN181)</f>
        <v>#REF!</v>
      </c>
      <c r="X177" s="112" t="e">
        <f>SUMPRODUCT(--(X$9=sensitivity!$D$9:$CN$9),sensitivity!$D181:$CN181)</f>
        <v>#REF!</v>
      </c>
      <c r="Y177" s="112" t="e">
        <f>SUMPRODUCT(--(Y$9=sensitivity!$D$9:$CN$9),sensitivity!$D181:$CN181)</f>
        <v>#REF!</v>
      </c>
      <c r="Z177" s="112" t="e">
        <f>SUMPRODUCT(--(Z$9=sensitivity!$D$9:$CN$9),sensitivity!$D181:$CN181)</f>
        <v>#REF!</v>
      </c>
      <c r="AA177" s="112"/>
    </row>
    <row r="178" spans="1:27" ht="13">
      <c r="A178" s="117"/>
      <c r="B178" s="26" t="s">
        <v>247</v>
      </c>
      <c r="C178" s="117"/>
      <c r="D178" s="118" t="e">
        <f>sensitivity!D182</f>
        <v>#REF!</v>
      </c>
      <c r="E178" s="5" t="e">
        <f>SUMPRODUCT(--(E$9=sensitivity!$D$9:$CN$9),sensitivity!$D182:$CN182)</f>
        <v>#REF!</v>
      </c>
      <c r="F178" s="5" t="e">
        <f>SUMPRODUCT(--(F$9=sensitivity!$D$9:$CN$9),sensitivity!$D182:$CN182)</f>
        <v>#REF!</v>
      </c>
      <c r="G178" s="5" t="e">
        <f>SUMPRODUCT(--(G$9=sensitivity!$D$9:$CN$9),sensitivity!$D182:$CN182)</f>
        <v>#REF!</v>
      </c>
      <c r="H178" s="5" t="e">
        <f>SUMPRODUCT(--(H$9=sensitivity!$D$9:$CN$9),sensitivity!$D182:$CN182)</f>
        <v>#REF!</v>
      </c>
      <c r="I178" s="5" t="e">
        <f>SUMPRODUCT(--(I$9=sensitivity!$D$9:$CN$9),sensitivity!$D182:$CN182)</f>
        <v>#REF!</v>
      </c>
      <c r="J178" s="5" t="e">
        <f>SUMPRODUCT(--(J$9=sensitivity!$D$9:$CN$9),sensitivity!$D182:$CN182)</f>
        <v>#REF!</v>
      </c>
      <c r="K178" s="5" t="e">
        <f>SUMPRODUCT(--(K$9=sensitivity!$D$9:$CN$9),sensitivity!$D182:$CN182)</f>
        <v>#REF!</v>
      </c>
      <c r="L178" s="5" t="e">
        <f>SUMPRODUCT(--(L$9=sensitivity!$D$9:$CN$9),sensitivity!$D182:$CN182)</f>
        <v>#REF!</v>
      </c>
      <c r="M178" s="5" t="e">
        <f>SUMPRODUCT(--(M$9=sensitivity!$D$9:$CN$9),sensitivity!$D182:$CN182)</f>
        <v>#REF!</v>
      </c>
      <c r="N178" s="5" t="e">
        <f>SUMPRODUCT(--(N$9=sensitivity!$D$9:$CN$9),sensitivity!$D182:$CN182)</f>
        <v>#REF!</v>
      </c>
      <c r="O178" s="5" t="e">
        <f>SUMPRODUCT(--(O$9=sensitivity!$D$9:$CN$9),sensitivity!$D182:$CN182)</f>
        <v>#REF!</v>
      </c>
      <c r="P178" s="5" t="e">
        <f>SUMPRODUCT(--(P$9=sensitivity!$D$9:$CN$9),sensitivity!$D182:$CN182)</f>
        <v>#REF!</v>
      </c>
      <c r="Q178" s="5" t="e">
        <f>SUMPRODUCT(--(Q$9=sensitivity!$D$9:$CN$9),sensitivity!$D182:$CN182)</f>
        <v>#REF!</v>
      </c>
      <c r="R178" s="5" t="e">
        <f>SUMPRODUCT(--(R$9=sensitivity!$D$9:$CN$9),sensitivity!$D182:$CN182)</f>
        <v>#REF!</v>
      </c>
      <c r="S178" s="5" t="e">
        <f>SUMPRODUCT(--(S$9=sensitivity!$D$9:$CN$9),sensitivity!$D182:$CN182)</f>
        <v>#REF!</v>
      </c>
      <c r="T178" s="5" t="e">
        <f>SUMPRODUCT(--(T$9=sensitivity!$D$9:$CN$9),sensitivity!$D182:$CN182)</f>
        <v>#REF!</v>
      </c>
      <c r="U178" s="5" t="e">
        <f>SUMPRODUCT(--(U$9=sensitivity!$D$9:$CN$9),sensitivity!$D182:$CN182)</f>
        <v>#REF!</v>
      </c>
      <c r="V178" s="5" t="e">
        <f>SUMPRODUCT(--(V$9=sensitivity!$D$9:$CN$9),sensitivity!$D182:$CN182)</f>
        <v>#REF!</v>
      </c>
      <c r="W178" s="5" t="e">
        <f>SUMPRODUCT(--(W$9=sensitivity!$D$9:$CN$9),sensitivity!$D182:$CN182)</f>
        <v>#REF!</v>
      </c>
      <c r="X178" s="5" t="e">
        <f>SUMPRODUCT(--(X$9=sensitivity!$D$9:$CN$9),sensitivity!$D182:$CN182)</f>
        <v>#REF!</v>
      </c>
      <c r="Y178" s="5" t="e">
        <f>SUMPRODUCT(--(Y$9=sensitivity!$D$9:$CN$9),sensitivity!$D182:$CN182)</f>
        <v>#REF!</v>
      </c>
      <c r="Z178" s="5" t="e">
        <f>SUMPRODUCT(--(Z$9=sensitivity!$D$9:$CN$9),sensitivity!$D182:$CN182)</f>
        <v>#REF!</v>
      </c>
      <c r="AA178" s="5"/>
    </row>
    <row r="179" spans="1:27" ht="13">
      <c r="A179" s="112"/>
      <c r="B179" s="119" t="s">
        <v>248</v>
      </c>
      <c r="C179" s="120"/>
      <c r="D179" s="121" t="e">
        <f>sensitivity!D183</f>
        <v>#REF!</v>
      </c>
      <c r="E179" s="120" t="e">
        <f>SUMPRODUCT(--(E$9=sensitivity!$D$9:$CN$9),sensitivity!$D183:$CN183)</f>
        <v>#REF!</v>
      </c>
      <c r="F179" s="120" t="e">
        <f>SUMPRODUCT(--(F$9=sensitivity!$D$9:$CN$9),sensitivity!$D183:$CN183)</f>
        <v>#REF!</v>
      </c>
      <c r="G179" s="120" t="e">
        <f>SUMPRODUCT(--(G$9=sensitivity!$D$9:$CN$9),sensitivity!$D183:$CN183)</f>
        <v>#REF!</v>
      </c>
      <c r="H179" s="120" t="e">
        <f>SUMPRODUCT(--(H$9=sensitivity!$D$9:$CN$9),sensitivity!$D183:$CN183)</f>
        <v>#REF!</v>
      </c>
      <c r="I179" s="120" t="e">
        <f>SUMPRODUCT(--(I$9=sensitivity!$D$9:$CN$9),sensitivity!$D183:$CN183)</f>
        <v>#REF!</v>
      </c>
      <c r="J179" s="120" t="e">
        <f>SUMPRODUCT(--(J$9=sensitivity!$D$9:$CN$9),sensitivity!$D183:$CN183)</f>
        <v>#REF!</v>
      </c>
      <c r="K179" s="120" t="e">
        <f>SUMPRODUCT(--(K$9=sensitivity!$D$9:$CN$9),sensitivity!$D183:$CN183)</f>
        <v>#REF!</v>
      </c>
      <c r="L179" s="120" t="e">
        <f>SUMPRODUCT(--(L$9=sensitivity!$D$9:$CN$9),sensitivity!$D183:$CN183)</f>
        <v>#REF!</v>
      </c>
      <c r="M179" s="120" t="e">
        <f>SUMPRODUCT(--(M$9=sensitivity!$D$9:$CN$9),sensitivity!$D183:$CN183)</f>
        <v>#REF!</v>
      </c>
      <c r="N179" s="120" t="e">
        <f>SUMPRODUCT(--(N$9=sensitivity!$D$9:$CN$9),sensitivity!$D183:$CN183)</f>
        <v>#REF!</v>
      </c>
      <c r="O179" s="120" t="e">
        <f>SUMPRODUCT(--(O$9=sensitivity!$D$9:$CN$9),sensitivity!$D183:$CN183)</f>
        <v>#REF!</v>
      </c>
      <c r="P179" s="120" t="e">
        <f>SUMPRODUCT(--(P$9=sensitivity!$D$9:$CN$9),sensitivity!$D183:$CN183)</f>
        <v>#REF!</v>
      </c>
      <c r="Q179" s="120" t="e">
        <f>SUMPRODUCT(--(Q$9=sensitivity!$D$9:$CN$9),sensitivity!$D183:$CN183)</f>
        <v>#REF!</v>
      </c>
      <c r="R179" s="120" t="e">
        <f>SUMPRODUCT(--(R$9=sensitivity!$D$9:$CN$9),sensitivity!$D183:$CN183)</f>
        <v>#REF!</v>
      </c>
      <c r="S179" s="120" t="e">
        <f>SUMPRODUCT(--(S$9=sensitivity!$D$9:$CN$9),sensitivity!$D183:$CN183)</f>
        <v>#REF!</v>
      </c>
      <c r="T179" s="120" t="e">
        <f>SUMPRODUCT(--(T$9=sensitivity!$D$9:$CN$9),sensitivity!$D183:$CN183)</f>
        <v>#REF!</v>
      </c>
      <c r="U179" s="120" t="e">
        <f>SUMPRODUCT(--(U$9=sensitivity!$D$9:$CN$9),sensitivity!$D183:$CN183)</f>
        <v>#REF!</v>
      </c>
      <c r="V179" s="120" t="e">
        <f>SUMPRODUCT(--(V$9=sensitivity!$D$9:$CN$9),sensitivity!$D183:$CN183)</f>
        <v>#REF!</v>
      </c>
      <c r="W179" s="120" t="e">
        <f>SUMPRODUCT(--(W$9=sensitivity!$D$9:$CN$9),sensitivity!$D183:$CN183)</f>
        <v>#REF!</v>
      </c>
      <c r="X179" s="120" t="e">
        <f>SUMPRODUCT(--(X$9=sensitivity!$D$9:$CN$9),sensitivity!$D183:$CN183)</f>
        <v>#REF!</v>
      </c>
      <c r="Y179" s="120" t="e">
        <f>SUMPRODUCT(--(Y$9=sensitivity!$D$9:$CN$9),sensitivity!$D183:$CN183)</f>
        <v>#REF!</v>
      </c>
      <c r="Z179" s="120" t="e">
        <f>SUMPRODUCT(--(Z$9=sensitivity!$D$9:$CN$9),sensitivity!$D183:$CN183)</f>
        <v>#REF!</v>
      </c>
      <c r="AA179" s="120"/>
    </row>
    <row r="180" spans="1:27" ht="13">
      <c r="A180" s="112"/>
      <c r="B180" s="122" t="s">
        <v>249</v>
      </c>
      <c r="C180" s="112"/>
      <c r="D180" s="118">
        <f>sensitivity!D184</f>
        <v>0</v>
      </c>
      <c r="E180" s="123">
        <f>SUMPRODUCT(--(E$9=sensitivity!$D$9:$CN$9),sensitivity!$D184:$CN184)</f>
        <v>0</v>
      </c>
      <c r="F180" s="123">
        <f>SUMPRODUCT(--(F$9=sensitivity!$D$9:$CN$9),sensitivity!$D184:$CN184)</f>
        <v>0</v>
      </c>
      <c r="G180" s="123">
        <f>SUMPRODUCT(--(G$9=sensitivity!$D$9:$CN$9),sensitivity!$D184:$CN184)</f>
        <v>0</v>
      </c>
      <c r="H180" s="123">
        <f>SUMPRODUCT(--(H$9=sensitivity!$D$9:$CN$9),sensitivity!$D184:$CN184)</f>
        <v>0</v>
      </c>
      <c r="I180" s="123">
        <f>SUMPRODUCT(--(I$9=sensitivity!$D$9:$CN$9),sensitivity!$D184:$CN184)</f>
        <v>0</v>
      </c>
      <c r="J180" s="123">
        <f>SUMPRODUCT(--(J$9=sensitivity!$D$9:$CN$9),sensitivity!$D184:$CN184)</f>
        <v>0</v>
      </c>
      <c r="K180" s="123">
        <f>SUMPRODUCT(--(K$9=sensitivity!$D$9:$CN$9),sensitivity!$D184:$CN184)</f>
        <v>0</v>
      </c>
      <c r="L180" s="123">
        <f>SUMPRODUCT(--(L$9=sensitivity!$D$9:$CN$9),sensitivity!$D184:$CN184)</f>
        <v>0</v>
      </c>
      <c r="M180" s="123">
        <f>SUMPRODUCT(--(M$9=sensitivity!$D$9:$CN$9),sensitivity!$D184:$CN184)</f>
        <v>0</v>
      </c>
      <c r="N180" s="123">
        <f>SUMPRODUCT(--(N$9=sensitivity!$D$9:$CN$9),sensitivity!$D184:$CN184)</f>
        <v>0</v>
      </c>
      <c r="O180" s="123">
        <f>SUMPRODUCT(--(O$9=sensitivity!$D$9:$CN$9),sensitivity!$D184:$CN184)</f>
        <v>0</v>
      </c>
      <c r="P180" s="123">
        <f>SUMPRODUCT(--(P$9=sensitivity!$D$9:$CN$9),sensitivity!$D184:$CN184)</f>
        <v>0</v>
      </c>
      <c r="Q180" s="123">
        <f>SUMPRODUCT(--(Q$9=sensitivity!$D$9:$CN$9),sensitivity!$D184:$CN184)</f>
        <v>0</v>
      </c>
      <c r="R180" s="123">
        <f>SUMPRODUCT(--(R$9=sensitivity!$D$9:$CN$9),sensitivity!$D184:$CN184)</f>
        <v>0</v>
      </c>
      <c r="S180" s="123">
        <f>SUMPRODUCT(--(S$9=sensitivity!$D$9:$CN$9),sensitivity!$D184:$CN184)</f>
        <v>0</v>
      </c>
      <c r="T180" s="123">
        <f>SUMPRODUCT(--(T$9=sensitivity!$D$9:$CN$9),sensitivity!$D184:$CN184)</f>
        <v>0</v>
      </c>
      <c r="U180" s="123">
        <f>SUMPRODUCT(--(U$9=sensitivity!$D$9:$CN$9),sensitivity!$D184:$CN184)</f>
        <v>0</v>
      </c>
      <c r="V180" s="123">
        <f>SUMPRODUCT(--(V$9=sensitivity!$D$9:$CN$9),sensitivity!$D184:$CN184)</f>
        <v>0</v>
      </c>
      <c r="W180" s="123">
        <f>SUMPRODUCT(--(W$9=sensitivity!$D$9:$CN$9),sensitivity!$D184:$CN184)</f>
        <v>0</v>
      </c>
      <c r="X180" s="123">
        <f>SUMPRODUCT(--(X$9=sensitivity!$D$9:$CN$9),sensitivity!$D184:$CN184)</f>
        <v>0</v>
      </c>
      <c r="Y180" s="123">
        <f>SUMPRODUCT(--(Y$9=sensitivity!$D$9:$CN$9),sensitivity!$D184:$CN184)</f>
        <v>0</v>
      </c>
      <c r="Z180" s="123">
        <f>SUMPRODUCT(--(Z$9=sensitivity!$D$9:$CN$9),sensitivity!$D184:$CN184)</f>
        <v>0</v>
      </c>
      <c r="AA180" s="123"/>
    </row>
    <row r="181" spans="1:27" ht="13">
      <c r="A181" s="112"/>
      <c r="B181" s="112" t="s">
        <v>250</v>
      </c>
      <c r="C181" s="112"/>
      <c r="D181" s="116">
        <f>sensitivity!D185</f>
        <v>0</v>
      </c>
      <c r="E181" s="112" t="e">
        <f>SUMPRODUCT(--(E$9=sensitivity!$D$9:$CN$9),sensitivity!$D185:$CN185)</f>
        <v>#REF!</v>
      </c>
      <c r="F181" s="112" t="e">
        <f>SUMPRODUCT(--(F$9=sensitivity!$D$9:$CN$9),sensitivity!$D185:$CN185)</f>
        <v>#REF!</v>
      </c>
      <c r="G181" s="112" t="e">
        <f>SUMPRODUCT(--(G$9=sensitivity!$D$9:$CN$9),sensitivity!$D185:$CN185)</f>
        <v>#REF!</v>
      </c>
      <c r="H181" s="112" t="e">
        <f>SUMPRODUCT(--(H$9=sensitivity!$D$9:$CN$9),sensitivity!$D185:$CN185)</f>
        <v>#REF!</v>
      </c>
      <c r="I181" s="112" t="e">
        <f>SUMPRODUCT(--(I$9=sensitivity!$D$9:$CN$9),sensitivity!$D185:$CN185)</f>
        <v>#REF!</v>
      </c>
      <c r="J181" s="112" t="e">
        <f>SUMPRODUCT(--(J$9=sensitivity!$D$9:$CN$9),sensitivity!$D185:$CN185)</f>
        <v>#REF!</v>
      </c>
      <c r="K181" s="112" t="e">
        <f>SUMPRODUCT(--(K$9=sensitivity!$D$9:$CN$9),sensitivity!$D185:$CN185)</f>
        <v>#REF!</v>
      </c>
      <c r="L181" s="112" t="e">
        <f>SUMPRODUCT(--(L$9=sensitivity!$D$9:$CN$9),sensitivity!$D185:$CN185)</f>
        <v>#REF!</v>
      </c>
      <c r="M181" s="112" t="e">
        <f>SUMPRODUCT(--(M$9=sensitivity!$D$9:$CN$9),sensitivity!$D185:$CN185)</f>
        <v>#REF!</v>
      </c>
      <c r="N181" s="112" t="e">
        <f>SUMPRODUCT(--(N$9=sensitivity!$D$9:$CN$9),sensitivity!$D185:$CN185)</f>
        <v>#REF!</v>
      </c>
      <c r="O181" s="112" t="e">
        <f>SUMPRODUCT(--(O$9=sensitivity!$D$9:$CN$9),sensitivity!$D185:$CN185)</f>
        <v>#REF!</v>
      </c>
      <c r="P181" s="112" t="e">
        <f>SUMPRODUCT(--(P$9=sensitivity!$D$9:$CN$9),sensitivity!$D185:$CN185)</f>
        <v>#REF!</v>
      </c>
      <c r="Q181" s="112" t="e">
        <f>SUMPRODUCT(--(Q$9=sensitivity!$D$9:$CN$9),sensitivity!$D185:$CN185)</f>
        <v>#REF!</v>
      </c>
      <c r="R181" s="112" t="e">
        <f>SUMPRODUCT(--(R$9=sensitivity!$D$9:$CN$9),sensitivity!$D185:$CN185)</f>
        <v>#REF!</v>
      </c>
      <c r="S181" s="112" t="e">
        <f>SUMPRODUCT(--(S$9=sensitivity!$D$9:$CN$9),sensitivity!$D185:$CN185)</f>
        <v>#REF!</v>
      </c>
      <c r="T181" s="112" t="e">
        <f>SUMPRODUCT(--(T$9=sensitivity!$D$9:$CN$9),sensitivity!$D185:$CN185)</f>
        <v>#REF!</v>
      </c>
      <c r="U181" s="112" t="e">
        <f>SUMPRODUCT(--(U$9=sensitivity!$D$9:$CN$9),sensitivity!$D185:$CN185)</f>
        <v>#REF!</v>
      </c>
      <c r="V181" s="112" t="e">
        <f>SUMPRODUCT(--(V$9=sensitivity!$D$9:$CN$9),sensitivity!$D185:$CN185)</f>
        <v>#REF!</v>
      </c>
      <c r="W181" s="112" t="e">
        <f>SUMPRODUCT(--(W$9=sensitivity!$D$9:$CN$9),sensitivity!$D185:$CN185)</f>
        <v>#REF!</v>
      </c>
      <c r="X181" s="112" t="e">
        <f>SUMPRODUCT(--(X$9=sensitivity!$D$9:$CN$9),sensitivity!$D185:$CN185)</f>
        <v>#REF!</v>
      </c>
      <c r="Y181" s="112" t="e">
        <f>SUMPRODUCT(--(Y$9=sensitivity!$D$9:$CN$9),sensitivity!$D185:$CN185)</f>
        <v>#REF!</v>
      </c>
      <c r="Z181" s="112" t="e">
        <f>SUMPRODUCT(--(Z$9=sensitivity!$D$9:$CN$9),sensitivity!$D185:$CN185)</f>
        <v>#REF!</v>
      </c>
      <c r="AA181" s="112"/>
    </row>
    <row r="182" spans="1:27" ht="13">
      <c r="A182" s="117"/>
      <c r="B182" s="26" t="s">
        <v>251</v>
      </c>
      <c r="C182" s="117"/>
      <c r="D182" s="118">
        <f>sensitivity!D186</f>
        <v>0</v>
      </c>
      <c r="E182" s="5" t="e">
        <f>SUMPRODUCT(--(E$9=sensitivity!$D$9:$CN$9),sensitivity!$D186:$CN186)</f>
        <v>#REF!</v>
      </c>
      <c r="F182" s="5" t="e">
        <f>SUMPRODUCT(--(F$9=sensitivity!$D$9:$CN$9),sensitivity!$D186:$CN186)</f>
        <v>#REF!</v>
      </c>
      <c r="G182" s="5" t="e">
        <f>SUMPRODUCT(--(G$9=sensitivity!$D$9:$CN$9),sensitivity!$D186:$CN186)</f>
        <v>#REF!</v>
      </c>
      <c r="H182" s="5" t="e">
        <f>SUMPRODUCT(--(H$9=sensitivity!$D$9:$CN$9),sensitivity!$D186:$CN186)</f>
        <v>#REF!</v>
      </c>
      <c r="I182" s="5" t="e">
        <f>SUMPRODUCT(--(I$9=sensitivity!$D$9:$CN$9),sensitivity!$D186:$CN186)</f>
        <v>#REF!</v>
      </c>
      <c r="J182" s="5" t="e">
        <f>SUMPRODUCT(--(J$9=sensitivity!$D$9:$CN$9),sensitivity!$D186:$CN186)</f>
        <v>#REF!</v>
      </c>
      <c r="K182" s="5" t="e">
        <f>SUMPRODUCT(--(K$9=sensitivity!$D$9:$CN$9),sensitivity!$D186:$CN186)</f>
        <v>#REF!</v>
      </c>
      <c r="L182" s="5" t="e">
        <f>SUMPRODUCT(--(L$9=sensitivity!$D$9:$CN$9),sensitivity!$D186:$CN186)</f>
        <v>#REF!</v>
      </c>
      <c r="M182" s="5" t="e">
        <f>SUMPRODUCT(--(M$9=sensitivity!$D$9:$CN$9),sensitivity!$D186:$CN186)</f>
        <v>#REF!</v>
      </c>
      <c r="N182" s="5" t="e">
        <f>SUMPRODUCT(--(N$9=sensitivity!$D$9:$CN$9),sensitivity!$D186:$CN186)</f>
        <v>#REF!</v>
      </c>
      <c r="O182" s="5" t="e">
        <f>SUMPRODUCT(--(O$9=sensitivity!$D$9:$CN$9),sensitivity!$D186:$CN186)</f>
        <v>#REF!</v>
      </c>
      <c r="P182" s="5" t="e">
        <f>SUMPRODUCT(--(P$9=sensitivity!$D$9:$CN$9),sensitivity!$D186:$CN186)</f>
        <v>#REF!</v>
      </c>
      <c r="Q182" s="5" t="e">
        <f>SUMPRODUCT(--(Q$9=sensitivity!$D$9:$CN$9),sensitivity!$D186:$CN186)</f>
        <v>#REF!</v>
      </c>
      <c r="R182" s="5" t="e">
        <f>SUMPRODUCT(--(R$9=sensitivity!$D$9:$CN$9),sensitivity!$D186:$CN186)</f>
        <v>#REF!</v>
      </c>
      <c r="S182" s="5" t="e">
        <f>SUMPRODUCT(--(S$9=sensitivity!$D$9:$CN$9),sensitivity!$D186:$CN186)</f>
        <v>#REF!</v>
      </c>
      <c r="T182" s="5" t="e">
        <f>SUMPRODUCT(--(T$9=sensitivity!$D$9:$CN$9),sensitivity!$D186:$CN186)</f>
        <v>#REF!</v>
      </c>
      <c r="U182" s="5" t="e">
        <f>SUMPRODUCT(--(U$9=sensitivity!$D$9:$CN$9),sensitivity!$D186:$CN186)</f>
        <v>#REF!</v>
      </c>
      <c r="V182" s="5" t="e">
        <f>SUMPRODUCT(--(V$9=sensitivity!$D$9:$CN$9),sensitivity!$D186:$CN186)</f>
        <v>#REF!</v>
      </c>
      <c r="W182" s="5" t="e">
        <f>SUMPRODUCT(--(W$9=sensitivity!$D$9:$CN$9),sensitivity!$D186:$CN186)</f>
        <v>#REF!</v>
      </c>
      <c r="X182" s="5" t="e">
        <f>SUMPRODUCT(--(X$9=sensitivity!$D$9:$CN$9),sensitivity!$D186:$CN186)</f>
        <v>#REF!</v>
      </c>
      <c r="Y182" s="5" t="e">
        <f>SUMPRODUCT(--(Y$9=sensitivity!$D$9:$CN$9),sensitivity!$D186:$CN186)</f>
        <v>#REF!</v>
      </c>
      <c r="Z182" s="5" t="e">
        <f>SUMPRODUCT(--(Z$9=sensitivity!$D$9:$CN$9),sensitivity!$D186:$CN186)</f>
        <v>#REF!</v>
      </c>
      <c r="AA182" s="5"/>
    </row>
    <row r="183" spans="1:27" ht="13">
      <c r="A183" s="117"/>
      <c r="B183" s="26" t="s">
        <v>631</v>
      </c>
      <c r="C183" s="117"/>
      <c r="D183" s="118">
        <f>sensitivity!D187</f>
        <v>0</v>
      </c>
      <c r="E183" s="5" t="e">
        <f>SUMPRODUCT(--(E$9=sensitivity!$D$9:$CN$9),sensitivity!$D187:$CN187)</f>
        <v>#REF!</v>
      </c>
      <c r="F183" s="5" t="e">
        <f>SUMPRODUCT(--(F$9=sensitivity!$D$9:$CN$9),sensitivity!$D187:$CN187)</f>
        <v>#REF!</v>
      </c>
      <c r="G183" s="5" t="e">
        <f>SUMPRODUCT(--(G$9=sensitivity!$D$9:$CN$9),sensitivity!$D187:$CN187)</f>
        <v>#REF!</v>
      </c>
      <c r="H183" s="5" t="e">
        <f>SUMPRODUCT(--(H$9=sensitivity!$D$9:$CN$9),sensitivity!$D187:$CN187)</f>
        <v>#REF!</v>
      </c>
      <c r="I183" s="5" t="e">
        <f>SUMPRODUCT(--(I$9=sensitivity!$D$9:$CN$9),sensitivity!$D187:$CN187)</f>
        <v>#REF!</v>
      </c>
      <c r="J183" s="5" t="e">
        <f>SUMPRODUCT(--(J$9=sensitivity!$D$9:$CN$9),sensitivity!$D187:$CN187)</f>
        <v>#REF!</v>
      </c>
      <c r="K183" s="5" t="e">
        <f>SUMPRODUCT(--(K$9=sensitivity!$D$9:$CN$9),sensitivity!$D187:$CN187)</f>
        <v>#REF!</v>
      </c>
      <c r="L183" s="5" t="e">
        <f>SUMPRODUCT(--(L$9=sensitivity!$D$9:$CN$9),sensitivity!$D187:$CN187)</f>
        <v>#REF!</v>
      </c>
      <c r="M183" s="5" t="e">
        <f>SUMPRODUCT(--(M$9=sensitivity!$D$9:$CN$9),sensitivity!$D187:$CN187)</f>
        <v>#REF!</v>
      </c>
      <c r="N183" s="5" t="e">
        <f>SUMPRODUCT(--(N$9=sensitivity!$D$9:$CN$9),sensitivity!$D187:$CN187)</f>
        <v>#REF!</v>
      </c>
      <c r="O183" s="5" t="e">
        <f>SUMPRODUCT(--(O$9=sensitivity!$D$9:$CN$9),sensitivity!$D187:$CN187)</f>
        <v>#REF!</v>
      </c>
      <c r="P183" s="5" t="e">
        <f>SUMPRODUCT(--(P$9=sensitivity!$D$9:$CN$9),sensitivity!$D187:$CN187)</f>
        <v>#REF!</v>
      </c>
      <c r="Q183" s="5" t="e">
        <f>SUMPRODUCT(--(Q$9=sensitivity!$D$9:$CN$9),sensitivity!$D187:$CN187)</f>
        <v>#REF!</v>
      </c>
      <c r="R183" s="5" t="e">
        <f>SUMPRODUCT(--(R$9=sensitivity!$D$9:$CN$9),sensitivity!$D187:$CN187)</f>
        <v>#REF!</v>
      </c>
      <c r="S183" s="5" t="e">
        <f>SUMPRODUCT(--(S$9=sensitivity!$D$9:$CN$9),sensitivity!$D187:$CN187)</f>
        <v>#REF!</v>
      </c>
      <c r="T183" s="5" t="e">
        <f>SUMPRODUCT(--(T$9=sensitivity!$D$9:$CN$9),sensitivity!$D187:$CN187)</f>
        <v>#REF!</v>
      </c>
      <c r="U183" s="5" t="e">
        <f>SUMPRODUCT(--(U$9=sensitivity!$D$9:$CN$9),sensitivity!$D187:$CN187)</f>
        <v>#REF!</v>
      </c>
      <c r="V183" s="5" t="e">
        <f>SUMPRODUCT(--(V$9=sensitivity!$D$9:$CN$9),sensitivity!$D187:$CN187)</f>
        <v>#REF!</v>
      </c>
      <c r="W183" s="5" t="e">
        <f>SUMPRODUCT(--(W$9=sensitivity!$D$9:$CN$9),sensitivity!$D187:$CN187)</f>
        <v>#REF!</v>
      </c>
      <c r="X183" s="5" t="e">
        <f>SUMPRODUCT(--(X$9=sensitivity!$D$9:$CN$9),sensitivity!$D187:$CN187)</f>
        <v>#REF!</v>
      </c>
      <c r="Y183" s="5" t="e">
        <f>SUMPRODUCT(--(Y$9=sensitivity!$D$9:$CN$9),sensitivity!$D187:$CN187)</f>
        <v>#REF!</v>
      </c>
      <c r="Z183" s="5" t="e">
        <f>SUMPRODUCT(--(Z$9=sensitivity!$D$9:$CN$9),sensitivity!$D187:$CN187)</f>
        <v>#REF!</v>
      </c>
      <c r="AA183" s="5"/>
    </row>
    <row r="184" spans="1:27" ht="13">
      <c r="A184" s="112"/>
      <c r="B184" s="112" t="s">
        <v>252</v>
      </c>
      <c r="C184" s="112"/>
      <c r="D184" s="116" t="e">
        <f>sensitivity!D188</f>
        <v>#REF!</v>
      </c>
      <c r="E184" s="112" t="e">
        <f>SUMPRODUCT(--(E$9=sensitivity!$D$9:$CN$9),sensitivity!$D188:$CN188)</f>
        <v>#REF!</v>
      </c>
      <c r="F184" s="112" t="e">
        <f>SUMPRODUCT(--(F$9=sensitivity!$D$9:$CN$9),sensitivity!$D188:$CN188)</f>
        <v>#REF!</v>
      </c>
      <c r="G184" s="112" t="e">
        <f>SUMPRODUCT(--(G$9=sensitivity!$D$9:$CN$9),sensitivity!$D188:$CN188)</f>
        <v>#REF!</v>
      </c>
      <c r="H184" s="112" t="e">
        <f>SUMPRODUCT(--(H$9=sensitivity!$D$9:$CN$9),sensitivity!$D188:$CN188)</f>
        <v>#REF!</v>
      </c>
      <c r="I184" s="112" t="e">
        <f>SUMPRODUCT(--(I$9=sensitivity!$D$9:$CN$9),sensitivity!$D188:$CN188)</f>
        <v>#REF!</v>
      </c>
      <c r="J184" s="112" t="e">
        <f>SUMPRODUCT(--(J$9=sensitivity!$D$9:$CN$9),sensitivity!$D188:$CN188)</f>
        <v>#REF!</v>
      </c>
      <c r="K184" s="112" t="e">
        <f>SUMPRODUCT(--(K$9=sensitivity!$D$9:$CN$9),sensitivity!$D188:$CN188)</f>
        <v>#REF!</v>
      </c>
      <c r="L184" s="112" t="e">
        <f>SUMPRODUCT(--(L$9=sensitivity!$D$9:$CN$9),sensitivity!$D188:$CN188)</f>
        <v>#REF!</v>
      </c>
      <c r="M184" s="112" t="e">
        <f>SUMPRODUCT(--(M$9=sensitivity!$D$9:$CN$9),sensitivity!$D188:$CN188)</f>
        <v>#REF!</v>
      </c>
      <c r="N184" s="112" t="e">
        <f>SUMPRODUCT(--(N$9=sensitivity!$D$9:$CN$9),sensitivity!$D188:$CN188)</f>
        <v>#REF!</v>
      </c>
      <c r="O184" s="112" t="e">
        <f>SUMPRODUCT(--(O$9=sensitivity!$D$9:$CN$9),sensitivity!$D188:$CN188)</f>
        <v>#REF!</v>
      </c>
      <c r="P184" s="112" t="e">
        <f>SUMPRODUCT(--(P$9=sensitivity!$D$9:$CN$9),sensitivity!$D188:$CN188)</f>
        <v>#REF!</v>
      </c>
      <c r="Q184" s="112" t="e">
        <f>SUMPRODUCT(--(Q$9=sensitivity!$D$9:$CN$9),sensitivity!$D188:$CN188)</f>
        <v>#REF!</v>
      </c>
      <c r="R184" s="112" t="e">
        <f>SUMPRODUCT(--(R$9=sensitivity!$D$9:$CN$9),sensitivity!$D188:$CN188)</f>
        <v>#REF!</v>
      </c>
      <c r="S184" s="112" t="e">
        <f>SUMPRODUCT(--(S$9=sensitivity!$D$9:$CN$9),sensitivity!$D188:$CN188)</f>
        <v>#REF!</v>
      </c>
      <c r="T184" s="112" t="e">
        <f>SUMPRODUCT(--(T$9=sensitivity!$D$9:$CN$9),sensitivity!$D188:$CN188)</f>
        <v>#REF!</v>
      </c>
      <c r="U184" s="112" t="e">
        <f>SUMPRODUCT(--(U$9=sensitivity!$D$9:$CN$9),sensitivity!$D188:$CN188)</f>
        <v>#REF!</v>
      </c>
      <c r="V184" s="112" t="e">
        <f>SUMPRODUCT(--(V$9=sensitivity!$D$9:$CN$9),sensitivity!$D188:$CN188)</f>
        <v>#REF!</v>
      </c>
      <c r="W184" s="112" t="e">
        <f>SUMPRODUCT(--(W$9=sensitivity!$D$9:$CN$9),sensitivity!$D188:$CN188)</f>
        <v>#REF!</v>
      </c>
      <c r="X184" s="112" t="e">
        <f>SUMPRODUCT(--(X$9=sensitivity!$D$9:$CN$9),sensitivity!$D188:$CN188)</f>
        <v>#REF!</v>
      </c>
      <c r="Y184" s="112" t="e">
        <f>SUMPRODUCT(--(Y$9=sensitivity!$D$9:$CN$9),sensitivity!$D188:$CN188)</f>
        <v>#REF!</v>
      </c>
      <c r="Z184" s="112" t="e">
        <f>SUMPRODUCT(--(Z$9=sensitivity!$D$9:$CN$9),sensitivity!$D188:$CN188)</f>
        <v>#REF!</v>
      </c>
      <c r="AA184" s="112"/>
    </row>
    <row r="185" spans="1:27" ht="13">
      <c r="A185" s="117"/>
      <c r="B185" s="26" t="s">
        <v>253</v>
      </c>
      <c r="C185" s="117"/>
      <c r="D185" s="118" t="e">
        <f>sensitivity!D189</f>
        <v>#REF!</v>
      </c>
      <c r="E185" s="5" t="e">
        <f>SUMPRODUCT(--(E$9=sensitivity!$D$9:$CN$9),sensitivity!$D189:$CN189)</f>
        <v>#REF!</v>
      </c>
      <c r="F185" s="5" t="e">
        <f>SUMPRODUCT(--(F$9=sensitivity!$D$9:$CN$9),sensitivity!$D189:$CN189)</f>
        <v>#REF!</v>
      </c>
      <c r="G185" s="5" t="e">
        <f>SUMPRODUCT(--(G$9=sensitivity!$D$9:$CN$9),sensitivity!$D189:$CN189)</f>
        <v>#REF!</v>
      </c>
      <c r="H185" s="5" t="e">
        <f>SUMPRODUCT(--(H$9=sensitivity!$D$9:$CN$9),sensitivity!$D189:$CN189)</f>
        <v>#REF!</v>
      </c>
      <c r="I185" s="5" t="e">
        <f>SUMPRODUCT(--(I$9=sensitivity!$D$9:$CN$9),sensitivity!$D189:$CN189)</f>
        <v>#REF!</v>
      </c>
      <c r="J185" s="5" t="e">
        <f>SUMPRODUCT(--(J$9=sensitivity!$D$9:$CN$9),sensitivity!$D189:$CN189)</f>
        <v>#REF!</v>
      </c>
      <c r="K185" s="5" t="e">
        <f>SUMPRODUCT(--(K$9=sensitivity!$D$9:$CN$9),sensitivity!$D189:$CN189)</f>
        <v>#REF!</v>
      </c>
      <c r="L185" s="5" t="e">
        <f>SUMPRODUCT(--(L$9=sensitivity!$D$9:$CN$9),sensitivity!$D189:$CN189)</f>
        <v>#REF!</v>
      </c>
      <c r="M185" s="5" t="e">
        <f>SUMPRODUCT(--(M$9=sensitivity!$D$9:$CN$9),sensitivity!$D189:$CN189)</f>
        <v>#REF!</v>
      </c>
      <c r="N185" s="5" t="e">
        <f>SUMPRODUCT(--(N$9=sensitivity!$D$9:$CN$9),sensitivity!$D189:$CN189)</f>
        <v>#REF!</v>
      </c>
      <c r="O185" s="5" t="e">
        <f>SUMPRODUCT(--(O$9=sensitivity!$D$9:$CN$9),sensitivity!$D189:$CN189)</f>
        <v>#REF!</v>
      </c>
      <c r="P185" s="5" t="e">
        <f>SUMPRODUCT(--(P$9=sensitivity!$D$9:$CN$9),sensitivity!$D189:$CN189)</f>
        <v>#REF!</v>
      </c>
      <c r="Q185" s="5" t="e">
        <f>SUMPRODUCT(--(Q$9=sensitivity!$D$9:$CN$9),sensitivity!$D189:$CN189)</f>
        <v>#REF!</v>
      </c>
      <c r="R185" s="5" t="e">
        <f>SUMPRODUCT(--(R$9=sensitivity!$D$9:$CN$9),sensitivity!$D189:$CN189)</f>
        <v>#REF!</v>
      </c>
      <c r="S185" s="5" t="e">
        <f>SUMPRODUCT(--(S$9=sensitivity!$D$9:$CN$9),sensitivity!$D189:$CN189)</f>
        <v>#REF!</v>
      </c>
      <c r="T185" s="5" t="e">
        <f>SUMPRODUCT(--(T$9=sensitivity!$D$9:$CN$9),sensitivity!$D189:$CN189)</f>
        <v>#REF!</v>
      </c>
      <c r="U185" s="5" t="e">
        <f>SUMPRODUCT(--(U$9=sensitivity!$D$9:$CN$9),sensitivity!$D189:$CN189)</f>
        <v>#REF!</v>
      </c>
      <c r="V185" s="5" t="e">
        <f>SUMPRODUCT(--(V$9=sensitivity!$D$9:$CN$9),sensitivity!$D189:$CN189)</f>
        <v>#REF!</v>
      </c>
      <c r="W185" s="5" t="e">
        <f>SUMPRODUCT(--(W$9=sensitivity!$D$9:$CN$9),sensitivity!$D189:$CN189)</f>
        <v>#REF!</v>
      </c>
      <c r="X185" s="5" t="e">
        <f>SUMPRODUCT(--(X$9=sensitivity!$D$9:$CN$9),sensitivity!$D189:$CN189)</f>
        <v>#REF!</v>
      </c>
      <c r="Y185" s="5" t="e">
        <f>SUMPRODUCT(--(Y$9=sensitivity!$D$9:$CN$9),sensitivity!$D189:$CN189)</f>
        <v>#REF!</v>
      </c>
      <c r="Z185" s="5" t="e">
        <f>SUMPRODUCT(--(Z$9=sensitivity!$D$9:$CN$9),sensitivity!$D189:$CN189)</f>
        <v>#REF!</v>
      </c>
      <c r="AA185" s="5"/>
    </row>
    <row r="186" spans="1:27" ht="13">
      <c r="A186" s="112"/>
      <c r="B186" s="112" t="s">
        <v>254</v>
      </c>
      <c r="C186" s="112"/>
      <c r="D186" s="116" t="e">
        <f>sensitivity!D190</f>
        <v>#REF!</v>
      </c>
      <c r="E186" s="112" t="e">
        <f>SUMPRODUCT(--(E$9=sensitivity!$D$9:$CN$9),sensitivity!$D190:$CN190)</f>
        <v>#REF!</v>
      </c>
      <c r="F186" s="112" t="e">
        <f>SUMPRODUCT(--(F$9=sensitivity!$D$9:$CN$9),sensitivity!$D190:$CN190)</f>
        <v>#REF!</v>
      </c>
      <c r="G186" s="112" t="e">
        <f>SUMPRODUCT(--(G$9=sensitivity!$D$9:$CN$9),sensitivity!$D190:$CN190)</f>
        <v>#REF!</v>
      </c>
      <c r="H186" s="112" t="e">
        <f>SUMPRODUCT(--(H$9=sensitivity!$D$9:$CN$9),sensitivity!$D190:$CN190)</f>
        <v>#REF!</v>
      </c>
      <c r="I186" s="112" t="e">
        <f>SUMPRODUCT(--(I$9=sensitivity!$D$9:$CN$9),sensitivity!$D190:$CN190)</f>
        <v>#REF!</v>
      </c>
      <c r="J186" s="112" t="e">
        <f>SUMPRODUCT(--(J$9=sensitivity!$D$9:$CN$9),sensitivity!$D190:$CN190)</f>
        <v>#REF!</v>
      </c>
      <c r="K186" s="112" t="e">
        <f>SUMPRODUCT(--(K$9=sensitivity!$D$9:$CN$9),sensitivity!$D190:$CN190)</f>
        <v>#REF!</v>
      </c>
      <c r="L186" s="112" t="e">
        <f>SUMPRODUCT(--(L$9=sensitivity!$D$9:$CN$9),sensitivity!$D190:$CN190)</f>
        <v>#REF!</v>
      </c>
      <c r="M186" s="112" t="e">
        <f>SUMPRODUCT(--(M$9=sensitivity!$D$9:$CN$9),sensitivity!$D190:$CN190)</f>
        <v>#REF!</v>
      </c>
      <c r="N186" s="112" t="e">
        <f>SUMPRODUCT(--(N$9=sensitivity!$D$9:$CN$9),sensitivity!$D190:$CN190)</f>
        <v>#REF!</v>
      </c>
      <c r="O186" s="112" t="e">
        <f>SUMPRODUCT(--(O$9=sensitivity!$D$9:$CN$9),sensitivity!$D190:$CN190)</f>
        <v>#REF!</v>
      </c>
      <c r="P186" s="112" t="e">
        <f>SUMPRODUCT(--(P$9=sensitivity!$D$9:$CN$9),sensitivity!$D190:$CN190)</f>
        <v>#REF!</v>
      </c>
      <c r="Q186" s="112" t="e">
        <f>SUMPRODUCT(--(Q$9=sensitivity!$D$9:$CN$9),sensitivity!$D190:$CN190)</f>
        <v>#REF!</v>
      </c>
      <c r="R186" s="112" t="e">
        <f>SUMPRODUCT(--(R$9=sensitivity!$D$9:$CN$9),sensitivity!$D190:$CN190)</f>
        <v>#REF!</v>
      </c>
      <c r="S186" s="112" t="e">
        <f>SUMPRODUCT(--(S$9=sensitivity!$D$9:$CN$9),sensitivity!$D190:$CN190)</f>
        <v>#REF!</v>
      </c>
      <c r="T186" s="112" t="e">
        <f>SUMPRODUCT(--(T$9=sensitivity!$D$9:$CN$9),sensitivity!$D190:$CN190)</f>
        <v>#REF!</v>
      </c>
      <c r="U186" s="112" t="e">
        <f>SUMPRODUCT(--(U$9=sensitivity!$D$9:$CN$9),sensitivity!$D190:$CN190)</f>
        <v>#REF!</v>
      </c>
      <c r="V186" s="112" t="e">
        <f>SUMPRODUCT(--(V$9=sensitivity!$D$9:$CN$9),sensitivity!$D190:$CN190)</f>
        <v>#REF!</v>
      </c>
      <c r="W186" s="112" t="e">
        <f>SUMPRODUCT(--(W$9=sensitivity!$D$9:$CN$9),sensitivity!$D190:$CN190)</f>
        <v>#REF!</v>
      </c>
      <c r="X186" s="112" t="e">
        <f>SUMPRODUCT(--(X$9=sensitivity!$D$9:$CN$9),sensitivity!$D190:$CN190)</f>
        <v>#REF!</v>
      </c>
      <c r="Y186" s="112" t="e">
        <f>SUMPRODUCT(--(Y$9=sensitivity!$D$9:$CN$9),sensitivity!$D190:$CN190)</f>
        <v>#REF!</v>
      </c>
      <c r="Z186" s="112" t="e">
        <f>SUMPRODUCT(--(Z$9=sensitivity!$D$9:$CN$9),sensitivity!$D190:$CN190)</f>
        <v>#REF!</v>
      </c>
      <c r="AA186" s="112"/>
    </row>
    <row r="187" spans="1:27" ht="13">
      <c r="A187" s="117"/>
      <c r="B187" s="26" t="s">
        <v>255</v>
      </c>
      <c r="C187" s="117"/>
      <c r="D187" s="118" t="e">
        <f>sensitivity!D191</f>
        <v>#REF!</v>
      </c>
      <c r="E187" s="5" t="e">
        <f>SUMPRODUCT(--(E$9=sensitivity!$D$9:$CN$9),sensitivity!$D191:$CN191)</f>
        <v>#REF!</v>
      </c>
      <c r="F187" s="5" t="e">
        <f>SUMPRODUCT(--(F$9=sensitivity!$D$9:$CN$9),sensitivity!$D191:$CN191)</f>
        <v>#REF!</v>
      </c>
      <c r="G187" s="5" t="e">
        <f>SUMPRODUCT(--(G$9=sensitivity!$D$9:$CN$9),sensitivity!$D191:$CN191)</f>
        <v>#REF!</v>
      </c>
      <c r="H187" s="5" t="e">
        <f>SUMPRODUCT(--(H$9=sensitivity!$D$9:$CN$9),sensitivity!$D191:$CN191)</f>
        <v>#REF!</v>
      </c>
      <c r="I187" s="5" t="e">
        <f>SUMPRODUCT(--(I$9=sensitivity!$D$9:$CN$9),sensitivity!$D191:$CN191)</f>
        <v>#REF!</v>
      </c>
      <c r="J187" s="5" t="e">
        <f>SUMPRODUCT(--(J$9=sensitivity!$D$9:$CN$9),sensitivity!$D191:$CN191)</f>
        <v>#REF!</v>
      </c>
      <c r="K187" s="5" t="e">
        <f>SUMPRODUCT(--(K$9=sensitivity!$D$9:$CN$9),sensitivity!$D191:$CN191)</f>
        <v>#REF!</v>
      </c>
      <c r="L187" s="5" t="e">
        <f>SUMPRODUCT(--(L$9=sensitivity!$D$9:$CN$9),sensitivity!$D191:$CN191)</f>
        <v>#REF!</v>
      </c>
      <c r="M187" s="5" t="e">
        <f>SUMPRODUCT(--(M$9=sensitivity!$D$9:$CN$9),sensitivity!$D191:$CN191)</f>
        <v>#REF!</v>
      </c>
      <c r="N187" s="5" t="e">
        <f>SUMPRODUCT(--(N$9=sensitivity!$D$9:$CN$9),sensitivity!$D191:$CN191)</f>
        <v>#REF!</v>
      </c>
      <c r="O187" s="5" t="e">
        <f>SUMPRODUCT(--(O$9=sensitivity!$D$9:$CN$9),sensitivity!$D191:$CN191)</f>
        <v>#REF!</v>
      </c>
      <c r="P187" s="5" t="e">
        <f>SUMPRODUCT(--(P$9=sensitivity!$D$9:$CN$9),sensitivity!$D191:$CN191)</f>
        <v>#REF!</v>
      </c>
      <c r="Q187" s="5" t="e">
        <f>SUMPRODUCT(--(Q$9=sensitivity!$D$9:$CN$9),sensitivity!$D191:$CN191)</f>
        <v>#REF!</v>
      </c>
      <c r="R187" s="5" t="e">
        <f>SUMPRODUCT(--(R$9=sensitivity!$D$9:$CN$9),sensitivity!$D191:$CN191)</f>
        <v>#REF!</v>
      </c>
      <c r="S187" s="5" t="e">
        <f>SUMPRODUCT(--(S$9=sensitivity!$D$9:$CN$9),sensitivity!$D191:$CN191)</f>
        <v>#REF!</v>
      </c>
      <c r="T187" s="5" t="e">
        <f>SUMPRODUCT(--(T$9=sensitivity!$D$9:$CN$9),sensitivity!$D191:$CN191)</f>
        <v>#REF!</v>
      </c>
      <c r="U187" s="5" t="e">
        <f>SUMPRODUCT(--(U$9=sensitivity!$D$9:$CN$9),sensitivity!$D191:$CN191)</f>
        <v>#REF!</v>
      </c>
      <c r="V187" s="5" t="e">
        <f>SUMPRODUCT(--(V$9=sensitivity!$D$9:$CN$9),sensitivity!$D191:$CN191)</f>
        <v>#REF!</v>
      </c>
      <c r="W187" s="5" t="e">
        <f>SUMPRODUCT(--(W$9=sensitivity!$D$9:$CN$9),sensitivity!$D191:$CN191)</f>
        <v>#REF!</v>
      </c>
      <c r="X187" s="5" t="e">
        <f>SUMPRODUCT(--(X$9=sensitivity!$D$9:$CN$9),sensitivity!$D191:$CN191)</f>
        <v>#REF!</v>
      </c>
      <c r="Y187" s="5" t="e">
        <f>SUMPRODUCT(--(Y$9=sensitivity!$D$9:$CN$9),sensitivity!$D191:$CN191)</f>
        <v>#REF!</v>
      </c>
      <c r="Z187" s="5" t="e">
        <f>SUMPRODUCT(--(Z$9=sensitivity!$D$9:$CN$9),sensitivity!$D191:$CN191)</f>
        <v>#REF!</v>
      </c>
      <c r="AA187" s="5"/>
    </row>
    <row r="188" spans="1:27" ht="13">
      <c r="A188" s="117"/>
      <c r="B188" s="26" t="s">
        <v>256</v>
      </c>
      <c r="C188" s="117"/>
      <c r="D188" s="118">
        <f>sensitivity!D192</f>
        <v>2200549.9500000002</v>
      </c>
      <c r="E188" s="5">
        <f>SUMPRODUCT(--(E$9=sensitivity!$D$9:$CN$9),sensitivity!$D192:$CN192)</f>
        <v>2200549.9500000002</v>
      </c>
      <c r="F188" s="5">
        <f>SUMPRODUCT(--(F$9=sensitivity!$D$9:$CN$9),sensitivity!$D192:$CN192)</f>
        <v>2200549.9500000002</v>
      </c>
      <c r="G188" s="5">
        <f>SUMPRODUCT(--(G$9=sensitivity!$D$9:$CN$9),sensitivity!$D192:$CN192)</f>
        <v>2200549.9500000002</v>
      </c>
      <c r="H188" s="5">
        <f>SUMPRODUCT(--(H$9=sensitivity!$D$9:$CN$9),sensitivity!$D192:$CN192)</f>
        <v>2200549.9500000002</v>
      </c>
      <c r="I188" s="5">
        <f>SUMPRODUCT(--(I$9=sensitivity!$D$9:$CN$9),sensitivity!$D192:$CN192)</f>
        <v>2200549.9500000002</v>
      </c>
      <c r="J188" s="5">
        <f>SUMPRODUCT(--(J$9=sensitivity!$D$9:$CN$9),sensitivity!$D192:$CN192)</f>
        <v>2200549.9500000002</v>
      </c>
      <c r="K188" s="5">
        <f>SUMPRODUCT(--(K$9=sensitivity!$D$9:$CN$9),sensitivity!$D192:$CN192)</f>
        <v>2200549.9500000002</v>
      </c>
      <c r="L188" s="5">
        <f>SUMPRODUCT(--(L$9=sensitivity!$D$9:$CN$9),sensitivity!$D192:$CN192)</f>
        <v>2200549.9500000002</v>
      </c>
      <c r="M188" s="5">
        <f>SUMPRODUCT(--(M$9=sensitivity!$D$9:$CN$9),sensitivity!$D192:$CN192)</f>
        <v>2200549.9500000002</v>
      </c>
      <c r="N188" s="5">
        <f>SUMPRODUCT(--(N$9=sensitivity!$D$9:$CN$9),sensitivity!$D192:$CN192)</f>
        <v>2200549.9500000002</v>
      </c>
      <c r="O188" s="5">
        <f>SUMPRODUCT(--(O$9=sensitivity!$D$9:$CN$9),sensitivity!$D192:$CN192)</f>
        <v>2200549.9500000002</v>
      </c>
      <c r="P188" s="5">
        <f>SUMPRODUCT(--(P$9=sensitivity!$D$9:$CN$9),sensitivity!$D192:$CN192)</f>
        <v>2200549.9500000002</v>
      </c>
      <c r="Q188" s="5">
        <f>SUMPRODUCT(--(Q$9=sensitivity!$D$9:$CN$9),sensitivity!$D192:$CN192)</f>
        <v>2200549.9500000002</v>
      </c>
      <c r="R188" s="5">
        <f>SUMPRODUCT(--(R$9=sensitivity!$D$9:$CN$9),sensitivity!$D192:$CN192)</f>
        <v>2200549.9500000002</v>
      </c>
      <c r="S188" s="5">
        <f>SUMPRODUCT(--(S$9=sensitivity!$D$9:$CN$9),sensitivity!$D192:$CN192)</f>
        <v>2200549.9500000002</v>
      </c>
      <c r="T188" s="5">
        <f>SUMPRODUCT(--(T$9=sensitivity!$D$9:$CN$9),sensitivity!$D192:$CN192)</f>
        <v>2200549.9500000002</v>
      </c>
      <c r="U188" s="5">
        <f>SUMPRODUCT(--(U$9=sensitivity!$D$9:$CN$9),sensitivity!$D192:$CN192)</f>
        <v>2200549.9500000002</v>
      </c>
      <c r="V188" s="5">
        <f>SUMPRODUCT(--(V$9=sensitivity!$D$9:$CN$9),sensitivity!$D192:$CN192)</f>
        <v>2200549.9500000002</v>
      </c>
      <c r="W188" s="5">
        <f>SUMPRODUCT(--(W$9=sensitivity!$D$9:$CN$9),sensitivity!$D192:$CN192)</f>
        <v>2200549.9500000002</v>
      </c>
      <c r="X188" s="5">
        <f>SUMPRODUCT(--(X$9=sensitivity!$D$9:$CN$9),sensitivity!$D192:$CN192)</f>
        <v>2200549.9500000002</v>
      </c>
      <c r="Y188" s="5">
        <f>SUMPRODUCT(--(Y$9=sensitivity!$D$9:$CN$9),sensitivity!$D192:$CN192)</f>
        <v>2200549.9500000002</v>
      </c>
      <c r="Z188" s="5">
        <f>SUMPRODUCT(--(Z$9=sensitivity!$D$9:$CN$9),sensitivity!$D192:$CN192)</f>
        <v>2200549.9500000002</v>
      </c>
      <c r="AA188" s="5"/>
    </row>
    <row r="189" spans="1:27" ht="13">
      <c r="A189" s="112"/>
      <c r="B189" s="119" t="s">
        <v>248</v>
      </c>
      <c r="C189" s="120"/>
      <c r="D189" s="121" t="e">
        <f>sensitivity!D193</f>
        <v>#REF!</v>
      </c>
      <c r="E189" s="120" t="e">
        <f>SUMPRODUCT(--(E$9=sensitivity!$D$9:$CN$9),sensitivity!$D193:$CN193)</f>
        <v>#REF!</v>
      </c>
      <c r="F189" s="120" t="e">
        <f>SUMPRODUCT(--(F$9=sensitivity!$D$9:$CN$9),sensitivity!$D193:$CN193)</f>
        <v>#REF!</v>
      </c>
      <c r="G189" s="120" t="e">
        <f>SUMPRODUCT(--(G$9=sensitivity!$D$9:$CN$9),sensitivity!$D193:$CN193)</f>
        <v>#REF!</v>
      </c>
      <c r="H189" s="120" t="e">
        <f>SUMPRODUCT(--(H$9=sensitivity!$D$9:$CN$9),sensitivity!$D193:$CN193)</f>
        <v>#REF!</v>
      </c>
      <c r="I189" s="120" t="e">
        <f>SUMPRODUCT(--(I$9=sensitivity!$D$9:$CN$9),sensitivity!$D193:$CN193)</f>
        <v>#REF!</v>
      </c>
      <c r="J189" s="120" t="e">
        <f>SUMPRODUCT(--(J$9=sensitivity!$D$9:$CN$9),sensitivity!$D193:$CN193)</f>
        <v>#REF!</v>
      </c>
      <c r="K189" s="120" t="e">
        <f>SUMPRODUCT(--(K$9=sensitivity!$D$9:$CN$9),sensitivity!$D193:$CN193)</f>
        <v>#REF!</v>
      </c>
      <c r="L189" s="120" t="e">
        <f>SUMPRODUCT(--(L$9=sensitivity!$D$9:$CN$9),sensitivity!$D193:$CN193)</f>
        <v>#REF!</v>
      </c>
      <c r="M189" s="120" t="e">
        <f>SUMPRODUCT(--(M$9=sensitivity!$D$9:$CN$9),sensitivity!$D193:$CN193)</f>
        <v>#REF!</v>
      </c>
      <c r="N189" s="120" t="e">
        <f>SUMPRODUCT(--(N$9=sensitivity!$D$9:$CN$9),sensitivity!$D193:$CN193)</f>
        <v>#REF!</v>
      </c>
      <c r="O189" s="120" t="e">
        <f>SUMPRODUCT(--(O$9=sensitivity!$D$9:$CN$9),sensitivity!$D193:$CN193)</f>
        <v>#REF!</v>
      </c>
      <c r="P189" s="120" t="e">
        <f>SUMPRODUCT(--(P$9=sensitivity!$D$9:$CN$9),sensitivity!$D193:$CN193)</f>
        <v>#REF!</v>
      </c>
      <c r="Q189" s="120" t="e">
        <f>SUMPRODUCT(--(Q$9=sensitivity!$D$9:$CN$9),sensitivity!$D193:$CN193)</f>
        <v>#REF!</v>
      </c>
      <c r="R189" s="120" t="e">
        <f>SUMPRODUCT(--(R$9=sensitivity!$D$9:$CN$9),sensitivity!$D193:$CN193)</f>
        <v>#REF!</v>
      </c>
      <c r="S189" s="120" t="e">
        <f>SUMPRODUCT(--(S$9=sensitivity!$D$9:$CN$9),sensitivity!$D193:$CN193)</f>
        <v>#REF!</v>
      </c>
      <c r="T189" s="120" t="e">
        <f>SUMPRODUCT(--(T$9=sensitivity!$D$9:$CN$9),sensitivity!$D193:$CN193)</f>
        <v>#REF!</v>
      </c>
      <c r="U189" s="120" t="e">
        <f>SUMPRODUCT(--(U$9=sensitivity!$D$9:$CN$9),sensitivity!$D193:$CN193)</f>
        <v>#REF!</v>
      </c>
      <c r="V189" s="120" t="e">
        <f>SUMPRODUCT(--(V$9=sensitivity!$D$9:$CN$9),sensitivity!$D193:$CN193)</f>
        <v>#REF!</v>
      </c>
      <c r="W189" s="120" t="e">
        <f>SUMPRODUCT(--(W$9=sensitivity!$D$9:$CN$9),sensitivity!$D193:$CN193)</f>
        <v>#REF!</v>
      </c>
      <c r="X189" s="120" t="e">
        <f>SUMPRODUCT(--(X$9=sensitivity!$D$9:$CN$9),sensitivity!$D193:$CN193)</f>
        <v>#REF!</v>
      </c>
      <c r="Y189" s="120" t="e">
        <f>SUMPRODUCT(--(Y$9=sensitivity!$D$9:$CN$9),sensitivity!$D193:$CN193)</f>
        <v>#REF!</v>
      </c>
      <c r="Z189" s="120" t="e">
        <f>SUMPRODUCT(--(Z$9=sensitivity!$D$9:$CN$9),sensitivity!$D193:$CN193)</f>
        <v>#REF!</v>
      </c>
      <c r="AA189" s="120"/>
    </row>
    <row r="190" spans="1:27" ht="13">
      <c r="A190" s="117"/>
      <c r="B190" s="117"/>
      <c r="C190" s="117"/>
      <c r="D190" s="116">
        <f>sensitivity!D194</f>
        <v>0</v>
      </c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</row>
    <row r="191" spans="1:27" ht="13">
      <c r="A191" s="117"/>
      <c r="B191" s="117"/>
      <c r="C191" s="124" t="s">
        <v>257</v>
      </c>
      <c r="D191" s="125" t="e">
        <f>sensitivity!D195</f>
        <v>#REF!</v>
      </c>
      <c r="E191" s="126" t="e">
        <f t="shared" ref="E191:Z191" si="26">IF(ROUND(E179,0)=ROUND(E189,0),"Да","Нет")</f>
        <v>#REF!</v>
      </c>
      <c r="F191" s="126" t="e">
        <f t="shared" si="26"/>
        <v>#REF!</v>
      </c>
      <c r="G191" s="126" t="e">
        <f t="shared" si="26"/>
        <v>#REF!</v>
      </c>
      <c r="H191" s="126" t="e">
        <f t="shared" si="26"/>
        <v>#REF!</v>
      </c>
      <c r="I191" s="126" t="e">
        <f t="shared" si="26"/>
        <v>#REF!</v>
      </c>
      <c r="J191" s="126" t="e">
        <f t="shared" si="26"/>
        <v>#REF!</v>
      </c>
      <c r="K191" s="126" t="e">
        <f t="shared" si="26"/>
        <v>#REF!</v>
      </c>
      <c r="L191" s="126" t="e">
        <f t="shared" si="26"/>
        <v>#REF!</v>
      </c>
      <c r="M191" s="126" t="e">
        <f t="shared" si="26"/>
        <v>#REF!</v>
      </c>
      <c r="N191" s="126" t="e">
        <f t="shared" si="26"/>
        <v>#REF!</v>
      </c>
      <c r="O191" s="126" t="e">
        <f t="shared" si="26"/>
        <v>#REF!</v>
      </c>
      <c r="P191" s="126" t="e">
        <f t="shared" si="26"/>
        <v>#REF!</v>
      </c>
      <c r="Q191" s="126" t="e">
        <f t="shared" si="26"/>
        <v>#REF!</v>
      </c>
      <c r="R191" s="126" t="e">
        <f t="shared" si="26"/>
        <v>#REF!</v>
      </c>
      <c r="S191" s="126" t="e">
        <f t="shared" si="26"/>
        <v>#REF!</v>
      </c>
      <c r="T191" s="126" t="e">
        <f t="shared" si="26"/>
        <v>#REF!</v>
      </c>
      <c r="U191" s="126" t="e">
        <f t="shared" si="26"/>
        <v>#REF!</v>
      </c>
      <c r="V191" s="126" t="e">
        <f t="shared" si="26"/>
        <v>#REF!</v>
      </c>
      <c r="W191" s="126" t="e">
        <f t="shared" si="26"/>
        <v>#REF!</v>
      </c>
      <c r="X191" s="126" t="e">
        <f t="shared" si="26"/>
        <v>#REF!</v>
      </c>
      <c r="Y191" s="126" t="e">
        <f t="shared" si="26"/>
        <v>#REF!</v>
      </c>
      <c r="Z191" s="126" t="e">
        <f t="shared" si="26"/>
        <v>#REF!</v>
      </c>
      <c r="AA191" s="126"/>
    </row>
    <row r="192" spans="1:27" ht="13">
      <c r="A192" s="117"/>
      <c r="B192" s="117"/>
      <c r="C192" s="124" t="s">
        <v>258</v>
      </c>
      <c r="D192" s="125" t="e">
        <f>sensitivity!D196</f>
        <v>#REF!</v>
      </c>
      <c r="E192" s="126" t="e">
        <f t="shared" ref="E192:Z192" si="27">ROUND(E179,0)-ROUND(E189,0)</f>
        <v>#REF!</v>
      </c>
      <c r="F192" s="126" t="e">
        <f t="shared" si="27"/>
        <v>#REF!</v>
      </c>
      <c r="G192" s="126" t="e">
        <f t="shared" si="27"/>
        <v>#REF!</v>
      </c>
      <c r="H192" s="126" t="e">
        <f t="shared" si="27"/>
        <v>#REF!</v>
      </c>
      <c r="I192" s="126" t="e">
        <f t="shared" si="27"/>
        <v>#REF!</v>
      </c>
      <c r="J192" s="126" t="e">
        <f t="shared" si="27"/>
        <v>#REF!</v>
      </c>
      <c r="K192" s="126" t="e">
        <f t="shared" si="27"/>
        <v>#REF!</v>
      </c>
      <c r="L192" s="126" t="e">
        <f t="shared" si="27"/>
        <v>#REF!</v>
      </c>
      <c r="M192" s="126" t="e">
        <f t="shared" si="27"/>
        <v>#REF!</v>
      </c>
      <c r="N192" s="126" t="e">
        <f t="shared" si="27"/>
        <v>#REF!</v>
      </c>
      <c r="O192" s="126" t="e">
        <f t="shared" si="27"/>
        <v>#REF!</v>
      </c>
      <c r="P192" s="126" t="e">
        <f t="shared" si="27"/>
        <v>#REF!</v>
      </c>
      <c r="Q192" s="126" t="e">
        <f t="shared" si="27"/>
        <v>#REF!</v>
      </c>
      <c r="R192" s="126" t="e">
        <f t="shared" si="27"/>
        <v>#REF!</v>
      </c>
      <c r="S192" s="126" t="e">
        <f t="shared" si="27"/>
        <v>#REF!</v>
      </c>
      <c r="T192" s="126" t="e">
        <f t="shared" si="27"/>
        <v>#REF!</v>
      </c>
      <c r="U192" s="126" t="e">
        <f t="shared" si="27"/>
        <v>#REF!</v>
      </c>
      <c r="V192" s="126" t="e">
        <f t="shared" si="27"/>
        <v>#REF!</v>
      </c>
      <c r="W192" s="126" t="e">
        <f t="shared" si="27"/>
        <v>#REF!</v>
      </c>
      <c r="X192" s="126" t="e">
        <f t="shared" si="27"/>
        <v>#REF!</v>
      </c>
      <c r="Y192" s="126" t="e">
        <f t="shared" si="27"/>
        <v>#REF!</v>
      </c>
      <c r="Z192" s="126" t="e">
        <f t="shared" si="27"/>
        <v>#REF!</v>
      </c>
      <c r="AA192" s="126"/>
    </row>
    <row r="194" spans="2:3" ht="13">
      <c r="B194" s="134" t="s">
        <v>259</v>
      </c>
      <c r="C194" s="35"/>
    </row>
    <row r="195" spans="2:3" ht="13">
      <c r="B195" s="428" t="s">
        <v>260</v>
      </c>
      <c r="C195" s="429">
        <f>sensitivity!C199</f>
        <v>0</v>
      </c>
    </row>
    <row r="196" spans="2:3" ht="13">
      <c r="B196" s="430" t="s">
        <v>261</v>
      </c>
      <c r="C196" s="431">
        <f>sensitivity!C200</f>
        <v>0</v>
      </c>
    </row>
    <row r="197" spans="2:3" ht="13">
      <c r="B197" s="430" t="s">
        <v>262</v>
      </c>
      <c r="C197" s="431">
        <f>sensitivity!C201</f>
        <v>0</v>
      </c>
    </row>
    <row r="198" spans="2:3" ht="13">
      <c r="B198" s="430" t="s">
        <v>263</v>
      </c>
      <c r="C198" s="431">
        <f>sensitivity!C202</f>
        <v>0</v>
      </c>
    </row>
    <row r="199" spans="2:3" ht="13">
      <c r="B199" s="430" t="s">
        <v>612</v>
      </c>
      <c r="C199" s="432">
        <f>sensitivity!C203*4</f>
        <v>0.115</v>
      </c>
    </row>
    <row r="200" spans="2:3" ht="13">
      <c r="B200" s="433" t="s">
        <v>264</v>
      </c>
      <c r="C200" s="434">
        <f>sensitivity!C204</f>
        <v>0.4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9F4E8-094D-4B32-AF4F-674DB09C4090}">
  <sheetPr>
    <tabColor theme="8" tint="-0.249977111117893"/>
  </sheetPr>
  <dimension ref="A1:AA186"/>
  <sheetViews>
    <sheetView showGridLines="0" workbookViewId="0">
      <pane xSplit="3" ySplit="6" topLeftCell="D94" activePane="bottomRight" state="frozen"/>
      <selection pane="topRight" activeCell="D1" sqref="D1"/>
      <selection pane="bottomLeft" activeCell="A7" sqref="A7"/>
      <selection pane="bottomRight" activeCell="E103" sqref="E103:AA103"/>
    </sheetView>
  </sheetViews>
  <sheetFormatPr defaultColWidth="14.453125" defaultRowHeight="15" customHeight="1" outlineLevelRow="4"/>
  <cols>
    <col min="1" max="1" width="1.1796875" customWidth="1"/>
    <col min="2" max="2" width="39.453125" customWidth="1"/>
    <col min="3" max="3" width="16.453125" customWidth="1"/>
    <col min="4" max="27" width="10.7265625" customWidth="1"/>
  </cols>
  <sheetData>
    <row r="1" spans="1:27" ht="2.25" customHeight="1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</row>
    <row r="2" spans="1:27" ht="2.25" customHeight="1">
      <c r="A2" s="35"/>
      <c r="B2" s="36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</row>
    <row r="3" spans="1:27" ht="12.75" customHeight="1">
      <c r="A3" s="35"/>
      <c r="B3" s="37"/>
      <c r="C3" s="38"/>
      <c r="D3" s="35"/>
      <c r="E3" s="35">
        <v>1</v>
      </c>
      <c r="F3" s="35">
        <v>2</v>
      </c>
      <c r="G3" s="35">
        <v>3</v>
      </c>
      <c r="H3" s="35">
        <v>4</v>
      </c>
      <c r="I3" s="35">
        <v>5</v>
      </c>
      <c r="J3" s="35">
        <v>6</v>
      </c>
      <c r="K3" s="35">
        <v>7</v>
      </c>
      <c r="L3" s="35">
        <v>8</v>
      </c>
      <c r="M3" s="35">
        <v>9</v>
      </c>
      <c r="N3" s="35">
        <v>10</v>
      </c>
      <c r="O3" s="35">
        <v>11</v>
      </c>
      <c r="P3" s="35">
        <v>12</v>
      </c>
      <c r="Q3" s="35">
        <v>13</v>
      </c>
      <c r="R3" s="35">
        <v>14</v>
      </c>
      <c r="S3" s="35">
        <v>15</v>
      </c>
      <c r="T3" s="35">
        <v>16</v>
      </c>
      <c r="U3" s="35">
        <v>17</v>
      </c>
      <c r="V3" s="35">
        <v>18</v>
      </c>
      <c r="W3" s="35">
        <v>19</v>
      </c>
      <c r="X3" s="35">
        <v>20</v>
      </c>
      <c r="Y3" s="35">
        <v>21</v>
      </c>
      <c r="Z3" s="35">
        <v>22</v>
      </c>
      <c r="AA3" s="35">
        <v>23</v>
      </c>
    </row>
    <row r="4" spans="1:27" ht="6.75" customHeight="1">
      <c r="A4" s="35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</row>
    <row r="5" spans="1:27" ht="6" customHeight="1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</row>
    <row r="6" spans="1:27" ht="12.75" customHeight="1">
      <c r="A6" s="35"/>
      <c r="B6" s="414" t="s">
        <v>607</v>
      </c>
      <c r="C6" s="43" t="s">
        <v>109</v>
      </c>
      <c r="D6" s="46" t="str">
        <f>Model2!D6</f>
        <v>0 период</v>
      </c>
      <c r="E6" s="47">
        <f>YEAR(Model2!E6)</f>
        <v>2023</v>
      </c>
      <c r="F6" s="47">
        <f t="shared" ref="F6:Z6" si="0">E6+1</f>
        <v>2024</v>
      </c>
      <c r="G6" s="47">
        <f t="shared" si="0"/>
        <v>2025</v>
      </c>
      <c r="H6" s="47">
        <f t="shared" si="0"/>
        <v>2026</v>
      </c>
      <c r="I6" s="47">
        <f t="shared" si="0"/>
        <v>2027</v>
      </c>
      <c r="J6" s="47">
        <f t="shared" si="0"/>
        <v>2028</v>
      </c>
      <c r="K6" s="47">
        <f t="shared" si="0"/>
        <v>2029</v>
      </c>
      <c r="L6" s="47">
        <f t="shared" si="0"/>
        <v>2030</v>
      </c>
      <c r="M6" s="47">
        <f t="shared" si="0"/>
        <v>2031</v>
      </c>
      <c r="N6" s="47">
        <f t="shared" si="0"/>
        <v>2032</v>
      </c>
      <c r="O6" s="47">
        <f t="shared" si="0"/>
        <v>2033</v>
      </c>
      <c r="P6" s="47">
        <f t="shared" si="0"/>
        <v>2034</v>
      </c>
      <c r="Q6" s="47">
        <f t="shared" si="0"/>
        <v>2035</v>
      </c>
      <c r="R6" s="47">
        <f t="shared" si="0"/>
        <v>2036</v>
      </c>
      <c r="S6" s="47">
        <f t="shared" si="0"/>
        <v>2037</v>
      </c>
      <c r="T6" s="47">
        <f t="shared" si="0"/>
        <v>2038</v>
      </c>
      <c r="U6" s="47">
        <f t="shared" si="0"/>
        <v>2039</v>
      </c>
      <c r="V6" s="47">
        <f t="shared" si="0"/>
        <v>2040</v>
      </c>
      <c r="W6" s="47">
        <f t="shared" si="0"/>
        <v>2041</v>
      </c>
      <c r="X6" s="47">
        <f t="shared" si="0"/>
        <v>2042</v>
      </c>
      <c r="Y6" s="47">
        <f t="shared" si="0"/>
        <v>2043</v>
      </c>
      <c r="Z6" s="47">
        <f t="shared" si="0"/>
        <v>2044</v>
      </c>
      <c r="AA6" s="48" t="s">
        <v>111</v>
      </c>
    </row>
    <row r="7" spans="1:27" ht="12.75" customHeight="1">
      <c r="A7" s="35"/>
      <c r="B7" s="415"/>
      <c r="C7" s="410"/>
      <c r="D7" s="413">
        <f>Model2!D7</f>
        <v>0</v>
      </c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8"/>
    </row>
    <row r="8" spans="1:27" ht="12.75" customHeight="1" outlineLevel="1">
      <c r="A8" s="35"/>
      <c r="B8" s="417" t="s">
        <v>609</v>
      </c>
      <c r="C8" s="50"/>
      <c r="D8" s="53">
        <f>Model2!D8</f>
        <v>0</v>
      </c>
      <c r="E8" s="50">
        <f>D8+1</f>
        <v>1</v>
      </c>
      <c r="F8" s="50">
        <f t="shared" ref="F8:Z8" si="1">E9+1</f>
        <v>5</v>
      </c>
      <c r="G8" s="50">
        <f t="shared" si="1"/>
        <v>9</v>
      </c>
      <c r="H8" s="50">
        <f t="shared" si="1"/>
        <v>13</v>
      </c>
      <c r="I8" s="50">
        <f t="shared" si="1"/>
        <v>17</v>
      </c>
      <c r="J8" s="50">
        <f t="shared" si="1"/>
        <v>21</v>
      </c>
      <c r="K8" s="50">
        <f t="shared" si="1"/>
        <v>25</v>
      </c>
      <c r="L8" s="50">
        <f t="shared" si="1"/>
        <v>29</v>
      </c>
      <c r="M8" s="50">
        <f t="shared" si="1"/>
        <v>33</v>
      </c>
      <c r="N8" s="50">
        <f t="shared" si="1"/>
        <v>37</v>
      </c>
      <c r="O8" s="50">
        <f t="shared" si="1"/>
        <v>41</v>
      </c>
      <c r="P8" s="50">
        <f t="shared" si="1"/>
        <v>45</v>
      </c>
      <c r="Q8" s="50">
        <f t="shared" si="1"/>
        <v>49</v>
      </c>
      <c r="R8" s="50">
        <f t="shared" si="1"/>
        <v>53</v>
      </c>
      <c r="S8" s="50">
        <f t="shared" si="1"/>
        <v>57</v>
      </c>
      <c r="T8" s="50">
        <f t="shared" si="1"/>
        <v>61</v>
      </c>
      <c r="U8" s="50">
        <f t="shared" si="1"/>
        <v>65</v>
      </c>
      <c r="V8" s="50">
        <f t="shared" si="1"/>
        <v>69</v>
      </c>
      <c r="W8" s="50">
        <f t="shared" si="1"/>
        <v>73</v>
      </c>
      <c r="X8" s="50">
        <f t="shared" si="1"/>
        <v>77</v>
      </c>
      <c r="Y8" s="50">
        <f t="shared" si="1"/>
        <v>81</v>
      </c>
      <c r="Z8" s="50">
        <f t="shared" si="1"/>
        <v>85</v>
      </c>
      <c r="AA8" s="50"/>
    </row>
    <row r="9" spans="1:27" ht="12.75" customHeight="1" outlineLevel="1">
      <c r="A9" s="35"/>
      <c r="B9" s="418" t="s">
        <v>608</v>
      </c>
      <c r="C9" s="55"/>
      <c r="D9" s="58">
        <f>Model2!D9</f>
        <v>0</v>
      </c>
      <c r="E9" s="55">
        <f t="shared" ref="E9:Z9" si="2">E8+3</f>
        <v>4</v>
      </c>
      <c r="F9" s="55">
        <f t="shared" si="2"/>
        <v>8</v>
      </c>
      <c r="G9" s="55">
        <f t="shared" si="2"/>
        <v>12</v>
      </c>
      <c r="H9" s="55">
        <f t="shared" si="2"/>
        <v>16</v>
      </c>
      <c r="I9" s="55">
        <f t="shared" si="2"/>
        <v>20</v>
      </c>
      <c r="J9" s="55">
        <f t="shared" si="2"/>
        <v>24</v>
      </c>
      <c r="K9" s="55">
        <f t="shared" si="2"/>
        <v>28</v>
      </c>
      <c r="L9" s="55">
        <f t="shared" si="2"/>
        <v>32</v>
      </c>
      <c r="M9" s="55">
        <f t="shared" si="2"/>
        <v>36</v>
      </c>
      <c r="N9" s="55">
        <f t="shared" si="2"/>
        <v>40</v>
      </c>
      <c r="O9" s="55">
        <f t="shared" si="2"/>
        <v>44</v>
      </c>
      <c r="P9" s="55">
        <f t="shared" si="2"/>
        <v>48</v>
      </c>
      <c r="Q9" s="55">
        <f t="shared" si="2"/>
        <v>52</v>
      </c>
      <c r="R9" s="55">
        <f t="shared" si="2"/>
        <v>56</v>
      </c>
      <c r="S9" s="55">
        <f t="shared" si="2"/>
        <v>60</v>
      </c>
      <c r="T9" s="55">
        <f t="shared" si="2"/>
        <v>64</v>
      </c>
      <c r="U9" s="55">
        <f t="shared" si="2"/>
        <v>68</v>
      </c>
      <c r="V9" s="55">
        <f t="shared" si="2"/>
        <v>72</v>
      </c>
      <c r="W9" s="55">
        <f t="shared" si="2"/>
        <v>76</v>
      </c>
      <c r="X9" s="55">
        <f t="shared" si="2"/>
        <v>80</v>
      </c>
      <c r="Y9" s="55">
        <f t="shared" si="2"/>
        <v>84</v>
      </c>
      <c r="Z9" s="55">
        <f t="shared" si="2"/>
        <v>88</v>
      </c>
      <c r="AA9" s="55"/>
    </row>
    <row r="10" spans="1:27" ht="12.75" customHeight="1">
      <c r="A10" s="35"/>
      <c r="B10" s="35"/>
      <c r="C10" s="35"/>
      <c r="D10" s="60">
        <f>Model2!D10</f>
        <v>0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</row>
    <row r="11" spans="1:27" ht="12.75" customHeight="1">
      <c r="A11" s="35"/>
      <c r="B11" s="35"/>
      <c r="C11" s="35"/>
      <c r="D11" s="60">
        <f>Model2!D11</f>
        <v>0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</row>
    <row r="12" spans="1:27" ht="12.75" customHeight="1">
      <c r="A12" s="35"/>
      <c r="B12" s="42" t="s">
        <v>114</v>
      </c>
      <c r="C12" s="42"/>
      <c r="D12" s="61">
        <f>Model2!D12</f>
        <v>0</v>
      </c>
      <c r="E12" s="62">
        <f t="shared" ref="E12" si="3">E6</f>
        <v>2023</v>
      </c>
      <c r="F12" s="62">
        <f t="shared" ref="F12:Z12" si="4">E12+1</f>
        <v>2024</v>
      </c>
      <c r="G12" s="62">
        <f t="shared" si="4"/>
        <v>2025</v>
      </c>
      <c r="H12" s="62">
        <f t="shared" si="4"/>
        <v>2026</v>
      </c>
      <c r="I12" s="62">
        <f t="shared" si="4"/>
        <v>2027</v>
      </c>
      <c r="J12" s="62">
        <f t="shared" si="4"/>
        <v>2028</v>
      </c>
      <c r="K12" s="62">
        <f t="shared" si="4"/>
        <v>2029</v>
      </c>
      <c r="L12" s="62">
        <f t="shared" si="4"/>
        <v>2030</v>
      </c>
      <c r="M12" s="62">
        <f t="shared" si="4"/>
        <v>2031</v>
      </c>
      <c r="N12" s="62">
        <f t="shared" si="4"/>
        <v>2032</v>
      </c>
      <c r="O12" s="62">
        <f t="shared" si="4"/>
        <v>2033</v>
      </c>
      <c r="P12" s="62">
        <f t="shared" si="4"/>
        <v>2034</v>
      </c>
      <c r="Q12" s="62">
        <f t="shared" si="4"/>
        <v>2035</v>
      </c>
      <c r="R12" s="62">
        <f t="shared" si="4"/>
        <v>2036</v>
      </c>
      <c r="S12" s="62">
        <f t="shared" si="4"/>
        <v>2037</v>
      </c>
      <c r="T12" s="62">
        <f t="shared" si="4"/>
        <v>2038</v>
      </c>
      <c r="U12" s="62">
        <f t="shared" si="4"/>
        <v>2039</v>
      </c>
      <c r="V12" s="62">
        <f t="shared" si="4"/>
        <v>2040</v>
      </c>
      <c r="W12" s="62">
        <f t="shared" si="4"/>
        <v>2041</v>
      </c>
      <c r="X12" s="62">
        <f t="shared" si="4"/>
        <v>2042</v>
      </c>
      <c r="Y12" s="62">
        <f t="shared" si="4"/>
        <v>2043</v>
      </c>
      <c r="Z12" s="62">
        <f t="shared" si="4"/>
        <v>2044</v>
      </c>
      <c r="AA12" s="62"/>
    </row>
    <row r="13" spans="1:27" ht="12.75" customHeight="1">
      <c r="A13" s="35"/>
      <c r="B13" s="63" t="s">
        <v>100</v>
      </c>
      <c r="C13" s="35">
        <f t="shared" ref="C13" si="5">SUM(D13:AA13)</f>
        <v>8036</v>
      </c>
      <c r="D13" s="60">
        <f>Model2!D13</f>
        <v>0</v>
      </c>
      <c r="E13" s="35" cm="1">
        <f t="array" ref="E13">SUMPRODUCT(--(E$8&lt;=Model2!$D$9:'Model2'!$CN$9),--(E$9&gt;=Model2!$D$9:'Model2'!$CN$9),Model2!$D13:'Model2'!$CN13)</f>
        <v>366</v>
      </c>
      <c r="F13" s="35" cm="1">
        <f t="array" ref="F13">SUMPRODUCT(--(F$8&lt;=Model2!$D$9:'Model2'!$CN$9),--(F$9&gt;=Model2!$D$9:'Model2'!$CN$9),Model2!$D13:'Model2'!$CN13)</f>
        <v>365</v>
      </c>
      <c r="G13" s="35" cm="1">
        <f t="array" ref="G13">SUMPRODUCT(--(G$8&lt;=Model2!$D$9:'Model2'!$CN$9),--(G$9&gt;=Model2!$D$9:'Model2'!$CN$9),Model2!$D13:'Model2'!$CN13)</f>
        <v>365</v>
      </c>
      <c r="H13" s="35" cm="1">
        <f t="array" ref="H13">SUMPRODUCT(--(H$8&lt;=Model2!$D$9:'Model2'!$CN$9),--(H$9&gt;=Model2!$D$9:'Model2'!$CN$9),Model2!$D13:'Model2'!$CN13)</f>
        <v>365</v>
      </c>
      <c r="I13" s="35" cm="1">
        <f t="array" ref="I13">SUMPRODUCT(--(I$8&lt;=Model2!$D$9:'Model2'!$CN$9),--(I$9&gt;=Model2!$D$9:'Model2'!$CN$9),Model2!$D13:'Model2'!$CN13)</f>
        <v>366</v>
      </c>
      <c r="J13" s="35" cm="1">
        <f t="array" ref="J13">SUMPRODUCT(--(J$8&lt;=Model2!$D$9:'Model2'!$CN$9),--(J$9&gt;=Model2!$D$9:'Model2'!$CN$9),Model2!$D13:'Model2'!$CN13)</f>
        <v>365</v>
      </c>
      <c r="K13" s="35" cm="1">
        <f t="array" ref="K13">SUMPRODUCT(--(K$8&lt;=Model2!$D$9:'Model2'!$CN$9),--(K$9&gt;=Model2!$D$9:'Model2'!$CN$9),Model2!$D13:'Model2'!$CN13)</f>
        <v>365</v>
      </c>
      <c r="L13" s="35" cm="1">
        <f t="array" ref="L13">SUMPRODUCT(--(L$8&lt;=Model2!$D$9:'Model2'!$CN$9),--(L$9&gt;=Model2!$D$9:'Model2'!$CN$9),Model2!$D13:'Model2'!$CN13)</f>
        <v>365</v>
      </c>
      <c r="M13" s="35" cm="1">
        <f t="array" ref="M13">SUMPRODUCT(--(M$8&lt;=Model2!$D$9:'Model2'!$CN$9),--(M$9&gt;=Model2!$D$9:'Model2'!$CN$9),Model2!$D13:'Model2'!$CN13)</f>
        <v>366</v>
      </c>
      <c r="N13" s="35" cm="1">
        <f t="array" ref="N13">SUMPRODUCT(--(N$8&lt;=Model2!$D$9:'Model2'!$CN$9),--(N$9&gt;=Model2!$D$9:'Model2'!$CN$9),Model2!$D13:'Model2'!$CN13)</f>
        <v>365</v>
      </c>
      <c r="O13" s="35" cm="1">
        <f t="array" ref="O13">SUMPRODUCT(--(O$8&lt;=Model2!$D$9:'Model2'!$CN$9),--(O$9&gt;=Model2!$D$9:'Model2'!$CN$9),Model2!$D13:'Model2'!$CN13)</f>
        <v>365</v>
      </c>
      <c r="P13" s="35" cm="1">
        <f t="array" ref="P13">SUMPRODUCT(--(P$8&lt;=Model2!$D$9:'Model2'!$CN$9),--(P$9&gt;=Model2!$D$9:'Model2'!$CN$9),Model2!$D13:'Model2'!$CN13)</f>
        <v>365</v>
      </c>
      <c r="Q13" s="35" cm="1">
        <f t="array" ref="Q13">SUMPRODUCT(--(Q$8&lt;=Model2!$D$9:'Model2'!$CN$9),--(Q$9&gt;=Model2!$D$9:'Model2'!$CN$9),Model2!$D13:'Model2'!$CN13)</f>
        <v>366</v>
      </c>
      <c r="R13" s="35" cm="1">
        <f t="array" ref="R13">SUMPRODUCT(--(R$8&lt;=Model2!$D$9:'Model2'!$CN$9),--(R$9&gt;=Model2!$D$9:'Model2'!$CN$9),Model2!$D13:'Model2'!$CN13)</f>
        <v>365</v>
      </c>
      <c r="S13" s="35" cm="1">
        <f t="array" ref="S13">SUMPRODUCT(--(S$8&lt;=Model2!$D$9:'Model2'!$CN$9),--(S$9&gt;=Model2!$D$9:'Model2'!$CN$9),Model2!$D13:'Model2'!$CN13)</f>
        <v>365</v>
      </c>
      <c r="T13" s="35" cm="1">
        <f t="array" ref="T13">SUMPRODUCT(--(T$8&lt;=Model2!$D$9:'Model2'!$CN$9),--(T$9&gt;=Model2!$D$9:'Model2'!$CN$9),Model2!$D13:'Model2'!$CN13)</f>
        <v>365</v>
      </c>
      <c r="U13" s="35" cm="1">
        <f t="array" ref="U13">SUMPRODUCT(--(U$8&lt;=Model2!$D$9:'Model2'!$CN$9),--(U$9&gt;=Model2!$D$9:'Model2'!$CN$9),Model2!$D13:'Model2'!$CN13)</f>
        <v>366</v>
      </c>
      <c r="V13" s="35" cm="1">
        <f t="array" ref="V13">SUMPRODUCT(--(V$8&lt;=Model2!$D$9:'Model2'!$CN$9),--(V$9&gt;=Model2!$D$9:'Model2'!$CN$9),Model2!$D13:'Model2'!$CN13)</f>
        <v>365</v>
      </c>
      <c r="W13" s="35" cm="1">
        <f t="array" ref="W13">SUMPRODUCT(--(W$8&lt;=Model2!$D$9:'Model2'!$CN$9),--(W$9&gt;=Model2!$D$9:'Model2'!$CN$9),Model2!$D13:'Model2'!$CN13)</f>
        <v>365</v>
      </c>
      <c r="X13" s="35" cm="1">
        <f t="array" ref="X13">SUMPRODUCT(--(X$8&lt;=Model2!$D$9:'Model2'!$CN$9),--(X$9&gt;=Model2!$D$9:'Model2'!$CN$9),Model2!$D13:'Model2'!$CN13)</f>
        <v>365</v>
      </c>
      <c r="Y13" s="35" cm="1">
        <f t="array" ref="Y13">SUMPRODUCT(--(Y$8&lt;=Model2!$D$9:'Model2'!$CN$9),--(Y$9&gt;=Model2!$D$9:'Model2'!$CN$9),Model2!$D13:'Model2'!$CN13)</f>
        <v>366</v>
      </c>
      <c r="Z13" s="35" cm="1">
        <f t="array" ref="Z13">SUMPRODUCT(--(Z$8&lt;=Model2!$D$9:'Model2'!$CN$9),--(Z$9&gt;=Model2!$D$9:'Model2'!$CN$9),Model2!$D13:'Model2'!$CN13)</f>
        <v>365</v>
      </c>
      <c r="AA13" s="35"/>
    </row>
    <row r="14" spans="1:27" ht="12.75" customHeight="1">
      <c r="A14" s="35"/>
      <c r="B14" s="63" t="s">
        <v>115</v>
      </c>
      <c r="C14" s="35"/>
      <c r="D14" s="64">
        <f>Model2!D14</f>
        <v>0</v>
      </c>
      <c r="E14" s="39"/>
      <c r="F14" s="39"/>
      <c r="G14" s="39"/>
      <c r="H14" s="39"/>
      <c r="I14" s="39"/>
      <c r="J14" s="65">
        <v>1</v>
      </c>
      <c r="K14" s="65">
        <f>'выручка номеров'!C3+100%</f>
        <v>1.05</v>
      </c>
      <c r="L14" s="65">
        <f>'выручка номеров'!D3+100%</f>
        <v>1.05</v>
      </c>
      <c r="M14" s="65">
        <f>'выручка номеров'!E3+100%</f>
        <v>1.05</v>
      </c>
      <c r="N14" s="65">
        <f>'выручка номеров'!F3+100%</f>
        <v>1.05</v>
      </c>
      <c r="O14" s="65">
        <f>'выручка номеров'!G3+100%</f>
        <v>1.05</v>
      </c>
      <c r="P14" s="65">
        <f>'выручка номеров'!H3+100%</f>
        <v>1.05</v>
      </c>
      <c r="Q14" s="65">
        <f>'выручка номеров'!I3+100%</f>
        <v>1.05</v>
      </c>
      <c r="R14" s="65">
        <f>'выручка номеров'!J3+100%</f>
        <v>1.05</v>
      </c>
      <c r="S14" s="65">
        <f>'выручка номеров'!K3+100%</f>
        <v>1.05</v>
      </c>
      <c r="T14" s="65">
        <f>'выручка номеров'!L3+100%</f>
        <v>1.05</v>
      </c>
      <c r="U14" s="65">
        <f>'выручка номеров'!M3+100%</f>
        <v>1.05</v>
      </c>
      <c r="V14" s="65">
        <f>'выручка номеров'!N3+100%</f>
        <v>1.05</v>
      </c>
      <c r="W14" s="65">
        <f>'выручка номеров'!$O$3+100%</f>
        <v>1.05</v>
      </c>
      <c r="X14" s="65">
        <f>'выручка номеров'!$O$3+100%</f>
        <v>1.05</v>
      </c>
      <c r="Y14" s="65">
        <f>'выручка номеров'!$O$3+100%</f>
        <v>1.05</v>
      </c>
      <c r="Z14" s="65">
        <f>'выручка номеров'!$O$3+100%</f>
        <v>1.05</v>
      </c>
      <c r="AA14" s="65"/>
    </row>
    <row r="15" spans="1:27" ht="12.75" customHeight="1">
      <c r="A15" s="35"/>
      <c r="B15" s="63" t="s">
        <v>116</v>
      </c>
      <c r="C15" s="35"/>
      <c r="D15" s="64">
        <f>Model2!D15</f>
        <v>0</v>
      </c>
      <c r="E15" s="39"/>
      <c r="F15" s="39"/>
      <c r="G15" s="39"/>
      <c r="H15" s="39"/>
      <c r="I15" s="39"/>
      <c r="J15" s="39">
        <f>'выручка номеров'!$O12</f>
        <v>0.66666666666666663</v>
      </c>
      <c r="K15" s="39">
        <f>'выручка номеров'!$O48</f>
        <v>0.66666666666666663</v>
      </c>
      <c r="L15" s="39">
        <f>'выручка номеров'!$O84</f>
        <v>0.71666666666666679</v>
      </c>
      <c r="M15" s="39">
        <f t="shared" ref="M15:Z15" si="6">L15</f>
        <v>0.71666666666666679</v>
      </c>
      <c r="N15" s="39">
        <f t="shared" si="6"/>
        <v>0.71666666666666679</v>
      </c>
      <c r="O15" s="39">
        <f t="shared" si="6"/>
        <v>0.71666666666666679</v>
      </c>
      <c r="P15" s="39">
        <f t="shared" si="6"/>
        <v>0.71666666666666679</v>
      </c>
      <c r="Q15" s="39">
        <f t="shared" si="6"/>
        <v>0.71666666666666679</v>
      </c>
      <c r="R15" s="39">
        <f t="shared" si="6"/>
        <v>0.71666666666666679</v>
      </c>
      <c r="S15" s="39">
        <f t="shared" si="6"/>
        <v>0.71666666666666679</v>
      </c>
      <c r="T15" s="39">
        <f t="shared" si="6"/>
        <v>0.71666666666666679</v>
      </c>
      <c r="U15" s="39">
        <f t="shared" si="6"/>
        <v>0.71666666666666679</v>
      </c>
      <c r="V15" s="39">
        <f t="shared" si="6"/>
        <v>0.71666666666666679</v>
      </c>
      <c r="W15" s="39">
        <f t="shared" si="6"/>
        <v>0.71666666666666679</v>
      </c>
      <c r="X15" s="39">
        <f t="shared" si="6"/>
        <v>0.71666666666666679</v>
      </c>
      <c r="Y15" s="39">
        <f t="shared" si="6"/>
        <v>0.71666666666666679</v>
      </c>
      <c r="Z15" s="39">
        <f t="shared" si="6"/>
        <v>0.71666666666666679</v>
      </c>
      <c r="AA15" s="39"/>
    </row>
    <row r="16" spans="1:27" ht="12.75" customHeight="1">
      <c r="A16" s="35"/>
      <c r="B16" s="63" t="s">
        <v>117</v>
      </c>
      <c r="C16" s="35"/>
      <c r="D16" s="64">
        <f>Model2!D16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</row>
    <row r="17" spans="1:27" ht="12.75" customHeight="1">
      <c r="A17" s="35"/>
      <c r="B17" s="35"/>
      <c r="C17" s="35"/>
      <c r="D17" s="60">
        <f>Model2!D17</f>
        <v>0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</row>
    <row r="18" spans="1:27" ht="12.75" customHeight="1">
      <c r="A18" s="35"/>
      <c r="B18" s="67" t="s">
        <v>118</v>
      </c>
      <c r="C18" s="68"/>
      <c r="D18" s="61" t="str">
        <f>Model2!D18</f>
        <v>0 период</v>
      </c>
      <c r="E18" s="62">
        <f t="shared" ref="E18" si="7">E6</f>
        <v>2023</v>
      </c>
      <c r="F18" s="62">
        <f t="shared" ref="F18:Z18" si="8">E18+1</f>
        <v>2024</v>
      </c>
      <c r="G18" s="62">
        <f t="shared" si="8"/>
        <v>2025</v>
      </c>
      <c r="H18" s="62">
        <f t="shared" si="8"/>
        <v>2026</v>
      </c>
      <c r="I18" s="62">
        <f t="shared" si="8"/>
        <v>2027</v>
      </c>
      <c r="J18" s="62">
        <f t="shared" si="8"/>
        <v>2028</v>
      </c>
      <c r="K18" s="62">
        <f t="shared" si="8"/>
        <v>2029</v>
      </c>
      <c r="L18" s="62">
        <f t="shared" si="8"/>
        <v>2030</v>
      </c>
      <c r="M18" s="62">
        <f t="shared" si="8"/>
        <v>2031</v>
      </c>
      <c r="N18" s="62">
        <f t="shared" si="8"/>
        <v>2032</v>
      </c>
      <c r="O18" s="62">
        <f t="shared" si="8"/>
        <v>2033</v>
      </c>
      <c r="P18" s="62">
        <f t="shared" si="8"/>
        <v>2034</v>
      </c>
      <c r="Q18" s="62">
        <f t="shared" si="8"/>
        <v>2035</v>
      </c>
      <c r="R18" s="62">
        <f t="shared" si="8"/>
        <v>2036</v>
      </c>
      <c r="S18" s="62">
        <f t="shared" si="8"/>
        <v>2037</v>
      </c>
      <c r="T18" s="62">
        <f t="shared" si="8"/>
        <v>2038</v>
      </c>
      <c r="U18" s="62">
        <f t="shared" si="8"/>
        <v>2039</v>
      </c>
      <c r="V18" s="62">
        <f t="shared" si="8"/>
        <v>2040</v>
      </c>
      <c r="W18" s="62">
        <f t="shared" si="8"/>
        <v>2041</v>
      </c>
      <c r="X18" s="62">
        <f t="shared" si="8"/>
        <v>2042</v>
      </c>
      <c r="Y18" s="62">
        <f t="shared" si="8"/>
        <v>2043</v>
      </c>
      <c r="Z18" s="62">
        <f t="shared" si="8"/>
        <v>2044</v>
      </c>
      <c r="AA18" s="62"/>
    </row>
    <row r="19" spans="1:27" ht="12.75" customHeight="1" outlineLevel="4">
      <c r="A19" s="35"/>
      <c r="B19" s="63" t="str">
        <f>'Итого выручка 1 этапа'!A3</f>
        <v>Гостиничный комплекс 4* "У Бювета"</v>
      </c>
      <c r="C19" s="35">
        <f t="shared" ref="C19:C56" si="9">SUM(D19:AA19)</f>
        <v>2753407.6192987137</v>
      </c>
      <c r="D19" s="60">
        <f>Model2!D19</f>
        <v>0</v>
      </c>
      <c r="E19" s="35" cm="1">
        <f t="array" ref="E19">SUMPRODUCT(--(E$8&lt;=Model2!$D$9:'Model2'!$CN$9),--(E$9&gt;=Model2!$D$9:'Model2'!$CN$9),Model2!$D19:'Model2'!$CN19)</f>
        <v>0</v>
      </c>
      <c r="F19" s="35" cm="1">
        <f t="array" ref="F19">SUMPRODUCT(--(F$8&lt;=Model2!$D$9:'Model2'!$CN$9),--(F$9&gt;=Model2!$D$9:'Model2'!$CN$9),Model2!$D19:'Model2'!$CN19)</f>
        <v>0</v>
      </c>
      <c r="G19" s="35" cm="1">
        <f t="array" ref="G19">SUMPRODUCT(--(G$8&lt;=Model2!$D$9:'Model2'!$CN$9),--(G$9&gt;=Model2!$D$9:'Model2'!$CN$9),Model2!$D19:'Model2'!$CN19)</f>
        <v>0</v>
      </c>
      <c r="H19" s="35" cm="1">
        <f t="array" ref="H19">SUMPRODUCT(--(H$8&lt;=Model2!$D$9:'Model2'!$CN$9),--(H$9&gt;=Model2!$D$9:'Model2'!$CN$9),Model2!$D19:'Model2'!$CN19)</f>
        <v>0</v>
      </c>
      <c r="I19" s="35" cm="1">
        <f t="array" ref="I19">SUMPRODUCT(--(I$8&lt;=Model2!$D$9:'Model2'!$CN$9),--(I$9&gt;=Model2!$D$9:'Model2'!$CN$9),Model2!$D19:'Model2'!$CN19)</f>
        <v>38291.730585937505</v>
      </c>
      <c r="J19" s="35" cm="1">
        <f t="array" ref="J19">SUMPRODUCT(--(J$8&lt;=Model2!$D$9:'Model2'!$CN$9),--(J$9&gt;=Model2!$D$9:'Model2'!$CN$9),Model2!$D19:'Model2'!$CN19)</f>
        <v>106546.12623305767</v>
      </c>
      <c r="K19" s="35" cm="1">
        <f t="array" ref="K19">SUMPRODUCT(--(K$8&lt;=Model2!$D$9:'Model2'!$CN$9),--(K$9&gt;=Model2!$D$9:'Model2'!$CN$9),Model2!$D19:'Model2'!$CN19)</f>
        <v>110807.9712609835</v>
      </c>
      <c r="L19" s="35" cm="1">
        <f t="array" ref="L19">SUMPRODUCT(--(L$8&lt;=Model2!$D$9:'Model2'!$CN$9),--(L$9&gt;=Model2!$D$9:'Model2'!$CN$9),Model2!$D19:'Model2'!$CN19)</f>
        <v>115751.99530804</v>
      </c>
      <c r="M19" s="35" cm="1">
        <f t="array" ref="M19">SUMPRODUCT(--(M$8&lt;=Model2!$D$9:'Model2'!$CN$9),--(M$9&gt;=Model2!$D$9:'Model2'!$CN$9),Model2!$D19:'Model2'!$CN19)</f>
        <v>121539.59507344202</v>
      </c>
      <c r="N19" s="35" cm="1">
        <f t="array" ref="N19">SUMPRODUCT(--(N$8&lt;=Model2!$D$9:'Model2'!$CN$9),--(N$9&gt;=Model2!$D$9:'Model2'!$CN$9),Model2!$D19:'Model2'!$CN19)</f>
        <v>127616.57482711412</v>
      </c>
      <c r="O19" s="35" cm="1">
        <f t="array" ref="O19">SUMPRODUCT(--(O$8&lt;=Model2!$D$9:'Model2'!$CN$9),--(O$9&gt;=Model2!$D$9:'Model2'!$CN$9),Model2!$D19:'Model2'!$CN19)</f>
        <v>133997.40356846983</v>
      </c>
      <c r="P19" s="35" cm="1">
        <f t="array" ref="P19">SUMPRODUCT(--(P$8&lt;=Model2!$D$9:'Model2'!$CN$9),--(P$9&gt;=Model2!$D$9:'Model2'!$CN$9),Model2!$D19:'Model2'!$CN19)</f>
        <v>140697.2737468933</v>
      </c>
      <c r="Q19" s="35" cm="1">
        <f t="array" ref="Q19">SUMPRODUCT(--(Q$8&lt;=Model2!$D$9:'Model2'!$CN$9),--(Q$9&gt;=Model2!$D$9:'Model2'!$CN$9),Model2!$D19:'Model2'!$CN19)</f>
        <v>147732.13743423799</v>
      </c>
      <c r="R19" s="35" cm="1">
        <f t="array" ref="R19">SUMPRODUCT(--(R$8&lt;=Model2!$D$9:'Model2'!$CN$9),--(R$9&gt;=Model2!$D$9:'Model2'!$CN$9),Model2!$D19:'Model2'!$CN19)</f>
        <v>155118.74430594989</v>
      </c>
      <c r="S19" s="35" cm="1">
        <f t="array" ref="S19">SUMPRODUCT(--(S$8&lt;=Model2!$D$9:'Model2'!$CN$9),--(S$9&gt;=Model2!$D$9:'Model2'!$CN$9),Model2!$D19:'Model2'!$CN19)</f>
        <v>162874.6815212474</v>
      </c>
      <c r="T19" s="35" cm="1">
        <f t="array" ref="T19">SUMPRODUCT(--(T$8&lt;=Model2!$D$9:'Model2'!$CN$9),--(T$9&gt;=Model2!$D$9:'Model2'!$CN$9),Model2!$D19:'Model2'!$CN19)</f>
        <v>171018.41559730977</v>
      </c>
      <c r="U19" s="35" cm="1">
        <f t="array" ref="U19">SUMPRODUCT(--(U$8&lt;=Model2!$D$9:'Model2'!$CN$9),--(U$9&gt;=Model2!$D$9:'Model2'!$CN$9),Model2!$D19:'Model2'!$CN19)</f>
        <v>179569.33637717526</v>
      </c>
      <c r="V19" s="35" cm="1">
        <f t="array" ref="V19">SUMPRODUCT(--(V$8&lt;=Model2!$D$9:'Model2'!$CN$9),--(V$9&gt;=Model2!$D$9:'Model2'!$CN$9),Model2!$D19:'Model2'!$CN19)</f>
        <v>188547.80319603404</v>
      </c>
      <c r="W19" s="35" cm="1">
        <f t="array" ref="W19">SUMPRODUCT(--(W$8&lt;=Model2!$D$9:'Model2'!$CN$9),--(W$9&gt;=Model2!$D$9:'Model2'!$CN$9),Model2!$D19:'Model2'!$CN19)</f>
        <v>197975.19335583574</v>
      </c>
      <c r="X19" s="35" cm="1">
        <f t="array" ref="X19">SUMPRODUCT(--(X$8&lt;=Model2!$D$9:'Model2'!$CN$9),--(X$9&gt;=Model2!$D$9:'Model2'!$CN$9),Model2!$D19:'Model2'!$CN19)</f>
        <v>207873.95302362752</v>
      </c>
      <c r="Y19" s="35" cm="1">
        <f t="array" ref="Y19">SUMPRODUCT(--(Y$8&lt;=Model2!$D$9:'Model2'!$CN$9),--(Y$9&gt;=Model2!$D$9:'Model2'!$CN$9),Model2!$D19:'Model2'!$CN19)</f>
        <v>218267.65067480895</v>
      </c>
      <c r="Z19" s="35" cm="1">
        <f t="array" ref="Z19">SUMPRODUCT(--(Z$8&lt;=Model2!$D$9:'Model2'!$CN$9),--(Z$9&gt;=Model2!$D$9:'Model2'!$CN$9),Model2!$D19:'Model2'!$CN19)</f>
        <v>229181.03320854937</v>
      </c>
      <c r="AA19" s="35"/>
    </row>
    <row r="20" spans="1:27" ht="12.75" customHeight="1" outlineLevel="4">
      <c r="A20" s="35"/>
      <c r="B20" s="63" t="str">
        <f>'Итого выручка 1 этапа'!A11</f>
        <v>Действующий корпус санатория с новым бальнеологическим комплексом</v>
      </c>
      <c r="C20" s="35">
        <f t="shared" si="9"/>
        <v>639135.09569068975</v>
      </c>
      <c r="D20" s="60">
        <f>Model2!D20</f>
        <v>0</v>
      </c>
      <c r="E20" s="35" cm="1">
        <f t="array" ref="E20">SUMPRODUCT(--(E$8&lt;=Model2!$D$9:'Model2'!$CN$9),--(E$9&gt;=Model2!$D$9:'Model2'!$CN$9),Model2!$D20:'Model2'!$CN20)</f>
        <v>0</v>
      </c>
      <c r="F20" s="35" cm="1">
        <f t="array" ref="F20">SUMPRODUCT(--(F$8&lt;=Model2!$D$9:'Model2'!$CN$9),--(F$9&gt;=Model2!$D$9:'Model2'!$CN$9),Model2!$D20:'Model2'!$CN20)</f>
        <v>0</v>
      </c>
      <c r="G20" s="35" cm="1">
        <f t="array" ref="G20">SUMPRODUCT(--(G$8&lt;=Model2!$D$9:'Model2'!$CN$9),--(G$9&gt;=Model2!$D$9:'Model2'!$CN$9),Model2!$D20:'Model2'!$CN20)</f>
        <v>0</v>
      </c>
      <c r="H20" s="35" cm="1">
        <f t="array" ref="H20">SUMPRODUCT(--(H$8&lt;=Model2!$D$9:'Model2'!$CN$9),--(H$9&gt;=Model2!$D$9:'Model2'!$CN$9),Model2!$D20:'Model2'!$CN20)</f>
        <v>0</v>
      </c>
      <c r="I20" s="35" cm="1">
        <f t="array" ref="I20">SUMPRODUCT(--(I$8&lt;=Model2!$D$9:'Model2'!$CN$9),--(I$9&gt;=Model2!$D$9:'Model2'!$CN$9),Model2!$D20:'Model2'!$CN20)</f>
        <v>5794.5509999999995</v>
      </c>
      <c r="J20" s="35" cm="1">
        <f t="array" ref="J20">SUMPRODUCT(--(J$8&lt;=Model2!$D$9:'Model2'!$CN$9),--(J$9&gt;=Model2!$D$9:'Model2'!$CN$9),Model2!$D20:'Model2'!$CN20)</f>
        <v>20856.816803625334</v>
      </c>
      <c r="K20" s="35" cm="1">
        <f t="array" ref="K20">SUMPRODUCT(--(K$8&lt;=Model2!$D$9:'Model2'!$CN$9),--(K$9&gt;=Model2!$D$9:'Model2'!$CN$9),Model2!$D20:'Model2'!$CN20)</f>
        <v>25889.630885640036</v>
      </c>
      <c r="L20" s="35" cm="1">
        <f t="array" ref="L20">SUMPRODUCT(--(L$8&lt;=Model2!$D$9:'Model2'!$CN$9),--(L$9&gt;=Model2!$D$9:'Model2'!$CN$9),Model2!$D20:'Model2'!$CN20)</f>
        <v>27184.112353124998</v>
      </c>
      <c r="M20" s="35" cm="1">
        <f t="array" ref="M20">SUMPRODUCT(--(M$8&lt;=Model2!$D$9:'Model2'!$CN$9),--(M$9&gt;=Model2!$D$9:'Model2'!$CN$9),Model2!$D20:'Model2'!$CN20)</f>
        <v>28543.317970781245</v>
      </c>
      <c r="N20" s="35" cm="1">
        <f t="array" ref="N20">SUMPRODUCT(--(N$8&lt;=Model2!$D$9:'Model2'!$CN$9),--(N$9&gt;=Model2!$D$9:'Model2'!$CN$9),Model2!$D20:'Model2'!$CN20)</f>
        <v>29970.483869320313</v>
      </c>
      <c r="O20" s="35" cm="1">
        <f t="array" ref="O20">SUMPRODUCT(--(O$8&lt;=Model2!$D$9:'Model2'!$CN$9),--(O$9&gt;=Model2!$D$9:'Model2'!$CN$9),Model2!$D20:'Model2'!$CN20)</f>
        <v>31469.008062786328</v>
      </c>
      <c r="P20" s="35" cm="1">
        <f t="array" ref="P20">SUMPRODUCT(--(P$8&lt;=Model2!$D$9:'Model2'!$CN$9),--(P$9&gt;=Model2!$D$9:'Model2'!$CN$9),Model2!$D20:'Model2'!$CN20)</f>
        <v>33042.458465925643</v>
      </c>
      <c r="Q20" s="35" cm="1">
        <f t="array" ref="Q20">SUMPRODUCT(--(Q$8&lt;=Model2!$D$9:'Model2'!$CN$9),--(Q$9&gt;=Model2!$D$9:'Model2'!$CN$9),Model2!$D20:'Model2'!$CN20)</f>
        <v>34694.58138922193</v>
      </c>
      <c r="R20" s="35" cm="1">
        <f t="array" ref="R20">SUMPRODUCT(--(R$8&lt;=Model2!$D$9:'Model2'!$CN$9),--(R$9&gt;=Model2!$D$9:'Model2'!$CN$9),Model2!$D20:'Model2'!$CN20)</f>
        <v>36429.31045868303</v>
      </c>
      <c r="S20" s="35" cm="1">
        <f t="array" ref="S20">SUMPRODUCT(--(S$8&lt;=Model2!$D$9:'Model2'!$CN$9),--(S$9&gt;=Model2!$D$9:'Model2'!$CN$9),Model2!$D20:'Model2'!$CN20)</f>
        <v>38250.775981617182</v>
      </c>
      <c r="T20" s="35" cm="1">
        <f t="array" ref="T20">SUMPRODUCT(--(T$8&lt;=Model2!$D$9:'Model2'!$CN$9),--(T$9&gt;=Model2!$D$9:'Model2'!$CN$9),Model2!$D20:'Model2'!$CN20)</f>
        <v>40163.314780698041</v>
      </c>
      <c r="U20" s="35" cm="1">
        <f t="array" ref="U20">SUMPRODUCT(--(U$8&lt;=Model2!$D$9:'Model2'!$CN$9),--(U$9&gt;=Model2!$D$9:'Model2'!$CN$9),Model2!$D20:'Model2'!$CN20)</f>
        <v>42171.480519732948</v>
      </c>
      <c r="V20" s="35" cm="1">
        <f t="array" ref="V20">SUMPRODUCT(--(V$8&lt;=Model2!$D$9:'Model2'!$CN$9),--(V$9&gt;=Model2!$D$9:'Model2'!$CN$9),Model2!$D20:'Model2'!$CN20)</f>
        <v>44280.054545719599</v>
      </c>
      <c r="W20" s="35" cm="1">
        <f t="array" ref="W20">SUMPRODUCT(--(W$8&lt;=Model2!$D$9:'Model2'!$CN$9),--(W$9&gt;=Model2!$D$9:'Model2'!$CN$9),Model2!$D20:'Model2'!$CN20)</f>
        <v>46494.057273005579</v>
      </c>
      <c r="X20" s="35" cm="1">
        <f t="array" ref="X20">SUMPRODUCT(--(X$8&lt;=Model2!$D$9:'Model2'!$CN$9),--(X$9&gt;=Model2!$D$9:'Model2'!$CN$9),Model2!$D20:'Model2'!$CN20)</f>
        <v>48818.760136655852</v>
      </c>
      <c r="Y20" s="35" cm="1">
        <f t="array" ref="Y20">SUMPRODUCT(--(Y$8&lt;=Model2!$D$9:'Model2'!$CN$9),--(Y$9&gt;=Model2!$D$9:'Model2'!$CN$9),Model2!$D20:'Model2'!$CN20)</f>
        <v>51259.698143488647</v>
      </c>
      <c r="Z20" s="35" cm="1">
        <f t="array" ref="Z20">SUMPRODUCT(--(Z$8&lt;=Model2!$D$9:'Model2'!$CN$9),--(Z$9&gt;=Model2!$D$9:'Model2'!$CN$9),Model2!$D20:'Model2'!$CN20)</f>
        <v>53822.683050663094</v>
      </c>
      <c r="AA20" s="35"/>
    </row>
    <row r="21" spans="1:27" ht="12.75" customHeight="1" outlineLevel="4">
      <c r="A21" s="35"/>
      <c r="B21" s="63" t="str">
        <f>'Итого выручка 1 этапа'!A17</f>
        <v>Эко-вилладж 4*</v>
      </c>
      <c r="C21" s="35">
        <f t="shared" si="9"/>
        <v>1288625.5717844362</v>
      </c>
      <c r="D21" s="60">
        <f>Model2!D21</f>
        <v>0</v>
      </c>
      <c r="E21" s="35" cm="1">
        <f t="array" ref="E21">SUMPRODUCT(--(E$8&lt;=Model2!$D$9:'Model2'!$CN$9),--(E$9&gt;=Model2!$D$9:'Model2'!$CN$9),Model2!$D21:'Model2'!$CN21)</f>
        <v>0</v>
      </c>
      <c r="F21" s="35" cm="1">
        <f t="array" ref="F21">SUMPRODUCT(--(F$8&lt;=Model2!$D$9:'Model2'!$CN$9),--(F$9&gt;=Model2!$D$9:'Model2'!$CN$9),Model2!$D21:'Model2'!$CN21)</f>
        <v>0</v>
      </c>
      <c r="G21" s="35" cm="1">
        <f t="array" ref="G21">SUMPRODUCT(--(G$8&lt;=Model2!$D$9:'Model2'!$CN$9),--(G$9&gt;=Model2!$D$9:'Model2'!$CN$9),Model2!$D21:'Model2'!$CN21)</f>
        <v>0</v>
      </c>
      <c r="H21" s="35" cm="1">
        <f t="array" ref="H21">SUMPRODUCT(--(H$8&lt;=Model2!$D$9:'Model2'!$CN$9),--(H$9&gt;=Model2!$D$9:'Model2'!$CN$9),Model2!$D21:'Model2'!$CN21)</f>
        <v>0</v>
      </c>
      <c r="I21" s="35" cm="1">
        <f t="array" ref="I21">SUMPRODUCT(--(I$8&lt;=Model2!$D$9:'Model2'!$CN$9),--(I$9&gt;=Model2!$D$9:'Model2'!$CN$9),Model2!$D21:'Model2'!$CN21)</f>
        <v>15847.5196125</v>
      </c>
      <c r="J21" s="35" cm="1">
        <f t="array" ref="J21">SUMPRODUCT(--(J$8&lt;=Model2!$D$9:'Model2'!$CN$9),--(J$9&gt;=Model2!$D$9:'Model2'!$CN$9),Model2!$D21:'Model2'!$CN21)</f>
        <v>49175.931830973626</v>
      </c>
      <c r="K21" s="35" cm="1">
        <f t="array" ref="K21">SUMPRODUCT(--(K$8&lt;=Model2!$D$9:'Model2'!$CN$9),--(K$9&gt;=Model2!$D$9:'Model2'!$CN$9),Model2!$D21:'Model2'!$CN21)</f>
        <v>51721.549167457692</v>
      </c>
      <c r="L21" s="35" cm="1">
        <f t="array" ref="L21">SUMPRODUCT(--(L$8&lt;=Model2!$D$9:'Model2'!$CN$9),--(L$9&gt;=Model2!$D$9:'Model2'!$CN$9),Model2!$D21:'Model2'!$CN21)</f>
        <v>54307.626473008124</v>
      </c>
      <c r="M21" s="35" cm="1">
        <f t="array" ref="M21">SUMPRODUCT(--(M$8&lt;=Model2!$D$9:'Model2'!$CN$9),--(M$9&gt;=Model2!$D$9:'Model2'!$CN$9),Model2!$D21:'Model2'!$CN21)</f>
        <v>57023.00779665853</v>
      </c>
      <c r="N21" s="35" cm="1">
        <f t="array" ref="N21">SUMPRODUCT(--(N$8&lt;=Model2!$D$9:'Model2'!$CN$9),--(N$9&gt;=Model2!$D$9:'Model2'!$CN$9),Model2!$D21:'Model2'!$CN21)</f>
        <v>59874.158186491462</v>
      </c>
      <c r="O21" s="35" cm="1">
        <f t="array" ref="O21">SUMPRODUCT(--(O$8&lt;=Model2!$D$9:'Model2'!$CN$9),--(O$9&gt;=Model2!$D$9:'Model2'!$CN$9),Model2!$D21:'Model2'!$CN21)</f>
        <v>62867.86609581604</v>
      </c>
      <c r="P21" s="35" cm="1">
        <f t="array" ref="P21">SUMPRODUCT(--(P$8&lt;=Model2!$D$9:'Model2'!$CN$9),--(P$9&gt;=Model2!$D$9:'Model2'!$CN$9),Model2!$D21:'Model2'!$CN21)</f>
        <v>66011.259400606839</v>
      </c>
      <c r="Q21" s="35" cm="1">
        <f t="array" ref="Q21">SUMPRODUCT(--(Q$8&lt;=Model2!$D$9:'Model2'!$CN$9),--(Q$9&gt;=Model2!$D$9:'Model2'!$CN$9),Model2!$D21:'Model2'!$CN21)</f>
        <v>69311.822370637179</v>
      </c>
      <c r="R21" s="35" cm="1">
        <f t="array" ref="R21">SUMPRODUCT(--(R$8&lt;=Model2!$D$9:'Model2'!$CN$9),--(R$9&gt;=Model2!$D$9:'Model2'!$CN$9),Model2!$D21:'Model2'!$CN21)</f>
        <v>72777.413489169048</v>
      </c>
      <c r="S21" s="35" cm="1">
        <f t="array" ref="S21">SUMPRODUCT(--(S$8&lt;=Model2!$D$9:'Model2'!$CN$9),--(S$9&gt;=Model2!$D$9:'Model2'!$CN$9),Model2!$D21:'Model2'!$CN21)</f>
        <v>76416.284163627512</v>
      </c>
      <c r="T21" s="35" cm="1">
        <f t="array" ref="T21">SUMPRODUCT(--(T$8&lt;=Model2!$D$9:'Model2'!$CN$9),--(T$9&gt;=Model2!$D$9:'Model2'!$CN$9),Model2!$D21:'Model2'!$CN21)</f>
        <v>80237.098371808883</v>
      </c>
      <c r="U21" s="35" cm="1">
        <f t="array" ref="U21">SUMPRODUCT(--(U$8&lt;=Model2!$D$9:'Model2'!$CN$9),--(U$9&gt;=Model2!$D$9:'Model2'!$CN$9),Model2!$D21:'Model2'!$CN21)</f>
        <v>84248.953290399339</v>
      </c>
      <c r="V21" s="35" cm="1">
        <f t="array" ref="V21">SUMPRODUCT(--(V$8&lt;=Model2!$D$9:'Model2'!$CN$9),--(V$9&gt;=Model2!$D$9:'Model2'!$CN$9),Model2!$D21:'Model2'!$CN21)</f>
        <v>88461.400954919314</v>
      </c>
      <c r="W21" s="35" cm="1">
        <f t="array" ref="W21">SUMPRODUCT(--(W$8&lt;=Model2!$D$9:'Model2'!$CN$9),--(W$9&gt;=Model2!$D$9:'Model2'!$CN$9),Model2!$D21:'Model2'!$CN21)</f>
        <v>92884.471002665276</v>
      </c>
      <c r="X21" s="35" cm="1">
        <f t="array" ref="X21">SUMPRODUCT(--(X$8&lt;=Model2!$D$9:'Model2'!$CN$9),--(X$9&gt;=Model2!$D$9:'Model2'!$CN$9),Model2!$D21:'Model2'!$CN21)</f>
        <v>97528.694552798552</v>
      </c>
      <c r="Y21" s="35" cm="1">
        <f t="array" ref="Y21">SUMPRODUCT(--(Y$8&lt;=Model2!$D$9:'Model2'!$CN$9),--(Y$9&gt;=Model2!$D$9:'Model2'!$CN$9),Model2!$D21:'Model2'!$CN21)</f>
        <v>102405.12928043847</v>
      </c>
      <c r="Z21" s="35" cm="1">
        <f t="array" ref="Z21">SUMPRODUCT(--(Z$8&lt;=Model2!$D$9:'Model2'!$CN$9),--(Z$9&gt;=Model2!$D$9:'Model2'!$CN$9),Model2!$D21:'Model2'!$CN21)</f>
        <v>107525.38574446041</v>
      </c>
      <c r="AA21" s="35"/>
    </row>
    <row r="22" spans="1:27" ht="12.75" customHeight="1" outlineLevel="4">
      <c r="A22" s="35"/>
      <c r="B22" s="63" t="e">
        <f>'Итого выручка 1 этапа'!#REF!</f>
        <v>#REF!</v>
      </c>
      <c r="C22" s="35">
        <f t="shared" si="9"/>
        <v>4184837.3443839755</v>
      </c>
      <c r="D22" s="60">
        <f>Model2!D22</f>
        <v>0</v>
      </c>
      <c r="E22" s="35" cm="1">
        <f t="array" ref="E22">SUMPRODUCT(--(E$8&lt;=Model2!$D$9:'Model2'!$CN$9),--(E$9&gt;=Model2!$D$9:'Model2'!$CN$9),Model2!$D22:'Model2'!$CN22)</f>
        <v>0</v>
      </c>
      <c r="F22" s="35" cm="1">
        <f t="array" ref="F22">SUMPRODUCT(--(F$8&lt;=Model2!$D$9:'Model2'!$CN$9),--(F$9&gt;=Model2!$D$9:'Model2'!$CN$9),Model2!$D22:'Model2'!$CN22)</f>
        <v>0</v>
      </c>
      <c r="G22" s="35" cm="1">
        <f t="array" ref="G22">SUMPRODUCT(--(G$8&lt;=Model2!$D$9:'Model2'!$CN$9),--(G$9&gt;=Model2!$D$9:'Model2'!$CN$9),Model2!$D22:'Model2'!$CN22)</f>
        <v>0</v>
      </c>
      <c r="H22" s="35" cm="1">
        <f t="array" ref="H22">SUMPRODUCT(--(H$8&lt;=Model2!$D$9:'Model2'!$CN$9),--(H$9&gt;=Model2!$D$9:'Model2'!$CN$9),Model2!$D22:'Model2'!$CN22)</f>
        <v>0</v>
      </c>
      <c r="I22" s="35" cm="1">
        <f t="array" ref="I22">SUMPRODUCT(--(I$8&lt;=Model2!$D$9:'Model2'!$CN$9),--(I$9&gt;=Model2!$D$9:'Model2'!$CN$9),Model2!$D22:'Model2'!$CN22)</f>
        <v>51497.354479999995</v>
      </c>
      <c r="J22" s="35" cm="1">
        <f t="array" ref="J22">SUMPRODUCT(--(J$8&lt;=Model2!$D$9:'Model2'!$CN$9),--(J$9&gt;=Model2!$D$9:'Model2'!$CN$9),Model2!$D22:'Model2'!$CN22)</f>
        <v>159956.71053690583</v>
      </c>
      <c r="K22" s="35" cm="1">
        <f t="array" ref="K22">SUMPRODUCT(--(K$8&lt;=Model2!$D$9:'Model2'!$CN$9),--(K$9&gt;=Model2!$D$9:'Model2'!$CN$9),Model2!$D22:'Model2'!$CN22)</f>
        <v>167954.54603105626</v>
      </c>
      <c r="L22" s="35" cm="1">
        <f t="array" ref="L22">SUMPRODUCT(--(L$8&lt;=Model2!$D$9:'Model2'!$CN$9),--(L$9&gt;=Model2!$D$9:'Model2'!$CN$9),Model2!$D22:'Model2'!$CN22)</f>
        <v>176352.27283674001</v>
      </c>
      <c r="M22" s="35" cm="1">
        <f t="array" ref="M22">SUMPRODUCT(--(M$8&lt;=Model2!$D$9:'Model2'!$CN$9),--(M$9&gt;=Model2!$D$9:'Model2'!$CN$9),Model2!$D22:'Model2'!$CN22)</f>
        <v>185169.88647857704</v>
      </c>
      <c r="N22" s="35" cm="1">
        <f t="array" ref="N22">SUMPRODUCT(--(N$8&lt;=Model2!$D$9:'Model2'!$CN$9),--(N$9&gt;=Model2!$D$9:'Model2'!$CN$9),Model2!$D22:'Model2'!$CN22)</f>
        <v>194428.38080250585</v>
      </c>
      <c r="O22" s="35" cm="1">
        <f t="array" ref="O22">SUMPRODUCT(--(O$8&lt;=Model2!$D$9:'Model2'!$CN$9),--(O$9&gt;=Model2!$D$9:'Model2'!$CN$9),Model2!$D22:'Model2'!$CN22)</f>
        <v>204149.79984263118</v>
      </c>
      <c r="P22" s="35" cm="1">
        <f t="array" ref="P22">SUMPRODUCT(--(P$8&lt;=Model2!$D$9:'Model2'!$CN$9),--(P$9&gt;=Model2!$D$9:'Model2'!$CN$9),Model2!$D22:'Model2'!$CN22)</f>
        <v>214357.28983476275</v>
      </c>
      <c r="Q22" s="35" cm="1">
        <f t="array" ref="Q22">SUMPRODUCT(--(Q$8&lt;=Model2!$D$9:'Model2'!$CN$9),--(Q$9&gt;=Model2!$D$9:'Model2'!$CN$9),Model2!$D22:'Model2'!$CN22)</f>
        <v>225075.15432650089</v>
      </c>
      <c r="R22" s="35" cm="1">
        <f t="array" ref="R22">SUMPRODUCT(--(R$8&lt;=Model2!$D$9:'Model2'!$CN$9),--(R$9&gt;=Model2!$D$9:'Model2'!$CN$9),Model2!$D22:'Model2'!$CN22)</f>
        <v>236328.91204282595</v>
      </c>
      <c r="S22" s="35" cm="1">
        <f t="array" ref="S22">SUMPRODUCT(--(S$8&lt;=Model2!$D$9:'Model2'!$CN$9),--(S$9&gt;=Model2!$D$9:'Model2'!$CN$9),Model2!$D22:'Model2'!$CN22)</f>
        <v>248145.35764496724</v>
      </c>
      <c r="T22" s="35" cm="1">
        <f t="array" ref="T22">SUMPRODUCT(--(T$8&lt;=Model2!$D$9:'Model2'!$CN$9),--(T$9&gt;=Model2!$D$9:'Model2'!$CN$9),Model2!$D22:'Model2'!$CN22)</f>
        <v>260552.62552721563</v>
      </c>
      <c r="U22" s="35" cm="1">
        <f t="array" ref="U22">SUMPRODUCT(--(U$8&lt;=Model2!$D$9:'Model2'!$CN$9),--(U$9&gt;=Model2!$D$9:'Model2'!$CN$9),Model2!$D22:'Model2'!$CN22)</f>
        <v>273580.25680357643</v>
      </c>
      <c r="V22" s="35" cm="1">
        <f t="array" ref="V22">SUMPRODUCT(--(V$8&lt;=Model2!$D$9:'Model2'!$CN$9),--(V$9&gt;=Model2!$D$9:'Model2'!$CN$9),Model2!$D22:'Model2'!$CN22)</f>
        <v>287259.26964375528</v>
      </c>
      <c r="W22" s="35" cm="1">
        <f t="array" ref="W22">SUMPRODUCT(--(W$8&lt;=Model2!$D$9:'Model2'!$CN$9),--(W$9&gt;=Model2!$D$9:'Model2'!$CN$9),Model2!$D22:'Model2'!$CN22)</f>
        <v>301622.23312594305</v>
      </c>
      <c r="X22" s="35" cm="1">
        <f t="array" ref="X22">SUMPRODUCT(--(X$8&lt;=Model2!$D$9:'Model2'!$CN$9),--(X$9&gt;=Model2!$D$9:'Model2'!$CN$9),Model2!$D22:'Model2'!$CN22)</f>
        <v>316703.34478224022</v>
      </c>
      <c r="Y22" s="35" cm="1">
        <f t="array" ref="Y22">SUMPRODUCT(--(Y$8&lt;=Model2!$D$9:'Model2'!$CN$9),--(Y$9&gt;=Model2!$D$9:'Model2'!$CN$9),Model2!$D22:'Model2'!$CN22)</f>
        <v>332538.51202135219</v>
      </c>
      <c r="Z22" s="35" cm="1">
        <f t="array" ref="Z22">SUMPRODUCT(--(Z$8&lt;=Model2!$D$9:'Model2'!$CN$9),--(Z$9&gt;=Model2!$D$9:'Model2'!$CN$9),Model2!$D22:'Model2'!$CN22)</f>
        <v>349165.43762241985</v>
      </c>
      <c r="AA22" s="35"/>
    </row>
    <row r="23" spans="1:27" ht="12.75" customHeight="1">
      <c r="A23" s="37"/>
      <c r="B23" s="70" t="s">
        <v>128</v>
      </c>
      <c r="C23" s="70">
        <f t="shared" si="9"/>
        <v>8866005.6311578173</v>
      </c>
      <c r="D23" s="71">
        <f>Model2!D27</f>
        <v>0</v>
      </c>
      <c r="E23" s="70" cm="1">
        <f t="array" ref="E23">SUMPRODUCT(--(E$8&lt;=Model2!$D$9:'Model2'!$CN$9),--(E$9&gt;=Model2!$D$9:'Model2'!$CN$9),Model2!$D27:'Model2'!$CN27)</f>
        <v>0</v>
      </c>
      <c r="F23" s="70" cm="1">
        <f t="array" ref="F23">SUMPRODUCT(--(F$8&lt;=Model2!$D$9:'Model2'!$CN$9),--(F$9&gt;=Model2!$D$9:'Model2'!$CN$9),Model2!$D27:'Model2'!$CN27)</f>
        <v>0</v>
      </c>
      <c r="G23" s="70" cm="1">
        <f t="array" ref="G23">SUMPRODUCT(--(G$8&lt;=Model2!$D$9:'Model2'!$CN$9),--(G$9&gt;=Model2!$D$9:'Model2'!$CN$9),Model2!$D27:'Model2'!$CN27)</f>
        <v>0</v>
      </c>
      <c r="H23" s="70" cm="1">
        <f t="array" ref="H23">SUMPRODUCT(--(H$8&lt;=Model2!$D$9:'Model2'!$CN$9),--(H$9&gt;=Model2!$D$9:'Model2'!$CN$9),Model2!$D27:'Model2'!$CN27)</f>
        <v>0</v>
      </c>
      <c r="I23" s="70" cm="1">
        <f t="array" ref="I23">SUMPRODUCT(--(I$8&lt;=Model2!$D$9:'Model2'!$CN$9),--(I$9&gt;=Model2!$D$9:'Model2'!$CN$9),Model2!$D27:'Model2'!$CN27)</f>
        <v>111431.1556784375</v>
      </c>
      <c r="J23" s="70" cm="1">
        <f t="array" ref="J23">SUMPRODUCT(--(J$8&lt;=Model2!$D$9:'Model2'!$CN$9),--(J$9&gt;=Model2!$D$9:'Model2'!$CN$9),Model2!$D27:'Model2'!$CN27)</f>
        <v>336535.58540456241</v>
      </c>
      <c r="K23" s="70" cm="1">
        <f t="array" ref="K23">SUMPRODUCT(--(K$8&lt;=Model2!$D$9:'Model2'!$CN$9),--(K$9&gt;=Model2!$D$9:'Model2'!$CN$9),Model2!$D27:'Model2'!$CN27)</f>
        <v>356373.69734513748</v>
      </c>
      <c r="L23" s="70" cm="1">
        <f t="array" ref="L23">SUMPRODUCT(--(L$8&lt;=Model2!$D$9:'Model2'!$CN$9),--(L$9&gt;=Model2!$D$9:'Model2'!$CN$9),Model2!$D27:'Model2'!$CN27)</f>
        <v>373596.00697091315</v>
      </c>
      <c r="M23" s="70" cm="1">
        <f t="array" ref="M23">SUMPRODUCT(--(M$8&lt;=Model2!$D$9:'Model2'!$CN$9),--(M$9&gt;=Model2!$D$9:'Model2'!$CN$9),Model2!$D27:'Model2'!$CN27)</f>
        <v>392275.80731945881</v>
      </c>
      <c r="N23" s="70" cm="1">
        <f t="array" ref="N23">SUMPRODUCT(--(N$8&lt;=Model2!$D$9:'Model2'!$CN$9),--(N$9&gt;=Model2!$D$9:'Model2'!$CN$9),Model2!$D27:'Model2'!$CN27)</f>
        <v>411889.59768543171</v>
      </c>
      <c r="O23" s="70" cm="1">
        <f t="array" ref="O23">SUMPRODUCT(--(O$8&lt;=Model2!$D$9:'Model2'!$CN$9),--(O$9&gt;=Model2!$D$9:'Model2'!$CN$9),Model2!$D27:'Model2'!$CN27)</f>
        <v>432484.0775697034</v>
      </c>
      <c r="P23" s="70" cm="1">
        <f t="array" ref="P23">SUMPRODUCT(--(P$8&lt;=Model2!$D$9:'Model2'!$CN$9),--(P$9&gt;=Model2!$D$9:'Model2'!$CN$9),Model2!$D27:'Model2'!$CN27)</f>
        <v>454108.28144818859</v>
      </c>
      <c r="Q23" s="70" cm="1">
        <f t="array" ref="Q23">SUMPRODUCT(--(Q$8&lt;=Model2!$D$9:'Model2'!$CN$9),--(Q$9&gt;=Model2!$D$9:'Model2'!$CN$9),Model2!$D27:'Model2'!$CN27)</f>
        <v>476813.69552059798</v>
      </c>
      <c r="R23" s="70" cm="1">
        <f t="array" ref="R23">SUMPRODUCT(--(R$8&lt;=Model2!$D$9:'Model2'!$CN$9),--(R$9&gt;=Model2!$D$9:'Model2'!$CN$9),Model2!$D27:'Model2'!$CN27)</f>
        <v>500654.38029662782</v>
      </c>
      <c r="S23" s="70" cm="1">
        <f t="array" ref="S23">SUMPRODUCT(--(S$8&lt;=Model2!$D$9:'Model2'!$CN$9),--(S$9&gt;=Model2!$D$9:'Model2'!$CN$9),Model2!$D27:'Model2'!$CN27)</f>
        <v>525687.09931145934</v>
      </c>
      <c r="T23" s="70" cm="1">
        <f t="array" ref="T23">SUMPRODUCT(--(T$8&lt;=Model2!$D$9:'Model2'!$CN$9),--(T$9&gt;=Model2!$D$9:'Model2'!$CN$9),Model2!$D27:'Model2'!$CN27)</f>
        <v>551971.45427703229</v>
      </c>
      <c r="U23" s="70" cm="1">
        <f t="array" ref="U23">SUMPRODUCT(--(U$8&lt;=Model2!$D$9:'Model2'!$CN$9),--(U$9&gt;=Model2!$D$9:'Model2'!$CN$9),Model2!$D27:'Model2'!$CN27)</f>
        <v>579570.02699088398</v>
      </c>
      <c r="V23" s="70" cm="1">
        <f t="array" ref="V23">SUMPRODUCT(--(V$8&lt;=Model2!$D$9:'Model2'!$CN$9),--(V$9&gt;=Model2!$D$9:'Model2'!$CN$9),Model2!$D27:'Model2'!$CN27)</f>
        <v>608548.52834042814</v>
      </c>
      <c r="W23" s="70" cm="1">
        <f t="array" ref="W23">SUMPRODUCT(--(W$8&lt;=Model2!$D$9:'Model2'!$CN$9),--(W$9&gt;=Model2!$D$9:'Model2'!$CN$9),Model2!$D27:'Model2'!$CN27)</f>
        <v>638975.95475744968</v>
      </c>
      <c r="X23" s="70" cm="1">
        <f t="array" ref="X23">SUMPRODUCT(--(X$8&lt;=Model2!$D$9:'Model2'!$CN$9),--(X$9&gt;=Model2!$D$9:'Model2'!$CN$9),Model2!$D27:'Model2'!$CN27)</f>
        <v>670924.75249532214</v>
      </c>
      <c r="Y23" s="70" cm="1">
        <f t="array" ref="Y23">SUMPRODUCT(--(Y$8&lt;=Model2!$D$9:'Model2'!$CN$9),--(Y$9&gt;=Model2!$D$9:'Model2'!$CN$9),Model2!$D27:'Model2'!$CN27)</f>
        <v>704470.99012008822</v>
      </c>
      <c r="Z23" s="70" cm="1">
        <f t="array" ref="Z23">SUMPRODUCT(--(Z$8&lt;=Model2!$D$9:'Model2'!$CN$9),--(Z$9&gt;=Model2!$D$9:'Model2'!$CN$9),Model2!$D27:'Model2'!$CN27)</f>
        <v>739694.53962609277</v>
      </c>
      <c r="AA23" s="70"/>
    </row>
    <row r="24" spans="1:27" ht="12.75" customHeight="1">
      <c r="A24" s="35"/>
      <c r="B24" s="73" t="s">
        <v>129</v>
      </c>
      <c r="C24" s="70">
        <f t="shared" si="9"/>
        <v>0</v>
      </c>
      <c r="D24" s="60">
        <f>Model2!D28</f>
        <v>0</v>
      </c>
      <c r="E24" s="35" cm="1">
        <f t="array" ref="E24">SUMPRODUCT(--(E$8&lt;=Model2!$D$9:'Model2'!$CN$9),--(E$9&gt;=Model2!$D$9:'Model2'!$CN$9),Model2!$D28:'Model2'!$CN28)</f>
        <v>0</v>
      </c>
      <c r="F24" s="35" cm="1">
        <f t="array" ref="F24">SUMPRODUCT(--(F$8&lt;=Model2!$D$9:'Model2'!$CN$9),--(F$9&gt;=Model2!$D$9:'Model2'!$CN$9),Model2!$D28:'Model2'!$CN28)</f>
        <v>0</v>
      </c>
      <c r="G24" s="35" cm="1">
        <f t="array" ref="G24">SUMPRODUCT(--(G$8&lt;=Model2!$D$9:'Model2'!$CN$9),--(G$9&gt;=Model2!$D$9:'Model2'!$CN$9),Model2!$D28:'Model2'!$CN28)</f>
        <v>0</v>
      </c>
      <c r="H24" s="35" cm="1">
        <f t="array" ref="H24">SUMPRODUCT(--(H$8&lt;=Model2!$D$9:'Model2'!$CN$9),--(H$9&gt;=Model2!$D$9:'Model2'!$CN$9),Model2!$D28:'Model2'!$CN28)</f>
        <v>0</v>
      </c>
      <c r="I24" s="35" cm="1">
        <f t="array" ref="I24">SUMPRODUCT(--(I$8&lt;=Model2!$D$9:'Model2'!$CN$9),--(I$9&gt;=Model2!$D$9:'Model2'!$CN$9),Model2!$D28:'Model2'!$CN28)</f>
        <v>0</v>
      </c>
      <c r="J24" s="35" cm="1">
        <f t="array" ref="J24">SUMPRODUCT(--(J$8&lt;=Model2!$D$9:'Model2'!$CN$9),--(J$9&gt;=Model2!$D$9:'Model2'!$CN$9),Model2!$D28:'Model2'!$CN28)</f>
        <v>0</v>
      </c>
      <c r="K24" s="35" cm="1">
        <f t="array" ref="K24">SUMPRODUCT(--(K$8&lt;=Model2!$D$9:'Model2'!$CN$9),--(K$9&gt;=Model2!$D$9:'Model2'!$CN$9),Model2!$D28:'Model2'!$CN28)</f>
        <v>0</v>
      </c>
      <c r="L24" s="35" cm="1">
        <f t="array" ref="L24">SUMPRODUCT(--(L$8&lt;=Model2!$D$9:'Model2'!$CN$9),--(L$9&gt;=Model2!$D$9:'Model2'!$CN$9),Model2!$D28:'Model2'!$CN28)</f>
        <v>0</v>
      </c>
      <c r="M24" s="35" cm="1">
        <f t="array" ref="M24">SUMPRODUCT(--(M$8&lt;=Model2!$D$9:'Model2'!$CN$9),--(M$9&gt;=Model2!$D$9:'Model2'!$CN$9),Model2!$D28:'Model2'!$CN28)</f>
        <v>0</v>
      </c>
      <c r="N24" s="35" cm="1">
        <f t="array" ref="N24">SUMPRODUCT(--(N$8&lt;=Model2!$D$9:'Model2'!$CN$9),--(N$9&gt;=Model2!$D$9:'Model2'!$CN$9),Model2!$D28:'Model2'!$CN28)</f>
        <v>0</v>
      </c>
      <c r="O24" s="35" cm="1">
        <f t="array" ref="O24">SUMPRODUCT(--(O$8&lt;=Model2!$D$9:'Model2'!$CN$9),--(O$9&gt;=Model2!$D$9:'Model2'!$CN$9),Model2!$D28:'Model2'!$CN28)</f>
        <v>0</v>
      </c>
      <c r="P24" s="35" cm="1">
        <f t="array" ref="P24">SUMPRODUCT(--(P$8&lt;=Model2!$D$9:'Model2'!$CN$9),--(P$9&gt;=Model2!$D$9:'Model2'!$CN$9),Model2!$D28:'Model2'!$CN28)</f>
        <v>0</v>
      </c>
      <c r="Q24" s="35" cm="1">
        <f t="array" ref="Q24">SUMPRODUCT(--(Q$8&lt;=Model2!$D$9:'Model2'!$CN$9),--(Q$9&gt;=Model2!$D$9:'Model2'!$CN$9),Model2!$D28:'Model2'!$CN28)</f>
        <v>0</v>
      </c>
      <c r="R24" s="35" cm="1">
        <f t="array" ref="R24">SUMPRODUCT(--(R$8&lt;=Model2!$D$9:'Model2'!$CN$9),--(R$9&gt;=Model2!$D$9:'Model2'!$CN$9),Model2!$D28:'Model2'!$CN28)</f>
        <v>0</v>
      </c>
      <c r="S24" s="35" cm="1">
        <f t="array" ref="S24">SUMPRODUCT(--(S$8&lt;=Model2!$D$9:'Model2'!$CN$9),--(S$9&gt;=Model2!$D$9:'Model2'!$CN$9),Model2!$D28:'Model2'!$CN28)</f>
        <v>0</v>
      </c>
      <c r="T24" s="35" cm="1">
        <f t="array" ref="T24">SUMPRODUCT(--(T$8&lt;=Model2!$D$9:'Model2'!$CN$9),--(T$9&gt;=Model2!$D$9:'Model2'!$CN$9),Model2!$D28:'Model2'!$CN28)</f>
        <v>0</v>
      </c>
      <c r="U24" s="35" cm="1">
        <f t="array" ref="U24">SUMPRODUCT(--(U$8&lt;=Model2!$D$9:'Model2'!$CN$9),--(U$9&gt;=Model2!$D$9:'Model2'!$CN$9),Model2!$D28:'Model2'!$CN28)</f>
        <v>0</v>
      </c>
      <c r="V24" s="35" cm="1">
        <f t="array" ref="V24">SUMPRODUCT(--(V$8&lt;=Model2!$D$9:'Model2'!$CN$9),--(V$9&gt;=Model2!$D$9:'Model2'!$CN$9),Model2!$D28:'Model2'!$CN28)</f>
        <v>0</v>
      </c>
      <c r="W24" s="35" cm="1">
        <f t="array" ref="W24">SUMPRODUCT(--(W$8&lt;=Model2!$D$9:'Model2'!$CN$9),--(W$9&gt;=Model2!$D$9:'Model2'!$CN$9),Model2!$D28:'Model2'!$CN28)</f>
        <v>0</v>
      </c>
      <c r="X24" s="35" cm="1">
        <f t="array" ref="X24">SUMPRODUCT(--(X$8&lt;=Model2!$D$9:'Model2'!$CN$9),--(X$9&gt;=Model2!$D$9:'Model2'!$CN$9),Model2!$D28:'Model2'!$CN28)</f>
        <v>0</v>
      </c>
      <c r="Y24" s="35" cm="1">
        <f t="array" ref="Y24">SUMPRODUCT(--(Y$8&lt;=Model2!$D$9:'Model2'!$CN$9),--(Y$9&gt;=Model2!$D$9:'Model2'!$CN$9),Model2!$D28:'Model2'!$CN28)</f>
        <v>0</v>
      </c>
      <c r="Z24" s="35" cm="1">
        <f t="array" ref="Z24">SUMPRODUCT(--(Z$8&lt;=Model2!$D$9:'Model2'!$CN$9),--(Z$9&gt;=Model2!$D$9:'Model2'!$CN$9),Model2!$D28:'Model2'!$CN28)</f>
        <v>0</v>
      </c>
      <c r="AA24" s="35"/>
    </row>
    <row r="25" spans="1:27" ht="12.75" customHeight="1" outlineLevel="2">
      <c r="A25" s="35"/>
      <c r="B25" s="63" t="str">
        <f>'операционные  расходы 1 этап'!A7</f>
        <v>Затраты на премиальную часть зарплаты (вызывные, премии, бонусы)</v>
      </c>
      <c r="C25" s="74">
        <f t="shared" si="9"/>
        <v>-132990.08446736721</v>
      </c>
      <c r="D25" s="60">
        <f>Model2!D29</f>
        <v>0</v>
      </c>
      <c r="E25" s="35" cm="1">
        <f t="array" ref="E25">SUMPRODUCT(--(E$8&lt;=Model2!$D$9:'Model2'!$CN$9),--(E$9&gt;=Model2!$D$9:'Model2'!$CN$9),Model2!$D29:'Model2'!$CN29)</f>
        <v>0</v>
      </c>
      <c r="F25" s="35" cm="1">
        <f t="array" ref="F25">SUMPRODUCT(--(F$8&lt;=Model2!$D$9:'Model2'!$CN$9),--(F$9&gt;=Model2!$D$9:'Model2'!$CN$9),Model2!$D29:'Model2'!$CN29)</f>
        <v>0</v>
      </c>
      <c r="G25" s="35" cm="1">
        <f t="array" ref="G25">SUMPRODUCT(--(G$8&lt;=Model2!$D$9:'Model2'!$CN$9),--(G$9&gt;=Model2!$D$9:'Model2'!$CN$9),Model2!$D29:'Model2'!$CN29)</f>
        <v>0</v>
      </c>
      <c r="H25" s="35" cm="1">
        <f t="array" ref="H25">SUMPRODUCT(--(H$8&lt;=Model2!$D$9:'Model2'!$CN$9),--(H$9&gt;=Model2!$D$9:'Model2'!$CN$9),Model2!$D29:'Model2'!$CN29)</f>
        <v>0</v>
      </c>
      <c r="I25" s="35" cm="1">
        <f t="array" ref="I25">SUMPRODUCT(--(I$8&lt;=Model2!$D$9:'Model2'!$CN$9),--(I$9&gt;=Model2!$D$9:'Model2'!$CN$9),Model2!$D29:'Model2'!$CN29)</f>
        <v>-1671.4673351765623</v>
      </c>
      <c r="J25" s="35" cm="1">
        <f t="array" ref="J25">SUMPRODUCT(--(J$8&lt;=Model2!$D$9:'Model2'!$CN$9),--(J$9&gt;=Model2!$D$9:'Model2'!$CN$9),Model2!$D29:'Model2'!$CN29)</f>
        <v>-5048.0337810684359</v>
      </c>
      <c r="K25" s="35" cm="1">
        <f t="array" ref="K25">SUMPRODUCT(--(K$8&lt;=Model2!$D$9:'Model2'!$CN$9),--(K$9&gt;=Model2!$D$9:'Model2'!$CN$9),Model2!$D29:'Model2'!$CN29)</f>
        <v>-5345.6054601770629</v>
      </c>
      <c r="L25" s="35" cm="1">
        <f t="array" ref="L25">SUMPRODUCT(--(L$8&lt;=Model2!$D$9:'Model2'!$CN$9),--(L$9&gt;=Model2!$D$9:'Model2'!$CN$9),Model2!$D29:'Model2'!$CN29)</f>
        <v>-5603.9401045636969</v>
      </c>
      <c r="M25" s="35" cm="1">
        <f t="array" ref="M25">SUMPRODUCT(--(M$8&lt;=Model2!$D$9:'Model2'!$CN$9),--(M$9&gt;=Model2!$D$9:'Model2'!$CN$9),Model2!$D29:'Model2'!$CN29)</f>
        <v>-5884.1371097918827</v>
      </c>
      <c r="N25" s="35" cm="1">
        <f t="array" ref="N25">SUMPRODUCT(--(N$8&lt;=Model2!$D$9:'Model2'!$CN$9),--(N$9&gt;=Model2!$D$9:'Model2'!$CN$9),Model2!$D29:'Model2'!$CN29)</f>
        <v>-6178.3439652814759</v>
      </c>
      <c r="O25" s="35" cm="1">
        <f t="array" ref="O25">SUMPRODUCT(--(O$8&lt;=Model2!$D$9:'Model2'!$CN$9),--(O$9&gt;=Model2!$D$9:'Model2'!$CN$9),Model2!$D29:'Model2'!$CN29)</f>
        <v>-6487.2611635455505</v>
      </c>
      <c r="P25" s="35" cm="1">
        <f t="array" ref="P25">SUMPRODUCT(--(P$8&lt;=Model2!$D$9:'Model2'!$CN$9),--(P$9&gt;=Model2!$D$9:'Model2'!$CN$9),Model2!$D29:'Model2'!$CN29)</f>
        <v>-6811.6242217228282</v>
      </c>
      <c r="Q25" s="35" cm="1">
        <f t="array" ref="Q25">SUMPRODUCT(--(Q$8&lt;=Model2!$D$9:'Model2'!$CN$9),--(Q$9&gt;=Model2!$D$9:'Model2'!$CN$9),Model2!$D29:'Model2'!$CN29)</f>
        <v>-7152.2054328089698</v>
      </c>
      <c r="R25" s="35" cm="1">
        <f t="array" ref="R25">SUMPRODUCT(--(R$8&lt;=Model2!$D$9:'Model2'!$CN$9),--(R$9&gt;=Model2!$D$9:'Model2'!$CN$9),Model2!$D29:'Model2'!$CN29)</f>
        <v>-7509.8157044494174</v>
      </c>
      <c r="S25" s="35" cm="1">
        <f t="array" ref="S25">SUMPRODUCT(--(S$8&lt;=Model2!$D$9:'Model2'!$CN$9),--(S$9&gt;=Model2!$D$9:'Model2'!$CN$9),Model2!$D29:'Model2'!$CN29)</f>
        <v>-7885.3064896718897</v>
      </c>
      <c r="T25" s="35" cm="1">
        <f t="array" ref="T25">SUMPRODUCT(--(T$8&lt;=Model2!$D$9:'Model2'!$CN$9),--(T$9&gt;=Model2!$D$9:'Model2'!$CN$9),Model2!$D29:'Model2'!$CN29)</f>
        <v>-8279.5718141554844</v>
      </c>
      <c r="U25" s="35" cm="1">
        <f t="array" ref="U25">SUMPRODUCT(--(U$8&lt;=Model2!$D$9:'Model2'!$CN$9),--(U$9&gt;=Model2!$D$9:'Model2'!$CN$9),Model2!$D29:'Model2'!$CN29)</f>
        <v>-8693.5504048632592</v>
      </c>
      <c r="V25" s="35" cm="1">
        <f t="array" ref="V25">SUMPRODUCT(--(V$8&lt;=Model2!$D$9:'Model2'!$CN$9),--(V$9&gt;=Model2!$D$9:'Model2'!$CN$9),Model2!$D29:'Model2'!$CN29)</f>
        <v>-9128.227925106421</v>
      </c>
      <c r="W25" s="35" cm="1">
        <f t="array" ref="W25">SUMPRODUCT(--(W$8&lt;=Model2!$D$9:'Model2'!$CN$9),--(W$9&gt;=Model2!$D$9:'Model2'!$CN$9),Model2!$D29:'Model2'!$CN29)</f>
        <v>-9584.6393213617448</v>
      </c>
      <c r="X25" s="35" cm="1">
        <f t="array" ref="X25">SUMPRODUCT(--(X$8&lt;=Model2!$D$9:'Model2'!$CN$9),--(X$9&gt;=Model2!$D$9:'Model2'!$CN$9),Model2!$D29:'Model2'!$CN29)</f>
        <v>-10063.871287429831</v>
      </c>
      <c r="Y25" s="35" cm="1">
        <f t="array" ref="Y25">SUMPRODUCT(--(Y$8&lt;=Model2!$D$9:'Model2'!$CN$9),--(Y$9&gt;=Model2!$D$9:'Model2'!$CN$9),Model2!$D29:'Model2'!$CN29)</f>
        <v>-10567.064851801322</v>
      </c>
      <c r="Z25" s="35" cm="1">
        <f t="array" ref="Z25">SUMPRODUCT(--(Z$8&lt;=Model2!$D$9:'Model2'!$CN$9),--(Z$9&gt;=Model2!$D$9:'Model2'!$CN$9),Model2!$D29:'Model2'!$CN29)</f>
        <v>-11095.418094391391</v>
      </c>
      <c r="AA25" s="35"/>
    </row>
    <row r="26" spans="1:27" ht="12.75" customHeight="1" outlineLevel="2">
      <c r="A26" s="35"/>
      <c r="B26" s="63" t="str">
        <f>'операционные  расходы 1 этап'!A8</f>
        <v xml:space="preserve">Выплаты в фонды от премиальной части </v>
      </c>
      <c r="C26" s="74">
        <f t="shared" si="9"/>
        <v>-40163.005509144896</v>
      </c>
      <c r="D26" s="60">
        <f>Model2!D30</f>
        <v>0</v>
      </c>
      <c r="E26" s="35" cm="1">
        <f t="array" ref="E26">SUMPRODUCT(--(E$8&lt;=Model2!$D$9:'Model2'!$CN$9),--(E$9&gt;=Model2!$D$9:'Model2'!$CN$9),Model2!$D30:'Model2'!$CN30)</f>
        <v>0</v>
      </c>
      <c r="F26" s="35" cm="1">
        <f t="array" ref="F26">SUMPRODUCT(--(F$8&lt;=Model2!$D$9:'Model2'!$CN$9),--(F$9&gt;=Model2!$D$9:'Model2'!$CN$9),Model2!$D30:'Model2'!$CN30)</f>
        <v>0</v>
      </c>
      <c r="G26" s="35" cm="1">
        <f t="array" ref="G26">SUMPRODUCT(--(G$8&lt;=Model2!$D$9:'Model2'!$CN$9),--(G$9&gt;=Model2!$D$9:'Model2'!$CN$9),Model2!$D30:'Model2'!$CN30)</f>
        <v>0</v>
      </c>
      <c r="H26" s="35" cm="1">
        <f t="array" ref="H26">SUMPRODUCT(--(H$8&lt;=Model2!$D$9:'Model2'!$CN$9),--(H$9&gt;=Model2!$D$9:'Model2'!$CN$9),Model2!$D30:'Model2'!$CN30)</f>
        <v>0</v>
      </c>
      <c r="I26" s="35" cm="1">
        <f t="array" ref="I26">SUMPRODUCT(--(I$8&lt;=Model2!$D$9:'Model2'!$CN$9),--(I$9&gt;=Model2!$D$9:'Model2'!$CN$9),Model2!$D30:'Model2'!$CN30)</f>
        <v>-504.78313522332178</v>
      </c>
      <c r="J26" s="35" cm="1">
        <f t="array" ref="J26">SUMPRODUCT(--(J$8&lt;=Model2!$D$9:'Model2'!$CN$9),--(J$9&gt;=Model2!$D$9:'Model2'!$CN$9),Model2!$D30:'Model2'!$CN30)</f>
        <v>-1524.5062018826679</v>
      </c>
      <c r="K26" s="35" cm="1">
        <f t="array" ref="K26">SUMPRODUCT(--(K$8&lt;=Model2!$D$9:'Model2'!$CN$9),--(K$9&gt;=Model2!$D$9:'Model2'!$CN$9),Model2!$D30:'Model2'!$CN30)</f>
        <v>-1614.3728489734726</v>
      </c>
      <c r="L26" s="35" cm="1">
        <f t="array" ref="L26">SUMPRODUCT(--(L$8&lt;=Model2!$D$9:'Model2'!$CN$9),--(L$9&gt;=Model2!$D$9:'Model2'!$CN$9),Model2!$D30:'Model2'!$CN30)</f>
        <v>-1692.3899115782365</v>
      </c>
      <c r="M26" s="35" cm="1">
        <f t="array" ref="M26">SUMPRODUCT(--(M$8&lt;=Model2!$D$9:'Model2'!$CN$9),--(M$9&gt;=Model2!$D$9:'Model2'!$CN$9),Model2!$D30:'Model2'!$CN30)</f>
        <v>-1777.0094071571484</v>
      </c>
      <c r="N26" s="35" cm="1">
        <f t="array" ref="N26">SUMPRODUCT(--(N$8&lt;=Model2!$D$9:'Model2'!$CN$9),--(N$9&gt;=Model2!$D$9:'Model2'!$CN$9),Model2!$D30:'Model2'!$CN30)</f>
        <v>-1865.8598775150058</v>
      </c>
      <c r="O26" s="35" cm="1">
        <f t="array" ref="O26">SUMPRODUCT(--(O$8&lt;=Model2!$D$9:'Model2'!$CN$9),--(O$9&gt;=Model2!$D$9:'Model2'!$CN$9),Model2!$D30:'Model2'!$CN30)</f>
        <v>-1959.152871390756</v>
      </c>
      <c r="P26" s="35" cm="1">
        <f t="array" ref="P26">SUMPRODUCT(--(P$8&lt;=Model2!$D$9:'Model2'!$CN$9),--(P$9&gt;=Model2!$D$9:'Model2'!$CN$9),Model2!$D30:'Model2'!$CN30)</f>
        <v>-2057.110514960294</v>
      </c>
      <c r="Q26" s="35" cm="1">
        <f t="array" ref="Q26">SUMPRODUCT(--(Q$8&lt;=Model2!$D$9:'Model2'!$CN$9),--(Q$9&gt;=Model2!$D$9:'Model2'!$CN$9),Model2!$D30:'Model2'!$CN30)</f>
        <v>-2159.9660407083088</v>
      </c>
      <c r="R26" s="35" cm="1">
        <f t="array" ref="R26">SUMPRODUCT(--(R$8&lt;=Model2!$D$9:'Model2'!$CN$9),--(R$9&gt;=Model2!$D$9:'Model2'!$CN$9),Model2!$D30:'Model2'!$CN30)</f>
        <v>-2267.964342743724</v>
      </c>
      <c r="S26" s="35" cm="1">
        <f t="array" ref="S26">SUMPRODUCT(--(S$8&lt;=Model2!$D$9:'Model2'!$CN$9),--(S$9&gt;=Model2!$D$9:'Model2'!$CN$9),Model2!$D30:'Model2'!$CN30)</f>
        <v>-2381.3625598809108</v>
      </c>
      <c r="T26" s="35" cm="1">
        <f t="array" ref="T26">SUMPRODUCT(--(T$8&lt;=Model2!$D$9:'Model2'!$CN$9),--(T$9&gt;=Model2!$D$9:'Model2'!$CN$9),Model2!$D30:'Model2'!$CN30)</f>
        <v>-2500.4306878749562</v>
      </c>
      <c r="U26" s="35" cm="1">
        <f t="array" ref="U26">SUMPRODUCT(--(U$8&lt;=Model2!$D$9:'Model2'!$CN$9),--(U$9&gt;=Model2!$D$9:'Model2'!$CN$9),Model2!$D30:'Model2'!$CN30)</f>
        <v>-2625.4522222687046</v>
      </c>
      <c r="V26" s="35" cm="1">
        <f t="array" ref="V26">SUMPRODUCT(--(V$8&lt;=Model2!$D$9:'Model2'!$CN$9),--(V$9&gt;=Model2!$D$9:'Model2'!$CN$9),Model2!$D30:'Model2'!$CN30)</f>
        <v>-2756.7248333821394</v>
      </c>
      <c r="W26" s="35" cm="1">
        <f t="array" ref="W26">SUMPRODUCT(--(W$8&lt;=Model2!$D$9:'Model2'!$CN$9),--(W$9&gt;=Model2!$D$9:'Model2'!$CN$9),Model2!$D30:'Model2'!$CN30)</f>
        <v>-2894.5610750512469</v>
      </c>
      <c r="X26" s="35" cm="1">
        <f t="array" ref="X26">SUMPRODUCT(--(X$8&lt;=Model2!$D$9:'Model2'!$CN$9),--(X$9&gt;=Model2!$D$9:'Model2'!$CN$9),Model2!$D30:'Model2'!$CN30)</f>
        <v>-3039.289128803809</v>
      </c>
      <c r="Y26" s="35" cm="1">
        <f t="array" ref="Y26">SUMPRODUCT(--(Y$8&lt;=Model2!$D$9:'Model2'!$CN$9),--(Y$9&gt;=Model2!$D$9:'Model2'!$CN$9),Model2!$D30:'Model2'!$CN30)</f>
        <v>-3191.2535852439992</v>
      </c>
      <c r="Z26" s="35" cm="1">
        <f t="array" ref="Z26">SUMPRODUCT(--(Z$8&lt;=Model2!$D$9:'Model2'!$CN$9),--(Z$9&gt;=Model2!$D$9:'Model2'!$CN$9),Model2!$D30:'Model2'!$CN30)</f>
        <v>-3350.8162645061998</v>
      </c>
      <c r="AA26" s="35"/>
    </row>
    <row r="27" spans="1:27" ht="12.75" customHeight="1" outlineLevel="2">
      <c r="A27" s="35"/>
      <c r="B27" s="63" t="str">
        <f>'операционные  расходы 1 этап'!A9</f>
        <v>Затраты на аутсорсинг и доп. Выходы</v>
      </c>
      <c r="C27" s="74">
        <f t="shared" si="9"/>
        <v>-249942.46760057684</v>
      </c>
      <c r="D27" s="60">
        <f>Model2!D31</f>
        <v>0</v>
      </c>
      <c r="E27" s="35" cm="1">
        <f t="array" ref="E27">SUMPRODUCT(--(E$8&lt;=Model2!$D$9:'Model2'!$CN$9),--(E$9&gt;=Model2!$D$9:'Model2'!$CN$9),Model2!$D31:'Model2'!$CN31)</f>
        <v>0</v>
      </c>
      <c r="F27" s="35" cm="1">
        <f t="array" ref="F27">SUMPRODUCT(--(F$8&lt;=Model2!$D$9:'Model2'!$CN$9),--(F$9&gt;=Model2!$D$9:'Model2'!$CN$9),Model2!$D31:'Model2'!$CN31)</f>
        <v>0</v>
      </c>
      <c r="G27" s="35" cm="1">
        <f t="array" ref="G27">SUMPRODUCT(--(G$8&lt;=Model2!$D$9:'Model2'!$CN$9),--(G$9&gt;=Model2!$D$9:'Model2'!$CN$9),Model2!$D31:'Model2'!$CN31)</f>
        <v>0</v>
      </c>
      <c r="H27" s="35" cm="1">
        <f t="array" ref="H27">SUMPRODUCT(--(H$8&lt;=Model2!$D$9:'Model2'!$CN$9),--(H$9&gt;=Model2!$D$9:'Model2'!$CN$9),Model2!$D31:'Model2'!$CN31)</f>
        <v>0</v>
      </c>
      <c r="I27" s="35" cm="1">
        <f t="array" ref="I27">SUMPRODUCT(--(I$8&lt;=Model2!$D$9:'Model2'!$CN$9),--(I$9&gt;=Model2!$D$9:'Model2'!$CN$9),Model2!$D31:'Model2'!$CN31)</f>
        <v>-7141.2133600164807</v>
      </c>
      <c r="J27" s="35" cm="1">
        <f t="array" ref="J27">SUMPRODUCT(--(J$8&lt;=Model2!$D$9:'Model2'!$CN$9),--(J$9&gt;=Model2!$D$9:'Model2'!$CN$9),Model2!$D31:'Model2'!$CN31)</f>
        <v>-14282.426720032961</v>
      </c>
      <c r="K27" s="35" cm="1">
        <f t="array" ref="K27">SUMPRODUCT(--(K$8&lt;=Model2!$D$9:'Model2'!$CN$9),--(K$9&gt;=Model2!$D$9:'Model2'!$CN$9),Model2!$D31:'Model2'!$CN31)</f>
        <v>-14282.426720032961</v>
      </c>
      <c r="L27" s="35" cm="1">
        <f t="array" ref="L27">SUMPRODUCT(--(L$8&lt;=Model2!$D$9:'Model2'!$CN$9),--(L$9&gt;=Model2!$D$9:'Model2'!$CN$9),Model2!$D31:'Model2'!$CN31)</f>
        <v>-14282.426720032961</v>
      </c>
      <c r="M27" s="35" cm="1">
        <f t="array" ref="M27">SUMPRODUCT(--(M$8&lt;=Model2!$D$9:'Model2'!$CN$9),--(M$9&gt;=Model2!$D$9:'Model2'!$CN$9),Model2!$D31:'Model2'!$CN31)</f>
        <v>-14282.426720032961</v>
      </c>
      <c r="N27" s="35" cm="1">
        <f t="array" ref="N27">SUMPRODUCT(--(N$8&lt;=Model2!$D$9:'Model2'!$CN$9),--(N$9&gt;=Model2!$D$9:'Model2'!$CN$9),Model2!$D31:'Model2'!$CN31)</f>
        <v>-14282.426720032961</v>
      </c>
      <c r="O27" s="35" cm="1">
        <f t="array" ref="O27">SUMPRODUCT(--(O$8&lt;=Model2!$D$9:'Model2'!$CN$9),--(O$9&gt;=Model2!$D$9:'Model2'!$CN$9),Model2!$D31:'Model2'!$CN31)</f>
        <v>-14282.426720032961</v>
      </c>
      <c r="P27" s="35" cm="1">
        <f t="array" ref="P27">SUMPRODUCT(--(P$8&lt;=Model2!$D$9:'Model2'!$CN$9),--(P$9&gt;=Model2!$D$9:'Model2'!$CN$9),Model2!$D31:'Model2'!$CN31)</f>
        <v>-14282.426720032961</v>
      </c>
      <c r="Q27" s="35" cm="1">
        <f t="array" ref="Q27">SUMPRODUCT(--(Q$8&lt;=Model2!$D$9:'Model2'!$CN$9),--(Q$9&gt;=Model2!$D$9:'Model2'!$CN$9),Model2!$D31:'Model2'!$CN31)</f>
        <v>-14282.426720032961</v>
      </c>
      <c r="R27" s="35" cm="1">
        <f t="array" ref="R27">SUMPRODUCT(--(R$8&lt;=Model2!$D$9:'Model2'!$CN$9),--(R$9&gt;=Model2!$D$9:'Model2'!$CN$9),Model2!$D31:'Model2'!$CN31)</f>
        <v>-14282.426720032961</v>
      </c>
      <c r="S27" s="35" cm="1">
        <f t="array" ref="S27">SUMPRODUCT(--(S$8&lt;=Model2!$D$9:'Model2'!$CN$9),--(S$9&gt;=Model2!$D$9:'Model2'!$CN$9),Model2!$D31:'Model2'!$CN31)</f>
        <v>-14282.426720032961</v>
      </c>
      <c r="T27" s="35" cm="1">
        <f t="array" ref="T27">SUMPRODUCT(--(T$8&lt;=Model2!$D$9:'Model2'!$CN$9),--(T$9&gt;=Model2!$D$9:'Model2'!$CN$9),Model2!$D31:'Model2'!$CN31)</f>
        <v>-14282.426720032961</v>
      </c>
      <c r="U27" s="35" cm="1">
        <f t="array" ref="U27">SUMPRODUCT(--(U$8&lt;=Model2!$D$9:'Model2'!$CN$9),--(U$9&gt;=Model2!$D$9:'Model2'!$CN$9),Model2!$D31:'Model2'!$CN31)</f>
        <v>-14282.426720032961</v>
      </c>
      <c r="V27" s="35" cm="1">
        <f t="array" ref="V27">SUMPRODUCT(--(V$8&lt;=Model2!$D$9:'Model2'!$CN$9),--(V$9&gt;=Model2!$D$9:'Model2'!$CN$9),Model2!$D31:'Model2'!$CN31)</f>
        <v>-14282.426720032961</v>
      </c>
      <c r="W27" s="35" cm="1">
        <f t="array" ref="W27">SUMPRODUCT(--(W$8&lt;=Model2!$D$9:'Model2'!$CN$9),--(W$9&gt;=Model2!$D$9:'Model2'!$CN$9),Model2!$D31:'Model2'!$CN31)</f>
        <v>-14282.426720032961</v>
      </c>
      <c r="X27" s="35" cm="1">
        <f t="array" ref="X27">SUMPRODUCT(--(X$8&lt;=Model2!$D$9:'Model2'!$CN$9),--(X$9&gt;=Model2!$D$9:'Model2'!$CN$9),Model2!$D31:'Model2'!$CN31)</f>
        <v>-14282.426720032961</v>
      </c>
      <c r="Y27" s="35" cm="1">
        <f t="array" ref="Y27">SUMPRODUCT(--(Y$8&lt;=Model2!$D$9:'Model2'!$CN$9),--(Y$9&gt;=Model2!$D$9:'Model2'!$CN$9),Model2!$D31:'Model2'!$CN31)</f>
        <v>-14282.426720032961</v>
      </c>
      <c r="Z27" s="35" cm="1">
        <f t="array" ref="Z27">SUMPRODUCT(--(Z$8&lt;=Model2!$D$9:'Model2'!$CN$9),--(Z$9&gt;=Model2!$D$9:'Model2'!$CN$9),Model2!$D31:'Model2'!$CN31)</f>
        <v>-14282.426720032961</v>
      </c>
      <c r="AA27" s="35"/>
    </row>
    <row r="28" spans="1:27" ht="12.75" customHeight="1" outlineLevel="2">
      <c r="A28" s="35"/>
      <c r="B28" s="63" t="str">
        <f>'операционные  расходы 1 этап'!A11</f>
        <v>Продукты для гостей, ресторанов и баров</v>
      </c>
      <c r="C28" s="74">
        <f t="shared" si="9"/>
        <v>-386587.67153533088</v>
      </c>
      <c r="D28" s="60">
        <f>Model2!D32</f>
        <v>0</v>
      </c>
      <c r="E28" s="35" cm="1">
        <f t="array" ref="E28">SUMPRODUCT(--(E$8&lt;=Model2!$D$9:'Model2'!$CN$9),--(E$9&gt;=Model2!$D$9:'Model2'!$CN$9),Model2!$D32:'Model2'!$CN32)</f>
        <v>0</v>
      </c>
      <c r="F28" s="35" cm="1">
        <f t="array" ref="F28">SUMPRODUCT(--(F$8&lt;=Model2!$D$9:'Model2'!$CN$9),--(F$9&gt;=Model2!$D$9:'Model2'!$CN$9),Model2!$D32:'Model2'!$CN32)</f>
        <v>0</v>
      </c>
      <c r="G28" s="35" cm="1">
        <f t="array" ref="G28">SUMPRODUCT(--(G$8&lt;=Model2!$D$9:'Model2'!$CN$9),--(G$9&gt;=Model2!$D$9:'Model2'!$CN$9),Model2!$D32:'Model2'!$CN32)</f>
        <v>0</v>
      </c>
      <c r="H28" s="35" cm="1">
        <f t="array" ref="H28">SUMPRODUCT(--(H$8&lt;=Model2!$D$9:'Model2'!$CN$9),--(H$9&gt;=Model2!$D$9:'Model2'!$CN$9),Model2!$D32:'Model2'!$CN32)</f>
        <v>0</v>
      </c>
      <c r="I28" s="35" cm="1">
        <f t="array" ref="I28">SUMPRODUCT(--(I$8&lt;=Model2!$D$9:'Model2'!$CN$9),--(I$9&gt;=Model2!$D$9:'Model2'!$CN$9),Model2!$D32:'Model2'!$CN32)</f>
        <v>-4754.2558837500001</v>
      </c>
      <c r="J28" s="35" cm="1">
        <f t="array" ref="J28">SUMPRODUCT(--(J$8&lt;=Model2!$D$9:'Model2'!$CN$9),--(J$9&gt;=Model2!$D$9:'Model2'!$CN$9),Model2!$D32:'Model2'!$CN32)</f>
        <v>-14752.779549292087</v>
      </c>
      <c r="K28" s="35" cm="1">
        <f t="array" ref="K28">SUMPRODUCT(--(K$8&lt;=Model2!$D$9:'Model2'!$CN$9),--(K$9&gt;=Model2!$D$9:'Model2'!$CN$9),Model2!$D32:'Model2'!$CN32)</f>
        <v>-15516.464750237308</v>
      </c>
      <c r="L28" s="35" cm="1">
        <f t="array" ref="L28">SUMPRODUCT(--(L$8&lt;=Model2!$D$9:'Model2'!$CN$9),--(L$9&gt;=Model2!$D$9:'Model2'!$CN$9),Model2!$D32:'Model2'!$CN32)</f>
        <v>-16292.287941902436</v>
      </c>
      <c r="M28" s="35" cm="1">
        <f t="array" ref="M28">SUMPRODUCT(--(M$8&lt;=Model2!$D$9:'Model2'!$CN$9),--(M$9&gt;=Model2!$D$9:'Model2'!$CN$9),Model2!$D32:'Model2'!$CN32)</f>
        <v>-17106.902338997559</v>
      </c>
      <c r="N28" s="35" cm="1">
        <f t="array" ref="N28">SUMPRODUCT(--(N$8&lt;=Model2!$D$9:'Model2'!$CN$9),--(N$9&gt;=Model2!$D$9:'Model2'!$CN$9),Model2!$D32:'Model2'!$CN32)</f>
        <v>-17962.247455947439</v>
      </c>
      <c r="O28" s="35" cm="1">
        <f t="array" ref="O28">SUMPRODUCT(--(O$8&lt;=Model2!$D$9:'Model2'!$CN$9),--(O$9&gt;=Model2!$D$9:'Model2'!$CN$9),Model2!$D32:'Model2'!$CN32)</f>
        <v>-18860.359828744811</v>
      </c>
      <c r="P28" s="35" cm="1">
        <f t="array" ref="P28">SUMPRODUCT(--(P$8&lt;=Model2!$D$9:'Model2'!$CN$9),--(P$9&gt;=Model2!$D$9:'Model2'!$CN$9),Model2!$D32:'Model2'!$CN32)</f>
        <v>-19803.377820182053</v>
      </c>
      <c r="Q28" s="35" cm="1">
        <f t="array" ref="Q28">SUMPRODUCT(--(Q$8&lt;=Model2!$D$9:'Model2'!$CN$9),--(Q$9&gt;=Model2!$D$9:'Model2'!$CN$9),Model2!$D32:'Model2'!$CN32)</f>
        <v>-20793.546711191157</v>
      </c>
      <c r="R28" s="35" cm="1">
        <f t="array" ref="R28">SUMPRODUCT(--(R$8&lt;=Model2!$D$9:'Model2'!$CN$9),--(R$9&gt;=Model2!$D$9:'Model2'!$CN$9),Model2!$D32:'Model2'!$CN32)</f>
        <v>-21833.224046750714</v>
      </c>
      <c r="S28" s="35" cm="1">
        <f t="array" ref="S28">SUMPRODUCT(--(S$8&lt;=Model2!$D$9:'Model2'!$CN$9),--(S$9&gt;=Model2!$D$9:'Model2'!$CN$9),Model2!$D32:'Model2'!$CN32)</f>
        <v>-22924.885249088249</v>
      </c>
      <c r="T28" s="35" cm="1">
        <f t="array" ref="T28">SUMPRODUCT(--(T$8&lt;=Model2!$D$9:'Model2'!$CN$9),--(T$9&gt;=Model2!$D$9:'Model2'!$CN$9),Model2!$D32:'Model2'!$CN32)</f>
        <v>-24071.129511542666</v>
      </c>
      <c r="U28" s="35" cm="1">
        <f t="array" ref="U28">SUMPRODUCT(--(U$8&lt;=Model2!$D$9:'Model2'!$CN$9),--(U$9&gt;=Model2!$D$9:'Model2'!$CN$9),Model2!$D32:'Model2'!$CN32)</f>
        <v>-25274.685987119803</v>
      </c>
      <c r="V28" s="35" cm="1">
        <f t="array" ref="V28">SUMPRODUCT(--(V$8&lt;=Model2!$D$9:'Model2'!$CN$9),--(V$9&gt;=Model2!$D$9:'Model2'!$CN$9),Model2!$D32:'Model2'!$CN32)</f>
        <v>-26538.420286475794</v>
      </c>
      <c r="W28" s="35" cm="1">
        <f t="array" ref="W28">SUMPRODUCT(--(W$8&lt;=Model2!$D$9:'Model2'!$CN$9),--(W$9&gt;=Model2!$D$9:'Model2'!$CN$9),Model2!$D32:'Model2'!$CN32)</f>
        <v>-27865.34130079958</v>
      </c>
      <c r="X28" s="35" cm="1">
        <f t="array" ref="X28">SUMPRODUCT(--(X$8&lt;=Model2!$D$9:'Model2'!$CN$9),--(X$9&gt;=Model2!$D$9:'Model2'!$CN$9),Model2!$D32:'Model2'!$CN32)</f>
        <v>-29258.608365839566</v>
      </c>
      <c r="Y28" s="35" cm="1">
        <f t="array" ref="Y28">SUMPRODUCT(--(Y$8&lt;=Model2!$D$9:'Model2'!$CN$9),--(Y$9&gt;=Model2!$D$9:'Model2'!$CN$9),Model2!$D32:'Model2'!$CN32)</f>
        <v>-30721.538784131542</v>
      </c>
      <c r="Z28" s="35" cm="1">
        <f t="array" ref="Z28">SUMPRODUCT(--(Z$8&lt;=Model2!$D$9:'Model2'!$CN$9),--(Z$9&gt;=Model2!$D$9:'Model2'!$CN$9),Model2!$D32:'Model2'!$CN32)</f>
        <v>-32257.61572333812</v>
      </c>
      <c r="AA28" s="35"/>
    </row>
    <row r="29" spans="1:27" ht="12.75" customHeight="1" outlineLevel="2">
      <c r="A29" s="35"/>
      <c r="B29" s="63" t="str">
        <f>'операционные  расходы 1 этап'!A12</f>
        <v xml:space="preserve">Продукты "шведский стол" </v>
      </c>
      <c r="C29" s="74">
        <f t="shared" si="9"/>
        <v>-191740.52870720695</v>
      </c>
      <c r="D29" s="60">
        <f>Model2!D33</f>
        <v>0</v>
      </c>
      <c r="E29" s="35" cm="1">
        <f t="array" ref="E29">SUMPRODUCT(--(E$8&lt;=Model2!$D$9:'Model2'!$CN$9),--(E$9&gt;=Model2!$D$9:'Model2'!$CN$9),Model2!$D33:'Model2'!$CN33)</f>
        <v>0</v>
      </c>
      <c r="F29" s="35" cm="1">
        <f t="array" ref="F29">SUMPRODUCT(--(F$8&lt;=Model2!$D$9:'Model2'!$CN$9),--(F$9&gt;=Model2!$D$9:'Model2'!$CN$9),Model2!$D33:'Model2'!$CN33)</f>
        <v>0</v>
      </c>
      <c r="G29" s="35" cm="1">
        <f t="array" ref="G29">SUMPRODUCT(--(G$8&lt;=Model2!$D$9:'Model2'!$CN$9),--(G$9&gt;=Model2!$D$9:'Model2'!$CN$9),Model2!$D33:'Model2'!$CN33)</f>
        <v>0</v>
      </c>
      <c r="H29" s="35" cm="1">
        <f t="array" ref="H29">SUMPRODUCT(--(H$8&lt;=Model2!$D$9:'Model2'!$CN$9),--(H$9&gt;=Model2!$D$9:'Model2'!$CN$9),Model2!$D33:'Model2'!$CN33)</f>
        <v>0</v>
      </c>
      <c r="I29" s="35" cm="1">
        <f t="array" ref="I29">SUMPRODUCT(--(I$8&lt;=Model2!$D$9:'Model2'!$CN$9),--(I$9&gt;=Model2!$D$9:'Model2'!$CN$9),Model2!$D33:'Model2'!$CN33)</f>
        <v>-1738.3652999999999</v>
      </c>
      <c r="J29" s="35" cm="1">
        <f t="array" ref="J29">SUMPRODUCT(--(J$8&lt;=Model2!$D$9:'Model2'!$CN$9),--(J$9&gt;=Model2!$D$9:'Model2'!$CN$9),Model2!$D33:'Model2'!$CN33)</f>
        <v>-6257.0450410876001</v>
      </c>
      <c r="K29" s="35" cm="1">
        <f t="array" ref="K29">SUMPRODUCT(--(K$8&lt;=Model2!$D$9:'Model2'!$CN$9),--(K$9&gt;=Model2!$D$9:'Model2'!$CN$9),Model2!$D33:'Model2'!$CN33)</f>
        <v>-7766.8892656920116</v>
      </c>
      <c r="L29" s="35" cm="1">
        <f t="array" ref="L29">SUMPRODUCT(--(L$8&lt;=Model2!$D$9:'Model2'!$CN$9),--(L$9&gt;=Model2!$D$9:'Model2'!$CN$9),Model2!$D33:'Model2'!$CN33)</f>
        <v>-8155.2337059374977</v>
      </c>
      <c r="M29" s="35" cm="1">
        <f t="array" ref="M29">SUMPRODUCT(--(M$8&lt;=Model2!$D$9:'Model2'!$CN$9),--(M$9&gt;=Model2!$D$9:'Model2'!$CN$9),Model2!$D33:'Model2'!$CN33)</f>
        <v>-8562.9953912343735</v>
      </c>
      <c r="N29" s="35" cm="1">
        <f t="array" ref="N29">SUMPRODUCT(--(N$8&lt;=Model2!$D$9:'Model2'!$CN$9),--(N$9&gt;=Model2!$D$9:'Model2'!$CN$9),Model2!$D33:'Model2'!$CN33)</f>
        <v>-8991.1451607960935</v>
      </c>
      <c r="O29" s="35" cm="1">
        <f t="array" ref="O29">SUMPRODUCT(--(O$8&lt;=Model2!$D$9:'Model2'!$CN$9),--(O$9&gt;=Model2!$D$9:'Model2'!$CN$9),Model2!$D33:'Model2'!$CN33)</f>
        <v>-9440.7024188358992</v>
      </c>
      <c r="P29" s="35" cm="1">
        <f t="array" ref="P29">SUMPRODUCT(--(P$8&lt;=Model2!$D$9:'Model2'!$CN$9),--(P$9&gt;=Model2!$D$9:'Model2'!$CN$9),Model2!$D33:'Model2'!$CN33)</f>
        <v>-9912.7375397776941</v>
      </c>
      <c r="Q29" s="35" cm="1">
        <f t="array" ref="Q29">SUMPRODUCT(--(Q$8&lt;=Model2!$D$9:'Model2'!$CN$9),--(Q$9&gt;=Model2!$D$9:'Model2'!$CN$9),Model2!$D33:'Model2'!$CN33)</f>
        <v>-10408.374416766579</v>
      </c>
      <c r="R29" s="35" cm="1">
        <f t="array" ref="R29">SUMPRODUCT(--(R$8&lt;=Model2!$D$9:'Model2'!$CN$9),--(R$9&gt;=Model2!$D$9:'Model2'!$CN$9),Model2!$D33:'Model2'!$CN33)</f>
        <v>-10928.793137604907</v>
      </c>
      <c r="S29" s="35" cm="1">
        <f t="array" ref="S29">SUMPRODUCT(--(S$8&lt;=Model2!$D$9:'Model2'!$CN$9),--(S$9&gt;=Model2!$D$9:'Model2'!$CN$9),Model2!$D33:'Model2'!$CN33)</f>
        <v>-11475.232794485153</v>
      </c>
      <c r="T29" s="35" cm="1">
        <f t="array" ref="T29">SUMPRODUCT(--(T$8&lt;=Model2!$D$9:'Model2'!$CN$9),--(T$9&gt;=Model2!$D$9:'Model2'!$CN$9),Model2!$D33:'Model2'!$CN33)</f>
        <v>-12048.994434209411</v>
      </c>
      <c r="U29" s="35" cm="1">
        <f t="array" ref="U29">SUMPRODUCT(--(U$8&lt;=Model2!$D$9:'Model2'!$CN$9),--(U$9&gt;=Model2!$D$9:'Model2'!$CN$9),Model2!$D33:'Model2'!$CN33)</f>
        <v>-12651.444155919882</v>
      </c>
      <c r="V29" s="35" cm="1">
        <f t="array" ref="V29">SUMPRODUCT(--(V$8&lt;=Model2!$D$9:'Model2'!$CN$9),--(V$9&gt;=Model2!$D$9:'Model2'!$CN$9),Model2!$D33:'Model2'!$CN33)</f>
        <v>-13284.016363715877</v>
      </c>
      <c r="W29" s="35" cm="1">
        <f t="array" ref="W29">SUMPRODUCT(--(W$8&lt;=Model2!$D$9:'Model2'!$CN$9),--(W$9&gt;=Model2!$D$9:'Model2'!$CN$9),Model2!$D33:'Model2'!$CN33)</f>
        <v>-13948.217181901671</v>
      </c>
      <c r="X29" s="35" cm="1">
        <f t="array" ref="X29">SUMPRODUCT(--(X$8&lt;=Model2!$D$9:'Model2'!$CN$9),--(X$9&gt;=Model2!$D$9:'Model2'!$CN$9),Model2!$D33:'Model2'!$CN33)</f>
        <v>-14645.628040996755</v>
      </c>
      <c r="Y29" s="35" cm="1">
        <f t="array" ref="Y29">SUMPRODUCT(--(Y$8&lt;=Model2!$D$9:'Model2'!$CN$9),--(Y$9&gt;=Model2!$D$9:'Model2'!$CN$9),Model2!$D33:'Model2'!$CN33)</f>
        <v>-15377.909443046594</v>
      </c>
      <c r="Z29" s="35" cm="1">
        <f t="array" ref="Z29">SUMPRODUCT(--(Z$8&lt;=Model2!$D$9:'Model2'!$CN$9),--(Z$9&gt;=Model2!$D$9:'Model2'!$CN$9),Model2!$D33:'Model2'!$CN33)</f>
        <v>-16146.804915198925</v>
      </c>
      <c r="AA29" s="35"/>
    </row>
    <row r="30" spans="1:27" ht="12.75" customHeight="1" outlineLevel="2">
      <c r="A30" s="35"/>
      <c r="B30" s="63" t="str">
        <f>'операционные  расходы 1 этап'!A13</f>
        <v>Замена посуды, текстиля, мебели и пр.)</v>
      </c>
      <c r="C30" s="74">
        <f t="shared" si="9"/>
        <v>-132990.08446736721</v>
      </c>
      <c r="D30" s="60">
        <f>Model2!D34</f>
        <v>0</v>
      </c>
      <c r="E30" s="35" cm="1">
        <f t="array" ref="E30">SUMPRODUCT(--(E$8&lt;=Model2!$D$9:'Model2'!$CN$9),--(E$9&gt;=Model2!$D$9:'Model2'!$CN$9),Model2!$D34:'Model2'!$CN34)</f>
        <v>0</v>
      </c>
      <c r="F30" s="35" cm="1">
        <f t="array" ref="F30">SUMPRODUCT(--(F$8&lt;=Model2!$D$9:'Model2'!$CN$9),--(F$9&gt;=Model2!$D$9:'Model2'!$CN$9),Model2!$D34:'Model2'!$CN34)</f>
        <v>0</v>
      </c>
      <c r="G30" s="35" cm="1">
        <f t="array" ref="G30">SUMPRODUCT(--(G$8&lt;=Model2!$D$9:'Model2'!$CN$9),--(G$9&gt;=Model2!$D$9:'Model2'!$CN$9),Model2!$D34:'Model2'!$CN34)</f>
        <v>0</v>
      </c>
      <c r="H30" s="35" cm="1">
        <f t="array" ref="H30">SUMPRODUCT(--(H$8&lt;=Model2!$D$9:'Model2'!$CN$9),--(H$9&gt;=Model2!$D$9:'Model2'!$CN$9),Model2!$D34:'Model2'!$CN34)</f>
        <v>0</v>
      </c>
      <c r="I30" s="35" cm="1">
        <f t="array" ref="I30">SUMPRODUCT(--(I$8&lt;=Model2!$D$9:'Model2'!$CN$9),--(I$9&gt;=Model2!$D$9:'Model2'!$CN$9),Model2!$D34:'Model2'!$CN34)</f>
        <v>-1671.4673351765623</v>
      </c>
      <c r="J30" s="35" cm="1">
        <f t="array" ref="J30">SUMPRODUCT(--(J$8&lt;=Model2!$D$9:'Model2'!$CN$9),--(J$9&gt;=Model2!$D$9:'Model2'!$CN$9),Model2!$D34:'Model2'!$CN34)</f>
        <v>-5048.0337810684359</v>
      </c>
      <c r="K30" s="35" cm="1">
        <f t="array" ref="K30">SUMPRODUCT(--(K$8&lt;=Model2!$D$9:'Model2'!$CN$9),--(K$9&gt;=Model2!$D$9:'Model2'!$CN$9),Model2!$D34:'Model2'!$CN34)</f>
        <v>-5345.6054601770629</v>
      </c>
      <c r="L30" s="35" cm="1">
        <f t="array" ref="L30">SUMPRODUCT(--(L$8&lt;=Model2!$D$9:'Model2'!$CN$9),--(L$9&gt;=Model2!$D$9:'Model2'!$CN$9),Model2!$D34:'Model2'!$CN34)</f>
        <v>-5603.9401045636969</v>
      </c>
      <c r="M30" s="35" cm="1">
        <f t="array" ref="M30">SUMPRODUCT(--(M$8&lt;=Model2!$D$9:'Model2'!$CN$9),--(M$9&gt;=Model2!$D$9:'Model2'!$CN$9),Model2!$D34:'Model2'!$CN34)</f>
        <v>-5884.1371097918827</v>
      </c>
      <c r="N30" s="35" cm="1">
        <f t="array" ref="N30">SUMPRODUCT(--(N$8&lt;=Model2!$D$9:'Model2'!$CN$9),--(N$9&gt;=Model2!$D$9:'Model2'!$CN$9),Model2!$D34:'Model2'!$CN34)</f>
        <v>-6178.3439652814759</v>
      </c>
      <c r="O30" s="35" cm="1">
        <f t="array" ref="O30">SUMPRODUCT(--(O$8&lt;=Model2!$D$9:'Model2'!$CN$9),--(O$9&gt;=Model2!$D$9:'Model2'!$CN$9),Model2!$D34:'Model2'!$CN34)</f>
        <v>-6487.2611635455505</v>
      </c>
      <c r="P30" s="35" cm="1">
        <f t="array" ref="P30">SUMPRODUCT(--(P$8&lt;=Model2!$D$9:'Model2'!$CN$9),--(P$9&gt;=Model2!$D$9:'Model2'!$CN$9),Model2!$D34:'Model2'!$CN34)</f>
        <v>-6811.6242217228282</v>
      </c>
      <c r="Q30" s="35" cm="1">
        <f t="array" ref="Q30">SUMPRODUCT(--(Q$8&lt;=Model2!$D$9:'Model2'!$CN$9),--(Q$9&gt;=Model2!$D$9:'Model2'!$CN$9),Model2!$D34:'Model2'!$CN34)</f>
        <v>-7152.2054328089698</v>
      </c>
      <c r="R30" s="35" cm="1">
        <f t="array" ref="R30">SUMPRODUCT(--(R$8&lt;=Model2!$D$9:'Model2'!$CN$9),--(R$9&gt;=Model2!$D$9:'Model2'!$CN$9),Model2!$D34:'Model2'!$CN34)</f>
        <v>-7509.8157044494174</v>
      </c>
      <c r="S30" s="35" cm="1">
        <f t="array" ref="S30">SUMPRODUCT(--(S$8&lt;=Model2!$D$9:'Model2'!$CN$9),--(S$9&gt;=Model2!$D$9:'Model2'!$CN$9),Model2!$D34:'Model2'!$CN34)</f>
        <v>-7885.3064896718897</v>
      </c>
      <c r="T30" s="35" cm="1">
        <f t="array" ref="T30">SUMPRODUCT(--(T$8&lt;=Model2!$D$9:'Model2'!$CN$9),--(T$9&gt;=Model2!$D$9:'Model2'!$CN$9),Model2!$D34:'Model2'!$CN34)</f>
        <v>-8279.5718141554844</v>
      </c>
      <c r="U30" s="35" cm="1">
        <f t="array" ref="U30">SUMPRODUCT(--(U$8&lt;=Model2!$D$9:'Model2'!$CN$9),--(U$9&gt;=Model2!$D$9:'Model2'!$CN$9),Model2!$D34:'Model2'!$CN34)</f>
        <v>-8693.5504048632592</v>
      </c>
      <c r="V30" s="35" cm="1">
        <f t="array" ref="V30">SUMPRODUCT(--(V$8&lt;=Model2!$D$9:'Model2'!$CN$9),--(V$9&gt;=Model2!$D$9:'Model2'!$CN$9),Model2!$D34:'Model2'!$CN34)</f>
        <v>-9128.227925106421</v>
      </c>
      <c r="W30" s="35" cm="1">
        <f t="array" ref="W30">SUMPRODUCT(--(W$8&lt;=Model2!$D$9:'Model2'!$CN$9),--(W$9&gt;=Model2!$D$9:'Model2'!$CN$9),Model2!$D34:'Model2'!$CN34)</f>
        <v>-9584.6393213617448</v>
      </c>
      <c r="X30" s="35" cm="1">
        <f t="array" ref="X30">SUMPRODUCT(--(X$8&lt;=Model2!$D$9:'Model2'!$CN$9),--(X$9&gt;=Model2!$D$9:'Model2'!$CN$9),Model2!$D34:'Model2'!$CN34)</f>
        <v>-10063.871287429831</v>
      </c>
      <c r="Y30" s="35" cm="1">
        <f t="array" ref="Y30">SUMPRODUCT(--(Y$8&lt;=Model2!$D$9:'Model2'!$CN$9),--(Y$9&gt;=Model2!$D$9:'Model2'!$CN$9),Model2!$D34:'Model2'!$CN34)</f>
        <v>-10567.064851801322</v>
      </c>
      <c r="Z30" s="35" cm="1">
        <f t="array" ref="Z30">SUMPRODUCT(--(Z$8&lt;=Model2!$D$9:'Model2'!$CN$9),--(Z$9&gt;=Model2!$D$9:'Model2'!$CN$9),Model2!$D34:'Model2'!$CN34)</f>
        <v>-11095.418094391391</v>
      </c>
      <c r="AA30" s="35"/>
    </row>
    <row r="31" spans="1:27" ht="12.75" customHeight="1" outlineLevel="2">
      <c r="A31" s="35"/>
      <c r="B31" s="63" t="str">
        <f>'операционные  расходы 1 этап'!A14</f>
        <v>Затраты на СПА-центр (материалы и пр.)</v>
      </c>
      <c r="C31" s="74">
        <f t="shared" si="9"/>
        <v>0</v>
      </c>
      <c r="D31" s="60">
        <f>Model2!D35</f>
        <v>0</v>
      </c>
      <c r="E31" s="35" cm="1">
        <f t="array" ref="E31">SUMPRODUCT(--(E$8&lt;=Model2!$D$9:'Model2'!$CN$9),--(E$9&gt;=Model2!$D$9:'Model2'!$CN$9),Model2!$D35:'Model2'!$CN35)</f>
        <v>0</v>
      </c>
      <c r="F31" s="35" cm="1">
        <f t="array" ref="F31">SUMPRODUCT(--(F$8&lt;=Model2!$D$9:'Model2'!$CN$9),--(F$9&gt;=Model2!$D$9:'Model2'!$CN$9),Model2!$D35:'Model2'!$CN35)</f>
        <v>0</v>
      </c>
      <c r="G31" s="35" cm="1">
        <f t="array" ref="G31">SUMPRODUCT(--(G$8&lt;=Model2!$D$9:'Model2'!$CN$9),--(G$9&gt;=Model2!$D$9:'Model2'!$CN$9),Model2!$D35:'Model2'!$CN35)</f>
        <v>0</v>
      </c>
      <c r="H31" s="35" cm="1">
        <f t="array" ref="H31">SUMPRODUCT(--(H$8&lt;=Model2!$D$9:'Model2'!$CN$9),--(H$9&gt;=Model2!$D$9:'Model2'!$CN$9),Model2!$D35:'Model2'!$CN35)</f>
        <v>0</v>
      </c>
      <c r="I31" s="35" cm="1">
        <f t="array" ref="I31">SUMPRODUCT(--(I$8&lt;=Model2!$D$9:'Model2'!$CN$9),--(I$9&gt;=Model2!$D$9:'Model2'!$CN$9),Model2!$D35:'Model2'!$CN35)</f>
        <v>0</v>
      </c>
      <c r="J31" s="35" cm="1">
        <f t="array" ref="J31">SUMPRODUCT(--(J$8&lt;=Model2!$D$9:'Model2'!$CN$9),--(J$9&gt;=Model2!$D$9:'Model2'!$CN$9),Model2!$D35:'Model2'!$CN35)</f>
        <v>0</v>
      </c>
      <c r="K31" s="35" cm="1">
        <f t="array" ref="K31">SUMPRODUCT(--(K$8&lt;=Model2!$D$9:'Model2'!$CN$9),--(K$9&gt;=Model2!$D$9:'Model2'!$CN$9),Model2!$D35:'Model2'!$CN35)</f>
        <v>0</v>
      </c>
      <c r="L31" s="35" cm="1">
        <f t="array" ref="L31">SUMPRODUCT(--(L$8&lt;=Model2!$D$9:'Model2'!$CN$9),--(L$9&gt;=Model2!$D$9:'Model2'!$CN$9),Model2!$D35:'Model2'!$CN35)</f>
        <v>0</v>
      </c>
      <c r="M31" s="35" cm="1">
        <f t="array" ref="M31">SUMPRODUCT(--(M$8&lt;=Model2!$D$9:'Model2'!$CN$9),--(M$9&gt;=Model2!$D$9:'Model2'!$CN$9),Model2!$D35:'Model2'!$CN35)</f>
        <v>0</v>
      </c>
      <c r="N31" s="35" cm="1">
        <f t="array" ref="N31">SUMPRODUCT(--(N$8&lt;=Model2!$D$9:'Model2'!$CN$9),--(N$9&gt;=Model2!$D$9:'Model2'!$CN$9),Model2!$D35:'Model2'!$CN35)</f>
        <v>0</v>
      </c>
      <c r="O31" s="35" cm="1">
        <f t="array" ref="O31">SUMPRODUCT(--(O$8&lt;=Model2!$D$9:'Model2'!$CN$9),--(O$9&gt;=Model2!$D$9:'Model2'!$CN$9),Model2!$D35:'Model2'!$CN35)</f>
        <v>0</v>
      </c>
      <c r="P31" s="35" cm="1">
        <f t="array" ref="P31">SUMPRODUCT(--(P$8&lt;=Model2!$D$9:'Model2'!$CN$9),--(P$9&gt;=Model2!$D$9:'Model2'!$CN$9),Model2!$D35:'Model2'!$CN35)</f>
        <v>0</v>
      </c>
      <c r="Q31" s="35" cm="1">
        <f t="array" ref="Q31">SUMPRODUCT(--(Q$8&lt;=Model2!$D$9:'Model2'!$CN$9),--(Q$9&gt;=Model2!$D$9:'Model2'!$CN$9),Model2!$D35:'Model2'!$CN35)</f>
        <v>0</v>
      </c>
      <c r="R31" s="35" cm="1">
        <f t="array" ref="R31">SUMPRODUCT(--(R$8&lt;=Model2!$D$9:'Model2'!$CN$9),--(R$9&gt;=Model2!$D$9:'Model2'!$CN$9),Model2!$D35:'Model2'!$CN35)</f>
        <v>0</v>
      </c>
      <c r="S31" s="35" cm="1">
        <f t="array" ref="S31">SUMPRODUCT(--(S$8&lt;=Model2!$D$9:'Model2'!$CN$9),--(S$9&gt;=Model2!$D$9:'Model2'!$CN$9),Model2!$D35:'Model2'!$CN35)</f>
        <v>0</v>
      </c>
      <c r="T31" s="35" cm="1">
        <f t="array" ref="T31">SUMPRODUCT(--(T$8&lt;=Model2!$D$9:'Model2'!$CN$9),--(T$9&gt;=Model2!$D$9:'Model2'!$CN$9),Model2!$D35:'Model2'!$CN35)</f>
        <v>0</v>
      </c>
      <c r="U31" s="35" cm="1">
        <f t="array" ref="U31">SUMPRODUCT(--(U$8&lt;=Model2!$D$9:'Model2'!$CN$9),--(U$9&gt;=Model2!$D$9:'Model2'!$CN$9),Model2!$D35:'Model2'!$CN35)</f>
        <v>0</v>
      </c>
      <c r="V31" s="35" cm="1">
        <f t="array" ref="V31">SUMPRODUCT(--(V$8&lt;=Model2!$D$9:'Model2'!$CN$9),--(V$9&gt;=Model2!$D$9:'Model2'!$CN$9),Model2!$D35:'Model2'!$CN35)</f>
        <v>0</v>
      </c>
      <c r="W31" s="35" cm="1">
        <f t="array" ref="W31">SUMPRODUCT(--(W$8&lt;=Model2!$D$9:'Model2'!$CN$9),--(W$9&gt;=Model2!$D$9:'Model2'!$CN$9),Model2!$D35:'Model2'!$CN35)</f>
        <v>0</v>
      </c>
      <c r="X31" s="35" cm="1">
        <f t="array" ref="X31">SUMPRODUCT(--(X$8&lt;=Model2!$D$9:'Model2'!$CN$9),--(X$9&gt;=Model2!$D$9:'Model2'!$CN$9),Model2!$D35:'Model2'!$CN35)</f>
        <v>0</v>
      </c>
      <c r="Y31" s="35" cm="1">
        <f t="array" ref="Y31">SUMPRODUCT(--(Y$8&lt;=Model2!$D$9:'Model2'!$CN$9),--(Y$9&gt;=Model2!$D$9:'Model2'!$CN$9),Model2!$D35:'Model2'!$CN35)</f>
        <v>0</v>
      </c>
      <c r="Z31" s="35" cm="1">
        <f t="array" ref="Z31">SUMPRODUCT(--(Z$8&lt;=Model2!$D$9:'Model2'!$CN$9),--(Z$9&gt;=Model2!$D$9:'Model2'!$CN$9),Model2!$D35:'Model2'!$CN35)</f>
        <v>0</v>
      </c>
      <c r="AA31" s="35"/>
    </row>
    <row r="32" spans="1:27" ht="12.75" customHeight="1" outlineLevel="2">
      <c r="A32" s="35"/>
      <c r="B32" s="63" t="str">
        <f>'операционные  расходы 1 этап'!A15</f>
        <v xml:space="preserve">Выплата мастерам СПА-центра </v>
      </c>
      <c r="C32" s="74">
        <f t="shared" si="9"/>
        <v>0</v>
      </c>
      <c r="D32" s="60">
        <f>Model2!D36</f>
        <v>0</v>
      </c>
      <c r="E32" s="35" cm="1">
        <f t="array" ref="E32">SUMPRODUCT(--(E$8&lt;=Model2!$D$9:'Model2'!$CN$9),--(E$9&gt;=Model2!$D$9:'Model2'!$CN$9),Model2!$D36:'Model2'!$CN36)</f>
        <v>0</v>
      </c>
      <c r="F32" s="35" cm="1">
        <f t="array" ref="F32">SUMPRODUCT(--(F$8&lt;=Model2!$D$9:'Model2'!$CN$9),--(F$9&gt;=Model2!$D$9:'Model2'!$CN$9),Model2!$D36:'Model2'!$CN36)</f>
        <v>0</v>
      </c>
      <c r="G32" s="35" cm="1">
        <f t="array" ref="G32">SUMPRODUCT(--(G$8&lt;=Model2!$D$9:'Model2'!$CN$9),--(G$9&gt;=Model2!$D$9:'Model2'!$CN$9),Model2!$D36:'Model2'!$CN36)</f>
        <v>0</v>
      </c>
      <c r="H32" s="35" cm="1">
        <f t="array" ref="H32">SUMPRODUCT(--(H$8&lt;=Model2!$D$9:'Model2'!$CN$9),--(H$9&gt;=Model2!$D$9:'Model2'!$CN$9),Model2!$D36:'Model2'!$CN36)</f>
        <v>0</v>
      </c>
      <c r="I32" s="35" cm="1">
        <f t="array" ref="I32">SUMPRODUCT(--(I$8&lt;=Model2!$D$9:'Model2'!$CN$9),--(I$9&gt;=Model2!$D$9:'Model2'!$CN$9),Model2!$D36:'Model2'!$CN36)</f>
        <v>0</v>
      </c>
      <c r="J32" s="35" cm="1">
        <f t="array" ref="J32">SUMPRODUCT(--(J$8&lt;=Model2!$D$9:'Model2'!$CN$9),--(J$9&gt;=Model2!$D$9:'Model2'!$CN$9),Model2!$D36:'Model2'!$CN36)</f>
        <v>0</v>
      </c>
      <c r="K32" s="35" cm="1">
        <f t="array" ref="K32">SUMPRODUCT(--(K$8&lt;=Model2!$D$9:'Model2'!$CN$9),--(K$9&gt;=Model2!$D$9:'Model2'!$CN$9),Model2!$D36:'Model2'!$CN36)</f>
        <v>0</v>
      </c>
      <c r="L32" s="35" cm="1">
        <f t="array" ref="L32">SUMPRODUCT(--(L$8&lt;=Model2!$D$9:'Model2'!$CN$9),--(L$9&gt;=Model2!$D$9:'Model2'!$CN$9),Model2!$D36:'Model2'!$CN36)</f>
        <v>0</v>
      </c>
      <c r="M32" s="35" cm="1">
        <f t="array" ref="M32">SUMPRODUCT(--(M$8&lt;=Model2!$D$9:'Model2'!$CN$9),--(M$9&gt;=Model2!$D$9:'Model2'!$CN$9),Model2!$D36:'Model2'!$CN36)</f>
        <v>0</v>
      </c>
      <c r="N32" s="35" cm="1">
        <f t="array" ref="N32">SUMPRODUCT(--(N$8&lt;=Model2!$D$9:'Model2'!$CN$9),--(N$9&gt;=Model2!$D$9:'Model2'!$CN$9),Model2!$D36:'Model2'!$CN36)</f>
        <v>0</v>
      </c>
      <c r="O32" s="35" cm="1">
        <f t="array" ref="O32">SUMPRODUCT(--(O$8&lt;=Model2!$D$9:'Model2'!$CN$9),--(O$9&gt;=Model2!$D$9:'Model2'!$CN$9),Model2!$D36:'Model2'!$CN36)</f>
        <v>0</v>
      </c>
      <c r="P32" s="35" cm="1">
        <f t="array" ref="P32">SUMPRODUCT(--(P$8&lt;=Model2!$D$9:'Model2'!$CN$9),--(P$9&gt;=Model2!$D$9:'Model2'!$CN$9),Model2!$D36:'Model2'!$CN36)</f>
        <v>0</v>
      </c>
      <c r="Q32" s="35" cm="1">
        <f t="array" ref="Q32">SUMPRODUCT(--(Q$8&lt;=Model2!$D$9:'Model2'!$CN$9),--(Q$9&gt;=Model2!$D$9:'Model2'!$CN$9),Model2!$D36:'Model2'!$CN36)</f>
        <v>0</v>
      </c>
      <c r="R32" s="35" cm="1">
        <f t="array" ref="R32">SUMPRODUCT(--(R$8&lt;=Model2!$D$9:'Model2'!$CN$9),--(R$9&gt;=Model2!$D$9:'Model2'!$CN$9),Model2!$D36:'Model2'!$CN36)</f>
        <v>0</v>
      </c>
      <c r="S32" s="35" cm="1">
        <f t="array" ref="S32">SUMPRODUCT(--(S$8&lt;=Model2!$D$9:'Model2'!$CN$9),--(S$9&gt;=Model2!$D$9:'Model2'!$CN$9),Model2!$D36:'Model2'!$CN36)</f>
        <v>0</v>
      </c>
      <c r="T32" s="35" cm="1">
        <f t="array" ref="T32">SUMPRODUCT(--(T$8&lt;=Model2!$D$9:'Model2'!$CN$9),--(T$9&gt;=Model2!$D$9:'Model2'!$CN$9),Model2!$D36:'Model2'!$CN36)</f>
        <v>0</v>
      </c>
      <c r="U32" s="35" cm="1">
        <f t="array" ref="U32">SUMPRODUCT(--(U$8&lt;=Model2!$D$9:'Model2'!$CN$9),--(U$9&gt;=Model2!$D$9:'Model2'!$CN$9),Model2!$D36:'Model2'!$CN36)</f>
        <v>0</v>
      </c>
      <c r="V32" s="35" cm="1">
        <f t="array" ref="V32">SUMPRODUCT(--(V$8&lt;=Model2!$D$9:'Model2'!$CN$9),--(V$9&gt;=Model2!$D$9:'Model2'!$CN$9),Model2!$D36:'Model2'!$CN36)</f>
        <v>0</v>
      </c>
      <c r="W32" s="35" cm="1">
        <f t="array" ref="W32">SUMPRODUCT(--(W$8&lt;=Model2!$D$9:'Model2'!$CN$9),--(W$9&gt;=Model2!$D$9:'Model2'!$CN$9),Model2!$D36:'Model2'!$CN36)</f>
        <v>0</v>
      </c>
      <c r="X32" s="35" cm="1">
        <f t="array" ref="X32">SUMPRODUCT(--(X$8&lt;=Model2!$D$9:'Model2'!$CN$9),--(X$9&gt;=Model2!$D$9:'Model2'!$CN$9),Model2!$D36:'Model2'!$CN36)</f>
        <v>0</v>
      </c>
      <c r="Y32" s="35" cm="1">
        <f t="array" ref="Y32">SUMPRODUCT(--(Y$8&lt;=Model2!$D$9:'Model2'!$CN$9),--(Y$9&gt;=Model2!$D$9:'Model2'!$CN$9),Model2!$D36:'Model2'!$CN36)</f>
        <v>0</v>
      </c>
      <c r="Z32" s="35" cm="1">
        <f t="array" ref="Z32">SUMPRODUCT(--(Z$8&lt;=Model2!$D$9:'Model2'!$CN$9),--(Z$9&gt;=Model2!$D$9:'Model2'!$CN$9),Model2!$D36:'Model2'!$CN36)</f>
        <v>0</v>
      </c>
      <c r="AA32" s="35"/>
    </row>
    <row r="33" spans="1:27" ht="12.75" customHeight="1" outlineLevel="2">
      <c r="A33" s="35"/>
      <c r="B33" s="63" t="str">
        <f>'операционные  расходы 1 этап'!A16</f>
        <v>Индивидуальная косметика и аксессуары в номерной фонд</v>
      </c>
      <c r="C33" s="74">
        <f t="shared" si="9"/>
        <v>0</v>
      </c>
      <c r="D33" s="60">
        <f>Model2!D37</f>
        <v>0</v>
      </c>
      <c r="E33" s="35" cm="1">
        <f t="array" ref="E33">SUMPRODUCT(--(E$8&lt;=Model2!$D$9:'Model2'!$CN$9),--(E$9&gt;=Model2!$D$9:'Model2'!$CN$9),Model2!$D37:'Model2'!$CN37)</f>
        <v>0</v>
      </c>
      <c r="F33" s="35" cm="1">
        <f t="array" ref="F33">SUMPRODUCT(--(F$8&lt;=Model2!$D$9:'Model2'!$CN$9),--(F$9&gt;=Model2!$D$9:'Model2'!$CN$9),Model2!$D37:'Model2'!$CN37)</f>
        <v>0</v>
      </c>
      <c r="G33" s="35" cm="1">
        <f t="array" ref="G33">SUMPRODUCT(--(G$8&lt;=Model2!$D$9:'Model2'!$CN$9),--(G$9&gt;=Model2!$D$9:'Model2'!$CN$9),Model2!$D37:'Model2'!$CN37)</f>
        <v>0</v>
      </c>
      <c r="H33" s="35" cm="1">
        <f t="array" ref="H33">SUMPRODUCT(--(H$8&lt;=Model2!$D$9:'Model2'!$CN$9),--(H$9&gt;=Model2!$D$9:'Model2'!$CN$9),Model2!$D37:'Model2'!$CN37)</f>
        <v>0</v>
      </c>
      <c r="I33" s="35" cm="1">
        <f t="array" ref="I33">SUMPRODUCT(--(I$8&lt;=Model2!$D$9:'Model2'!$CN$9),--(I$9&gt;=Model2!$D$9:'Model2'!$CN$9),Model2!$D37:'Model2'!$CN37)</f>
        <v>0</v>
      </c>
      <c r="J33" s="35" cm="1">
        <f t="array" ref="J33">SUMPRODUCT(--(J$8&lt;=Model2!$D$9:'Model2'!$CN$9),--(J$9&gt;=Model2!$D$9:'Model2'!$CN$9),Model2!$D37:'Model2'!$CN37)</f>
        <v>0</v>
      </c>
      <c r="K33" s="35" cm="1">
        <f t="array" ref="K33">SUMPRODUCT(--(K$8&lt;=Model2!$D$9:'Model2'!$CN$9),--(K$9&gt;=Model2!$D$9:'Model2'!$CN$9),Model2!$D37:'Model2'!$CN37)</f>
        <v>0</v>
      </c>
      <c r="L33" s="35" cm="1">
        <f t="array" ref="L33">SUMPRODUCT(--(L$8&lt;=Model2!$D$9:'Model2'!$CN$9),--(L$9&gt;=Model2!$D$9:'Model2'!$CN$9),Model2!$D37:'Model2'!$CN37)</f>
        <v>0</v>
      </c>
      <c r="M33" s="35" cm="1">
        <f t="array" ref="M33">SUMPRODUCT(--(M$8&lt;=Model2!$D$9:'Model2'!$CN$9),--(M$9&gt;=Model2!$D$9:'Model2'!$CN$9),Model2!$D37:'Model2'!$CN37)</f>
        <v>0</v>
      </c>
      <c r="N33" s="35" cm="1">
        <f t="array" ref="N33">SUMPRODUCT(--(N$8&lt;=Model2!$D$9:'Model2'!$CN$9),--(N$9&gt;=Model2!$D$9:'Model2'!$CN$9),Model2!$D37:'Model2'!$CN37)</f>
        <v>0</v>
      </c>
      <c r="O33" s="35" cm="1">
        <f t="array" ref="O33">SUMPRODUCT(--(O$8&lt;=Model2!$D$9:'Model2'!$CN$9),--(O$9&gt;=Model2!$D$9:'Model2'!$CN$9),Model2!$D37:'Model2'!$CN37)</f>
        <v>0</v>
      </c>
      <c r="P33" s="35" cm="1">
        <f t="array" ref="P33">SUMPRODUCT(--(P$8&lt;=Model2!$D$9:'Model2'!$CN$9),--(P$9&gt;=Model2!$D$9:'Model2'!$CN$9),Model2!$D37:'Model2'!$CN37)</f>
        <v>0</v>
      </c>
      <c r="Q33" s="35" cm="1">
        <f t="array" ref="Q33">SUMPRODUCT(--(Q$8&lt;=Model2!$D$9:'Model2'!$CN$9),--(Q$9&gt;=Model2!$D$9:'Model2'!$CN$9),Model2!$D37:'Model2'!$CN37)</f>
        <v>0</v>
      </c>
      <c r="R33" s="35" cm="1">
        <f t="array" ref="R33">SUMPRODUCT(--(R$8&lt;=Model2!$D$9:'Model2'!$CN$9),--(R$9&gt;=Model2!$D$9:'Model2'!$CN$9),Model2!$D37:'Model2'!$CN37)</f>
        <v>0</v>
      </c>
      <c r="S33" s="35" cm="1">
        <f t="array" ref="S33">SUMPRODUCT(--(S$8&lt;=Model2!$D$9:'Model2'!$CN$9),--(S$9&gt;=Model2!$D$9:'Model2'!$CN$9),Model2!$D37:'Model2'!$CN37)</f>
        <v>0</v>
      </c>
      <c r="T33" s="35" cm="1">
        <f t="array" ref="T33">SUMPRODUCT(--(T$8&lt;=Model2!$D$9:'Model2'!$CN$9),--(T$9&gt;=Model2!$D$9:'Model2'!$CN$9),Model2!$D37:'Model2'!$CN37)</f>
        <v>0</v>
      </c>
      <c r="U33" s="35" cm="1">
        <f t="array" ref="U33">SUMPRODUCT(--(U$8&lt;=Model2!$D$9:'Model2'!$CN$9),--(U$9&gt;=Model2!$D$9:'Model2'!$CN$9),Model2!$D37:'Model2'!$CN37)</f>
        <v>0</v>
      </c>
      <c r="V33" s="35" cm="1">
        <f t="array" ref="V33">SUMPRODUCT(--(V$8&lt;=Model2!$D$9:'Model2'!$CN$9),--(V$9&gt;=Model2!$D$9:'Model2'!$CN$9),Model2!$D37:'Model2'!$CN37)</f>
        <v>0</v>
      </c>
      <c r="W33" s="35" cm="1">
        <f t="array" ref="W33">SUMPRODUCT(--(W$8&lt;=Model2!$D$9:'Model2'!$CN$9),--(W$9&gt;=Model2!$D$9:'Model2'!$CN$9),Model2!$D37:'Model2'!$CN37)</f>
        <v>0</v>
      </c>
      <c r="X33" s="35" cm="1">
        <f t="array" ref="X33">SUMPRODUCT(--(X$8&lt;=Model2!$D$9:'Model2'!$CN$9),--(X$9&gt;=Model2!$D$9:'Model2'!$CN$9),Model2!$D37:'Model2'!$CN37)</f>
        <v>0</v>
      </c>
      <c r="Y33" s="35" cm="1">
        <f t="array" ref="Y33">SUMPRODUCT(--(Y$8&lt;=Model2!$D$9:'Model2'!$CN$9),--(Y$9&gt;=Model2!$D$9:'Model2'!$CN$9),Model2!$D37:'Model2'!$CN37)</f>
        <v>0</v>
      </c>
      <c r="Z33" s="35" cm="1">
        <f t="array" ref="Z33">SUMPRODUCT(--(Z$8&lt;=Model2!$D$9:'Model2'!$CN$9),--(Z$9&gt;=Model2!$D$9:'Model2'!$CN$9),Model2!$D37:'Model2'!$CN37)</f>
        <v>0</v>
      </c>
      <c r="AA33" s="35"/>
    </row>
    <row r="34" spans="1:27" ht="12.75" customHeight="1" outlineLevel="2">
      <c r="A34" s="35"/>
      <c r="B34" s="63" t="str">
        <f>'операционные  расходы 1 этап'!A17</f>
        <v>Моющие и химические средства</v>
      </c>
      <c r="C34" s="74">
        <f t="shared" si="9"/>
        <v>-62062.039418104701</v>
      </c>
      <c r="D34" s="60">
        <f>Model2!D38</f>
        <v>0</v>
      </c>
      <c r="E34" s="35" cm="1">
        <f t="array" ref="E34">SUMPRODUCT(--(E$8&lt;=Model2!$D$9:'Model2'!$CN$9),--(E$9&gt;=Model2!$D$9:'Model2'!$CN$9),Model2!$D38:'Model2'!$CN38)</f>
        <v>0</v>
      </c>
      <c r="F34" s="35" cm="1">
        <f t="array" ref="F34">SUMPRODUCT(--(F$8&lt;=Model2!$D$9:'Model2'!$CN$9),--(F$9&gt;=Model2!$D$9:'Model2'!$CN$9),Model2!$D38:'Model2'!$CN38)</f>
        <v>0</v>
      </c>
      <c r="G34" s="35" cm="1">
        <f t="array" ref="G34">SUMPRODUCT(--(G$8&lt;=Model2!$D$9:'Model2'!$CN$9),--(G$9&gt;=Model2!$D$9:'Model2'!$CN$9),Model2!$D38:'Model2'!$CN38)</f>
        <v>0</v>
      </c>
      <c r="H34" s="35" cm="1">
        <f t="array" ref="H34">SUMPRODUCT(--(H$8&lt;=Model2!$D$9:'Model2'!$CN$9),--(H$9&gt;=Model2!$D$9:'Model2'!$CN$9),Model2!$D38:'Model2'!$CN38)</f>
        <v>0</v>
      </c>
      <c r="I34" s="35" cm="1">
        <f t="array" ref="I34">SUMPRODUCT(--(I$8&lt;=Model2!$D$9:'Model2'!$CN$9),--(I$9&gt;=Model2!$D$9:'Model2'!$CN$9),Model2!$D38:'Model2'!$CN38)</f>
        <v>-780.01808974906248</v>
      </c>
      <c r="J34" s="35" cm="1">
        <f t="array" ref="J34">SUMPRODUCT(--(J$8&lt;=Model2!$D$9:'Model2'!$CN$9),--(J$9&gt;=Model2!$D$9:'Model2'!$CN$9),Model2!$D38:'Model2'!$CN38)</f>
        <v>-2355.749097831937</v>
      </c>
      <c r="K34" s="35" cm="1">
        <f t="array" ref="K34">SUMPRODUCT(--(K$8&lt;=Model2!$D$9:'Model2'!$CN$9),--(K$9&gt;=Model2!$D$9:'Model2'!$CN$9),Model2!$D38:'Model2'!$CN38)</f>
        <v>-2494.6158814159626</v>
      </c>
      <c r="L34" s="35" cm="1">
        <f t="array" ref="L34">SUMPRODUCT(--(L$8&lt;=Model2!$D$9:'Model2'!$CN$9),--(L$9&gt;=Model2!$D$9:'Model2'!$CN$9),Model2!$D38:'Model2'!$CN38)</f>
        <v>-2615.1720487963921</v>
      </c>
      <c r="M34" s="35" cm="1">
        <f t="array" ref="M34">SUMPRODUCT(--(M$8&lt;=Model2!$D$9:'Model2'!$CN$9),--(M$9&gt;=Model2!$D$9:'Model2'!$CN$9),Model2!$D38:'Model2'!$CN38)</f>
        <v>-2745.9306512362118</v>
      </c>
      <c r="N34" s="35" cm="1">
        <f t="array" ref="N34">SUMPRODUCT(--(N$8&lt;=Model2!$D$9:'Model2'!$CN$9),--(N$9&gt;=Model2!$D$9:'Model2'!$CN$9),Model2!$D38:'Model2'!$CN38)</f>
        <v>-2883.2271837980225</v>
      </c>
      <c r="O34" s="35" cm="1">
        <f t="array" ref="O34">SUMPRODUCT(--(O$8&lt;=Model2!$D$9:'Model2'!$CN$9),--(O$9&gt;=Model2!$D$9:'Model2'!$CN$9),Model2!$D38:'Model2'!$CN38)</f>
        <v>-3027.3885429879238</v>
      </c>
      <c r="P34" s="35" cm="1">
        <f t="array" ref="P34">SUMPRODUCT(--(P$8&lt;=Model2!$D$9:'Model2'!$CN$9),--(P$9&gt;=Model2!$D$9:'Model2'!$CN$9),Model2!$D38:'Model2'!$CN38)</f>
        <v>-3178.7579701373197</v>
      </c>
      <c r="Q34" s="35" cm="1">
        <f t="array" ref="Q34">SUMPRODUCT(--(Q$8&lt;=Model2!$D$9:'Model2'!$CN$9),--(Q$9&gt;=Model2!$D$9:'Model2'!$CN$9),Model2!$D38:'Model2'!$CN38)</f>
        <v>-3337.6958686441858</v>
      </c>
      <c r="R34" s="35" cm="1">
        <f t="array" ref="R34">SUMPRODUCT(--(R$8&lt;=Model2!$D$9:'Model2'!$CN$9),--(R$9&gt;=Model2!$D$9:'Model2'!$CN$9),Model2!$D38:'Model2'!$CN38)</f>
        <v>-3504.5806620763951</v>
      </c>
      <c r="S34" s="35" cm="1">
        <f t="array" ref="S34">SUMPRODUCT(--(S$8&lt;=Model2!$D$9:'Model2'!$CN$9),--(S$9&gt;=Model2!$D$9:'Model2'!$CN$9),Model2!$D38:'Model2'!$CN38)</f>
        <v>-3679.8096951802154</v>
      </c>
      <c r="T34" s="35" cm="1">
        <f t="array" ref="T34">SUMPRODUCT(--(T$8&lt;=Model2!$D$9:'Model2'!$CN$9),--(T$9&gt;=Model2!$D$9:'Model2'!$CN$9),Model2!$D38:'Model2'!$CN38)</f>
        <v>-3863.8001799392259</v>
      </c>
      <c r="U34" s="35" cm="1">
        <f t="array" ref="U34">SUMPRODUCT(--(U$8&lt;=Model2!$D$9:'Model2'!$CN$9),--(U$9&gt;=Model2!$D$9:'Model2'!$CN$9),Model2!$D38:'Model2'!$CN38)</f>
        <v>-4056.9901889361881</v>
      </c>
      <c r="V34" s="35" cm="1">
        <f t="array" ref="V34">SUMPRODUCT(--(V$8&lt;=Model2!$D$9:'Model2'!$CN$9),--(V$9&gt;=Model2!$D$9:'Model2'!$CN$9),Model2!$D38:'Model2'!$CN38)</f>
        <v>-4259.8396983829971</v>
      </c>
      <c r="W34" s="35" cm="1">
        <f t="array" ref="W34">SUMPRODUCT(--(W$8&lt;=Model2!$D$9:'Model2'!$CN$9),--(W$9&gt;=Model2!$D$9:'Model2'!$CN$9),Model2!$D38:'Model2'!$CN38)</f>
        <v>-4472.8316833021472</v>
      </c>
      <c r="X34" s="35" cm="1">
        <f t="array" ref="X34">SUMPRODUCT(--(X$8&lt;=Model2!$D$9:'Model2'!$CN$9),--(X$9&gt;=Model2!$D$9:'Model2'!$CN$9),Model2!$D38:'Model2'!$CN38)</f>
        <v>-4696.473267467255</v>
      </c>
      <c r="Y34" s="35" cm="1">
        <f t="array" ref="Y34">SUMPRODUCT(--(Y$8&lt;=Model2!$D$9:'Model2'!$CN$9),--(Y$9&gt;=Model2!$D$9:'Model2'!$CN$9),Model2!$D38:'Model2'!$CN38)</f>
        <v>-4931.2969308406173</v>
      </c>
      <c r="Z34" s="35" cm="1">
        <f t="array" ref="Z34">SUMPRODUCT(--(Z$8&lt;=Model2!$D$9:'Model2'!$CN$9),--(Z$9&gt;=Model2!$D$9:'Model2'!$CN$9),Model2!$D38:'Model2'!$CN38)</f>
        <v>-5177.86177738265</v>
      </c>
      <c r="AA34" s="35"/>
    </row>
    <row r="35" spans="1:27" ht="12.75" customHeight="1" outlineLevel="2">
      <c r="A35" s="35"/>
      <c r="B35" s="63" t="str">
        <f>'операционные  расходы 1 этап'!A18</f>
        <v>Канцтовары и прочее</v>
      </c>
      <c r="C35" s="74">
        <f t="shared" si="9"/>
        <v>-70928.04504926251</v>
      </c>
      <c r="D35" s="60">
        <f>Model2!D39</f>
        <v>0</v>
      </c>
      <c r="E35" s="35" cm="1">
        <f t="array" ref="E35">SUMPRODUCT(--(E$8&lt;=Model2!$D$9:'Model2'!$CN$9),--(E$9&gt;=Model2!$D$9:'Model2'!$CN$9),Model2!$D39:'Model2'!$CN39)</f>
        <v>0</v>
      </c>
      <c r="F35" s="35" cm="1">
        <f t="array" ref="F35">SUMPRODUCT(--(F$8&lt;=Model2!$D$9:'Model2'!$CN$9),--(F$9&gt;=Model2!$D$9:'Model2'!$CN$9),Model2!$D39:'Model2'!$CN39)</f>
        <v>0</v>
      </c>
      <c r="G35" s="35" cm="1">
        <f t="array" ref="G35">SUMPRODUCT(--(G$8&lt;=Model2!$D$9:'Model2'!$CN$9),--(G$9&gt;=Model2!$D$9:'Model2'!$CN$9),Model2!$D39:'Model2'!$CN39)</f>
        <v>0</v>
      </c>
      <c r="H35" s="35" cm="1">
        <f t="array" ref="H35">SUMPRODUCT(--(H$8&lt;=Model2!$D$9:'Model2'!$CN$9),--(H$9&gt;=Model2!$D$9:'Model2'!$CN$9),Model2!$D39:'Model2'!$CN39)</f>
        <v>0</v>
      </c>
      <c r="I35" s="35" cm="1">
        <f t="array" ref="I35">SUMPRODUCT(--(I$8&lt;=Model2!$D$9:'Model2'!$CN$9),--(I$9&gt;=Model2!$D$9:'Model2'!$CN$9),Model2!$D39:'Model2'!$CN39)</f>
        <v>-891.44924542750005</v>
      </c>
      <c r="J35" s="35" cm="1">
        <f t="array" ref="J35">SUMPRODUCT(--(J$8&lt;=Model2!$D$9:'Model2'!$CN$9),--(J$9&gt;=Model2!$D$9:'Model2'!$CN$9),Model2!$D39:'Model2'!$CN39)</f>
        <v>-2692.2846832364999</v>
      </c>
      <c r="K35" s="35" cm="1">
        <f t="array" ref="K35">SUMPRODUCT(--(K$8&lt;=Model2!$D$9:'Model2'!$CN$9),--(K$9&gt;=Model2!$D$9:'Model2'!$CN$9),Model2!$D39:'Model2'!$CN39)</f>
        <v>-2850.9895787610999</v>
      </c>
      <c r="L35" s="35" cm="1">
        <f t="array" ref="L35">SUMPRODUCT(--(L$8&lt;=Model2!$D$9:'Model2'!$CN$9),--(L$9&gt;=Model2!$D$9:'Model2'!$CN$9),Model2!$D39:'Model2'!$CN39)</f>
        <v>-2988.7680557673052</v>
      </c>
      <c r="M35" s="35" cm="1">
        <f t="array" ref="M35">SUMPRODUCT(--(M$8&lt;=Model2!$D$9:'Model2'!$CN$9),--(M$9&gt;=Model2!$D$9:'Model2'!$CN$9),Model2!$D39:'Model2'!$CN39)</f>
        <v>-3138.2064585556709</v>
      </c>
      <c r="N35" s="35" cm="1">
        <f t="array" ref="N35">SUMPRODUCT(--(N$8&lt;=Model2!$D$9:'Model2'!$CN$9),--(N$9&gt;=Model2!$D$9:'Model2'!$CN$9),Model2!$D39:'Model2'!$CN39)</f>
        <v>-3295.1167814834539</v>
      </c>
      <c r="O35" s="35" cm="1">
        <f t="array" ref="O35">SUMPRODUCT(--(O$8&lt;=Model2!$D$9:'Model2'!$CN$9),--(O$9&gt;=Model2!$D$9:'Model2'!$CN$9),Model2!$D39:'Model2'!$CN39)</f>
        <v>-3459.8726205576272</v>
      </c>
      <c r="P35" s="35" cm="1">
        <f t="array" ref="P35">SUMPRODUCT(--(P$8&lt;=Model2!$D$9:'Model2'!$CN$9),--(P$9&gt;=Model2!$D$9:'Model2'!$CN$9),Model2!$D39:'Model2'!$CN39)</f>
        <v>-3632.8662515855085</v>
      </c>
      <c r="Q35" s="35" cm="1">
        <f t="array" ref="Q35">SUMPRODUCT(--(Q$8&lt;=Model2!$D$9:'Model2'!$CN$9),--(Q$9&gt;=Model2!$D$9:'Model2'!$CN$9),Model2!$D39:'Model2'!$CN39)</f>
        <v>-3814.509564164784</v>
      </c>
      <c r="R35" s="35" cm="1">
        <f t="array" ref="R35">SUMPRODUCT(--(R$8&lt;=Model2!$D$9:'Model2'!$CN$9),--(R$9&gt;=Model2!$D$9:'Model2'!$CN$9),Model2!$D39:'Model2'!$CN39)</f>
        <v>-4005.2350423730231</v>
      </c>
      <c r="S35" s="35" cm="1">
        <f t="array" ref="S35">SUMPRODUCT(--(S$8&lt;=Model2!$D$9:'Model2'!$CN$9),--(S$9&gt;=Model2!$D$9:'Model2'!$CN$9),Model2!$D39:'Model2'!$CN39)</f>
        <v>-4205.4967944916752</v>
      </c>
      <c r="T35" s="35" cm="1">
        <f t="array" ref="T35">SUMPRODUCT(--(T$8&lt;=Model2!$D$9:'Model2'!$CN$9),--(T$9&gt;=Model2!$D$9:'Model2'!$CN$9),Model2!$D39:'Model2'!$CN39)</f>
        <v>-4415.7716342162585</v>
      </c>
      <c r="U35" s="35" cm="1">
        <f t="array" ref="U35">SUMPRODUCT(--(U$8&lt;=Model2!$D$9:'Model2'!$CN$9),--(U$9&gt;=Model2!$D$9:'Model2'!$CN$9),Model2!$D39:'Model2'!$CN39)</f>
        <v>-4636.560215927072</v>
      </c>
      <c r="V35" s="35" cm="1">
        <f t="array" ref="V35">SUMPRODUCT(--(V$8&lt;=Model2!$D$9:'Model2'!$CN$9),--(V$9&gt;=Model2!$D$9:'Model2'!$CN$9),Model2!$D39:'Model2'!$CN39)</f>
        <v>-4868.3882267234249</v>
      </c>
      <c r="W35" s="35" cm="1">
        <f t="array" ref="W35">SUMPRODUCT(--(W$8&lt;=Model2!$D$9:'Model2'!$CN$9),--(W$9&gt;=Model2!$D$9:'Model2'!$CN$9),Model2!$D39:'Model2'!$CN39)</f>
        <v>-5111.8076380595976</v>
      </c>
      <c r="X35" s="35" cm="1">
        <f t="array" ref="X35">SUMPRODUCT(--(X$8&lt;=Model2!$D$9:'Model2'!$CN$9),--(X$9&gt;=Model2!$D$9:'Model2'!$CN$9),Model2!$D39:'Model2'!$CN39)</f>
        <v>-5367.3980199625767</v>
      </c>
      <c r="Y35" s="35" cm="1">
        <f t="array" ref="Y35">SUMPRODUCT(--(Y$8&lt;=Model2!$D$9:'Model2'!$CN$9),--(Y$9&gt;=Model2!$D$9:'Model2'!$CN$9),Model2!$D39:'Model2'!$CN39)</f>
        <v>-5635.7679209607049</v>
      </c>
      <c r="Z35" s="35" cm="1">
        <f t="array" ref="Z35">SUMPRODUCT(--(Z$8&lt;=Model2!$D$9:'Model2'!$CN$9),--(Z$9&gt;=Model2!$D$9:'Model2'!$CN$9),Model2!$D39:'Model2'!$CN39)</f>
        <v>-5917.5563170087416</v>
      </c>
      <c r="AA35" s="35"/>
    </row>
    <row r="36" spans="1:27" ht="12.75" customHeight="1" outlineLevel="1">
      <c r="A36" s="35"/>
      <c r="B36" s="73" t="s">
        <v>142</v>
      </c>
      <c r="C36" s="37">
        <f t="shared" si="9"/>
        <v>0</v>
      </c>
      <c r="D36" s="60">
        <f>Model2!D41</f>
        <v>0</v>
      </c>
      <c r="E36" s="35" cm="1">
        <f t="array" ref="E36">SUMPRODUCT(--(E$8&lt;=Model2!$D$9:'Model2'!$CN$9),--(E$9&gt;=Model2!$D$9:'Model2'!$CN$9),Model2!$D41:'Model2'!$CN41)</f>
        <v>0</v>
      </c>
      <c r="F36" s="35" cm="1">
        <f t="array" ref="F36">SUMPRODUCT(--(F$8&lt;=Model2!$D$9:'Model2'!$CN$9),--(F$9&gt;=Model2!$D$9:'Model2'!$CN$9),Model2!$D41:'Model2'!$CN41)</f>
        <v>0</v>
      </c>
      <c r="G36" s="35" cm="1">
        <f t="array" ref="G36">SUMPRODUCT(--(G$8&lt;=Model2!$D$9:'Model2'!$CN$9),--(G$9&gt;=Model2!$D$9:'Model2'!$CN$9),Model2!$D41:'Model2'!$CN41)</f>
        <v>0</v>
      </c>
      <c r="H36" s="35" cm="1">
        <f t="array" ref="H36">SUMPRODUCT(--(H$8&lt;=Model2!$D$9:'Model2'!$CN$9),--(H$9&gt;=Model2!$D$9:'Model2'!$CN$9),Model2!$D41:'Model2'!$CN41)</f>
        <v>0</v>
      </c>
      <c r="I36" s="35" cm="1">
        <f t="array" ref="I36">SUMPRODUCT(--(I$8&lt;=Model2!$D$9:'Model2'!$CN$9),--(I$9&gt;=Model2!$D$9:'Model2'!$CN$9),Model2!$D41:'Model2'!$CN41)</f>
        <v>0</v>
      </c>
      <c r="J36" s="35" cm="1">
        <f t="array" ref="J36">SUMPRODUCT(--(J$8&lt;=Model2!$D$9:'Model2'!$CN$9),--(J$9&gt;=Model2!$D$9:'Model2'!$CN$9),Model2!$D41:'Model2'!$CN41)</f>
        <v>0</v>
      </c>
      <c r="K36" s="35" cm="1">
        <f t="array" ref="K36">SUMPRODUCT(--(K$8&lt;=Model2!$D$9:'Model2'!$CN$9),--(K$9&gt;=Model2!$D$9:'Model2'!$CN$9),Model2!$D41:'Model2'!$CN41)</f>
        <v>0</v>
      </c>
      <c r="L36" s="35" cm="1">
        <f t="array" ref="L36">SUMPRODUCT(--(L$8&lt;=Model2!$D$9:'Model2'!$CN$9),--(L$9&gt;=Model2!$D$9:'Model2'!$CN$9),Model2!$D41:'Model2'!$CN41)</f>
        <v>0</v>
      </c>
      <c r="M36" s="35" cm="1">
        <f t="array" ref="M36">SUMPRODUCT(--(M$8&lt;=Model2!$D$9:'Model2'!$CN$9),--(M$9&gt;=Model2!$D$9:'Model2'!$CN$9),Model2!$D41:'Model2'!$CN41)</f>
        <v>0</v>
      </c>
      <c r="N36" s="35" cm="1">
        <f t="array" ref="N36">SUMPRODUCT(--(N$8&lt;=Model2!$D$9:'Model2'!$CN$9),--(N$9&gt;=Model2!$D$9:'Model2'!$CN$9),Model2!$D41:'Model2'!$CN41)</f>
        <v>0</v>
      </c>
      <c r="O36" s="35" cm="1">
        <f t="array" ref="O36">SUMPRODUCT(--(O$8&lt;=Model2!$D$9:'Model2'!$CN$9),--(O$9&gt;=Model2!$D$9:'Model2'!$CN$9),Model2!$D41:'Model2'!$CN41)</f>
        <v>0</v>
      </c>
      <c r="P36" s="35" cm="1">
        <f t="array" ref="P36">SUMPRODUCT(--(P$8&lt;=Model2!$D$9:'Model2'!$CN$9),--(P$9&gt;=Model2!$D$9:'Model2'!$CN$9),Model2!$D41:'Model2'!$CN41)</f>
        <v>0</v>
      </c>
      <c r="Q36" s="35" cm="1">
        <f t="array" ref="Q36">SUMPRODUCT(--(Q$8&lt;=Model2!$D$9:'Model2'!$CN$9),--(Q$9&gt;=Model2!$D$9:'Model2'!$CN$9),Model2!$D41:'Model2'!$CN41)</f>
        <v>0</v>
      </c>
      <c r="R36" s="35" cm="1">
        <f t="array" ref="R36">SUMPRODUCT(--(R$8&lt;=Model2!$D$9:'Model2'!$CN$9),--(R$9&gt;=Model2!$D$9:'Model2'!$CN$9),Model2!$D41:'Model2'!$CN41)</f>
        <v>0</v>
      </c>
      <c r="S36" s="35" cm="1">
        <f t="array" ref="S36">SUMPRODUCT(--(S$8&lt;=Model2!$D$9:'Model2'!$CN$9),--(S$9&gt;=Model2!$D$9:'Model2'!$CN$9),Model2!$D41:'Model2'!$CN41)</f>
        <v>0</v>
      </c>
      <c r="T36" s="35" cm="1">
        <f t="array" ref="T36">SUMPRODUCT(--(T$8&lt;=Model2!$D$9:'Model2'!$CN$9),--(T$9&gt;=Model2!$D$9:'Model2'!$CN$9),Model2!$D41:'Model2'!$CN41)</f>
        <v>0</v>
      </c>
      <c r="U36" s="35" cm="1">
        <f t="array" ref="U36">SUMPRODUCT(--(U$8&lt;=Model2!$D$9:'Model2'!$CN$9),--(U$9&gt;=Model2!$D$9:'Model2'!$CN$9),Model2!$D41:'Model2'!$CN41)</f>
        <v>0</v>
      </c>
      <c r="V36" s="35" cm="1">
        <f t="array" ref="V36">SUMPRODUCT(--(V$8&lt;=Model2!$D$9:'Model2'!$CN$9),--(V$9&gt;=Model2!$D$9:'Model2'!$CN$9),Model2!$D41:'Model2'!$CN41)</f>
        <v>0</v>
      </c>
      <c r="W36" s="35" cm="1">
        <f t="array" ref="W36">SUMPRODUCT(--(W$8&lt;=Model2!$D$9:'Model2'!$CN$9),--(W$9&gt;=Model2!$D$9:'Model2'!$CN$9),Model2!$D41:'Model2'!$CN41)</f>
        <v>0</v>
      </c>
      <c r="X36" s="35" cm="1">
        <f t="array" ref="X36">SUMPRODUCT(--(X$8&lt;=Model2!$D$9:'Model2'!$CN$9),--(X$9&gt;=Model2!$D$9:'Model2'!$CN$9),Model2!$D41:'Model2'!$CN41)</f>
        <v>0</v>
      </c>
      <c r="Y36" s="35" cm="1">
        <f t="array" ref="Y36">SUMPRODUCT(--(Y$8&lt;=Model2!$D$9:'Model2'!$CN$9),--(Y$9&gt;=Model2!$D$9:'Model2'!$CN$9),Model2!$D41:'Model2'!$CN41)</f>
        <v>0</v>
      </c>
      <c r="Z36" s="35" cm="1">
        <f t="array" ref="Z36">SUMPRODUCT(--(Z$8&lt;=Model2!$D$9:'Model2'!$CN$9),--(Z$9&gt;=Model2!$D$9:'Model2'!$CN$9),Model2!$D41:'Model2'!$CN41)</f>
        <v>0</v>
      </c>
      <c r="AA36" s="35"/>
    </row>
    <row r="37" spans="1:27" ht="12.75" customHeight="1" outlineLevel="2">
      <c r="A37" s="35"/>
      <c r="B37" s="63" t="str">
        <f>'операционные  расходы 1 этап'!A20</f>
        <v>Затраты на выплату зарплаты персонала с учетом налогов и выплат в фонды</v>
      </c>
      <c r="C37" s="74">
        <f t="shared" si="9"/>
        <v>-2482481.5767241884</v>
      </c>
      <c r="D37" s="60">
        <f>Model2!D42</f>
        <v>0</v>
      </c>
      <c r="E37" s="35" cm="1">
        <f t="array" ref="E37">SUMPRODUCT(--(E$8&lt;=Model2!$D$9:'Model2'!$CN$9),--(E$9&gt;=Model2!$D$9:'Model2'!$CN$9),Model2!$D42:'Model2'!$CN42)</f>
        <v>0</v>
      </c>
      <c r="F37" s="35" cm="1">
        <f t="array" ref="F37">SUMPRODUCT(--(F$8&lt;=Model2!$D$9:'Model2'!$CN$9),--(F$9&gt;=Model2!$D$9:'Model2'!$CN$9),Model2!$D42:'Model2'!$CN42)</f>
        <v>0</v>
      </c>
      <c r="G37" s="35" cm="1">
        <f t="array" ref="G37">SUMPRODUCT(--(G$8&lt;=Model2!$D$9:'Model2'!$CN$9),--(G$9&gt;=Model2!$D$9:'Model2'!$CN$9),Model2!$D42:'Model2'!$CN42)</f>
        <v>0</v>
      </c>
      <c r="H37" s="35" cm="1">
        <f t="array" ref="H37">SUMPRODUCT(--(H$8&lt;=Model2!$D$9:'Model2'!$CN$9),--(H$9&gt;=Model2!$D$9:'Model2'!$CN$9),Model2!$D42:'Model2'!$CN42)</f>
        <v>0</v>
      </c>
      <c r="I37" s="35" cm="1">
        <f t="array" ref="I37">SUMPRODUCT(--(I$8&lt;=Model2!$D$9:'Model2'!$CN$9),--(I$9&gt;=Model2!$D$9:'Model2'!$CN$9),Model2!$D42:'Model2'!$CN42)</f>
        <v>-31200.723589962501</v>
      </c>
      <c r="J37" s="35" cm="1">
        <f t="array" ref="J37">SUMPRODUCT(--(J$8&lt;=Model2!$D$9:'Model2'!$CN$9),--(J$9&gt;=Model2!$D$9:'Model2'!$CN$9),Model2!$D42:'Model2'!$CN42)</f>
        <v>-94229.963913277505</v>
      </c>
      <c r="K37" s="35" cm="1">
        <f t="array" ref="K37">SUMPRODUCT(--(K$8&lt;=Model2!$D$9:'Model2'!$CN$9),--(K$9&gt;=Model2!$D$9:'Model2'!$CN$9),Model2!$D42:'Model2'!$CN42)</f>
        <v>-99784.635256638503</v>
      </c>
      <c r="L37" s="35" cm="1">
        <f t="array" ref="L37">SUMPRODUCT(--(L$8&lt;=Model2!$D$9:'Model2'!$CN$9),--(L$9&gt;=Model2!$D$9:'Model2'!$CN$9),Model2!$D42:'Model2'!$CN42)</f>
        <v>-104606.8819518557</v>
      </c>
      <c r="M37" s="35" cm="1">
        <f t="array" ref="M37">SUMPRODUCT(--(M$8&lt;=Model2!$D$9:'Model2'!$CN$9),--(M$9&gt;=Model2!$D$9:'Model2'!$CN$9),Model2!$D42:'Model2'!$CN42)</f>
        <v>-109837.22604944848</v>
      </c>
      <c r="N37" s="35" cm="1">
        <f t="array" ref="N37">SUMPRODUCT(--(N$8&lt;=Model2!$D$9:'Model2'!$CN$9),--(N$9&gt;=Model2!$D$9:'Model2'!$CN$9),Model2!$D42:'Model2'!$CN42)</f>
        <v>-115329.0873519209</v>
      </c>
      <c r="O37" s="35" cm="1">
        <f t="array" ref="O37">SUMPRODUCT(--(O$8&lt;=Model2!$D$9:'Model2'!$CN$9),--(O$9&gt;=Model2!$D$9:'Model2'!$CN$9),Model2!$D42:'Model2'!$CN42)</f>
        <v>-121095.54171951696</v>
      </c>
      <c r="P37" s="35" cm="1">
        <f t="array" ref="P37">SUMPRODUCT(--(P$8&lt;=Model2!$D$9:'Model2'!$CN$9),--(P$9&gt;=Model2!$D$9:'Model2'!$CN$9),Model2!$D42:'Model2'!$CN42)</f>
        <v>-127150.3188054928</v>
      </c>
      <c r="Q37" s="35" cm="1">
        <f t="array" ref="Q37">SUMPRODUCT(--(Q$8&lt;=Model2!$D$9:'Model2'!$CN$9),--(Q$9&gt;=Model2!$D$9:'Model2'!$CN$9),Model2!$D42:'Model2'!$CN42)</f>
        <v>-133507.83474576744</v>
      </c>
      <c r="R37" s="35" cm="1">
        <f t="array" ref="R37">SUMPRODUCT(--(R$8&lt;=Model2!$D$9:'Model2'!$CN$9),--(R$9&gt;=Model2!$D$9:'Model2'!$CN$9),Model2!$D42:'Model2'!$CN42)</f>
        <v>-140183.22648305583</v>
      </c>
      <c r="S37" s="35" cm="1">
        <f t="array" ref="S37">SUMPRODUCT(--(S$8&lt;=Model2!$D$9:'Model2'!$CN$9),--(S$9&gt;=Model2!$D$9:'Model2'!$CN$9),Model2!$D42:'Model2'!$CN42)</f>
        <v>-147192.38780720864</v>
      </c>
      <c r="T37" s="35" cm="1">
        <f t="array" ref="T37">SUMPRODUCT(--(T$8&lt;=Model2!$D$9:'Model2'!$CN$9),--(T$9&gt;=Model2!$D$9:'Model2'!$CN$9),Model2!$D42:'Model2'!$CN42)</f>
        <v>-154552.00719756907</v>
      </c>
      <c r="U37" s="35" cm="1">
        <f t="array" ref="U37">SUMPRODUCT(--(U$8&lt;=Model2!$D$9:'Model2'!$CN$9),--(U$9&gt;=Model2!$D$9:'Model2'!$CN$9),Model2!$D42:'Model2'!$CN42)</f>
        <v>-162279.60755744751</v>
      </c>
      <c r="V37" s="35" cm="1">
        <f t="array" ref="V37">SUMPRODUCT(--(V$8&lt;=Model2!$D$9:'Model2'!$CN$9),--(V$9&gt;=Model2!$D$9:'Model2'!$CN$9),Model2!$D42:'Model2'!$CN42)</f>
        <v>-170393.58793531993</v>
      </c>
      <c r="W37" s="35" cm="1">
        <f t="array" ref="W37">SUMPRODUCT(--(W$8&lt;=Model2!$D$9:'Model2'!$CN$9),--(W$9&gt;=Model2!$D$9:'Model2'!$CN$9),Model2!$D42:'Model2'!$CN42)</f>
        <v>-178913.2673320859</v>
      </c>
      <c r="X37" s="35" cm="1">
        <f t="array" ref="X37">SUMPRODUCT(--(X$8&lt;=Model2!$D$9:'Model2'!$CN$9),--(X$9&gt;=Model2!$D$9:'Model2'!$CN$9),Model2!$D42:'Model2'!$CN42)</f>
        <v>-187858.93069869021</v>
      </c>
      <c r="Y37" s="35" cm="1">
        <f t="array" ref="Y37">SUMPRODUCT(--(Y$8&lt;=Model2!$D$9:'Model2'!$CN$9),--(Y$9&gt;=Model2!$D$9:'Model2'!$CN$9),Model2!$D42:'Model2'!$CN42)</f>
        <v>-197251.87723362472</v>
      </c>
      <c r="Z37" s="35" cm="1">
        <f t="array" ref="Z37">SUMPRODUCT(--(Z$8&lt;=Model2!$D$9:'Model2'!$CN$9),--(Z$9&gt;=Model2!$D$9:'Model2'!$CN$9),Model2!$D42:'Model2'!$CN42)</f>
        <v>-207114.47109530598</v>
      </c>
      <c r="AA37" s="35"/>
    </row>
    <row r="38" spans="1:27" ht="12.75" customHeight="1" outlineLevel="2">
      <c r="A38" s="35"/>
      <c r="B38" s="63" t="str">
        <f>'операционные  расходы 1 этап'!A21</f>
        <v>Техобслуживание оборудования гостинично-конгрессного комлекса, клубного дома, СПА-комплекса и ресторанно-развлекательного центра</v>
      </c>
      <c r="C38" s="74">
        <f t="shared" si="9"/>
        <v>-79794.050680420347</v>
      </c>
      <c r="D38" s="60">
        <f>Model2!D43</f>
        <v>0</v>
      </c>
      <c r="E38" s="35" cm="1">
        <f t="array" ref="E38">SUMPRODUCT(--(E$8&lt;=Model2!$D$9:'Model2'!$CN$9),--(E$9&gt;=Model2!$D$9:'Model2'!$CN$9),Model2!$D43:'Model2'!$CN43)</f>
        <v>0</v>
      </c>
      <c r="F38" s="35" cm="1">
        <f t="array" ref="F38">SUMPRODUCT(--(F$8&lt;=Model2!$D$9:'Model2'!$CN$9),--(F$9&gt;=Model2!$D$9:'Model2'!$CN$9),Model2!$D43:'Model2'!$CN43)</f>
        <v>0</v>
      </c>
      <c r="G38" s="35" cm="1">
        <f t="array" ref="G38">SUMPRODUCT(--(G$8&lt;=Model2!$D$9:'Model2'!$CN$9),--(G$9&gt;=Model2!$D$9:'Model2'!$CN$9),Model2!$D43:'Model2'!$CN43)</f>
        <v>0</v>
      </c>
      <c r="H38" s="35" cm="1">
        <f t="array" ref="H38">SUMPRODUCT(--(H$8&lt;=Model2!$D$9:'Model2'!$CN$9),--(H$9&gt;=Model2!$D$9:'Model2'!$CN$9),Model2!$D43:'Model2'!$CN43)</f>
        <v>0</v>
      </c>
      <c r="I38" s="35" cm="1">
        <f t="array" ref="I38">SUMPRODUCT(--(I$8&lt;=Model2!$D$9:'Model2'!$CN$9),--(I$9&gt;=Model2!$D$9:'Model2'!$CN$9),Model2!$D43:'Model2'!$CN43)</f>
        <v>-1002.8804011059374</v>
      </c>
      <c r="J38" s="35" cm="1">
        <f t="array" ref="J38">SUMPRODUCT(--(J$8&lt;=Model2!$D$9:'Model2'!$CN$9),--(J$9&gt;=Model2!$D$9:'Model2'!$CN$9),Model2!$D43:'Model2'!$CN43)</f>
        <v>-3028.8202686410623</v>
      </c>
      <c r="K38" s="35" cm="1">
        <f t="array" ref="K38">SUMPRODUCT(--(K$8&lt;=Model2!$D$9:'Model2'!$CN$9),--(K$9&gt;=Model2!$D$9:'Model2'!$CN$9),Model2!$D43:'Model2'!$CN43)</f>
        <v>-3207.3632761062372</v>
      </c>
      <c r="L38" s="35" cm="1">
        <f t="array" ref="L38">SUMPRODUCT(--(L$8&lt;=Model2!$D$9:'Model2'!$CN$9),--(L$9&gt;=Model2!$D$9:'Model2'!$CN$9),Model2!$D43:'Model2'!$CN43)</f>
        <v>-3362.3640627382183</v>
      </c>
      <c r="M38" s="35" cm="1">
        <f t="array" ref="M38">SUMPRODUCT(--(M$8&lt;=Model2!$D$9:'Model2'!$CN$9),--(M$9&gt;=Model2!$D$9:'Model2'!$CN$9),Model2!$D43:'Model2'!$CN43)</f>
        <v>-3530.4822658751291</v>
      </c>
      <c r="N38" s="35" cm="1">
        <f t="array" ref="N38">SUMPRODUCT(--(N$8&lt;=Model2!$D$9:'Model2'!$CN$9),--(N$9&gt;=Model2!$D$9:'Model2'!$CN$9),Model2!$D43:'Model2'!$CN43)</f>
        <v>-3707.0063791688854</v>
      </c>
      <c r="O38" s="35" cm="1">
        <f t="array" ref="O38">SUMPRODUCT(--(O$8&lt;=Model2!$D$9:'Model2'!$CN$9),--(O$9&gt;=Model2!$D$9:'Model2'!$CN$9),Model2!$D43:'Model2'!$CN43)</f>
        <v>-3892.3566981273298</v>
      </c>
      <c r="P38" s="35" cm="1">
        <f t="array" ref="P38">SUMPRODUCT(--(P$8&lt;=Model2!$D$9:'Model2'!$CN$9),--(P$9&gt;=Model2!$D$9:'Model2'!$CN$9),Model2!$D43:'Model2'!$CN43)</f>
        <v>-4086.9745330336968</v>
      </c>
      <c r="Q38" s="35" cm="1">
        <f t="array" ref="Q38">SUMPRODUCT(--(Q$8&lt;=Model2!$D$9:'Model2'!$CN$9),--(Q$9&gt;=Model2!$D$9:'Model2'!$CN$9),Model2!$D43:'Model2'!$CN43)</f>
        <v>-4291.3232596853813</v>
      </c>
      <c r="R38" s="35" cm="1">
        <f t="array" ref="R38">SUMPRODUCT(--(R$8&lt;=Model2!$D$9:'Model2'!$CN$9),--(R$9&gt;=Model2!$D$9:'Model2'!$CN$9),Model2!$D43:'Model2'!$CN43)</f>
        <v>-4505.8894226696502</v>
      </c>
      <c r="S38" s="35" cm="1">
        <f t="array" ref="S38">SUMPRODUCT(--(S$8&lt;=Model2!$D$9:'Model2'!$CN$9),--(S$9&gt;=Model2!$D$9:'Model2'!$CN$9),Model2!$D43:'Model2'!$CN43)</f>
        <v>-4731.1838938031342</v>
      </c>
      <c r="T38" s="35" cm="1">
        <f t="array" ref="T38">SUMPRODUCT(--(T$8&lt;=Model2!$D$9:'Model2'!$CN$9),--(T$9&gt;=Model2!$D$9:'Model2'!$CN$9),Model2!$D43:'Model2'!$CN43)</f>
        <v>-4967.743088493291</v>
      </c>
      <c r="U38" s="35" cm="1">
        <f t="array" ref="U38">SUMPRODUCT(--(U$8&lt;=Model2!$D$9:'Model2'!$CN$9),--(U$9&gt;=Model2!$D$9:'Model2'!$CN$9),Model2!$D43:'Model2'!$CN43)</f>
        <v>-5216.130242917955</v>
      </c>
      <c r="V38" s="35" cm="1">
        <f t="array" ref="V38">SUMPRODUCT(--(V$8&lt;=Model2!$D$9:'Model2'!$CN$9),--(V$9&gt;=Model2!$D$9:'Model2'!$CN$9),Model2!$D43:'Model2'!$CN43)</f>
        <v>-5476.9367550638526</v>
      </c>
      <c r="W38" s="35" cm="1">
        <f t="array" ref="W38">SUMPRODUCT(--(W$8&lt;=Model2!$D$9:'Model2'!$CN$9),--(W$9&gt;=Model2!$D$9:'Model2'!$CN$9),Model2!$D43:'Model2'!$CN43)</f>
        <v>-5750.7835928170462</v>
      </c>
      <c r="X38" s="35" cm="1">
        <f t="array" ref="X38">SUMPRODUCT(--(X$8&lt;=Model2!$D$9:'Model2'!$CN$9),--(X$9&gt;=Model2!$D$9:'Model2'!$CN$9),Model2!$D43:'Model2'!$CN43)</f>
        <v>-6038.3227724578983</v>
      </c>
      <c r="Y38" s="35" cm="1">
        <f t="array" ref="Y38">SUMPRODUCT(--(Y$8&lt;=Model2!$D$9:'Model2'!$CN$9),--(Y$9&gt;=Model2!$D$9:'Model2'!$CN$9),Model2!$D43:'Model2'!$CN43)</f>
        <v>-6340.2389110807935</v>
      </c>
      <c r="Z38" s="35" cm="1">
        <f t="array" ref="Z38">SUMPRODUCT(--(Z$8&lt;=Model2!$D$9:'Model2'!$CN$9),--(Z$9&gt;=Model2!$D$9:'Model2'!$CN$9),Model2!$D43:'Model2'!$CN43)</f>
        <v>-6657.2508566348342</v>
      </c>
      <c r="AA38" s="35"/>
    </row>
    <row r="39" spans="1:27" ht="12.75" customHeight="1" outlineLevel="2">
      <c r="A39" s="35"/>
      <c r="B39" s="63" t="str">
        <f>'операционные  расходы 1 этап'!A22</f>
        <v>Ремонт и эксплуатация</v>
      </c>
      <c r="C39" s="74">
        <f t="shared" si="9"/>
        <v>-88660.056311578141</v>
      </c>
      <c r="D39" s="60">
        <f>Model2!D44</f>
        <v>0</v>
      </c>
      <c r="E39" s="35" cm="1">
        <f t="array" ref="E39">SUMPRODUCT(--(E$8&lt;=Model2!$D$9:'Model2'!$CN$9),--(E$9&gt;=Model2!$D$9:'Model2'!$CN$9),Model2!$D44:'Model2'!$CN44)</f>
        <v>0</v>
      </c>
      <c r="F39" s="35" cm="1">
        <f t="array" ref="F39">SUMPRODUCT(--(F$8&lt;=Model2!$D$9:'Model2'!$CN$9),--(F$9&gt;=Model2!$D$9:'Model2'!$CN$9),Model2!$D44:'Model2'!$CN44)</f>
        <v>0</v>
      </c>
      <c r="G39" s="35" cm="1">
        <f t="array" ref="G39">SUMPRODUCT(--(G$8&lt;=Model2!$D$9:'Model2'!$CN$9),--(G$9&gt;=Model2!$D$9:'Model2'!$CN$9),Model2!$D44:'Model2'!$CN44)</f>
        <v>0</v>
      </c>
      <c r="H39" s="35" cm="1">
        <f t="array" ref="H39">SUMPRODUCT(--(H$8&lt;=Model2!$D$9:'Model2'!$CN$9),--(H$9&gt;=Model2!$D$9:'Model2'!$CN$9),Model2!$D44:'Model2'!$CN44)</f>
        <v>0</v>
      </c>
      <c r="I39" s="35" cm="1">
        <f t="array" ref="I39">SUMPRODUCT(--(I$8&lt;=Model2!$D$9:'Model2'!$CN$9),--(I$9&gt;=Model2!$D$9:'Model2'!$CN$9),Model2!$D44:'Model2'!$CN44)</f>
        <v>-1114.3115567843752</v>
      </c>
      <c r="J39" s="35" cm="1">
        <f t="array" ref="J39">SUMPRODUCT(--(J$8&lt;=Model2!$D$9:'Model2'!$CN$9),--(J$9&gt;=Model2!$D$9:'Model2'!$CN$9),Model2!$D44:'Model2'!$CN44)</f>
        <v>-3365.3558540456252</v>
      </c>
      <c r="K39" s="35" cm="1">
        <f t="array" ref="K39">SUMPRODUCT(--(K$8&lt;=Model2!$D$9:'Model2'!$CN$9),--(K$9&gt;=Model2!$D$9:'Model2'!$CN$9),Model2!$D44:'Model2'!$CN44)</f>
        <v>-3563.736973451375</v>
      </c>
      <c r="L39" s="35" cm="1">
        <f t="array" ref="L39">SUMPRODUCT(--(L$8&lt;=Model2!$D$9:'Model2'!$CN$9),--(L$9&gt;=Model2!$D$9:'Model2'!$CN$9),Model2!$D44:'Model2'!$CN44)</f>
        <v>-3735.9600697091314</v>
      </c>
      <c r="M39" s="35" cm="1">
        <f t="array" ref="M39">SUMPRODUCT(--(M$8&lt;=Model2!$D$9:'Model2'!$CN$9),--(M$9&gt;=Model2!$D$9:'Model2'!$CN$9),Model2!$D44:'Model2'!$CN44)</f>
        <v>-3922.7580731945886</v>
      </c>
      <c r="N39" s="35" cm="1">
        <f t="array" ref="N39">SUMPRODUCT(--(N$8&lt;=Model2!$D$9:'Model2'!$CN$9),--(N$9&gt;=Model2!$D$9:'Model2'!$CN$9),Model2!$D44:'Model2'!$CN44)</f>
        <v>-4118.8959768543182</v>
      </c>
      <c r="O39" s="35" cm="1">
        <f t="array" ref="O39">SUMPRODUCT(--(O$8&lt;=Model2!$D$9:'Model2'!$CN$9),--(O$9&gt;=Model2!$D$9:'Model2'!$CN$9),Model2!$D44:'Model2'!$CN44)</f>
        <v>-4324.8407756970337</v>
      </c>
      <c r="P39" s="35" cm="1">
        <f t="array" ref="P39">SUMPRODUCT(--(P$8&lt;=Model2!$D$9:'Model2'!$CN$9),--(P$9&gt;=Model2!$D$9:'Model2'!$CN$9),Model2!$D44:'Model2'!$CN44)</f>
        <v>-4541.0828144818861</v>
      </c>
      <c r="Q39" s="35" cm="1">
        <f t="array" ref="Q39">SUMPRODUCT(--(Q$8&lt;=Model2!$D$9:'Model2'!$CN$9),--(Q$9&gt;=Model2!$D$9:'Model2'!$CN$9),Model2!$D44:'Model2'!$CN44)</f>
        <v>-4768.1369552059805</v>
      </c>
      <c r="R39" s="35" cm="1">
        <f t="array" ref="R39">SUMPRODUCT(--(R$8&lt;=Model2!$D$9:'Model2'!$CN$9),--(R$9&gt;=Model2!$D$9:'Model2'!$CN$9),Model2!$D44:'Model2'!$CN44)</f>
        <v>-5006.5438029662782</v>
      </c>
      <c r="S39" s="35" cm="1">
        <f t="array" ref="S39">SUMPRODUCT(--(S$8&lt;=Model2!$D$9:'Model2'!$CN$9),--(S$9&gt;=Model2!$D$9:'Model2'!$CN$9),Model2!$D44:'Model2'!$CN44)</f>
        <v>-5256.8709931145931</v>
      </c>
      <c r="T39" s="35" cm="1">
        <f t="array" ref="T39">SUMPRODUCT(--(T$8&lt;=Model2!$D$9:'Model2'!$CN$9),--(T$9&gt;=Model2!$D$9:'Model2'!$CN$9),Model2!$D44:'Model2'!$CN44)</f>
        <v>-5519.7145427703235</v>
      </c>
      <c r="U39" s="35" cm="1">
        <f t="array" ref="U39">SUMPRODUCT(--(U$8&lt;=Model2!$D$9:'Model2'!$CN$9),--(U$9&gt;=Model2!$D$9:'Model2'!$CN$9),Model2!$D44:'Model2'!$CN44)</f>
        <v>-5795.7002699088407</v>
      </c>
      <c r="V39" s="35" cm="1">
        <f t="array" ref="V39">SUMPRODUCT(--(V$8&lt;=Model2!$D$9:'Model2'!$CN$9),--(V$9&gt;=Model2!$D$9:'Model2'!$CN$9),Model2!$D44:'Model2'!$CN44)</f>
        <v>-6085.4852834042813</v>
      </c>
      <c r="W39" s="35" cm="1">
        <f t="array" ref="W39">SUMPRODUCT(--(W$8&lt;=Model2!$D$9:'Model2'!$CN$9),--(W$9&gt;=Model2!$D$9:'Model2'!$CN$9),Model2!$D44:'Model2'!$CN44)</f>
        <v>-6389.7595475744965</v>
      </c>
      <c r="X39" s="35" cm="1">
        <f t="array" ref="X39">SUMPRODUCT(--(X$8&lt;=Model2!$D$9:'Model2'!$CN$9),--(X$9&gt;=Model2!$D$9:'Model2'!$CN$9),Model2!$D44:'Model2'!$CN44)</f>
        <v>-6709.2475249532217</v>
      </c>
      <c r="Y39" s="35" cm="1">
        <f t="array" ref="Y39">SUMPRODUCT(--(Y$8&lt;=Model2!$D$9:'Model2'!$CN$9),--(Y$9&gt;=Model2!$D$9:'Model2'!$CN$9),Model2!$D44:'Model2'!$CN44)</f>
        <v>-7044.7099012008821</v>
      </c>
      <c r="Z39" s="35" cm="1">
        <f t="array" ref="Z39">SUMPRODUCT(--(Z$8&lt;=Model2!$D$9:'Model2'!$CN$9),--(Z$9&gt;=Model2!$D$9:'Model2'!$CN$9),Model2!$D44:'Model2'!$CN44)</f>
        <v>-7396.9453962609286</v>
      </c>
      <c r="AA39" s="35"/>
    </row>
    <row r="40" spans="1:27" ht="12.75" customHeight="1" outlineLevel="2">
      <c r="A40" s="35"/>
      <c r="B40" s="63" t="str">
        <f>'операционные  расходы 1 этап'!A23</f>
        <v>Водоподготовка в крытых бассейнах СПА-центра</v>
      </c>
      <c r="C40" s="74">
        <f t="shared" si="9"/>
        <v>0</v>
      </c>
      <c r="D40" s="60">
        <f>Model2!D45</f>
        <v>0</v>
      </c>
      <c r="E40" s="35" cm="1">
        <f t="array" ref="E40">SUMPRODUCT(--(E$8&lt;=Model2!$D$9:'Model2'!$CN$9),--(E$9&gt;=Model2!$D$9:'Model2'!$CN$9),Model2!$D45:'Model2'!$CN45)</f>
        <v>0</v>
      </c>
      <c r="F40" s="35" cm="1">
        <f t="array" ref="F40">SUMPRODUCT(--(F$8&lt;=Model2!$D$9:'Model2'!$CN$9),--(F$9&gt;=Model2!$D$9:'Model2'!$CN$9),Model2!$D45:'Model2'!$CN45)</f>
        <v>0</v>
      </c>
      <c r="G40" s="35" cm="1">
        <f t="array" ref="G40">SUMPRODUCT(--(G$8&lt;=Model2!$D$9:'Model2'!$CN$9),--(G$9&gt;=Model2!$D$9:'Model2'!$CN$9),Model2!$D45:'Model2'!$CN45)</f>
        <v>0</v>
      </c>
      <c r="H40" s="35" cm="1">
        <f t="array" ref="H40">SUMPRODUCT(--(H$8&lt;=Model2!$D$9:'Model2'!$CN$9),--(H$9&gt;=Model2!$D$9:'Model2'!$CN$9),Model2!$D45:'Model2'!$CN45)</f>
        <v>0</v>
      </c>
      <c r="I40" s="35" cm="1">
        <f t="array" ref="I40">SUMPRODUCT(--(I$8&lt;=Model2!$D$9:'Model2'!$CN$9),--(I$9&gt;=Model2!$D$9:'Model2'!$CN$9),Model2!$D45:'Model2'!$CN45)</f>
        <v>0</v>
      </c>
      <c r="J40" s="35" cm="1">
        <f t="array" ref="J40">SUMPRODUCT(--(J$8&lt;=Model2!$D$9:'Model2'!$CN$9),--(J$9&gt;=Model2!$D$9:'Model2'!$CN$9),Model2!$D45:'Model2'!$CN45)</f>
        <v>0</v>
      </c>
      <c r="K40" s="35" cm="1">
        <f t="array" ref="K40">SUMPRODUCT(--(K$8&lt;=Model2!$D$9:'Model2'!$CN$9),--(K$9&gt;=Model2!$D$9:'Model2'!$CN$9),Model2!$D45:'Model2'!$CN45)</f>
        <v>0</v>
      </c>
      <c r="L40" s="35" cm="1">
        <f t="array" ref="L40">SUMPRODUCT(--(L$8&lt;=Model2!$D$9:'Model2'!$CN$9),--(L$9&gt;=Model2!$D$9:'Model2'!$CN$9),Model2!$D45:'Model2'!$CN45)</f>
        <v>0</v>
      </c>
      <c r="M40" s="35" cm="1">
        <f t="array" ref="M40">SUMPRODUCT(--(M$8&lt;=Model2!$D$9:'Model2'!$CN$9),--(M$9&gt;=Model2!$D$9:'Model2'!$CN$9),Model2!$D45:'Model2'!$CN45)</f>
        <v>0</v>
      </c>
      <c r="N40" s="35" cm="1">
        <f t="array" ref="N40">SUMPRODUCT(--(N$8&lt;=Model2!$D$9:'Model2'!$CN$9),--(N$9&gt;=Model2!$D$9:'Model2'!$CN$9),Model2!$D45:'Model2'!$CN45)</f>
        <v>0</v>
      </c>
      <c r="O40" s="35" cm="1">
        <f t="array" ref="O40">SUMPRODUCT(--(O$8&lt;=Model2!$D$9:'Model2'!$CN$9),--(O$9&gt;=Model2!$D$9:'Model2'!$CN$9),Model2!$D45:'Model2'!$CN45)</f>
        <v>0</v>
      </c>
      <c r="P40" s="35" cm="1">
        <f t="array" ref="P40">SUMPRODUCT(--(P$8&lt;=Model2!$D$9:'Model2'!$CN$9),--(P$9&gt;=Model2!$D$9:'Model2'!$CN$9),Model2!$D45:'Model2'!$CN45)</f>
        <v>0</v>
      </c>
      <c r="Q40" s="35" cm="1">
        <f t="array" ref="Q40">SUMPRODUCT(--(Q$8&lt;=Model2!$D$9:'Model2'!$CN$9),--(Q$9&gt;=Model2!$D$9:'Model2'!$CN$9),Model2!$D45:'Model2'!$CN45)</f>
        <v>0</v>
      </c>
      <c r="R40" s="35" cm="1">
        <f t="array" ref="R40">SUMPRODUCT(--(R$8&lt;=Model2!$D$9:'Model2'!$CN$9),--(R$9&gt;=Model2!$D$9:'Model2'!$CN$9),Model2!$D45:'Model2'!$CN45)</f>
        <v>0</v>
      </c>
      <c r="S40" s="35" cm="1">
        <f t="array" ref="S40">SUMPRODUCT(--(S$8&lt;=Model2!$D$9:'Model2'!$CN$9),--(S$9&gt;=Model2!$D$9:'Model2'!$CN$9),Model2!$D45:'Model2'!$CN45)</f>
        <v>0</v>
      </c>
      <c r="T40" s="35" cm="1">
        <f t="array" ref="T40">SUMPRODUCT(--(T$8&lt;=Model2!$D$9:'Model2'!$CN$9),--(T$9&gt;=Model2!$D$9:'Model2'!$CN$9),Model2!$D45:'Model2'!$CN45)</f>
        <v>0</v>
      </c>
      <c r="U40" s="35" cm="1">
        <f t="array" ref="U40">SUMPRODUCT(--(U$8&lt;=Model2!$D$9:'Model2'!$CN$9),--(U$9&gt;=Model2!$D$9:'Model2'!$CN$9),Model2!$D45:'Model2'!$CN45)</f>
        <v>0</v>
      </c>
      <c r="V40" s="35" cm="1">
        <f t="array" ref="V40">SUMPRODUCT(--(V$8&lt;=Model2!$D$9:'Model2'!$CN$9),--(V$9&gt;=Model2!$D$9:'Model2'!$CN$9),Model2!$D45:'Model2'!$CN45)</f>
        <v>0</v>
      </c>
      <c r="W40" s="35" cm="1">
        <f t="array" ref="W40">SUMPRODUCT(--(W$8&lt;=Model2!$D$9:'Model2'!$CN$9),--(W$9&gt;=Model2!$D$9:'Model2'!$CN$9),Model2!$D45:'Model2'!$CN45)</f>
        <v>0</v>
      </c>
      <c r="X40" s="35" cm="1">
        <f t="array" ref="X40">SUMPRODUCT(--(X$8&lt;=Model2!$D$9:'Model2'!$CN$9),--(X$9&gt;=Model2!$D$9:'Model2'!$CN$9),Model2!$D45:'Model2'!$CN45)</f>
        <v>0</v>
      </c>
      <c r="Y40" s="35" cm="1">
        <f t="array" ref="Y40">SUMPRODUCT(--(Y$8&lt;=Model2!$D$9:'Model2'!$CN$9),--(Y$9&gt;=Model2!$D$9:'Model2'!$CN$9),Model2!$D45:'Model2'!$CN45)</f>
        <v>0</v>
      </c>
      <c r="Z40" s="35" cm="1">
        <f t="array" ref="Z40">SUMPRODUCT(--(Z$8&lt;=Model2!$D$9:'Model2'!$CN$9),--(Z$9&gt;=Model2!$D$9:'Model2'!$CN$9),Model2!$D45:'Model2'!$CN45)</f>
        <v>0</v>
      </c>
      <c r="AA40" s="35"/>
    </row>
    <row r="41" spans="1:27" ht="12.75" customHeight="1" outlineLevel="2">
      <c r="A41" s="35"/>
      <c r="B41" s="63" t="str">
        <f>'операционные  расходы 1 этап'!A24</f>
        <v>Водоподготовка в сезонных открытых бассейнах СПА-центра</v>
      </c>
      <c r="C41" s="74">
        <f t="shared" si="9"/>
        <v>0</v>
      </c>
      <c r="D41" s="60">
        <f>Model2!D46</f>
        <v>0</v>
      </c>
      <c r="E41" s="35" cm="1">
        <f t="array" ref="E41">SUMPRODUCT(--(E$8&lt;=Model2!$D$9:'Model2'!$CN$9),--(E$9&gt;=Model2!$D$9:'Model2'!$CN$9),Model2!$D46:'Model2'!$CN46)</f>
        <v>0</v>
      </c>
      <c r="F41" s="35" cm="1">
        <f t="array" ref="F41">SUMPRODUCT(--(F$8&lt;=Model2!$D$9:'Model2'!$CN$9),--(F$9&gt;=Model2!$D$9:'Model2'!$CN$9),Model2!$D46:'Model2'!$CN46)</f>
        <v>0</v>
      </c>
      <c r="G41" s="35" cm="1">
        <f t="array" ref="G41">SUMPRODUCT(--(G$8&lt;=Model2!$D$9:'Model2'!$CN$9),--(G$9&gt;=Model2!$D$9:'Model2'!$CN$9),Model2!$D46:'Model2'!$CN46)</f>
        <v>0</v>
      </c>
      <c r="H41" s="35" cm="1">
        <f t="array" ref="H41">SUMPRODUCT(--(H$8&lt;=Model2!$D$9:'Model2'!$CN$9),--(H$9&gt;=Model2!$D$9:'Model2'!$CN$9),Model2!$D46:'Model2'!$CN46)</f>
        <v>0</v>
      </c>
      <c r="I41" s="35" cm="1">
        <f t="array" ref="I41">SUMPRODUCT(--(I$8&lt;=Model2!$D$9:'Model2'!$CN$9),--(I$9&gt;=Model2!$D$9:'Model2'!$CN$9),Model2!$D46:'Model2'!$CN46)</f>
        <v>0</v>
      </c>
      <c r="J41" s="35" cm="1">
        <f t="array" ref="J41">SUMPRODUCT(--(J$8&lt;=Model2!$D$9:'Model2'!$CN$9),--(J$9&gt;=Model2!$D$9:'Model2'!$CN$9),Model2!$D46:'Model2'!$CN46)</f>
        <v>0</v>
      </c>
      <c r="K41" s="35" cm="1">
        <f t="array" ref="K41">SUMPRODUCT(--(K$8&lt;=Model2!$D$9:'Model2'!$CN$9),--(K$9&gt;=Model2!$D$9:'Model2'!$CN$9),Model2!$D46:'Model2'!$CN46)</f>
        <v>0</v>
      </c>
      <c r="L41" s="35" cm="1">
        <f t="array" ref="L41">SUMPRODUCT(--(L$8&lt;=Model2!$D$9:'Model2'!$CN$9),--(L$9&gt;=Model2!$D$9:'Model2'!$CN$9),Model2!$D46:'Model2'!$CN46)</f>
        <v>0</v>
      </c>
      <c r="M41" s="35" cm="1">
        <f t="array" ref="M41">SUMPRODUCT(--(M$8&lt;=Model2!$D$9:'Model2'!$CN$9),--(M$9&gt;=Model2!$D$9:'Model2'!$CN$9),Model2!$D46:'Model2'!$CN46)</f>
        <v>0</v>
      </c>
      <c r="N41" s="35" cm="1">
        <f t="array" ref="N41">SUMPRODUCT(--(N$8&lt;=Model2!$D$9:'Model2'!$CN$9),--(N$9&gt;=Model2!$D$9:'Model2'!$CN$9),Model2!$D46:'Model2'!$CN46)</f>
        <v>0</v>
      </c>
      <c r="O41" s="35" cm="1">
        <f t="array" ref="O41">SUMPRODUCT(--(O$8&lt;=Model2!$D$9:'Model2'!$CN$9),--(O$9&gt;=Model2!$D$9:'Model2'!$CN$9),Model2!$D46:'Model2'!$CN46)</f>
        <v>0</v>
      </c>
      <c r="P41" s="35" cm="1">
        <f t="array" ref="P41">SUMPRODUCT(--(P$8&lt;=Model2!$D$9:'Model2'!$CN$9),--(P$9&gt;=Model2!$D$9:'Model2'!$CN$9),Model2!$D46:'Model2'!$CN46)</f>
        <v>0</v>
      </c>
      <c r="Q41" s="35" cm="1">
        <f t="array" ref="Q41">SUMPRODUCT(--(Q$8&lt;=Model2!$D$9:'Model2'!$CN$9),--(Q$9&gt;=Model2!$D$9:'Model2'!$CN$9),Model2!$D46:'Model2'!$CN46)</f>
        <v>0</v>
      </c>
      <c r="R41" s="35" cm="1">
        <f t="array" ref="R41">SUMPRODUCT(--(R$8&lt;=Model2!$D$9:'Model2'!$CN$9),--(R$9&gt;=Model2!$D$9:'Model2'!$CN$9),Model2!$D46:'Model2'!$CN46)</f>
        <v>0</v>
      </c>
      <c r="S41" s="35" cm="1">
        <f t="array" ref="S41">SUMPRODUCT(--(S$8&lt;=Model2!$D$9:'Model2'!$CN$9),--(S$9&gt;=Model2!$D$9:'Model2'!$CN$9),Model2!$D46:'Model2'!$CN46)</f>
        <v>0</v>
      </c>
      <c r="T41" s="35" cm="1">
        <f t="array" ref="T41">SUMPRODUCT(--(T$8&lt;=Model2!$D$9:'Model2'!$CN$9),--(T$9&gt;=Model2!$D$9:'Model2'!$CN$9),Model2!$D46:'Model2'!$CN46)</f>
        <v>0</v>
      </c>
      <c r="U41" s="35" cm="1">
        <f t="array" ref="U41">SUMPRODUCT(--(U$8&lt;=Model2!$D$9:'Model2'!$CN$9),--(U$9&gt;=Model2!$D$9:'Model2'!$CN$9),Model2!$D46:'Model2'!$CN46)</f>
        <v>0</v>
      </c>
      <c r="V41" s="35" cm="1">
        <f t="array" ref="V41">SUMPRODUCT(--(V$8&lt;=Model2!$D$9:'Model2'!$CN$9),--(V$9&gt;=Model2!$D$9:'Model2'!$CN$9),Model2!$D46:'Model2'!$CN46)</f>
        <v>0</v>
      </c>
      <c r="W41" s="35" cm="1">
        <f t="array" ref="W41">SUMPRODUCT(--(W$8&lt;=Model2!$D$9:'Model2'!$CN$9),--(W$9&gt;=Model2!$D$9:'Model2'!$CN$9),Model2!$D46:'Model2'!$CN46)</f>
        <v>0</v>
      </c>
      <c r="X41" s="35" cm="1">
        <f t="array" ref="X41">SUMPRODUCT(--(X$8&lt;=Model2!$D$9:'Model2'!$CN$9),--(X$9&gt;=Model2!$D$9:'Model2'!$CN$9),Model2!$D46:'Model2'!$CN46)</f>
        <v>0</v>
      </c>
      <c r="Y41" s="35" cm="1">
        <f t="array" ref="Y41">SUMPRODUCT(--(Y$8&lt;=Model2!$D$9:'Model2'!$CN$9),--(Y$9&gt;=Model2!$D$9:'Model2'!$CN$9),Model2!$D46:'Model2'!$CN46)</f>
        <v>0</v>
      </c>
      <c r="Z41" s="35" cm="1">
        <f t="array" ref="Z41">SUMPRODUCT(--(Z$8&lt;=Model2!$D$9:'Model2'!$CN$9),--(Z$9&gt;=Model2!$D$9:'Model2'!$CN$9),Model2!$D46:'Model2'!$CN46)</f>
        <v>0</v>
      </c>
      <c r="AA41" s="35"/>
    </row>
    <row r="42" spans="1:27" ht="12.75" customHeight="1" outlineLevel="2">
      <c r="A42" s="35"/>
      <c r="B42" s="63" t="str">
        <f>'операционные  расходы 1 этап'!A25</f>
        <v>Затраты на материалы для обеззараживания воды в бассейнах</v>
      </c>
      <c r="C42" s="74">
        <f t="shared" si="9"/>
        <v>0</v>
      </c>
      <c r="D42" s="60">
        <f>Model2!D47</f>
        <v>0</v>
      </c>
      <c r="E42" s="35" cm="1">
        <f t="array" ref="E42">SUMPRODUCT(--(E$8&lt;=Model2!$D$9:'Model2'!$CN$9),--(E$9&gt;=Model2!$D$9:'Model2'!$CN$9),Model2!$D47:'Model2'!$CN47)</f>
        <v>0</v>
      </c>
      <c r="F42" s="35" cm="1">
        <f t="array" ref="F42">SUMPRODUCT(--(F$8&lt;=Model2!$D$9:'Model2'!$CN$9),--(F$9&gt;=Model2!$D$9:'Model2'!$CN$9),Model2!$D47:'Model2'!$CN47)</f>
        <v>0</v>
      </c>
      <c r="G42" s="35" cm="1">
        <f t="array" ref="G42">SUMPRODUCT(--(G$8&lt;=Model2!$D$9:'Model2'!$CN$9),--(G$9&gt;=Model2!$D$9:'Model2'!$CN$9),Model2!$D47:'Model2'!$CN47)</f>
        <v>0</v>
      </c>
      <c r="H42" s="35" cm="1">
        <f t="array" ref="H42">SUMPRODUCT(--(H$8&lt;=Model2!$D$9:'Model2'!$CN$9),--(H$9&gt;=Model2!$D$9:'Model2'!$CN$9),Model2!$D47:'Model2'!$CN47)</f>
        <v>0</v>
      </c>
      <c r="I42" s="35" cm="1">
        <f t="array" ref="I42">SUMPRODUCT(--(I$8&lt;=Model2!$D$9:'Model2'!$CN$9),--(I$9&gt;=Model2!$D$9:'Model2'!$CN$9),Model2!$D47:'Model2'!$CN47)</f>
        <v>0</v>
      </c>
      <c r="J42" s="35" cm="1">
        <f t="array" ref="J42">SUMPRODUCT(--(J$8&lt;=Model2!$D$9:'Model2'!$CN$9),--(J$9&gt;=Model2!$D$9:'Model2'!$CN$9),Model2!$D47:'Model2'!$CN47)</f>
        <v>0</v>
      </c>
      <c r="K42" s="35" cm="1">
        <f t="array" ref="K42">SUMPRODUCT(--(K$8&lt;=Model2!$D$9:'Model2'!$CN$9),--(K$9&gt;=Model2!$D$9:'Model2'!$CN$9),Model2!$D47:'Model2'!$CN47)</f>
        <v>0</v>
      </c>
      <c r="L42" s="35" cm="1">
        <f t="array" ref="L42">SUMPRODUCT(--(L$8&lt;=Model2!$D$9:'Model2'!$CN$9),--(L$9&gt;=Model2!$D$9:'Model2'!$CN$9),Model2!$D47:'Model2'!$CN47)</f>
        <v>0</v>
      </c>
      <c r="M42" s="35" cm="1">
        <f t="array" ref="M42">SUMPRODUCT(--(M$8&lt;=Model2!$D$9:'Model2'!$CN$9),--(M$9&gt;=Model2!$D$9:'Model2'!$CN$9),Model2!$D47:'Model2'!$CN47)</f>
        <v>0</v>
      </c>
      <c r="N42" s="35" cm="1">
        <f t="array" ref="N42">SUMPRODUCT(--(N$8&lt;=Model2!$D$9:'Model2'!$CN$9),--(N$9&gt;=Model2!$D$9:'Model2'!$CN$9),Model2!$D47:'Model2'!$CN47)</f>
        <v>0</v>
      </c>
      <c r="O42" s="35" cm="1">
        <f t="array" ref="O42">SUMPRODUCT(--(O$8&lt;=Model2!$D$9:'Model2'!$CN$9),--(O$9&gt;=Model2!$D$9:'Model2'!$CN$9),Model2!$D47:'Model2'!$CN47)</f>
        <v>0</v>
      </c>
      <c r="P42" s="35" cm="1">
        <f t="array" ref="P42">SUMPRODUCT(--(P$8&lt;=Model2!$D$9:'Model2'!$CN$9),--(P$9&gt;=Model2!$D$9:'Model2'!$CN$9),Model2!$D47:'Model2'!$CN47)</f>
        <v>0</v>
      </c>
      <c r="Q42" s="35" cm="1">
        <f t="array" ref="Q42">SUMPRODUCT(--(Q$8&lt;=Model2!$D$9:'Model2'!$CN$9),--(Q$9&gt;=Model2!$D$9:'Model2'!$CN$9),Model2!$D47:'Model2'!$CN47)</f>
        <v>0</v>
      </c>
      <c r="R42" s="35" cm="1">
        <f t="array" ref="R42">SUMPRODUCT(--(R$8&lt;=Model2!$D$9:'Model2'!$CN$9),--(R$9&gt;=Model2!$D$9:'Model2'!$CN$9),Model2!$D47:'Model2'!$CN47)</f>
        <v>0</v>
      </c>
      <c r="S42" s="35" cm="1">
        <f t="array" ref="S42">SUMPRODUCT(--(S$8&lt;=Model2!$D$9:'Model2'!$CN$9),--(S$9&gt;=Model2!$D$9:'Model2'!$CN$9),Model2!$D47:'Model2'!$CN47)</f>
        <v>0</v>
      </c>
      <c r="T42" s="35" cm="1">
        <f t="array" ref="T42">SUMPRODUCT(--(T$8&lt;=Model2!$D$9:'Model2'!$CN$9),--(T$9&gt;=Model2!$D$9:'Model2'!$CN$9),Model2!$D47:'Model2'!$CN47)</f>
        <v>0</v>
      </c>
      <c r="U42" s="35" cm="1">
        <f t="array" ref="U42">SUMPRODUCT(--(U$8&lt;=Model2!$D$9:'Model2'!$CN$9),--(U$9&gt;=Model2!$D$9:'Model2'!$CN$9),Model2!$D47:'Model2'!$CN47)</f>
        <v>0</v>
      </c>
      <c r="V42" s="35" cm="1">
        <f t="array" ref="V42">SUMPRODUCT(--(V$8&lt;=Model2!$D$9:'Model2'!$CN$9),--(V$9&gt;=Model2!$D$9:'Model2'!$CN$9),Model2!$D47:'Model2'!$CN47)</f>
        <v>0</v>
      </c>
      <c r="W42" s="35" cm="1">
        <f t="array" ref="W42">SUMPRODUCT(--(W$8&lt;=Model2!$D$9:'Model2'!$CN$9),--(W$9&gt;=Model2!$D$9:'Model2'!$CN$9),Model2!$D47:'Model2'!$CN47)</f>
        <v>0</v>
      </c>
      <c r="X42" s="35" cm="1">
        <f t="array" ref="X42">SUMPRODUCT(--(X$8&lt;=Model2!$D$9:'Model2'!$CN$9),--(X$9&gt;=Model2!$D$9:'Model2'!$CN$9),Model2!$D47:'Model2'!$CN47)</f>
        <v>0</v>
      </c>
      <c r="Y42" s="35" cm="1">
        <f t="array" ref="Y42">SUMPRODUCT(--(Y$8&lt;=Model2!$D$9:'Model2'!$CN$9),--(Y$9&gt;=Model2!$D$9:'Model2'!$CN$9),Model2!$D47:'Model2'!$CN47)</f>
        <v>0</v>
      </c>
      <c r="Z42" s="35" cm="1">
        <f t="array" ref="Z42">SUMPRODUCT(--(Z$8&lt;=Model2!$D$9:'Model2'!$CN$9),--(Z$9&gt;=Model2!$D$9:'Model2'!$CN$9),Model2!$D47:'Model2'!$CN47)</f>
        <v>0</v>
      </c>
      <c r="AA42" s="35"/>
    </row>
    <row r="43" spans="1:27" ht="12.75" customHeight="1" outlineLevel="2">
      <c r="A43" s="35"/>
      <c r="B43" s="63" t="str">
        <f>'операционные  расходы 1 этап'!A26</f>
        <v>Информационные услуги (связь, оплата ПО и пр.)</v>
      </c>
      <c r="C43" s="74">
        <f t="shared" si="9"/>
        <v>0</v>
      </c>
      <c r="D43" s="60">
        <f>Model2!D48</f>
        <v>0</v>
      </c>
      <c r="E43" s="35" cm="1">
        <f t="array" ref="E43">SUMPRODUCT(--(E$8&lt;=Model2!$D$9:'Model2'!$CN$9),--(E$9&gt;=Model2!$D$9:'Model2'!$CN$9),Model2!$D48:'Model2'!$CN48)</f>
        <v>0</v>
      </c>
      <c r="F43" s="35" cm="1">
        <f t="array" ref="F43">SUMPRODUCT(--(F$8&lt;=Model2!$D$9:'Model2'!$CN$9),--(F$9&gt;=Model2!$D$9:'Model2'!$CN$9),Model2!$D48:'Model2'!$CN48)</f>
        <v>0</v>
      </c>
      <c r="G43" s="35" cm="1">
        <f t="array" ref="G43">SUMPRODUCT(--(G$8&lt;=Model2!$D$9:'Model2'!$CN$9),--(G$9&gt;=Model2!$D$9:'Model2'!$CN$9),Model2!$D48:'Model2'!$CN48)</f>
        <v>0</v>
      </c>
      <c r="H43" s="35" cm="1">
        <f t="array" ref="H43">SUMPRODUCT(--(H$8&lt;=Model2!$D$9:'Model2'!$CN$9),--(H$9&gt;=Model2!$D$9:'Model2'!$CN$9),Model2!$D48:'Model2'!$CN48)</f>
        <v>0</v>
      </c>
      <c r="I43" s="35" cm="1">
        <f t="array" ref="I43">SUMPRODUCT(--(I$8&lt;=Model2!$D$9:'Model2'!$CN$9),--(I$9&gt;=Model2!$D$9:'Model2'!$CN$9),Model2!$D48:'Model2'!$CN48)</f>
        <v>0</v>
      </c>
      <c r="J43" s="35" cm="1">
        <f t="array" ref="J43">SUMPRODUCT(--(J$8&lt;=Model2!$D$9:'Model2'!$CN$9),--(J$9&gt;=Model2!$D$9:'Model2'!$CN$9),Model2!$D48:'Model2'!$CN48)</f>
        <v>0</v>
      </c>
      <c r="K43" s="35" cm="1">
        <f t="array" ref="K43">SUMPRODUCT(--(K$8&lt;=Model2!$D$9:'Model2'!$CN$9),--(K$9&gt;=Model2!$D$9:'Model2'!$CN$9),Model2!$D48:'Model2'!$CN48)</f>
        <v>0</v>
      </c>
      <c r="L43" s="35" cm="1">
        <f t="array" ref="L43">SUMPRODUCT(--(L$8&lt;=Model2!$D$9:'Model2'!$CN$9),--(L$9&gt;=Model2!$D$9:'Model2'!$CN$9),Model2!$D48:'Model2'!$CN48)</f>
        <v>0</v>
      </c>
      <c r="M43" s="35" cm="1">
        <f t="array" ref="M43">SUMPRODUCT(--(M$8&lt;=Model2!$D$9:'Model2'!$CN$9),--(M$9&gt;=Model2!$D$9:'Model2'!$CN$9),Model2!$D48:'Model2'!$CN48)</f>
        <v>0</v>
      </c>
      <c r="N43" s="35" cm="1">
        <f t="array" ref="N43">SUMPRODUCT(--(N$8&lt;=Model2!$D$9:'Model2'!$CN$9),--(N$9&gt;=Model2!$D$9:'Model2'!$CN$9),Model2!$D48:'Model2'!$CN48)</f>
        <v>0</v>
      </c>
      <c r="O43" s="35" cm="1">
        <f t="array" ref="O43">SUMPRODUCT(--(O$8&lt;=Model2!$D$9:'Model2'!$CN$9),--(O$9&gt;=Model2!$D$9:'Model2'!$CN$9),Model2!$D48:'Model2'!$CN48)</f>
        <v>0</v>
      </c>
      <c r="P43" s="35" cm="1">
        <f t="array" ref="P43">SUMPRODUCT(--(P$8&lt;=Model2!$D$9:'Model2'!$CN$9),--(P$9&gt;=Model2!$D$9:'Model2'!$CN$9),Model2!$D48:'Model2'!$CN48)</f>
        <v>0</v>
      </c>
      <c r="Q43" s="35" cm="1">
        <f t="array" ref="Q43">SUMPRODUCT(--(Q$8&lt;=Model2!$D$9:'Model2'!$CN$9),--(Q$9&gt;=Model2!$D$9:'Model2'!$CN$9),Model2!$D48:'Model2'!$CN48)</f>
        <v>0</v>
      </c>
      <c r="R43" s="35" cm="1">
        <f t="array" ref="R43">SUMPRODUCT(--(R$8&lt;=Model2!$D$9:'Model2'!$CN$9),--(R$9&gt;=Model2!$D$9:'Model2'!$CN$9),Model2!$D48:'Model2'!$CN48)</f>
        <v>0</v>
      </c>
      <c r="S43" s="35" cm="1">
        <f t="array" ref="S43">SUMPRODUCT(--(S$8&lt;=Model2!$D$9:'Model2'!$CN$9),--(S$9&gt;=Model2!$D$9:'Model2'!$CN$9),Model2!$D48:'Model2'!$CN48)</f>
        <v>0</v>
      </c>
      <c r="T43" s="35" cm="1">
        <f t="array" ref="T43">SUMPRODUCT(--(T$8&lt;=Model2!$D$9:'Model2'!$CN$9),--(T$9&gt;=Model2!$D$9:'Model2'!$CN$9),Model2!$D48:'Model2'!$CN48)</f>
        <v>0</v>
      </c>
      <c r="U43" s="35" cm="1">
        <f t="array" ref="U43">SUMPRODUCT(--(U$8&lt;=Model2!$D$9:'Model2'!$CN$9),--(U$9&gt;=Model2!$D$9:'Model2'!$CN$9),Model2!$D48:'Model2'!$CN48)</f>
        <v>0</v>
      </c>
      <c r="V43" s="35" cm="1">
        <f t="array" ref="V43">SUMPRODUCT(--(V$8&lt;=Model2!$D$9:'Model2'!$CN$9),--(V$9&gt;=Model2!$D$9:'Model2'!$CN$9),Model2!$D48:'Model2'!$CN48)</f>
        <v>0</v>
      </c>
      <c r="W43" s="35" cm="1">
        <f t="array" ref="W43">SUMPRODUCT(--(W$8&lt;=Model2!$D$9:'Model2'!$CN$9),--(W$9&gt;=Model2!$D$9:'Model2'!$CN$9),Model2!$D48:'Model2'!$CN48)</f>
        <v>0</v>
      </c>
      <c r="X43" s="35" cm="1">
        <f t="array" ref="X43">SUMPRODUCT(--(X$8&lt;=Model2!$D$9:'Model2'!$CN$9),--(X$9&gt;=Model2!$D$9:'Model2'!$CN$9),Model2!$D48:'Model2'!$CN48)</f>
        <v>0</v>
      </c>
      <c r="Y43" s="35" cm="1">
        <f t="array" ref="Y43">SUMPRODUCT(--(Y$8&lt;=Model2!$D$9:'Model2'!$CN$9),--(Y$9&gt;=Model2!$D$9:'Model2'!$CN$9),Model2!$D48:'Model2'!$CN48)</f>
        <v>0</v>
      </c>
      <c r="Z43" s="35" cm="1">
        <f t="array" ref="Z43">SUMPRODUCT(--(Z$8&lt;=Model2!$D$9:'Model2'!$CN$9),--(Z$9&gt;=Model2!$D$9:'Model2'!$CN$9),Model2!$D48:'Model2'!$CN48)</f>
        <v>0</v>
      </c>
      <c r="AA43" s="35"/>
    </row>
    <row r="44" spans="1:27" ht="12.75" customHeight="1" outlineLevel="2">
      <c r="A44" s="35"/>
      <c r="B44" s="63" t="str">
        <f>'операционные  расходы 1 этап'!A27</f>
        <v>Благоустройство территории (материалы), вывоз мусора, уборка территории и пр.</v>
      </c>
      <c r="C44" s="74">
        <f t="shared" si="9"/>
        <v>-29494.13050192115</v>
      </c>
      <c r="D44" s="60">
        <f>Model2!D49</f>
        <v>0</v>
      </c>
      <c r="E44" s="35" cm="1">
        <f t="array" ref="E44">SUMPRODUCT(--(E$8&lt;=Model2!$D$9:'Model2'!$CN$9),--(E$9&gt;=Model2!$D$9:'Model2'!$CN$9),Model2!$D49:'Model2'!$CN49)</f>
        <v>0</v>
      </c>
      <c r="F44" s="35" cm="1">
        <f t="array" ref="F44">SUMPRODUCT(--(F$8&lt;=Model2!$D$9:'Model2'!$CN$9),--(F$9&gt;=Model2!$D$9:'Model2'!$CN$9),Model2!$D49:'Model2'!$CN49)</f>
        <v>0</v>
      </c>
      <c r="G44" s="35" cm="1">
        <f t="array" ref="G44">SUMPRODUCT(--(G$8&lt;=Model2!$D$9:'Model2'!$CN$9),--(G$9&gt;=Model2!$D$9:'Model2'!$CN$9),Model2!$D49:'Model2'!$CN49)</f>
        <v>0</v>
      </c>
      <c r="H44" s="35" cm="1">
        <f t="array" ref="H44">SUMPRODUCT(--(H$8&lt;=Model2!$D$9:'Model2'!$CN$9),--(H$9&gt;=Model2!$D$9:'Model2'!$CN$9),Model2!$D49:'Model2'!$CN49)</f>
        <v>0</v>
      </c>
      <c r="I44" s="35" cm="1">
        <f t="array" ref="I44">SUMPRODUCT(--(I$8&lt;=Model2!$D$9:'Model2'!$CN$9),--(I$9&gt;=Model2!$D$9:'Model2'!$CN$9),Model2!$D49:'Model2'!$CN49)</f>
        <v>-540</v>
      </c>
      <c r="J44" s="35" cm="1">
        <f t="array" ref="J44">SUMPRODUCT(--(J$8&lt;=Model2!$D$9:'Model2'!$CN$9),--(J$9&gt;=Model2!$D$9:'Model2'!$CN$9),Model2!$D49:'Model2'!$CN49)</f>
        <v>-1120.5</v>
      </c>
      <c r="K44" s="35" cm="1">
        <f t="array" ref="K44">SUMPRODUCT(--(K$8&lt;=Model2!$D$9:'Model2'!$CN$9),--(K$9&gt;=Model2!$D$9:'Model2'!$CN$9),Model2!$D49:'Model2'!$CN49)</f>
        <v>-1176.5249999999999</v>
      </c>
      <c r="L44" s="35" cm="1">
        <f t="array" ref="L44">SUMPRODUCT(--(L$8&lt;=Model2!$D$9:'Model2'!$CN$9),--(L$9&gt;=Model2!$D$9:'Model2'!$CN$9),Model2!$D49:'Model2'!$CN49)</f>
        <v>-1235.3512500000002</v>
      </c>
      <c r="M44" s="35" cm="1">
        <f t="array" ref="M44">SUMPRODUCT(--(M$8&lt;=Model2!$D$9:'Model2'!$CN$9),--(M$9&gt;=Model2!$D$9:'Model2'!$CN$9),Model2!$D49:'Model2'!$CN49)</f>
        <v>-1297.1188125000003</v>
      </c>
      <c r="N44" s="35" cm="1">
        <f t="array" ref="N44">SUMPRODUCT(--(N$8&lt;=Model2!$D$9:'Model2'!$CN$9),--(N$9&gt;=Model2!$D$9:'Model2'!$CN$9),Model2!$D49:'Model2'!$CN49)</f>
        <v>-1361.9747531250005</v>
      </c>
      <c r="O44" s="35" cm="1">
        <f t="array" ref="O44">SUMPRODUCT(--(O$8&lt;=Model2!$D$9:'Model2'!$CN$9),--(O$9&gt;=Model2!$D$9:'Model2'!$CN$9),Model2!$D49:'Model2'!$CN49)</f>
        <v>-1430.0734907812505</v>
      </c>
      <c r="P44" s="35" cm="1">
        <f t="array" ref="P44">SUMPRODUCT(--(P$8&lt;=Model2!$D$9:'Model2'!$CN$9),--(P$9&gt;=Model2!$D$9:'Model2'!$CN$9),Model2!$D49:'Model2'!$CN49)</f>
        <v>-1501.5771653203128</v>
      </c>
      <c r="Q44" s="35" cm="1">
        <f t="array" ref="Q44">SUMPRODUCT(--(Q$8&lt;=Model2!$D$9:'Model2'!$CN$9),--(Q$9&gt;=Model2!$D$9:'Model2'!$CN$9),Model2!$D49:'Model2'!$CN49)</f>
        <v>-1576.6560235863287</v>
      </c>
      <c r="R44" s="35" cm="1">
        <f t="array" ref="R44">SUMPRODUCT(--(R$8&lt;=Model2!$D$9:'Model2'!$CN$9),--(R$9&gt;=Model2!$D$9:'Model2'!$CN$9),Model2!$D49:'Model2'!$CN49)</f>
        <v>-1655.4888247656454</v>
      </c>
      <c r="S44" s="35" cm="1">
        <f t="array" ref="S44">SUMPRODUCT(--(S$8&lt;=Model2!$D$9:'Model2'!$CN$9),--(S$9&gt;=Model2!$D$9:'Model2'!$CN$9),Model2!$D49:'Model2'!$CN49)</f>
        <v>-1738.2632660039276</v>
      </c>
      <c r="T44" s="35" cm="1">
        <f t="array" ref="T44">SUMPRODUCT(--(T$8&lt;=Model2!$D$9:'Model2'!$CN$9),--(T$9&gt;=Model2!$D$9:'Model2'!$CN$9),Model2!$D49:'Model2'!$CN49)</f>
        <v>-1825.1764293041242</v>
      </c>
      <c r="U44" s="35" cm="1">
        <f t="array" ref="U44">SUMPRODUCT(--(U$8&lt;=Model2!$D$9:'Model2'!$CN$9),--(U$9&gt;=Model2!$D$9:'Model2'!$CN$9),Model2!$D49:'Model2'!$CN49)</f>
        <v>-1916.4352507693304</v>
      </c>
      <c r="V44" s="35" cm="1">
        <f t="array" ref="V44">SUMPRODUCT(--(V$8&lt;=Model2!$D$9:'Model2'!$CN$9),--(V$9&gt;=Model2!$D$9:'Model2'!$CN$9),Model2!$D49:'Model2'!$CN49)</f>
        <v>-2012.2570133077973</v>
      </c>
      <c r="W44" s="35" cm="1">
        <f t="array" ref="W44">SUMPRODUCT(--(W$8&lt;=Model2!$D$9:'Model2'!$CN$9),--(W$9&gt;=Model2!$D$9:'Model2'!$CN$9),Model2!$D49:'Model2'!$CN49)</f>
        <v>-2112.8698639731874</v>
      </c>
      <c r="X44" s="35" cm="1">
        <f t="array" ref="X44">SUMPRODUCT(--(X$8&lt;=Model2!$D$9:'Model2'!$CN$9),--(X$9&gt;=Model2!$D$9:'Model2'!$CN$9),Model2!$D49:'Model2'!$CN49)</f>
        <v>-2218.513357171847</v>
      </c>
      <c r="Y44" s="35" cm="1">
        <f t="array" ref="Y44">SUMPRODUCT(--(Y$8&lt;=Model2!$D$9:'Model2'!$CN$9),--(Y$9&gt;=Model2!$D$9:'Model2'!$CN$9),Model2!$D49:'Model2'!$CN49)</f>
        <v>-2329.4390250304396</v>
      </c>
      <c r="Z44" s="35" cm="1">
        <f t="array" ref="Z44">SUMPRODUCT(--(Z$8&lt;=Model2!$D$9:'Model2'!$CN$9),--(Z$9&gt;=Model2!$D$9:'Model2'!$CN$9),Model2!$D49:'Model2'!$CN49)</f>
        <v>-2445.9109762819612</v>
      </c>
      <c r="AA44" s="35"/>
    </row>
    <row r="45" spans="1:27" ht="12.75" customHeight="1" outlineLevel="2">
      <c r="A45" s="35"/>
      <c r="B45" s="63" t="str">
        <f>'операционные  расходы 1 этап'!A28</f>
        <v xml:space="preserve">Коммунальные услуги </v>
      </c>
      <c r="C45" s="74">
        <f t="shared" si="9"/>
        <v>-100070.55636597275</v>
      </c>
      <c r="D45" s="60">
        <f>Model2!D50</f>
        <v>0</v>
      </c>
      <c r="E45" s="35" cm="1">
        <f t="array" ref="E45">SUMPRODUCT(--(E$8&lt;=Model2!$D$9:'Model2'!$CN$9),--(E$9&gt;=Model2!$D$9:'Model2'!$CN$9),Model2!$D50:'Model2'!$CN50)</f>
        <v>0</v>
      </c>
      <c r="F45" s="35" cm="1">
        <f t="array" ref="F45">SUMPRODUCT(--(F$8&lt;=Model2!$D$9:'Model2'!$CN$9),--(F$9&gt;=Model2!$D$9:'Model2'!$CN$9),Model2!$D50:'Model2'!$CN50)</f>
        <v>0</v>
      </c>
      <c r="G45" s="35" cm="1">
        <f t="array" ref="G45">SUMPRODUCT(--(G$8&lt;=Model2!$D$9:'Model2'!$CN$9),--(G$9&gt;=Model2!$D$9:'Model2'!$CN$9),Model2!$D50:'Model2'!$CN50)</f>
        <v>0</v>
      </c>
      <c r="H45" s="35" cm="1">
        <f t="array" ref="H45">SUMPRODUCT(--(H$8&lt;=Model2!$D$9:'Model2'!$CN$9),--(H$9&gt;=Model2!$D$9:'Model2'!$CN$9),Model2!$D50:'Model2'!$CN50)</f>
        <v>0</v>
      </c>
      <c r="I45" s="35" cm="1">
        <f t="array" ref="I45">SUMPRODUCT(--(I$8&lt;=Model2!$D$9:'Model2'!$CN$9),--(I$9&gt;=Model2!$D$9:'Model2'!$CN$9),Model2!$D50:'Model2'!$CN50)</f>
        <v>-1580</v>
      </c>
      <c r="J45" s="35" cm="1">
        <f t="array" ref="J45">SUMPRODUCT(--(J$8&lt;=Model2!$D$9:'Model2'!$CN$9),--(J$9&gt;=Model2!$D$9:'Model2'!$CN$9),Model2!$D50:'Model2'!$CN50)</f>
        <v>-3811.5</v>
      </c>
      <c r="K45" s="35" cm="1">
        <f t="array" ref="K45">SUMPRODUCT(--(K$8&lt;=Model2!$D$9:'Model2'!$CN$9),--(K$9&gt;=Model2!$D$9:'Model2'!$CN$9),Model2!$D50:'Model2'!$CN50)</f>
        <v>-4002.0749999999998</v>
      </c>
      <c r="L45" s="35" cm="1">
        <f t="array" ref="L45">SUMPRODUCT(--(L$8&lt;=Model2!$D$9:'Model2'!$CN$9),--(L$9&gt;=Model2!$D$9:'Model2'!$CN$9),Model2!$D50:'Model2'!$CN50)</f>
        <v>-4202.1787500000009</v>
      </c>
      <c r="M45" s="35" cm="1">
        <f t="array" ref="M45">SUMPRODUCT(--(M$8&lt;=Model2!$D$9:'Model2'!$CN$9),--(M$9&gt;=Model2!$D$9:'Model2'!$CN$9),Model2!$D50:'Model2'!$CN50)</f>
        <v>-4412.2876875000011</v>
      </c>
      <c r="N45" s="35" cm="1">
        <f t="array" ref="N45">SUMPRODUCT(--(N$8&lt;=Model2!$D$9:'Model2'!$CN$9),--(N$9&gt;=Model2!$D$9:'Model2'!$CN$9),Model2!$D50:'Model2'!$CN50)</f>
        <v>-4632.9020718750016</v>
      </c>
      <c r="O45" s="35" cm="1">
        <f t="array" ref="O45">SUMPRODUCT(--(O$8&lt;=Model2!$D$9:'Model2'!$CN$9),--(O$9&gt;=Model2!$D$9:'Model2'!$CN$9),Model2!$D50:'Model2'!$CN50)</f>
        <v>-4864.5471754687514</v>
      </c>
      <c r="P45" s="35" cm="1">
        <f t="array" ref="P45">SUMPRODUCT(--(P$8&lt;=Model2!$D$9:'Model2'!$CN$9),--(P$9&gt;=Model2!$D$9:'Model2'!$CN$9),Model2!$D50:'Model2'!$CN50)</f>
        <v>-5107.7745342421886</v>
      </c>
      <c r="Q45" s="35" cm="1">
        <f t="array" ref="Q45">SUMPRODUCT(--(Q$8&lt;=Model2!$D$9:'Model2'!$CN$9),--(Q$9&gt;=Model2!$D$9:'Model2'!$CN$9),Model2!$D50:'Model2'!$CN50)</f>
        <v>-5363.1632609542985</v>
      </c>
      <c r="R45" s="35" cm="1">
        <f t="array" ref="R45">SUMPRODUCT(--(R$8&lt;=Model2!$D$9:'Model2'!$CN$9),--(R$9&gt;=Model2!$D$9:'Model2'!$CN$9),Model2!$D50:'Model2'!$CN50)</f>
        <v>-5631.3214240020134</v>
      </c>
      <c r="S45" s="35" cm="1">
        <f t="array" ref="S45">SUMPRODUCT(--(S$8&lt;=Model2!$D$9:'Model2'!$CN$9),--(S$9&gt;=Model2!$D$9:'Model2'!$CN$9),Model2!$D50:'Model2'!$CN50)</f>
        <v>-5912.8874952021142</v>
      </c>
      <c r="T45" s="35" cm="1">
        <f t="array" ref="T45">SUMPRODUCT(--(T$8&lt;=Model2!$D$9:'Model2'!$CN$9),--(T$9&gt;=Model2!$D$9:'Model2'!$CN$9),Model2!$D50:'Model2'!$CN50)</f>
        <v>-6208.5318699622212</v>
      </c>
      <c r="U45" s="35" cm="1">
        <f t="array" ref="U45">SUMPRODUCT(--(U$8&lt;=Model2!$D$9:'Model2'!$CN$9),--(U$9&gt;=Model2!$D$9:'Model2'!$CN$9),Model2!$D50:'Model2'!$CN50)</f>
        <v>-6518.9584634603316</v>
      </c>
      <c r="V45" s="35" cm="1">
        <f t="array" ref="V45">SUMPRODUCT(--(V$8&lt;=Model2!$D$9:'Model2'!$CN$9),--(V$9&gt;=Model2!$D$9:'Model2'!$CN$9),Model2!$D50:'Model2'!$CN50)</f>
        <v>-6844.9063866333481</v>
      </c>
      <c r="W45" s="35" cm="1">
        <f t="array" ref="W45">SUMPRODUCT(--(W$8&lt;=Model2!$D$9:'Model2'!$CN$9),--(W$9&gt;=Model2!$D$9:'Model2'!$CN$9),Model2!$D50:'Model2'!$CN50)</f>
        <v>-7187.1517059650159</v>
      </c>
      <c r="X45" s="35" cm="1">
        <f t="array" ref="X45">SUMPRODUCT(--(X$8&lt;=Model2!$D$9:'Model2'!$CN$9),--(X$9&gt;=Model2!$D$9:'Model2'!$CN$9),Model2!$D50:'Model2'!$CN50)</f>
        <v>-7546.5092912632681</v>
      </c>
      <c r="Y45" s="35" cm="1">
        <f t="array" ref="Y45">SUMPRODUCT(--(Y$8&lt;=Model2!$D$9:'Model2'!$CN$9),--(Y$9&gt;=Model2!$D$9:'Model2'!$CN$9),Model2!$D50:'Model2'!$CN50)</f>
        <v>-7923.8347558264313</v>
      </c>
      <c r="Z45" s="35" cm="1">
        <f t="array" ref="Z45">SUMPRODUCT(--(Z$8&lt;=Model2!$D$9:'Model2'!$CN$9),--(Z$9&gt;=Model2!$D$9:'Model2'!$CN$9),Model2!$D50:'Model2'!$CN50)</f>
        <v>-8320.0264936177537</v>
      </c>
      <c r="AA45" s="35"/>
    </row>
    <row r="46" spans="1:27" ht="12.75" customHeight="1" outlineLevel="2">
      <c r="A46" s="35"/>
      <c r="B46" s="63" t="str">
        <f>'операционные  расходы 1 этап'!A29</f>
        <v xml:space="preserve">Маркетинг и реклама </v>
      </c>
      <c r="C46" s="74">
        <f t="shared" si="9"/>
        <v>-289905.35545830108</v>
      </c>
      <c r="D46" s="60">
        <f>Model2!D51</f>
        <v>0</v>
      </c>
      <c r="E46" s="35" cm="1">
        <f t="array" ref="E46">SUMPRODUCT(--(E$8&lt;=Model2!$D$9:'Model2'!$CN$9),--(E$9&gt;=Model2!$D$9:'Model2'!$CN$9),Model2!$D51:'Model2'!$CN51)</f>
        <v>0</v>
      </c>
      <c r="F46" s="35" cm="1">
        <f t="array" ref="F46">SUMPRODUCT(--(F$8&lt;=Model2!$D$9:'Model2'!$CN$9),--(F$9&gt;=Model2!$D$9:'Model2'!$CN$9),Model2!$D51:'Model2'!$CN51)</f>
        <v>0</v>
      </c>
      <c r="G46" s="35" cm="1">
        <f t="array" ref="G46">SUMPRODUCT(--(G$8&lt;=Model2!$D$9:'Model2'!$CN$9),--(G$9&gt;=Model2!$D$9:'Model2'!$CN$9),Model2!$D51:'Model2'!$CN51)</f>
        <v>0</v>
      </c>
      <c r="H46" s="35" cm="1">
        <f t="array" ref="H46">SUMPRODUCT(--(H$8&lt;=Model2!$D$9:'Model2'!$CN$9),--(H$9&gt;=Model2!$D$9:'Model2'!$CN$9),Model2!$D51:'Model2'!$CN51)</f>
        <v>0</v>
      </c>
      <c r="I46" s="35" cm="1">
        <f t="array" ref="I46">SUMPRODUCT(--(I$8&lt;=Model2!$D$9:'Model2'!$CN$9),--(I$9&gt;=Model2!$D$9:'Model2'!$CN$9),Model2!$D51:'Model2'!$CN51)</f>
        <v>-6653.9246050285037</v>
      </c>
      <c r="J46" s="35" cm="1">
        <f t="array" ref="J46">SUMPRODUCT(--(J$8&lt;=Model2!$D$9:'Model2'!$CN$9),--(J$9&gt;=Model2!$D$9:'Model2'!$CN$9),Model2!$D51:'Model2'!$CN51)</f>
        <v>-10961.587268180376</v>
      </c>
      <c r="K46" s="35" cm="1">
        <f t="array" ref="K46">SUMPRODUCT(--(K$8&lt;=Model2!$D$9:'Model2'!$CN$9),--(K$9&gt;=Model2!$D$9:'Model2'!$CN$9),Model2!$D51:'Model2'!$CN51)</f>
        <v>-11509.666631589394</v>
      </c>
      <c r="L46" s="35" cm="1">
        <f t="array" ref="L46">SUMPRODUCT(--(L$8&lt;=Model2!$D$9:'Model2'!$CN$9),--(L$9&gt;=Model2!$D$9:'Model2'!$CN$9),Model2!$D51:'Model2'!$CN51)</f>
        <v>-12085.149963168864</v>
      </c>
      <c r="M46" s="35" cm="1">
        <f t="array" ref="M46">SUMPRODUCT(--(M$8&lt;=Model2!$D$9:'Model2'!$CN$9),--(M$9&gt;=Model2!$D$9:'Model2'!$CN$9),Model2!$D51:'Model2'!$CN51)</f>
        <v>-12689.40746132731</v>
      </c>
      <c r="N46" s="35" cm="1">
        <f t="array" ref="N46">SUMPRODUCT(--(N$8&lt;=Model2!$D$9:'Model2'!$CN$9),--(N$9&gt;=Model2!$D$9:'Model2'!$CN$9),Model2!$D51:'Model2'!$CN51)</f>
        <v>-13323.877834393674</v>
      </c>
      <c r="O46" s="35" cm="1">
        <f t="array" ref="O46">SUMPRODUCT(--(O$8&lt;=Model2!$D$9:'Model2'!$CN$9),--(O$9&gt;=Model2!$D$9:'Model2'!$CN$9),Model2!$D51:'Model2'!$CN51)</f>
        <v>-13990.071726113361</v>
      </c>
      <c r="P46" s="35" cm="1">
        <f t="array" ref="P46">SUMPRODUCT(--(P$8&lt;=Model2!$D$9:'Model2'!$CN$9),--(P$9&gt;=Model2!$D$9:'Model2'!$CN$9),Model2!$D51:'Model2'!$CN51)</f>
        <v>-14689.575312419027</v>
      </c>
      <c r="Q46" s="35" cm="1">
        <f t="array" ref="Q46">SUMPRODUCT(--(Q$8&lt;=Model2!$D$9:'Model2'!$CN$9),--(Q$9&gt;=Model2!$D$9:'Model2'!$CN$9),Model2!$D51:'Model2'!$CN51)</f>
        <v>-15424.054078039981</v>
      </c>
      <c r="R46" s="35" cm="1">
        <f t="array" ref="R46">SUMPRODUCT(--(R$8&lt;=Model2!$D$9:'Model2'!$CN$9),--(R$9&gt;=Model2!$D$9:'Model2'!$CN$9),Model2!$D51:'Model2'!$CN51)</f>
        <v>-16195.25678194198</v>
      </c>
      <c r="S46" s="35" cm="1">
        <f t="array" ref="S46">SUMPRODUCT(--(S$8&lt;=Model2!$D$9:'Model2'!$CN$9),--(S$9&gt;=Model2!$D$9:'Model2'!$CN$9),Model2!$D51:'Model2'!$CN51)</f>
        <v>-17005.019621039079</v>
      </c>
      <c r="T46" s="35" cm="1">
        <f t="array" ref="T46">SUMPRODUCT(--(T$8&lt;=Model2!$D$9:'Model2'!$CN$9),--(T$9&gt;=Model2!$D$9:'Model2'!$CN$9),Model2!$D51:'Model2'!$CN51)</f>
        <v>-17855.270602091037</v>
      </c>
      <c r="U46" s="35" cm="1">
        <f t="array" ref="U46">SUMPRODUCT(--(U$8&lt;=Model2!$D$9:'Model2'!$CN$9),--(U$9&gt;=Model2!$D$9:'Model2'!$CN$9),Model2!$D51:'Model2'!$CN51)</f>
        <v>-18748.034132195586</v>
      </c>
      <c r="V46" s="35" cm="1">
        <f t="array" ref="V46">SUMPRODUCT(--(V$8&lt;=Model2!$D$9:'Model2'!$CN$9),--(V$9&gt;=Model2!$D$9:'Model2'!$CN$9),Model2!$D51:'Model2'!$CN51)</f>
        <v>-19685.43583880537</v>
      </c>
      <c r="W46" s="35" cm="1">
        <f t="array" ref="W46">SUMPRODUCT(--(W$8&lt;=Model2!$D$9:'Model2'!$CN$9),--(W$9&gt;=Model2!$D$9:'Model2'!$CN$9),Model2!$D51:'Model2'!$CN51)</f>
        <v>-20669.707630745637</v>
      </c>
      <c r="X46" s="35" cm="1">
        <f t="array" ref="X46">SUMPRODUCT(--(X$8&lt;=Model2!$D$9:'Model2'!$CN$9),--(X$9&gt;=Model2!$D$9:'Model2'!$CN$9),Model2!$D51:'Model2'!$CN51)</f>
        <v>-21703.193012282922</v>
      </c>
      <c r="Y46" s="35" cm="1">
        <f t="array" ref="Y46">SUMPRODUCT(--(Y$8&lt;=Model2!$D$9:'Model2'!$CN$9),--(Y$9&gt;=Model2!$D$9:'Model2'!$CN$9),Model2!$D51:'Model2'!$CN51)</f>
        <v>-22788.352662897069</v>
      </c>
      <c r="Z46" s="35" cm="1">
        <f t="array" ref="Z46">SUMPRODUCT(--(Z$8&lt;=Model2!$D$9:'Model2'!$CN$9),--(Z$9&gt;=Model2!$D$9:'Model2'!$CN$9),Model2!$D51:'Model2'!$CN51)</f>
        <v>-23927.770296041923</v>
      </c>
      <c r="AA46" s="35"/>
    </row>
    <row r="47" spans="1:27" ht="12.75" customHeight="1" outlineLevel="2">
      <c r="A47" s="35"/>
      <c r="B47" s="63" t="str">
        <f>'операционные  расходы 1 этап'!A30</f>
        <v>ГСМ и Транспортные расходы</v>
      </c>
      <c r="C47" s="74">
        <f t="shared" si="9"/>
        <v>-93633.572454093708</v>
      </c>
      <c r="D47" s="60">
        <f>Model2!D52</f>
        <v>0</v>
      </c>
      <c r="E47" s="35" cm="1">
        <f t="array" ref="E47">SUMPRODUCT(--(E$8&lt;=Model2!$D$9:'Model2'!$CN$9),--(E$9&gt;=Model2!$D$9:'Model2'!$CN$9),Model2!$D52:'Model2'!$CN52)</f>
        <v>0</v>
      </c>
      <c r="F47" s="35" cm="1">
        <f t="array" ref="F47">SUMPRODUCT(--(F$8&lt;=Model2!$D$9:'Model2'!$CN$9),--(F$9&gt;=Model2!$D$9:'Model2'!$CN$9),Model2!$D52:'Model2'!$CN52)</f>
        <v>0</v>
      </c>
      <c r="G47" s="35" cm="1">
        <f t="array" ref="G47">SUMPRODUCT(--(G$8&lt;=Model2!$D$9:'Model2'!$CN$9),--(G$9&gt;=Model2!$D$9:'Model2'!$CN$9),Model2!$D52:'Model2'!$CN52)</f>
        <v>0</v>
      </c>
      <c r="H47" s="35" cm="1">
        <f t="array" ref="H47">SUMPRODUCT(--(H$8&lt;=Model2!$D$9:'Model2'!$CN$9),--(H$9&gt;=Model2!$D$9:'Model2'!$CN$9),Model2!$D52:'Model2'!$CN52)</f>
        <v>0</v>
      </c>
      <c r="I47" s="35" cm="1">
        <f t="array" ref="I47">SUMPRODUCT(--(I$8&lt;=Model2!$D$9:'Model2'!$CN$9),--(I$9&gt;=Model2!$D$9:'Model2'!$CN$9),Model2!$D52:'Model2'!$CN52)</f>
        <v>-2228.6231135687503</v>
      </c>
      <c r="J47" s="35" cm="1">
        <f t="array" ref="J47">SUMPRODUCT(--(J$8&lt;=Model2!$D$9:'Model2'!$CN$9),--(J$9&gt;=Model2!$D$9:'Model2'!$CN$9),Model2!$D52:'Model2'!$CN52)</f>
        <v>-3537.2930894699998</v>
      </c>
      <c r="K47" s="35" cm="1">
        <f t="array" ref="K47">SUMPRODUCT(--(K$8&lt;=Model2!$D$9:'Model2'!$CN$9),--(K$9&gt;=Model2!$D$9:'Model2'!$CN$9),Model2!$D52:'Model2'!$CN52)</f>
        <v>-3714.1577439435</v>
      </c>
      <c r="L47" s="35" cm="1">
        <f t="array" ref="L47">SUMPRODUCT(--(L$8&lt;=Model2!$D$9:'Model2'!$CN$9),--(L$9&gt;=Model2!$D$9:'Model2'!$CN$9),Model2!$D52:'Model2'!$CN52)</f>
        <v>-3899.8656311406758</v>
      </c>
      <c r="M47" s="35" cm="1">
        <f t="array" ref="M47">SUMPRODUCT(--(M$8&lt;=Model2!$D$9:'Model2'!$CN$9),--(M$9&gt;=Model2!$D$9:'Model2'!$CN$9),Model2!$D52:'Model2'!$CN52)</f>
        <v>-4094.8589126977095</v>
      </c>
      <c r="N47" s="35" cm="1">
        <f t="array" ref="N47">SUMPRODUCT(--(N$8&lt;=Model2!$D$9:'Model2'!$CN$9),--(N$9&gt;=Model2!$D$9:'Model2'!$CN$9),Model2!$D52:'Model2'!$CN52)</f>
        <v>-4299.6018583325949</v>
      </c>
      <c r="O47" s="35" cm="1">
        <f t="array" ref="O47">SUMPRODUCT(--(O$8&lt;=Model2!$D$9:'Model2'!$CN$9),--(O$9&gt;=Model2!$D$9:'Model2'!$CN$9),Model2!$D52:'Model2'!$CN52)</f>
        <v>-4514.5819512492253</v>
      </c>
      <c r="P47" s="35" cm="1">
        <f t="array" ref="P47">SUMPRODUCT(--(P$8&lt;=Model2!$D$9:'Model2'!$CN$9),--(P$9&gt;=Model2!$D$9:'Model2'!$CN$9),Model2!$D52:'Model2'!$CN52)</f>
        <v>-4740.3110488116863</v>
      </c>
      <c r="Q47" s="35" cm="1">
        <f t="array" ref="Q47">SUMPRODUCT(--(Q$8&lt;=Model2!$D$9:'Model2'!$CN$9),--(Q$9&gt;=Model2!$D$9:'Model2'!$CN$9),Model2!$D52:'Model2'!$CN52)</f>
        <v>-4977.3266012522708</v>
      </c>
      <c r="R47" s="35" cm="1">
        <f t="array" ref="R47">SUMPRODUCT(--(R$8&lt;=Model2!$D$9:'Model2'!$CN$9),--(R$9&gt;=Model2!$D$9:'Model2'!$CN$9),Model2!$D52:'Model2'!$CN52)</f>
        <v>-5226.1929313148848</v>
      </c>
      <c r="S47" s="35" cm="1">
        <f t="array" ref="S47">SUMPRODUCT(--(S$8&lt;=Model2!$D$9:'Model2'!$CN$9),--(S$9&gt;=Model2!$D$9:'Model2'!$CN$9),Model2!$D52:'Model2'!$CN52)</f>
        <v>-5487.5025778806294</v>
      </c>
      <c r="T47" s="35" cm="1">
        <f t="array" ref="T47">SUMPRODUCT(--(T$8&lt;=Model2!$D$9:'Model2'!$CN$9),--(T$9&gt;=Model2!$D$9:'Model2'!$CN$9),Model2!$D52:'Model2'!$CN52)</f>
        <v>-5761.8777067746614</v>
      </c>
      <c r="U47" s="35" cm="1">
        <f t="array" ref="U47">SUMPRODUCT(--(U$8&lt;=Model2!$D$9:'Model2'!$CN$9),--(U$9&gt;=Model2!$D$9:'Model2'!$CN$9),Model2!$D52:'Model2'!$CN52)</f>
        <v>-6049.9715921133939</v>
      </c>
      <c r="V47" s="35" cm="1">
        <f t="array" ref="V47">SUMPRODUCT(--(V$8&lt;=Model2!$D$9:'Model2'!$CN$9),--(V$9&gt;=Model2!$D$9:'Model2'!$CN$9),Model2!$D52:'Model2'!$CN52)</f>
        <v>-6352.4701717190637</v>
      </c>
      <c r="W47" s="35" cm="1">
        <f t="array" ref="W47">SUMPRODUCT(--(W$8&lt;=Model2!$D$9:'Model2'!$CN$9),--(W$9&gt;=Model2!$D$9:'Model2'!$CN$9),Model2!$D52:'Model2'!$CN52)</f>
        <v>-6670.0936803050172</v>
      </c>
      <c r="X47" s="35" cm="1">
        <f t="array" ref="X47">SUMPRODUCT(--(X$8&lt;=Model2!$D$9:'Model2'!$CN$9),--(X$9&gt;=Model2!$D$9:'Model2'!$CN$9),Model2!$D52:'Model2'!$CN52)</f>
        <v>-7003.598364320268</v>
      </c>
      <c r="Y47" s="35" cm="1">
        <f t="array" ref="Y47">SUMPRODUCT(--(Y$8&lt;=Model2!$D$9:'Model2'!$CN$9),--(Y$9&gt;=Model2!$D$9:'Model2'!$CN$9),Model2!$D52:'Model2'!$CN52)</f>
        <v>-7353.778282536281</v>
      </c>
      <c r="Z47" s="35" cm="1">
        <f t="array" ref="Z47">SUMPRODUCT(--(Z$8&lt;=Model2!$D$9:'Model2'!$CN$9),--(Z$9&gt;=Model2!$D$9:'Model2'!$CN$9),Model2!$D52:'Model2'!$CN52)</f>
        <v>-7721.4671966630967</v>
      </c>
      <c r="AA47" s="35"/>
    </row>
    <row r="48" spans="1:27" ht="12.75" customHeight="1" outlineLevel="2">
      <c r="A48" s="35"/>
      <c r="B48" s="63" t="str">
        <f>'операционные  расходы 1 этап'!A31</f>
        <v>Охрана труда и Техника безопасности</v>
      </c>
      <c r="C48" s="74">
        <f t="shared" si="9"/>
        <v>-19738.138162528059</v>
      </c>
      <c r="D48" s="60">
        <f>Model2!D53</f>
        <v>0</v>
      </c>
      <c r="E48" s="35" cm="1">
        <f t="array" ref="E48">SUMPRODUCT(--(E$8&lt;=Model2!$D$9:'Model2'!$CN$9),--(E$9&gt;=Model2!$D$9:'Model2'!$CN$9),Model2!$D53:'Model2'!$CN53)</f>
        <v>0</v>
      </c>
      <c r="F48" s="35" cm="1">
        <f t="array" ref="F48">SUMPRODUCT(--(F$8&lt;=Model2!$D$9:'Model2'!$CN$9),--(F$9&gt;=Model2!$D$9:'Model2'!$CN$9),Model2!$D53:'Model2'!$CN53)</f>
        <v>0</v>
      </c>
      <c r="G48" s="35" cm="1">
        <f t="array" ref="G48">SUMPRODUCT(--(G$8&lt;=Model2!$D$9:'Model2'!$CN$9),--(G$9&gt;=Model2!$D$9:'Model2'!$CN$9),Model2!$D53:'Model2'!$CN53)</f>
        <v>0</v>
      </c>
      <c r="H48" s="35" cm="1">
        <f t="array" ref="H48">SUMPRODUCT(--(H$8&lt;=Model2!$D$9:'Model2'!$CN$9),--(H$9&gt;=Model2!$D$9:'Model2'!$CN$9),Model2!$D53:'Model2'!$CN53)</f>
        <v>0</v>
      </c>
      <c r="I48" s="35" cm="1">
        <f t="array" ref="I48">SUMPRODUCT(--(I$8&lt;=Model2!$D$9:'Model2'!$CN$9),--(I$9&gt;=Model2!$D$9:'Model2'!$CN$9),Model2!$D53:'Model2'!$CN53)</f>
        <v>-400.5</v>
      </c>
      <c r="J48" s="35" cm="1">
        <f t="array" ref="J48">SUMPRODUCT(--(J$8&lt;=Model2!$D$9:'Model2'!$CN$9),--(J$9&gt;=Model2!$D$9:'Model2'!$CN$9),Model2!$D53:'Model2'!$CN53)</f>
        <v>-748.35</v>
      </c>
      <c r="K48" s="35" cm="1">
        <f t="array" ref="K48">SUMPRODUCT(--(K$8&lt;=Model2!$D$9:'Model2'!$CN$9),--(K$9&gt;=Model2!$D$9:'Model2'!$CN$9),Model2!$D53:'Model2'!$CN53)</f>
        <v>-785.76750000000015</v>
      </c>
      <c r="L48" s="35" cm="1">
        <f t="array" ref="L48">SUMPRODUCT(--(L$8&lt;=Model2!$D$9:'Model2'!$CN$9),--(L$9&gt;=Model2!$D$9:'Model2'!$CN$9),Model2!$D53:'Model2'!$CN53)</f>
        <v>-825.05587500000001</v>
      </c>
      <c r="M48" s="35" cm="1">
        <f t="array" ref="M48">SUMPRODUCT(--(M$8&lt;=Model2!$D$9:'Model2'!$CN$9),--(M$9&gt;=Model2!$D$9:'Model2'!$CN$9),Model2!$D53:'Model2'!$CN53)</f>
        <v>-866.30866875000015</v>
      </c>
      <c r="N48" s="35" cm="1">
        <f t="array" ref="N48">SUMPRODUCT(--(N$8&lt;=Model2!$D$9:'Model2'!$CN$9),--(N$9&gt;=Model2!$D$9:'Model2'!$CN$9),Model2!$D53:'Model2'!$CN53)</f>
        <v>-909.62410218750017</v>
      </c>
      <c r="O48" s="35" cm="1">
        <f t="array" ref="O48">SUMPRODUCT(--(O$8&lt;=Model2!$D$9:'Model2'!$CN$9),--(O$9&gt;=Model2!$D$9:'Model2'!$CN$9),Model2!$D53:'Model2'!$CN53)</f>
        <v>-955.10530729687525</v>
      </c>
      <c r="P48" s="35" cm="1">
        <f t="array" ref="P48">SUMPRODUCT(--(P$8&lt;=Model2!$D$9:'Model2'!$CN$9),--(P$9&gt;=Model2!$D$9:'Model2'!$CN$9),Model2!$D53:'Model2'!$CN53)</f>
        <v>-1002.8605726617191</v>
      </c>
      <c r="Q48" s="35" cm="1">
        <f t="array" ref="Q48">SUMPRODUCT(--(Q$8&lt;=Model2!$D$9:'Model2'!$CN$9),--(Q$9&gt;=Model2!$D$9:'Model2'!$CN$9),Model2!$D53:'Model2'!$CN53)</f>
        <v>-1053.0036012948051</v>
      </c>
      <c r="R48" s="35" cm="1">
        <f t="array" ref="R48">SUMPRODUCT(--(R$8&lt;=Model2!$D$9:'Model2'!$CN$9),--(R$9&gt;=Model2!$D$9:'Model2'!$CN$9),Model2!$D53:'Model2'!$CN53)</f>
        <v>-1105.6537813595453</v>
      </c>
      <c r="S48" s="35" cm="1">
        <f t="array" ref="S48">SUMPRODUCT(--(S$8&lt;=Model2!$D$9:'Model2'!$CN$9),--(S$9&gt;=Model2!$D$9:'Model2'!$CN$9),Model2!$D53:'Model2'!$CN53)</f>
        <v>-1160.9364704275226</v>
      </c>
      <c r="T48" s="35" cm="1">
        <f t="array" ref="T48">SUMPRODUCT(--(T$8&lt;=Model2!$D$9:'Model2'!$CN$9),--(T$9&gt;=Model2!$D$9:'Model2'!$CN$9),Model2!$D53:'Model2'!$CN53)</f>
        <v>-1218.9832939488988</v>
      </c>
      <c r="U48" s="35" cm="1">
        <f t="array" ref="U48">SUMPRODUCT(--(U$8&lt;=Model2!$D$9:'Model2'!$CN$9),--(U$9&gt;=Model2!$D$9:'Model2'!$CN$9),Model2!$D53:'Model2'!$CN53)</f>
        <v>-1279.9324586463438</v>
      </c>
      <c r="V48" s="35" cm="1">
        <f t="array" ref="V48">SUMPRODUCT(--(V$8&lt;=Model2!$D$9:'Model2'!$CN$9),--(V$9&gt;=Model2!$D$9:'Model2'!$CN$9),Model2!$D53:'Model2'!$CN53)</f>
        <v>-1343.9290815786608</v>
      </c>
      <c r="W48" s="35" cm="1">
        <f t="array" ref="W48">SUMPRODUCT(--(W$8&lt;=Model2!$D$9:'Model2'!$CN$9),--(W$9&gt;=Model2!$D$9:'Model2'!$CN$9),Model2!$D53:'Model2'!$CN53)</f>
        <v>-1411.1255356575941</v>
      </c>
      <c r="X48" s="35" cm="1">
        <f t="array" ref="X48">SUMPRODUCT(--(X$8&lt;=Model2!$D$9:'Model2'!$CN$9),--(X$9&gt;=Model2!$D$9:'Model2'!$CN$9),Model2!$D53:'Model2'!$CN53)</f>
        <v>-1481.6818124404738</v>
      </c>
      <c r="Y48" s="35" cm="1">
        <f t="array" ref="Y48">SUMPRODUCT(--(Y$8&lt;=Model2!$D$9:'Model2'!$CN$9),--(Y$9&gt;=Model2!$D$9:'Model2'!$CN$9),Model2!$D53:'Model2'!$CN53)</f>
        <v>-1555.7659030624975</v>
      </c>
      <c r="Z48" s="35" cm="1">
        <f t="array" ref="Z48">SUMPRODUCT(--(Z$8&lt;=Model2!$D$9:'Model2'!$CN$9),--(Z$9&gt;=Model2!$D$9:'Model2'!$CN$9),Model2!$D53:'Model2'!$CN53)</f>
        <v>-1633.5541982156224</v>
      </c>
      <c r="AA48" s="35"/>
    </row>
    <row r="49" spans="1:27" ht="12.75" customHeight="1" outlineLevel="2">
      <c r="A49" s="35"/>
      <c r="B49" s="63" t="str">
        <f>'операционные  расходы 1 этап'!A32</f>
        <v>Прочие</v>
      </c>
      <c r="C49" s="74">
        <f t="shared" si="9"/>
        <v>-11469.939639636004</v>
      </c>
      <c r="D49" s="60">
        <f>Model2!D54</f>
        <v>0</v>
      </c>
      <c r="E49" s="35" cm="1">
        <f t="array" ref="E49">SUMPRODUCT(--(E$8&lt;=Model2!$D$9:'Model2'!$CN$9),--(E$9&gt;=Model2!$D$9:'Model2'!$CN$9),Model2!$D54:'Model2'!$CN54)</f>
        <v>0</v>
      </c>
      <c r="F49" s="35" cm="1">
        <f t="array" ref="F49">SUMPRODUCT(--(F$8&lt;=Model2!$D$9:'Model2'!$CN$9),--(F$9&gt;=Model2!$D$9:'Model2'!$CN$9),Model2!$D54:'Model2'!$CN54)</f>
        <v>0</v>
      </c>
      <c r="G49" s="35" cm="1">
        <f t="array" ref="G49">SUMPRODUCT(--(G$8&lt;=Model2!$D$9:'Model2'!$CN$9),--(G$9&gt;=Model2!$D$9:'Model2'!$CN$9),Model2!$D54:'Model2'!$CN54)</f>
        <v>0</v>
      </c>
      <c r="H49" s="35" cm="1">
        <f t="array" ref="H49">SUMPRODUCT(--(H$8&lt;=Model2!$D$9:'Model2'!$CN$9),--(H$9&gt;=Model2!$D$9:'Model2'!$CN$9),Model2!$D54:'Model2'!$CN54)</f>
        <v>0</v>
      </c>
      <c r="I49" s="35" cm="1">
        <f t="array" ref="I49">SUMPRODUCT(--(I$8&lt;=Model2!$D$9:'Model2'!$CN$9),--(I$9&gt;=Model2!$D$9:'Model2'!$CN$9),Model2!$D54:'Model2'!$CN54)</f>
        <v>-210</v>
      </c>
      <c r="J49" s="35" cm="1">
        <f t="array" ref="J49">SUMPRODUCT(--(J$8&lt;=Model2!$D$9:'Model2'!$CN$9),--(J$9&gt;=Model2!$D$9:'Model2'!$CN$9),Model2!$D54:'Model2'!$CN54)</f>
        <v>-435.75</v>
      </c>
      <c r="K49" s="35" cm="1">
        <f t="array" ref="K49">SUMPRODUCT(--(K$8&lt;=Model2!$D$9:'Model2'!$CN$9),--(K$9&gt;=Model2!$D$9:'Model2'!$CN$9),Model2!$D54:'Model2'!$CN54)</f>
        <v>-457.53749999999997</v>
      </c>
      <c r="L49" s="35" cm="1">
        <f t="array" ref="L49">SUMPRODUCT(--(L$8&lt;=Model2!$D$9:'Model2'!$CN$9),--(L$9&gt;=Model2!$D$9:'Model2'!$CN$9),Model2!$D54:'Model2'!$CN54)</f>
        <v>-480.41437500000006</v>
      </c>
      <c r="M49" s="35" cm="1">
        <f t="array" ref="M49">SUMPRODUCT(--(M$8&lt;=Model2!$D$9:'Model2'!$CN$9),--(M$9&gt;=Model2!$D$9:'Model2'!$CN$9),Model2!$D54:'Model2'!$CN54)</f>
        <v>-504.43509375000008</v>
      </c>
      <c r="N49" s="35" cm="1">
        <f t="array" ref="N49">SUMPRODUCT(--(N$8&lt;=Model2!$D$9:'Model2'!$CN$9),--(N$9&gt;=Model2!$D$9:'Model2'!$CN$9),Model2!$D54:'Model2'!$CN54)</f>
        <v>-529.65684843750012</v>
      </c>
      <c r="O49" s="35" cm="1">
        <f t="array" ref="O49">SUMPRODUCT(--(O$8&lt;=Model2!$D$9:'Model2'!$CN$9),--(O$9&gt;=Model2!$D$9:'Model2'!$CN$9),Model2!$D54:'Model2'!$CN54)</f>
        <v>-556.13969085937515</v>
      </c>
      <c r="P49" s="35" cm="1">
        <f t="array" ref="P49">SUMPRODUCT(--(P$8&lt;=Model2!$D$9:'Model2'!$CN$9),--(P$9&gt;=Model2!$D$9:'Model2'!$CN$9),Model2!$D54:'Model2'!$CN54)</f>
        <v>-583.946675402344</v>
      </c>
      <c r="Q49" s="35" cm="1">
        <f t="array" ref="Q49">SUMPRODUCT(--(Q$8&lt;=Model2!$D$9:'Model2'!$CN$9),--(Q$9&gt;=Model2!$D$9:'Model2'!$CN$9),Model2!$D54:'Model2'!$CN54)</f>
        <v>-613.14400917246121</v>
      </c>
      <c r="R49" s="35" cm="1">
        <f t="array" ref="R49">SUMPRODUCT(--(R$8&lt;=Model2!$D$9:'Model2'!$CN$9),--(R$9&gt;=Model2!$D$9:'Model2'!$CN$9),Model2!$D54:'Model2'!$CN54)</f>
        <v>-643.80120963108425</v>
      </c>
      <c r="S49" s="35" cm="1">
        <f t="array" ref="S49">SUMPRODUCT(--(S$8&lt;=Model2!$D$9:'Model2'!$CN$9),--(S$9&gt;=Model2!$D$9:'Model2'!$CN$9),Model2!$D54:'Model2'!$CN54)</f>
        <v>-675.99127011263852</v>
      </c>
      <c r="T49" s="35" cm="1">
        <f t="array" ref="T49">SUMPRODUCT(--(T$8&lt;=Model2!$D$9:'Model2'!$CN$9),--(T$9&gt;=Model2!$D$9:'Model2'!$CN$9),Model2!$D54:'Model2'!$CN54)</f>
        <v>-709.79083361827065</v>
      </c>
      <c r="U49" s="35" cm="1">
        <f t="array" ref="U49">SUMPRODUCT(--(U$8&lt;=Model2!$D$9:'Model2'!$CN$9),--(U$9&gt;=Model2!$D$9:'Model2'!$CN$9),Model2!$D54:'Model2'!$CN54)</f>
        <v>-745.28037529918402</v>
      </c>
      <c r="V49" s="35" cm="1">
        <f t="array" ref="V49">SUMPRODUCT(--(V$8&lt;=Model2!$D$9:'Model2'!$CN$9),--(V$9&gt;=Model2!$D$9:'Model2'!$CN$9),Model2!$D54:'Model2'!$CN54)</f>
        <v>-782.54439406414326</v>
      </c>
      <c r="W49" s="35" cm="1">
        <f t="array" ref="W49">SUMPRODUCT(--(W$8&lt;=Model2!$D$9:'Model2'!$CN$9),--(W$9&gt;=Model2!$D$9:'Model2'!$CN$9),Model2!$D54:'Model2'!$CN54)</f>
        <v>-821.67161376735044</v>
      </c>
      <c r="X49" s="35" cm="1">
        <f t="array" ref="X49">SUMPRODUCT(--(X$8&lt;=Model2!$D$9:'Model2'!$CN$9),--(X$9&gt;=Model2!$D$9:'Model2'!$CN$9),Model2!$D54:'Model2'!$CN54)</f>
        <v>-862.75519445571808</v>
      </c>
      <c r="Y49" s="35" cm="1">
        <f t="array" ref="Y49">SUMPRODUCT(--(Y$8&lt;=Model2!$D$9:'Model2'!$CN$9),--(Y$9&gt;=Model2!$D$9:'Model2'!$CN$9),Model2!$D54:'Model2'!$CN54)</f>
        <v>-905.89295417850417</v>
      </c>
      <c r="Z49" s="35" cm="1">
        <f t="array" ref="Z49">SUMPRODUCT(--(Z$8&lt;=Model2!$D$9:'Model2'!$CN$9),--(Z$9&gt;=Model2!$D$9:'Model2'!$CN$9),Model2!$D54:'Model2'!$CN54)</f>
        <v>-951.18760188742931</v>
      </c>
      <c r="AA49" s="35"/>
    </row>
    <row r="50" spans="1:27" ht="12.75" customHeight="1" outlineLevel="2">
      <c r="A50" s="35"/>
      <c r="B50" s="63" t="str">
        <f>'операционные  расходы 1 этап'!A33</f>
        <v>Административные и прочие расходы</v>
      </c>
      <c r="C50" s="74">
        <f t="shared" si="9"/>
        <v>-93633.572454093708</v>
      </c>
      <c r="D50" s="60">
        <f>Model2!D55</f>
        <v>0</v>
      </c>
      <c r="E50" s="35" cm="1">
        <f t="array" ref="E50">SUMPRODUCT(--(E$8&lt;=Model2!$D$9:'Model2'!$CN$9),--(E$9&gt;=Model2!$D$9:'Model2'!$CN$9),Model2!$D55:'Model2'!$CN55)</f>
        <v>0</v>
      </c>
      <c r="F50" s="35" cm="1">
        <f t="array" ref="F50">SUMPRODUCT(--(F$8&lt;=Model2!$D$9:'Model2'!$CN$9),--(F$9&gt;=Model2!$D$9:'Model2'!$CN$9),Model2!$D55:'Model2'!$CN55)</f>
        <v>0</v>
      </c>
      <c r="G50" s="35" cm="1">
        <f t="array" ref="G50">SUMPRODUCT(--(G$8&lt;=Model2!$D$9:'Model2'!$CN$9),--(G$9&gt;=Model2!$D$9:'Model2'!$CN$9),Model2!$D55:'Model2'!$CN55)</f>
        <v>0</v>
      </c>
      <c r="H50" s="35" cm="1">
        <f t="array" ref="H50">SUMPRODUCT(--(H$8&lt;=Model2!$D$9:'Model2'!$CN$9),--(H$9&gt;=Model2!$D$9:'Model2'!$CN$9),Model2!$D55:'Model2'!$CN55)</f>
        <v>0</v>
      </c>
      <c r="I50" s="35" cm="1">
        <f t="array" ref="I50">SUMPRODUCT(--(I$8&lt;=Model2!$D$9:'Model2'!$CN$9),--(I$9&gt;=Model2!$D$9:'Model2'!$CN$9),Model2!$D55:'Model2'!$CN55)</f>
        <v>-2228.6231135687503</v>
      </c>
      <c r="J50" s="35" cm="1">
        <f t="array" ref="J50">SUMPRODUCT(--(J$8&lt;=Model2!$D$9:'Model2'!$CN$9),--(J$9&gt;=Model2!$D$9:'Model2'!$CN$9),Model2!$D55:'Model2'!$CN55)</f>
        <v>-3537.2930894699998</v>
      </c>
      <c r="K50" s="35" cm="1">
        <f t="array" ref="K50">SUMPRODUCT(--(K$8&lt;=Model2!$D$9:'Model2'!$CN$9),--(K$9&gt;=Model2!$D$9:'Model2'!$CN$9),Model2!$D55:'Model2'!$CN55)</f>
        <v>-3714.1577439435</v>
      </c>
      <c r="L50" s="35" cm="1">
        <f t="array" ref="L50">SUMPRODUCT(--(L$8&lt;=Model2!$D$9:'Model2'!$CN$9),--(L$9&gt;=Model2!$D$9:'Model2'!$CN$9),Model2!$D55:'Model2'!$CN55)</f>
        <v>-3899.8656311406758</v>
      </c>
      <c r="M50" s="35" cm="1">
        <f t="array" ref="M50">SUMPRODUCT(--(M$8&lt;=Model2!$D$9:'Model2'!$CN$9),--(M$9&gt;=Model2!$D$9:'Model2'!$CN$9),Model2!$D55:'Model2'!$CN55)</f>
        <v>-4094.8589126977095</v>
      </c>
      <c r="N50" s="35" cm="1">
        <f t="array" ref="N50">SUMPRODUCT(--(N$8&lt;=Model2!$D$9:'Model2'!$CN$9),--(N$9&gt;=Model2!$D$9:'Model2'!$CN$9),Model2!$D55:'Model2'!$CN55)</f>
        <v>-4299.6018583325949</v>
      </c>
      <c r="O50" s="35" cm="1">
        <f t="array" ref="O50">SUMPRODUCT(--(O$8&lt;=Model2!$D$9:'Model2'!$CN$9),--(O$9&gt;=Model2!$D$9:'Model2'!$CN$9),Model2!$D55:'Model2'!$CN55)</f>
        <v>-4514.5819512492253</v>
      </c>
      <c r="P50" s="35" cm="1">
        <f t="array" ref="P50">SUMPRODUCT(--(P$8&lt;=Model2!$D$9:'Model2'!$CN$9),--(P$9&gt;=Model2!$D$9:'Model2'!$CN$9),Model2!$D55:'Model2'!$CN55)</f>
        <v>-4740.3110488116863</v>
      </c>
      <c r="Q50" s="35" cm="1">
        <f t="array" ref="Q50">SUMPRODUCT(--(Q$8&lt;=Model2!$D$9:'Model2'!$CN$9),--(Q$9&gt;=Model2!$D$9:'Model2'!$CN$9),Model2!$D55:'Model2'!$CN55)</f>
        <v>-4977.3266012522708</v>
      </c>
      <c r="R50" s="35" cm="1">
        <f t="array" ref="R50">SUMPRODUCT(--(R$8&lt;=Model2!$D$9:'Model2'!$CN$9),--(R$9&gt;=Model2!$D$9:'Model2'!$CN$9),Model2!$D55:'Model2'!$CN55)</f>
        <v>-5226.1929313148848</v>
      </c>
      <c r="S50" s="35" cm="1">
        <f t="array" ref="S50">SUMPRODUCT(--(S$8&lt;=Model2!$D$9:'Model2'!$CN$9),--(S$9&gt;=Model2!$D$9:'Model2'!$CN$9),Model2!$D55:'Model2'!$CN55)</f>
        <v>-5487.5025778806294</v>
      </c>
      <c r="T50" s="35" cm="1">
        <f t="array" ref="T50">SUMPRODUCT(--(T$8&lt;=Model2!$D$9:'Model2'!$CN$9),--(T$9&gt;=Model2!$D$9:'Model2'!$CN$9),Model2!$D55:'Model2'!$CN55)</f>
        <v>-5761.8777067746614</v>
      </c>
      <c r="U50" s="35" cm="1">
        <f t="array" ref="U50">SUMPRODUCT(--(U$8&lt;=Model2!$D$9:'Model2'!$CN$9),--(U$9&gt;=Model2!$D$9:'Model2'!$CN$9),Model2!$D55:'Model2'!$CN55)</f>
        <v>-6049.9715921133939</v>
      </c>
      <c r="V50" s="35" cm="1">
        <f t="array" ref="V50">SUMPRODUCT(--(V$8&lt;=Model2!$D$9:'Model2'!$CN$9),--(V$9&gt;=Model2!$D$9:'Model2'!$CN$9),Model2!$D55:'Model2'!$CN55)</f>
        <v>-6352.4701717190637</v>
      </c>
      <c r="W50" s="35" cm="1">
        <f t="array" ref="W50">SUMPRODUCT(--(W$8&lt;=Model2!$D$9:'Model2'!$CN$9),--(W$9&gt;=Model2!$D$9:'Model2'!$CN$9),Model2!$D55:'Model2'!$CN55)</f>
        <v>-6670.0936803050172</v>
      </c>
      <c r="X50" s="35" cm="1">
        <f t="array" ref="X50">SUMPRODUCT(--(X$8&lt;=Model2!$D$9:'Model2'!$CN$9),--(X$9&gt;=Model2!$D$9:'Model2'!$CN$9),Model2!$D55:'Model2'!$CN55)</f>
        <v>-7003.598364320268</v>
      </c>
      <c r="Y50" s="35" cm="1">
        <f t="array" ref="Y50">SUMPRODUCT(--(Y$8&lt;=Model2!$D$9:'Model2'!$CN$9),--(Y$9&gt;=Model2!$D$9:'Model2'!$CN$9),Model2!$D55:'Model2'!$CN55)</f>
        <v>-7353.778282536281</v>
      </c>
      <c r="Z50" s="35" cm="1">
        <f t="array" ref="Z50">SUMPRODUCT(--(Z$8&lt;=Model2!$D$9:'Model2'!$CN$9),--(Z$9&gt;=Model2!$D$9:'Model2'!$CN$9),Model2!$D55:'Model2'!$CN55)</f>
        <v>-7721.4671966630967</v>
      </c>
      <c r="AA50" s="35"/>
    </row>
    <row r="51" spans="1:27" ht="12.75" customHeight="1" outlineLevel="2">
      <c r="A51" s="35"/>
      <c r="B51" s="63" t="e">
        <f>'операционные  расходы 1 этап'!#REF!</f>
        <v>#REF!</v>
      </c>
      <c r="C51" s="74">
        <f t="shared" si="9"/>
        <v>-46816.786227046854</v>
      </c>
      <c r="D51" s="60">
        <f>Model2!D56</f>
        <v>0</v>
      </c>
      <c r="E51" s="35" cm="1">
        <f t="array" ref="E51">SUMPRODUCT(--(E$8&lt;=Model2!$D$9:'Model2'!$CN$9),--(E$9&gt;=Model2!$D$9:'Model2'!$CN$9),Model2!$D56:'Model2'!$CN56)</f>
        <v>0</v>
      </c>
      <c r="F51" s="35" cm="1">
        <f t="array" ref="F51">SUMPRODUCT(--(F$8&lt;=Model2!$D$9:'Model2'!$CN$9),--(F$9&gt;=Model2!$D$9:'Model2'!$CN$9),Model2!$D56:'Model2'!$CN56)</f>
        <v>0</v>
      </c>
      <c r="G51" s="35" cm="1">
        <f t="array" ref="G51">SUMPRODUCT(--(G$8&lt;=Model2!$D$9:'Model2'!$CN$9),--(G$9&gt;=Model2!$D$9:'Model2'!$CN$9),Model2!$D56:'Model2'!$CN56)</f>
        <v>0</v>
      </c>
      <c r="H51" s="35" cm="1">
        <f t="array" ref="H51">SUMPRODUCT(--(H$8&lt;=Model2!$D$9:'Model2'!$CN$9),--(H$9&gt;=Model2!$D$9:'Model2'!$CN$9),Model2!$D56:'Model2'!$CN56)</f>
        <v>0</v>
      </c>
      <c r="I51" s="35" cm="1">
        <f t="array" ref="I51">SUMPRODUCT(--(I$8&lt;=Model2!$D$9:'Model2'!$CN$9),--(I$9&gt;=Model2!$D$9:'Model2'!$CN$9),Model2!$D56:'Model2'!$CN56)</f>
        <v>-1114.3115567843752</v>
      </c>
      <c r="J51" s="35" cm="1">
        <f t="array" ref="J51">SUMPRODUCT(--(J$8&lt;=Model2!$D$9:'Model2'!$CN$9),--(J$9&gt;=Model2!$D$9:'Model2'!$CN$9),Model2!$D56:'Model2'!$CN56)</f>
        <v>-1768.6465447349999</v>
      </c>
      <c r="K51" s="35" cm="1">
        <f t="array" ref="K51">SUMPRODUCT(--(K$8&lt;=Model2!$D$9:'Model2'!$CN$9),--(K$9&gt;=Model2!$D$9:'Model2'!$CN$9),Model2!$D56:'Model2'!$CN56)</f>
        <v>-1857.07887197175</v>
      </c>
      <c r="L51" s="35" cm="1">
        <f t="array" ref="L51">SUMPRODUCT(--(L$8&lt;=Model2!$D$9:'Model2'!$CN$9),--(L$9&gt;=Model2!$D$9:'Model2'!$CN$9),Model2!$D56:'Model2'!$CN56)</f>
        <v>-1949.9328155703379</v>
      </c>
      <c r="M51" s="35" cm="1">
        <f t="array" ref="M51">SUMPRODUCT(--(M$8&lt;=Model2!$D$9:'Model2'!$CN$9),--(M$9&gt;=Model2!$D$9:'Model2'!$CN$9),Model2!$D56:'Model2'!$CN56)</f>
        <v>-2047.4294563488547</v>
      </c>
      <c r="N51" s="35" cm="1">
        <f t="array" ref="N51">SUMPRODUCT(--(N$8&lt;=Model2!$D$9:'Model2'!$CN$9),--(N$9&gt;=Model2!$D$9:'Model2'!$CN$9),Model2!$D56:'Model2'!$CN56)</f>
        <v>-2149.8009291662975</v>
      </c>
      <c r="O51" s="35" cm="1">
        <f t="array" ref="O51">SUMPRODUCT(--(O$8&lt;=Model2!$D$9:'Model2'!$CN$9),--(O$9&gt;=Model2!$D$9:'Model2'!$CN$9),Model2!$D56:'Model2'!$CN56)</f>
        <v>-2257.2909756246127</v>
      </c>
      <c r="P51" s="35" cm="1">
        <f t="array" ref="P51">SUMPRODUCT(--(P$8&lt;=Model2!$D$9:'Model2'!$CN$9),--(P$9&gt;=Model2!$D$9:'Model2'!$CN$9),Model2!$D56:'Model2'!$CN56)</f>
        <v>-2370.1555244058432</v>
      </c>
      <c r="Q51" s="35" cm="1">
        <f t="array" ref="Q51">SUMPRODUCT(--(Q$8&lt;=Model2!$D$9:'Model2'!$CN$9),--(Q$9&gt;=Model2!$D$9:'Model2'!$CN$9),Model2!$D56:'Model2'!$CN56)</f>
        <v>-2488.6633006261354</v>
      </c>
      <c r="R51" s="35" cm="1">
        <f t="array" ref="R51">SUMPRODUCT(--(R$8&lt;=Model2!$D$9:'Model2'!$CN$9),--(R$9&gt;=Model2!$D$9:'Model2'!$CN$9),Model2!$D56:'Model2'!$CN56)</f>
        <v>-2613.0964656574424</v>
      </c>
      <c r="S51" s="35" cm="1">
        <f t="array" ref="S51">SUMPRODUCT(--(S$8&lt;=Model2!$D$9:'Model2'!$CN$9),--(S$9&gt;=Model2!$D$9:'Model2'!$CN$9),Model2!$D56:'Model2'!$CN56)</f>
        <v>-2743.7512889403147</v>
      </c>
      <c r="T51" s="35" cm="1">
        <f t="array" ref="T51">SUMPRODUCT(--(T$8&lt;=Model2!$D$9:'Model2'!$CN$9),--(T$9&gt;=Model2!$D$9:'Model2'!$CN$9),Model2!$D56:'Model2'!$CN56)</f>
        <v>-2880.9388533873307</v>
      </c>
      <c r="U51" s="35" cm="1">
        <f t="array" ref="U51">SUMPRODUCT(--(U$8&lt;=Model2!$D$9:'Model2'!$CN$9),--(U$9&gt;=Model2!$D$9:'Model2'!$CN$9),Model2!$D56:'Model2'!$CN56)</f>
        <v>-3024.9857960566969</v>
      </c>
      <c r="V51" s="35" cm="1">
        <f t="array" ref="V51">SUMPRODUCT(--(V$8&lt;=Model2!$D$9:'Model2'!$CN$9),--(V$9&gt;=Model2!$D$9:'Model2'!$CN$9),Model2!$D56:'Model2'!$CN56)</f>
        <v>-3176.2350858595319</v>
      </c>
      <c r="W51" s="35" cm="1">
        <f t="array" ref="W51">SUMPRODUCT(--(W$8&lt;=Model2!$D$9:'Model2'!$CN$9),--(W$9&gt;=Model2!$D$9:'Model2'!$CN$9),Model2!$D56:'Model2'!$CN56)</f>
        <v>-3335.0468401525086</v>
      </c>
      <c r="X51" s="35" cm="1">
        <f t="array" ref="X51">SUMPRODUCT(--(X$8&lt;=Model2!$D$9:'Model2'!$CN$9),--(X$9&gt;=Model2!$D$9:'Model2'!$CN$9),Model2!$D56:'Model2'!$CN56)</f>
        <v>-3501.799182160134</v>
      </c>
      <c r="Y51" s="35" cm="1">
        <f t="array" ref="Y51">SUMPRODUCT(--(Y$8&lt;=Model2!$D$9:'Model2'!$CN$9),--(Y$9&gt;=Model2!$D$9:'Model2'!$CN$9),Model2!$D56:'Model2'!$CN56)</f>
        <v>-3676.8891412681405</v>
      </c>
      <c r="Z51" s="35" cm="1">
        <f t="array" ref="Z51">SUMPRODUCT(--(Z$8&lt;=Model2!$D$9:'Model2'!$CN$9),--(Z$9&gt;=Model2!$D$9:'Model2'!$CN$9),Model2!$D56:'Model2'!$CN56)</f>
        <v>-3860.7335983315484</v>
      </c>
      <c r="AA51" s="35"/>
    </row>
    <row r="52" spans="1:27" ht="12.75" customHeight="1" outlineLevel="2">
      <c r="A52" s="35"/>
      <c r="B52" s="63" t="e">
        <f>'операционные  расходы 1 этап'!#REF!</f>
        <v>#REF!</v>
      </c>
      <c r="C52" s="74">
        <f t="shared" si="9"/>
        <v>-55316.99972235936</v>
      </c>
      <c r="D52" s="60">
        <f>Model2!D57</f>
        <v>0</v>
      </c>
      <c r="E52" s="35" cm="1">
        <f t="array" ref="E52">SUMPRODUCT(--(E$8&lt;=Model2!$D$9:'Model2'!$CN$9),--(E$9&gt;=Model2!$D$9:'Model2'!$CN$9),Model2!$D57:'Model2'!$CN57)</f>
        <v>0</v>
      </c>
      <c r="F52" s="35" cm="1">
        <f t="array" ref="F52">SUMPRODUCT(--(F$8&lt;=Model2!$D$9:'Model2'!$CN$9),--(F$9&gt;=Model2!$D$9:'Model2'!$CN$9),Model2!$D57:'Model2'!$CN57)</f>
        <v>0</v>
      </c>
      <c r="G52" s="35" cm="1">
        <f t="array" ref="G52">SUMPRODUCT(--(G$8&lt;=Model2!$D$9:'Model2'!$CN$9),--(G$9&gt;=Model2!$D$9:'Model2'!$CN$9),Model2!$D57:'Model2'!$CN57)</f>
        <v>0</v>
      </c>
      <c r="H52" s="35" cm="1">
        <f t="array" ref="H52">SUMPRODUCT(--(H$8&lt;=Model2!$D$9:'Model2'!$CN$9),--(H$9&gt;=Model2!$D$9:'Model2'!$CN$9),Model2!$D57:'Model2'!$CN57)</f>
        <v>0</v>
      </c>
      <c r="I52" s="35" cm="1">
        <f t="array" ref="I52">SUMPRODUCT(--(I$8&lt;=Model2!$D$9:'Model2'!$CN$9),--(I$9&gt;=Model2!$D$9:'Model2'!$CN$9),Model2!$D57:'Model2'!$CN57)</f>
        <v>-1561.5243393750002</v>
      </c>
      <c r="J52" s="35" cm="1">
        <f t="array" ref="J52">SUMPRODUCT(--(J$8&lt;=Model2!$D$9:'Model2'!$CN$9),--(J$9&gt;=Model2!$D$9:'Model2'!$CN$9),Model2!$D57:'Model2'!$CN57)</f>
        <v>-3162.0867872343752</v>
      </c>
      <c r="K52" s="35" cm="1">
        <f t="array" ref="K52">SUMPRODUCT(--(K$8&lt;=Model2!$D$9:'Model2'!$CN$9),--(K$9&gt;=Model2!$D$9:'Model2'!$CN$9),Model2!$D57:'Model2'!$CN57)</f>
        <v>-3162.0867872343752</v>
      </c>
      <c r="L52" s="35" cm="1">
        <f t="array" ref="L52">SUMPRODUCT(--(L$8&lt;=Model2!$D$9:'Model2'!$CN$9),--(L$9&gt;=Model2!$D$9:'Model2'!$CN$9),Model2!$D57:'Model2'!$CN57)</f>
        <v>-3162.0867872343752</v>
      </c>
      <c r="M52" s="35" cm="1">
        <f t="array" ref="M52">SUMPRODUCT(--(M$8&lt;=Model2!$D$9:'Model2'!$CN$9),--(M$9&gt;=Model2!$D$9:'Model2'!$CN$9),Model2!$D57:'Model2'!$CN57)</f>
        <v>-3162.0867872343752</v>
      </c>
      <c r="N52" s="35" cm="1">
        <f t="array" ref="N52">SUMPRODUCT(--(N$8&lt;=Model2!$D$9:'Model2'!$CN$9),--(N$9&gt;=Model2!$D$9:'Model2'!$CN$9),Model2!$D57:'Model2'!$CN57)</f>
        <v>-3162.0867872343752</v>
      </c>
      <c r="O52" s="35" cm="1">
        <f t="array" ref="O52">SUMPRODUCT(--(O$8&lt;=Model2!$D$9:'Model2'!$CN$9),--(O$9&gt;=Model2!$D$9:'Model2'!$CN$9),Model2!$D57:'Model2'!$CN57)</f>
        <v>-3162.0867872343752</v>
      </c>
      <c r="P52" s="35" cm="1">
        <f t="array" ref="P52">SUMPRODUCT(--(P$8&lt;=Model2!$D$9:'Model2'!$CN$9),--(P$9&gt;=Model2!$D$9:'Model2'!$CN$9),Model2!$D57:'Model2'!$CN57)</f>
        <v>-3162.0867872343752</v>
      </c>
      <c r="Q52" s="35" cm="1">
        <f t="array" ref="Q52">SUMPRODUCT(--(Q$8&lt;=Model2!$D$9:'Model2'!$CN$9),--(Q$9&gt;=Model2!$D$9:'Model2'!$CN$9),Model2!$D57:'Model2'!$CN57)</f>
        <v>-3162.0867872343752</v>
      </c>
      <c r="R52" s="35" cm="1">
        <f t="array" ref="R52">SUMPRODUCT(--(R$8&lt;=Model2!$D$9:'Model2'!$CN$9),--(R$9&gt;=Model2!$D$9:'Model2'!$CN$9),Model2!$D57:'Model2'!$CN57)</f>
        <v>-3162.0867872343752</v>
      </c>
      <c r="S52" s="35" cm="1">
        <f t="array" ref="S52">SUMPRODUCT(--(S$8&lt;=Model2!$D$9:'Model2'!$CN$9),--(S$9&gt;=Model2!$D$9:'Model2'!$CN$9),Model2!$D57:'Model2'!$CN57)</f>
        <v>-3162.0867872343752</v>
      </c>
      <c r="T52" s="35" cm="1">
        <f t="array" ref="T52">SUMPRODUCT(--(T$8&lt;=Model2!$D$9:'Model2'!$CN$9),--(T$9&gt;=Model2!$D$9:'Model2'!$CN$9),Model2!$D57:'Model2'!$CN57)</f>
        <v>-3162.0867872343752</v>
      </c>
      <c r="U52" s="35" cm="1">
        <f t="array" ref="U52">SUMPRODUCT(--(U$8&lt;=Model2!$D$9:'Model2'!$CN$9),--(U$9&gt;=Model2!$D$9:'Model2'!$CN$9),Model2!$D57:'Model2'!$CN57)</f>
        <v>-3162.0867872343752</v>
      </c>
      <c r="V52" s="35" cm="1">
        <f t="array" ref="V52">SUMPRODUCT(--(V$8&lt;=Model2!$D$9:'Model2'!$CN$9),--(V$9&gt;=Model2!$D$9:'Model2'!$CN$9),Model2!$D57:'Model2'!$CN57)</f>
        <v>-3162.0867872343752</v>
      </c>
      <c r="W52" s="35" cm="1">
        <f t="array" ref="W52">SUMPRODUCT(--(W$8&lt;=Model2!$D$9:'Model2'!$CN$9),--(W$9&gt;=Model2!$D$9:'Model2'!$CN$9),Model2!$D57:'Model2'!$CN57)</f>
        <v>-3162.0867872343752</v>
      </c>
      <c r="X52" s="35" cm="1">
        <f t="array" ref="X52">SUMPRODUCT(--(X$8&lt;=Model2!$D$9:'Model2'!$CN$9),--(X$9&gt;=Model2!$D$9:'Model2'!$CN$9),Model2!$D57:'Model2'!$CN57)</f>
        <v>-3162.0867872343752</v>
      </c>
      <c r="Y52" s="35" cm="1">
        <f t="array" ref="Y52">SUMPRODUCT(--(Y$8&lt;=Model2!$D$9:'Model2'!$CN$9),--(Y$9&gt;=Model2!$D$9:'Model2'!$CN$9),Model2!$D57:'Model2'!$CN57)</f>
        <v>-3162.0867872343752</v>
      </c>
      <c r="Z52" s="35" cm="1">
        <f t="array" ref="Z52">SUMPRODUCT(--(Z$8&lt;=Model2!$D$9:'Model2'!$CN$9),--(Z$9&gt;=Model2!$D$9:'Model2'!$CN$9),Model2!$D57:'Model2'!$CN57)</f>
        <v>-3162.0867872343752</v>
      </c>
      <c r="AA52" s="35"/>
    </row>
    <row r="53" spans="1:27" ht="15" customHeight="1">
      <c r="B53" s="63" t="e">
        <f>'операционные  расходы 1 этап'!#REF!</f>
        <v>#REF!</v>
      </c>
    </row>
    <row r="54" spans="1:27" ht="12.75" customHeight="1" outlineLevel="2">
      <c r="A54" s="35"/>
      <c r="B54" s="63"/>
      <c r="C54" s="74">
        <f>SUM(D54:AA54)</f>
        <v>-26400</v>
      </c>
      <c r="D54" s="60">
        <f>Model2!D58</f>
        <v>0</v>
      </c>
      <c r="E54" s="35" cm="1">
        <f t="array" ref="E54">SUMPRODUCT(--(E$8&lt;=Model2!$D$9:'Model2'!$CN$9),--(E$9&gt;=Model2!$D$9:'Model2'!$CN$9),Model2!$D58:'Model2'!$CN58)</f>
        <v>-1200</v>
      </c>
      <c r="F54" s="35" cm="1">
        <f t="array" ref="F54">SUMPRODUCT(--(F$8&lt;=Model2!$D$9:'Model2'!$CN$9),--(F$9&gt;=Model2!$D$9:'Model2'!$CN$9),Model2!$D58:'Model2'!$CN58)</f>
        <v>-1200</v>
      </c>
      <c r="G54" s="35" cm="1">
        <f t="array" ref="G54">SUMPRODUCT(--(G$8&lt;=Model2!$D$9:'Model2'!$CN$9),--(G$9&gt;=Model2!$D$9:'Model2'!$CN$9),Model2!$D58:'Model2'!$CN58)</f>
        <v>-1200</v>
      </c>
      <c r="H54" s="35" cm="1">
        <f t="array" ref="H54">SUMPRODUCT(--(H$8&lt;=Model2!$D$9:'Model2'!$CN$9),--(H$9&gt;=Model2!$D$9:'Model2'!$CN$9),Model2!$D58:'Model2'!$CN58)</f>
        <v>-1200</v>
      </c>
      <c r="I54" s="35" cm="1">
        <f t="array" ref="I54">SUMPRODUCT(--(I$8&lt;=Model2!$D$9:'Model2'!$CN$9),--(I$9&gt;=Model2!$D$9:'Model2'!$CN$9),Model2!$D58:'Model2'!$CN58)</f>
        <v>-1200</v>
      </c>
      <c r="J54" s="35" cm="1">
        <f t="array" ref="J54">SUMPRODUCT(--(J$8&lt;=Model2!$D$9:'Model2'!$CN$9),--(J$9&gt;=Model2!$D$9:'Model2'!$CN$9),Model2!$D58:'Model2'!$CN58)</f>
        <v>-1200</v>
      </c>
      <c r="K54" s="35" cm="1">
        <f t="array" ref="K54">SUMPRODUCT(--(K$8&lt;=Model2!$D$9:'Model2'!$CN$9),--(K$9&gt;=Model2!$D$9:'Model2'!$CN$9),Model2!$D58:'Model2'!$CN58)</f>
        <v>-1200</v>
      </c>
      <c r="L54" s="35" cm="1">
        <f t="array" ref="L54">SUMPRODUCT(--(L$8&lt;=Model2!$D$9:'Model2'!$CN$9),--(L$9&gt;=Model2!$D$9:'Model2'!$CN$9),Model2!$D58:'Model2'!$CN58)</f>
        <v>-1200</v>
      </c>
      <c r="M54" s="35" cm="1">
        <f t="array" ref="M54">SUMPRODUCT(--(M$8&lt;=Model2!$D$9:'Model2'!$CN$9),--(M$9&gt;=Model2!$D$9:'Model2'!$CN$9),Model2!$D58:'Model2'!$CN58)</f>
        <v>-1200</v>
      </c>
      <c r="N54" s="35" cm="1">
        <f t="array" ref="N54">SUMPRODUCT(--(N$8&lt;=Model2!$D$9:'Model2'!$CN$9),--(N$9&gt;=Model2!$D$9:'Model2'!$CN$9),Model2!$D58:'Model2'!$CN58)</f>
        <v>-1200</v>
      </c>
      <c r="O54" s="35" cm="1">
        <f t="array" ref="O54">SUMPRODUCT(--(O$8&lt;=Model2!$D$9:'Model2'!$CN$9),--(O$9&gt;=Model2!$D$9:'Model2'!$CN$9),Model2!$D58:'Model2'!$CN58)</f>
        <v>-1200</v>
      </c>
      <c r="P54" s="35" cm="1">
        <f t="array" ref="P54">SUMPRODUCT(--(P$8&lt;=Model2!$D$9:'Model2'!$CN$9),--(P$9&gt;=Model2!$D$9:'Model2'!$CN$9),Model2!$D58:'Model2'!$CN58)</f>
        <v>-1200</v>
      </c>
      <c r="Q54" s="35" cm="1">
        <f t="array" ref="Q54">SUMPRODUCT(--(Q$8&lt;=Model2!$D$9:'Model2'!$CN$9),--(Q$9&gt;=Model2!$D$9:'Model2'!$CN$9),Model2!$D58:'Model2'!$CN58)</f>
        <v>-1200</v>
      </c>
      <c r="R54" s="35" cm="1">
        <f t="array" ref="R54">SUMPRODUCT(--(R$8&lt;=Model2!$D$9:'Model2'!$CN$9),--(R$9&gt;=Model2!$D$9:'Model2'!$CN$9),Model2!$D58:'Model2'!$CN58)</f>
        <v>-1200</v>
      </c>
      <c r="S54" s="35" cm="1">
        <f t="array" ref="S54">SUMPRODUCT(--(S$8&lt;=Model2!$D$9:'Model2'!$CN$9),--(S$9&gt;=Model2!$D$9:'Model2'!$CN$9),Model2!$D58:'Model2'!$CN58)</f>
        <v>-1200</v>
      </c>
      <c r="T54" s="35" cm="1">
        <f t="array" ref="T54">SUMPRODUCT(--(T$8&lt;=Model2!$D$9:'Model2'!$CN$9),--(T$9&gt;=Model2!$D$9:'Model2'!$CN$9),Model2!$D58:'Model2'!$CN58)</f>
        <v>-1200</v>
      </c>
      <c r="U54" s="35" cm="1">
        <f t="array" ref="U54">SUMPRODUCT(--(U$8&lt;=Model2!$D$9:'Model2'!$CN$9),--(U$9&gt;=Model2!$D$9:'Model2'!$CN$9),Model2!$D58:'Model2'!$CN58)</f>
        <v>-1200</v>
      </c>
      <c r="V54" s="35" cm="1">
        <f t="array" ref="V54">SUMPRODUCT(--(V$8&lt;=Model2!$D$9:'Model2'!$CN$9),--(V$9&gt;=Model2!$D$9:'Model2'!$CN$9),Model2!$D58:'Model2'!$CN58)</f>
        <v>-1200</v>
      </c>
      <c r="W54" s="35" cm="1">
        <f t="array" ref="W54">SUMPRODUCT(--(W$8&lt;=Model2!$D$9:'Model2'!$CN$9),--(W$9&gt;=Model2!$D$9:'Model2'!$CN$9),Model2!$D58:'Model2'!$CN58)</f>
        <v>-1200</v>
      </c>
      <c r="X54" s="35" cm="1">
        <f t="array" ref="X54">SUMPRODUCT(--(X$8&lt;=Model2!$D$9:'Model2'!$CN$9),--(X$9&gt;=Model2!$D$9:'Model2'!$CN$9),Model2!$D58:'Model2'!$CN58)</f>
        <v>-1200</v>
      </c>
      <c r="Y54" s="35" cm="1">
        <f t="array" ref="Y54">SUMPRODUCT(--(Y$8&lt;=Model2!$D$9:'Model2'!$CN$9),--(Y$9&gt;=Model2!$D$9:'Model2'!$CN$9),Model2!$D58:'Model2'!$CN58)</f>
        <v>-1200</v>
      </c>
      <c r="Z54" s="35" cm="1">
        <f t="array" ref="Z54">SUMPRODUCT(--(Z$8&lt;=Model2!$D$9:'Model2'!$CN$9),--(Z$9&gt;=Model2!$D$9:'Model2'!$CN$9),Model2!$D58:'Model2'!$CN58)</f>
        <v>-1200</v>
      </c>
      <c r="AA54" s="35"/>
    </row>
    <row r="55" spans="1:27" ht="12.75" customHeight="1" outlineLevel="1">
      <c r="A55" s="37"/>
      <c r="B55" s="70" t="s">
        <v>159</v>
      </c>
      <c r="C55" s="70">
        <f t="shared" si="9"/>
        <v>-4729148.6896122908</v>
      </c>
      <c r="D55" s="71">
        <f>Model2!D59</f>
        <v>0</v>
      </c>
      <c r="E55" s="70" cm="1">
        <f t="array" ref="E55">SUMPRODUCT(--(E$8&lt;=Model2!$D$9:'Model2'!$CN$9),--(E$9&gt;=Model2!$D$9:'Model2'!$CN$9),Model2!$D59:'Model2'!$CN59)</f>
        <v>-1200</v>
      </c>
      <c r="F55" s="70" cm="1">
        <f t="array" ref="F55">SUMPRODUCT(--(F$8&lt;=Model2!$D$9:'Model2'!$CN$9),--(F$9&gt;=Model2!$D$9:'Model2'!$CN$9),Model2!$D59:'Model2'!$CN59)</f>
        <v>-1200</v>
      </c>
      <c r="G55" s="70" cm="1">
        <f t="array" ref="G55">SUMPRODUCT(--(G$8&lt;=Model2!$D$9:'Model2'!$CN$9),--(G$9&gt;=Model2!$D$9:'Model2'!$CN$9),Model2!$D59:'Model2'!$CN59)</f>
        <v>-1200</v>
      </c>
      <c r="H55" s="70" cm="1">
        <f t="array" ref="H55">SUMPRODUCT(--(H$8&lt;=Model2!$D$9:'Model2'!$CN$9),--(H$9&gt;=Model2!$D$9:'Model2'!$CN$9),Model2!$D59:'Model2'!$CN59)</f>
        <v>-1200</v>
      </c>
      <c r="I55" s="70" cm="1">
        <f t="array" ref="I55">SUMPRODUCT(--(I$8&lt;=Model2!$D$9:'Model2'!$CN$9),--(I$9&gt;=Model2!$D$9:'Model2'!$CN$9),Model2!$D59:'Model2'!$CN59)</f>
        <v>-70745.597739089862</v>
      </c>
      <c r="J55" s="70" cm="1">
        <f t="array" ref="J55">SUMPRODUCT(--(J$8&lt;=Model2!$D$9:'Model2'!$CN$9),--(J$9&gt;=Model2!$D$9:'Model2'!$CN$9),Model2!$D59:'Model2'!$CN59)</f>
        <v>-184550.68359757739</v>
      </c>
      <c r="K55" s="70" cm="1">
        <f t="array" ref="K55">SUMPRODUCT(--(K$8&lt;=Model2!$D$9:'Model2'!$CN$9),--(K$9&gt;=Model2!$D$9:'Model2'!$CN$9),Model2!$D59:'Model2'!$CN59)</f>
        <v>-195133.62673707123</v>
      </c>
      <c r="L55" s="70" cm="1">
        <f t="array" ref="L55">SUMPRODUCT(--(L$8&lt;=Model2!$D$9:'Model2'!$CN$9),--(L$9&gt;=Model2!$D$9:'Model2'!$CN$9),Model2!$D59:'Model2'!$CN59)</f>
        <v>-203747.24579055476</v>
      </c>
      <c r="M55" s="70" cm="1">
        <f t="array" ref="M55">SUMPRODUCT(--(M$8&lt;=Model2!$D$9:'Model2'!$CN$9),--(M$9&gt;=Model2!$D$9:'Model2'!$CN$9),Model2!$D59:'Model2'!$CN59)</f>
        <v>-213002.38240471916</v>
      </c>
      <c r="N55" s="70" cm="1">
        <f t="array" ref="N55">SUMPRODUCT(--(N$8&lt;=Model2!$D$9:'Model2'!$CN$9),--(N$9&gt;=Model2!$D$9:'Model2'!$CN$9),Model2!$D59:'Model2'!$CN59)</f>
        <v>-222720.27584959171</v>
      </c>
      <c r="O55" s="70" cm="1">
        <f t="array" ref="O55">SUMPRODUCT(--(O$8&lt;=Model2!$D$9:'Model2'!$CN$9),--(O$9&gt;=Model2!$D$9:'Model2'!$CN$9),Model2!$D59:'Model2'!$CN59)</f>
        <v>-232924.06396670797</v>
      </c>
      <c r="P55" s="70" cm="1">
        <f t="array" ref="P55">SUMPRODUCT(--(P$8&lt;=Model2!$D$9:'Model2'!$CN$9),--(P$9&gt;=Model2!$D$9:'Model2'!$CN$9),Model2!$D59:'Model2'!$CN59)</f>
        <v>-243638.04148968004</v>
      </c>
      <c r="Q55" s="70" cm="1">
        <f t="array" ref="Q55">SUMPRODUCT(--(Q$8&lt;=Model2!$D$9:'Model2'!$CN$9),--(Q$9&gt;=Model2!$D$9:'Model2'!$CN$9),Model2!$D59:'Model2'!$CN59)</f>
        <v>-254887.71788880063</v>
      </c>
      <c r="R55" s="70" cm="1">
        <f t="array" ref="R55">SUMPRODUCT(--(R$8&lt;=Model2!$D$9:'Model2'!$CN$9),--(R$9&gt;=Model2!$D$9:'Model2'!$CN$9),Model2!$D59:'Model2'!$CN59)</f>
        <v>-266699.87810787733</v>
      </c>
      <c r="S55" s="70" cm="1">
        <f t="array" ref="S55">SUMPRODUCT(--(S$8&lt;=Model2!$D$9:'Model2'!$CN$9),--(S$9&gt;=Model2!$D$9:'Model2'!$CN$9),Model2!$D59:'Model2'!$CN59)</f>
        <v>-279102.64633790788</v>
      </c>
      <c r="T55" s="70" cm="1">
        <f t="array" ref="T55">SUMPRODUCT(--(T$8&lt;=Model2!$D$9:'Model2'!$CN$9),--(T$9&gt;=Model2!$D$9:'Model2'!$CN$9),Model2!$D59:'Model2'!$CN59)</f>
        <v>-292125.55297943985</v>
      </c>
      <c r="U55" s="70" cm="1">
        <f t="array" ref="U55">SUMPRODUCT(--(U$8&lt;=Model2!$D$9:'Model2'!$CN$9),--(U$9&gt;=Model2!$D$9:'Model2'!$CN$9),Model2!$D59:'Model2'!$CN59)</f>
        <v>-305799.60495304852</v>
      </c>
      <c r="V55" s="70" cm="1">
        <f t="array" ref="V55">SUMPRODUCT(--(V$8&lt;=Model2!$D$9:'Model2'!$CN$9),--(V$9&gt;=Model2!$D$9:'Model2'!$CN$9),Model2!$D59:'Model2'!$CN59)</f>
        <v>-320157.35952533758</v>
      </c>
      <c r="W55" s="70" cm="1">
        <f t="array" ref="W55">SUMPRODUCT(--(W$8&lt;=Model2!$D$9:'Model2'!$CN$9),--(W$9&gt;=Model2!$D$9:'Model2'!$CN$9),Model2!$D59:'Model2'!$CN59)</f>
        <v>-335233.00182624115</v>
      </c>
      <c r="X55" s="70" cm="1">
        <f t="array" ref="X55">SUMPRODUCT(--(X$8&lt;=Model2!$D$9:'Model2'!$CN$9),--(X$9&gt;=Model2!$D$9:'Model2'!$CN$9),Model2!$D59:'Model2'!$CN59)</f>
        <v>-351062.42624218983</v>
      </c>
      <c r="Y55" s="70" cm="1">
        <f t="array" ref="Y55">SUMPRODUCT(--(Y$8&lt;=Model2!$D$9:'Model2'!$CN$9),--(Y$9&gt;=Model2!$D$9:'Model2'!$CN$9),Model2!$D59:'Model2'!$CN59)</f>
        <v>-367683.32187893585</v>
      </c>
      <c r="Z55" s="70" cm="1">
        <f t="array" ref="Z55">SUMPRODUCT(--(Z$8&lt;=Model2!$D$9:'Model2'!$CN$9),--(Z$9&gt;=Model2!$D$9:'Model2'!$CN$9),Model2!$D59:'Model2'!$CN59)</f>
        <v>-385135.26229751942</v>
      </c>
      <c r="AA55" s="70"/>
    </row>
    <row r="56" spans="1:27" ht="12.75" customHeight="1">
      <c r="A56" s="37"/>
      <c r="B56" s="75" t="s">
        <v>160</v>
      </c>
      <c r="C56" s="70">
        <f t="shared" si="9"/>
        <v>4136856.9415455246</v>
      </c>
      <c r="D56" s="76">
        <f>Model2!D60</f>
        <v>0</v>
      </c>
      <c r="E56" s="75" cm="1">
        <f t="array" ref="E56">SUMPRODUCT(--(E$8&lt;=Model2!$D$9:'Model2'!$CN$9),--(E$9&gt;=Model2!$D$9:'Model2'!$CN$9),Model2!$D60:'Model2'!$CN60)</f>
        <v>-1200</v>
      </c>
      <c r="F56" s="75" cm="1">
        <f t="array" ref="F56">SUMPRODUCT(--(F$8&lt;=Model2!$D$9:'Model2'!$CN$9),--(F$9&gt;=Model2!$D$9:'Model2'!$CN$9),Model2!$D60:'Model2'!$CN60)</f>
        <v>-1200</v>
      </c>
      <c r="G56" s="75" cm="1">
        <f t="array" ref="G56">SUMPRODUCT(--(G$8&lt;=Model2!$D$9:'Model2'!$CN$9),--(G$9&gt;=Model2!$D$9:'Model2'!$CN$9),Model2!$D60:'Model2'!$CN60)</f>
        <v>-1200</v>
      </c>
      <c r="H56" s="75" cm="1">
        <f t="array" ref="H56">SUMPRODUCT(--(H$8&lt;=Model2!$D$9:'Model2'!$CN$9),--(H$9&gt;=Model2!$D$9:'Model2'!$CN$9),Model2!$D60:'Model2'!$CN60)</f>
        <v>-1200</v>
      </c>
      <c r="I56" s="75" cm="1">
        <f t="array" ref="I56">SUMPRODUCT(--(I$8&lt;=Model2!$D$9:'Model2'!$CN$9),--(I$9&gt;=Model2!$D$9:'Model2'!$CN$9),Model2!$D60:'Model2'!$CN60)</f>
        <v>40685.557939347636</v>
      </c>
      <c r="J56" s="75" cm="1">
        <f t="array" ref="J56">SUMPRODUCT(--(J$8&lt;=Model2!$D$9:'Model2'!$CN$9),--(J$9&gt;=Model2!$D$9:'Model2'!$CN$9),Model2!$D60:'Model2'!$CN60)</f>
        <v>151984.90180698509</v>
      </c>
      <c r="K56" s="75" cm="1">
        <f t="array" ref="K56">SUMPRODUCT(--(K$8&lt;=Model2!$D$9:'Model2'!$CN$9),--(K$9&gt;=Model2!$D$9:'Model2'!$CN$9),Model2!$D60:'Model2'!$CN60)</f>
        <v>161240.07060806625</v>
      </c>
      <c r="L56" s="75" cm="1">
        <f t="array" ref="L56">SUMPRODUCT(--(L$8&lt;=Model2!$D$9:'Model2'!$CN$9),--(L$9&gt;=Model2!$D$9:'Model2'!$CN$9),Model2!$D60:'Model2'!$CN60)</f>
        <v>169848.76118035839</v>
      </c>
      <c r="M56" s="75" cm="1">
        <f t="array" ref="M56">SUMPRODUCT(--(M$8&lt;=Model2!$D$9:'Model2'!$CN$9),--(M$9&gt;=Model2!$D$9:'Model2'!$CN$9),Model2!$D60:'Model2'!$CN60)</f>
        <v>179273.42491473968</v>
      </c>
      <c r="N56" s="75" cm="1">
        <f t="array" ref="N56">SUMPRODUCT(--(N$8&lt;=Model2!$D$9:'Model2'!$CN$9),--(N$9&gt;=Model2!$D$9:'Model2'!$CN$9),Model2!$D60:'Model2'!$CN60)</f>
        <v>189169.32183584</v>
      </c>
      <c r="O56" s="75" cm="1">
        <f t="array" ref="O56">SUMPRODUCT(--(O$8&lt;=Model2!$D$9:'Model2'!$CN$9),--(O$9&gt;=Model2!$D$9:'Model2'!$CN$9),Model2!$D60:'Model2'!$CN60)</f>
        <v>199560.0136029954</v>
      </c>
      <c r="P56" s="75" cm="1">
        <f t="array" ref="P56">SUMPRODUCT(--(P$8&lt;=Model2!$D$9:'Model2'!$CN$9),--(P$9&gt;=Model2!$D$9:'Model2'!$CN$9),Model2!$D60:'Model2'!$CN60)</f>
        <v>210470.23995850855</v>
      </c>
      <c r="Q56" s="75" cm="1">
        <f t="array" ref="Q56">SUMPRODUCT(--(Q$8&lt;=Model2!$D$9:'Model2'!$CN$9),--(Q$9&gt;=Model2!$D$9:'Model2'!$CN$9),Model2!$D60:'Model2'!$CN60)</f>
        <v>221925.97763179734</v>
      </c>
      <c r="R56" s="75" cm="1">
        <f t="array" ref="R56">SUMPRODUCT(--(R$8&lt;=Model2!$D$9:'Model2'!$CN$9),--(R$9&gt;=Model2!$D$9:'Model2'!$CN$9),Model2!$D60:'Model2'!$CN60)</f>
        <v>233954.50218875054</v>
      </c>
      <c r="S56" s="75" cm="1">
        <f t="array" ref="S56">SUMPRODUCT(--(S$8&lt;=Model2!$D$9:'Model2'!$CN$9),--(S$9&gt;=Model2!$D$9:'Model2'!$CN$9),Model2!$D60:'Model2'!$CN60)</f>
        <v>246584.4529735515</v>
      </c>
      <c r="T56" s="75" cm="1">
        <f t="array" ref="T56">SUMPRODUCT(--(T$8&lt;=Model2!$D$9:'Model2'!$CN$9),--(T$9&gt;=Model2!$D$9:'Model2'!$CN$9),Model2!$D60:'Model2'!$CN60)</f>
        <v>259845.90129759247</v>
      </c>
      <c r="U56" s="75" cm="1">
        <f t="array" ref="U56">SUMPRODUCT(--(U$8&lt;=Model2!$D$9:'Model2'!$CN$9),--(U$9&gt;=Model2!$D$9:'Model2'!$CN$9),Model2!$D60:'Model2'!$CN60)</f>
        <v>273770.42203783547</v>
      </c>
      <c r="V56" s="75" cm="1">
        <f t="array" ref="V56">SUMPRODUCT(--(V$8&lt;=Model2!$D$9:'Model2'!$CN$9),--(V$9&gt;=Model2!$D$9:'Model2'!$CN$9),Model2!$D60:'Model2'!$CN60)</f>
        <v>288391.16881509055</v>
      </c>
      <c r="W56" s="75" cm="1">
        <f t="array" ref="W56">SUMPRODUCT(--(W$8&lt;=Model2!$D$9:'Model2'!$CN$9),--(W$9&gt;=Model2!$D$9:'Model2'!$CN$9),Model2!$D60:'Model2'!$CN60)</f>
        <v>303742.95293120854</v>
      </c>
      <c r="X56" s="75" cm="1">
        <f t="array" ref="X56">SUMPRODUCT(--(X$8&lt;=Model2!$D$9:'Model2'!$CN$9),--(X$9&gt;=Model2!$D$9:'Model2'!$CN$9),Model2!$D60:'Model2'!$CN60)</f>
        <v>319862.32625313231</v>
      </c>
      <c r="Y56" s="75" cm="1">
        <f t="array" ref="Y56">SUMPRODUCT(--(Y$8&lt;=Model2!$D$9:'Model2'!$CN$9),--(Y$9&gt;=Model2!$D$9:'Model2'!$CN$9),Model2!$D60:'Model2'!$CN60)</f>
        <v>336787.66824115231</v>
      </c>
      <c r="Z56" s="75" cm="1">
        <f t="array" ref="Z56">SUMPRODUCT(--(Z$8&lt;=Model2!$D$9:'Model2'!$CN$9),--(Z$9&gt;=Model2!$D$9:'Model2'!$CN$9),Model2!$D60:'Model2'!$CN60)</f>
        <v>354559.27732857334</v>
      </c>
      <c r="AA56" s="75"/>
    </row>
    <row r="57" spans="1:27" ht="12.75" customHeight="1">
      <c r="A57" s="35"/>
      <c r="B57" s="78" t="s">
        <v>161</v>
      </c>
      <c r="C57" s="78"/>
      <c r="D57" s="79">
        <f>Model2!D61</f>
        <v>0</v>
      </c>
      <c r="E57" s="80">
        <f t="shared" ref="E57:Z57" si="10">IF(ISERROR(E56/E23),0,E56/E23)</f>
        <v>0</v>
      </c>
      <c r="F57" s="80">
        <f t="shared" si="10"/>
        <v>0</v>
      </c>
      <c r="G57" s="80">
        <f t="shared" si="10"/>
        <v>0</v>
      </c>
      <c r="H57" s="80">
        <f t="shared" si="10"/>
        <v>0</v>
      </c>
      <c r="I57" s="80">
        <f t="shared" si="10"/>
        <v>0.36511833420049955</v>
      </c>
      <c r="J57" s="80">
        <f t="shared" si="10"/>
        <v>0.45161613926883293</v>
      </c>
      <c r="K57" s="80">
        <f t="shared" si="10"/>
        <v>0.45244660817913834</v>
      </c>
      <c r="L57" s="80">
        <f t="shared" si="10"/>
        <v>0.45463216418579711</v>
      </c>
      <c r="M57" s="80">
        <f t="shared" si="10"/>
        <v>0.45700861885868033</v>
      </c>
      <c r="N57" s="80">
        <f t="shared" si="10"/>
        <v>0.45927190902333104</v>
      </c>
      <c r="O57" s="80">
        <f t="shared" si="10"/>
        <v>0.46142742346585541</v>
      </c>
      <c r="P57" s="80">
        <f t="shared" si="10"/>
        <v>0.4634802943634978</v>
      </c>
      <c r="Q57" s="80">
        <f t="shared" si="10"/>
        <v>0.46543540950410961</v>
      </c>
      <c r="R57" s="80">
        <f t="shared" si="10"/>
        <v>0.4672974239237398</v>
      </c>
      <c r="S57" s="80">
        <f t="shared" si="10"/>
        <v>0.46907077099005434</v>
      </c>
      <c r="T57" s="80">
        <f t="shared" si="10"/>
        <v>0.470759672957973</v>
      </c>
      <c r="U57" s="80">
        <f t="shared" si="10"/>
        <v>0.47236815102265733</v>
      </c>
      <c r="V57" s="80">
        <f t="shared" si="10"/>
        <v>0.47390003489378524</v>
      </c>
      <c r="W57" s="80">
        <f t="shared" si="10"/>
        <v>0.47535897191390714</v>
      </c>
      <c r="X57" s="80">
        <f t="shared" si="10"/>
        <v>0.47674843574259468</v>
      </c>
      <c r="Y57" s="80">
        <f t="shared" si="10"/>
        <v>0.47807173462705899</v>
      </c>
      <c r="Z57" s="80">
        <f t="shared" si="10"/>
        <v>0.47933201927892971</v>
      </c>
      <c r="AA57" s="80"/>
    </row>
    <row r="58" spans="1:27" ht="12" customHeight="1" outlineLevel="2">
      <c r="A58" s="35"/>
      <c r="B58" s="63" t="s">
        <v>55</v>
      </c>
      <c r="C58" s="35">
        <f t="shared" ref="C58:C62" si="11">SUM(D58:AA58)</f>
        <v>-21000</v>
      </c>
      <c r="D58" s="82">
        <f>Model2!D62</f>
        <v>0</v>
      </c>
      <c r="E58" s="83" cm="1">
        <f t="array" ref="E58">SUMPRODUCT(--(E$8&lt;=Model2!$D$9:'Model2'!$CN$9),--(E$9&gt;=Model2!$D$9:'Model2'!$CN$9),Model2!$D62:'Model2'!$CN62)</f>
        <v>0</v>
      </c>
      <c r="F58" s="83" cm="1">
        <f t="array" ref="F58">SUMPRODUCT(--(F$8&lt;=Model2!$D$9:'Model2'!$CN$9),--(F$9&gt;=Model2!$D$9:'Model2'!$CN$9),Model2!$D62:'Model2'!$CN62)</f>
        <v>0</v>
      </c>
      <c r="G58" s="83" cm="1">
        <f t="array" ref="G58">SUMPRODUCT(--(G$8&lt;=Model2!$D$9:'Model2'!$CN$9),--(G$9&gt;=Model2!$D$9:'Model2'!$CN$9),Model2!$D62:'Model2'!$CN62)</f>
        <v>0</v>
      </c>
      <c r="H58" s="83" cm="1">
        <f t="array" ref="H58">SUMPRODUCT(--(H$8&lt;=Model2!$D$9:'Model2'!$CN$9),--(H$9&gt;=Model2!$D$9:'Model2'!$CN$9),Model2!$D62:'Model2'!$CN62)</f>
        <v>0</v>
      </c>
      <c r="I58" s="83" cm="1">
        <f t="array" ref="I58">SUMPRODUCT(--(I$8&lt;=Model2!$D$9:'Model2'!$CN$9),--(I$9&gt;=Model2!$D$9:'Model2'!$CN$9),Model2!$D62:'Model2'!$CN62)</f>
        <v>-600</v>
      </c>
      <c r="J58" s="83" cm="1">
        <f t="array" ref="J58">SUMPRODUCT(--(J$8&lt;=Model2!$D$9:'Model2'!$CN$9),--(J$9&gt;=Model2!$D$9:'Model2'!$CN$9),Model2!$D62:'Model2'!$CN62)</f>
        <v>-1200</v>
      </c>
      <c r="K58" s="83" cm="1">
        <f t="array" ref="K58">SUMPRODUCT(--(K$8&lt;=Model2!$D$9:'Model2'!$CN$9),--(K$9&gt;=Model2!$D$9:'Model2'!$CN$9),Model2!$D62:'Model2'!$CN62)</f>
        <v>-1200</v>
      </c>
      <c r="L58" s="83" cm="1">
        <f t="array" ref="L58">SUMPRODUCT(--(L$8&lt;=Model2!$D$9:'Model2'!$CN$9),--(L$9&gt;=Model2!$D$9:'Model2'!$CN$9),Model2!$D62:'Model2'!$CN62)</f>
        <v>-1200</v>
      </c>
      <c r="M58" s="83" cm="1">
        <f t="array" ref="M58">SUMPRODUCT(--(M$8&lt;=Model2!$D$9:'Model2'!$CN$9),--(M$9&gt;=Model2!$D$9:'Model2'!$CN$9),Model2!$D62:'Model2'!$CN62)</f>
        <v>-1200</v>
      </c>
      <c r="N58" s="83" cm="1">
        <f t="array" ref="N58">SUMPRODUCT(--(N$8&lt;=Model2!$D$9:'Model2'!$CN$9),--(N$9&gt;=Model2!$D$9:'Model2'!$CN$9),Model2!$D62:'Model2'!$CN62)</f>
        <v>-1200</v>
      </c>
      <c r="O58" s="83" cm="1">
        <f t="array" ref="O58">SUMPRODUCT(--(O$8&lt;=Model2!$D$9:'Model2'!$CN$9),--(O$9&gt;=Model2!$D$9:'Model2'!$CN$9),Model2!$D62:'Model2'!$CN62)</f>
        <v>-1200</v>
      </c>
      <c r="P58" s="83" cm="1">
        <f t="array" ref="P58">SUMPRODUCT(--(P$8&lt;=Model2!$D$9:'Model2'!$CN$9),--(P$9&gt;=Model2!$D$9:'Model2'!$CN$9),Model2!$D62:'Model2'!$CN62)</f>
        <v>-1200</v>
      </c>
      <c r="Q58" s="83" cm="1">
        <f t="array" ref="Q58">SUMPRODUCT(--(Q$8&lt;=Model2!$D$9:'Model2'!$CN$9),--(Q$9&gt;=Model2!$D$9:'Model2'!$CN$9),Model2!$D62:'Model2'!$CN62)</f>
        <v>-1200</v>
      </c>
      <c r="R58" s="83" cm="1">
        <f t="array" ref="R58">SUMPRODUCT(--(R$8&lt;=Model2!$D$9:'Model2'!$CN$9),--(R$9&gt;=Model2!$D$9:'Model2'!$CN$9),Model2!$D62:'Model2'!$CN62)</f>
        <v>-1200</v>
      </c>
      <c r="S58" s="83" cm="1">
        <f t="array" ref="S58">SUMPRODUCT(--(S$8&lt;=Model2!$D$9:'Model2'!$CN$9),--(S$9&gt;=Model2!$D$9:'Model2'!$CN$9),Model2!$D62:'Model2'!$CN62)</f>
        <v>-1200</v>
      </c>
      <c r="T58" s="83" cm="1">
        <f t="array" ref="T58">SUMPRODUCT(--(T$8&lt;=Model2!$D$9:'Model2'!$CN$9),--(T$9&gt;=Model2!$D$9:'Model2'!$CN$9),Model2!$D62:'Model2'!$CN62)</f>
        <v>-1200</v>
      </c>
      <c r="U58" s="83" cm="1">
        <f t="array" ref="U58">SUMPRODUCT(--(U$8&lt;=Model2!$D$9:'Model2'!$CN$9),--(U$9&gt;=Model2!$D$9:'Model2'!$CN$9),Model2!$D62:'Model2'!$CN62)</f>
        <v>-1200</v>
      </c>
      <c r="V58" s="83" cm="1">
        <f t="array" ref="V58">SUMPRODUCT(--(V$8&lt;=Model2!$D$9:'Model2'!$CN$9),--(V$9&gt;=Model2!$D$9:'Model2'!$CN$9),Model2!$D62:'Model2'!$CN62)</f>
        <v>-1200</v>
      </c>
      <c r="W58" s="83" cm="1">
        <f t="array" ref="W58">SUMPRODUCT(--(W$8&lt;=Model2!$D$9:'Model2'!$CN$9),--(W$9&gt;=Model2!$D$9:'Model2'!$CN$9),Model2!$D62:'Model2'!$CN62)</f>
        <v>-1200</v>
      </c>
      <c r="X58" s="83" cm="1">
        <f t="array" ref="X58">SUMPRODUCT(--(X$8&lt;=Model2!$D$9:'Model2'!$CN$9),--(X$9&gt;=Model2!$D$9:'Model2'!$CN$9),Model2!$D62:'Model2'!$CN62)</f>
        <v>-1200</v>
      </c>
      <c r="Y58" s="83" cm="1">
        <f t="array" ref="Y58">SUMPRODUCT(--(Y$8&lt;=Model2!$D$9:'Model2'!$CN$9),--(Y$9&gt;=Model2!$D$9:'Model2'!$CN$9),Model2!$D62:'Model2'!$CN62)</f>
        <v>-1200</v>
      </c>
      <c r="Z58" s="83" cm="1">
        <f t="array" ref="Z58">SUMPRODUCT(--(Z$8&lt;=Model2!$D$9:'Model2'!$CN$9),--(Z$9&gt;=Model2!$D$9:'Model2'!$CN$9),Model2!$D62:'Model2'!$CN62)</f>
        <v>-1200</v>
      </c>
      <c r="AA58" s="83"/>
    </row>
    <row r="59" spans="1:27" ht="12" customHeight="1" outlineLevel="2">
      <c r="A59" s="35"/>
      <c r="B59" s="63" t="s">
        <v>162</v>
      </c>
      <c r="C59" s="35">
        <f t="shared" si="11"/>
        <v>-188173.39816270932</v>
      </c>
      <c r="D59" s="82">
        <f>Model2!D63</f>
        <v>0</v>
      </c>
      <c r="E59" s="83" cm="1">
        <f t="array" ref="E59">SUMPRODUCT(--(E$8&lt;=Model2!$D$9:'Model2'!$CN$9),--(E$9&gt;=Model2!$D$9:'Model2'!$CN$9),Model2!$D63:'Model2'!$CN63)</f>
        <v>0</v>
      </c>
      <c r="F59" s="83" cm="1">
        <f t="array" ref="F59">SUMPRODUCT(--(F$8&lt;=Model2!$D$9:'Model2'!$CN$9),--(F$9&gt;=Model2!$D$9:'Model2'!$CN$9),Model2!$D63:'Model2'!$CN63)</f>
        <v>0</v>
      </c>
      <c r="G59" s="83" cm="1">
        <f t="array" ref="G59">SUMPRODUCT(--(G$8&lt;=Model2!$D$9:'Model2'!$CN$9),--(G$9&gt;=Model2!$D$9:'Model2'!$CN$9),Model2!$D63:'Model2'!$CN63)</f>
        <v>-1797.2089570312505</v>
      </c>
      <c r="H59" s="83" cm="1">
        <f t="array" ref="H59">SUMPRODUCT(--(H$8&lt;=Model2!$D$9:'Model2'!$CN$9),--(H$9&gt;=Model2!$D$9:'Model2'!$CN$9),Model2!$D63:'Model2'!$CN63)</f>
        <v>-19277.90974921875</v>
      </c>
      <c r="I59" s="83" cm="1">
        <f t="array" ref="I59">SUMPRODUCT(--(I$8&lt;=Model2!$D$9:'Model2'!$CN$9),--(I$9&gt;=Model2!$D$9:'Model2'!$CN$9),Model2!$D63:'Model2'!$CN63)</f>
        <v>-43279.665955232209</v>
      </c>
      <c r="J59" s="83" cm="1">
        <f t="array" ref="J59">SUMPRODUCT(--(J$8&lt;=Model2!$D$9:'Model2'!$CN$9),--(J$9&gt;=Model2!$D$9:'Model2'!$CN$9),Model2!$D63:'Model2'!$CN63)</f>
        <v>-38710.635465083906</v>
      </c>
      <c r="K59" s="83" cm="1">
        <f t="array" ref="K59">SUMPRODUCT(--(K$8&lt;=Model2!$D$9:'Model2'!$CN$9),--(K$9&gt;=Model2!$D$9:'Model2'!$CN$9),Model2!$D63:'Model2'!$CN63)</f>
        <v>-32378.52407344868</v>
      </c>
      <c r="L59" s="83" cm="1">
        <f t="array" ref="L59">SUMPRODUCT(--(L$8&lt;=Model2!$D$9:'Model2'!$CN$9),--(L$9&gt;=Model2!$D$9:'Model2'!$CN$9),Model2!$D63:'Model2'!$CN63)</f>
        <v>-25372.589198872694</v>
      </c>
      <c r="M59" s="83" cm="1">
        <f t="array" ref="M59">SUMPRODUCT(--(M$8&lt;=Model2!$D$9:'Model2'!$CN$9),--(M$9&gt;=Model2!$D$9:'Model2'!$CN$9),Model2!$D63:'Model2'!$CN63)</f>
        <v>-17536.695294353049</v>
      </c>
      <c r="N59" s="83" cm="1">
        <f t="array" ref="N59">SUMPRODUCT(--(N$8&lt;=Model2!$D$9:'Model2'!$CN$9),--(N$9&gt;=Model2!$D$9:'Model2'!$CN$9),Model2!$D63:'Model2'!$CN63)</f>
        <v>-8721.0164197069007</v>
      </c>
      <c r="O59" s="83" cm="1">
        <f t="array" ref="O59">SUMPRODUCT(--(O$8&lt;=Model2!$D$9:'Model2'!$CN$9),--(O$9&gt;=Model2!$D$9:'Model2'!$CN$9),Model2!$D63:'Model2'!$CN63)</f>
        <v>-1099.1530497618621</v>
      </c>
      <c r="P59" s="83" cm="1">
        <f t="array" ref="P59">SUMPRODUCT(--(P$8&lt;=Model2!$D$9:'Model2'!$CN$9),--(P$9&gt;=Model2!$D$9:'Model2'!$CN$9),Model2!$D63:'Model2'!$CN63)</f>
        <v>0</v>
      </c>
      <c r="Q59" s="83" cm="1">
        <f t="array" ref="Q59">SUMPRODUCT(--(Q$8&lt;=Model2!$D$9:'Model2'!$CN$9),--(Q$9&gt;=Model2!$D$9:'Model2'!$CN$9),Model2!$D63:'Model2'!$CN63)</f>
        <v>0</v>
      </c>
      <c r="R59" s="83" cm="1">
        <f t="array" ref="R59">SUMPRODUCT(--(R$8&lt;=Model2!$D$9:'Model2'!$CN$9),--(R$9&gt;=Model2!$D$9:'Model2'!$CN$9),Model2!$D63:'Model2'!$CN63)</f>
        <v>0</v>
      </c>
      <c r="S59" s="83" cm="1">
        <f t="array" ref="S59">SUMPRODUCT(--(S$8&lt;=Model2!$D$9:'Model2'!$CN$9),--(S$9&gt;=Model2!$D$9:'Model2'!$CN$9),Model2!$D63:'Model2'!$CN63)</f>
        <v>0</v>
      </c>
      <c r="T59" s="83" cm="1">
        <f t="array" ref="T59">SUMPRODUCT(--(T$8&lt;=Model2!$D$9:'Model2'!$CN$9),--(T$9&gt;=Model2!$D$9:'Model2'!$CN$9),Model2!$D63:'Model2'!$CN63)</f>
        <v>0</v>
      </c>
      <c r="U59" s="83" cm="1">
        <f t="array" ref="U59">SUMPRODUCT(--(U$8&lt;=Model2!$D$9:'Model2'!$CN$9),--(U$9&gt;=Model2!$D$9:'Model2'!$CN$9),Model2!$D63:'Model2'!$CN63)</f>
        <v>0</v>
      </c>
      <c r="V59" s="83" cm="1">
        <f t="array" ref="V59">SUMPRODUCT(--(V$8&lt;=Model2!$D$9:'Model2'!$CN$9),--(V$9&gt;=Model2!$D$9:'Model2'!$CN$9),Model2!$D63:'Model2'!$CN63)</f>
        <v>0</v>
      </c>
      <c r="W59" s="83" cm="1">
        <f t="array" ref="W59">SUMPRODUCT(--(W$8&lt;=Model2!$D$9:'Model2'!$CN$9),--(W$9&gt;=Model2!$D$9:'Model2'!$CN$9),Model2!$D63:'Model2'!$CN63)</f>
        <v>0</v>
      </c>
      <c r="X59" s="83" cm="1">
        <f t="array" ref="X59">SUMPRODUCT(--(X$8&lt;=Model2!$D$9:'Model2'!$CN$9),--(X$9&gt;=Model2!$D$9:'Model2'!$CN$9),Model2!$D63:'Model2'!$CN63)</f>
        <v>0</v>
      </c>
      <c r="Y59" s="83" cm="1">
        <f t="array" ref="Y59">SUMPRODUCT(--(Y$8&lt;=Model2!$D$9:'Model2'!$CN$9),--(Y$9&gt;=Model2!$D$9:'Model2'!$CN$9),Model2!$D63:'Model2'!$CN63)</f>
        <v>0</v>
      </c>
      <c r="Z59" s="83" cm="1">
        <f t="array" ref="Z59">SUMPRODUCT(--(Z$8&lt;=Model2!$D$9:'Model2'!$CN$9),--(Z$9&gt;=Model2!$D$9:'Model2'!$CN$9),Model2!$D63:'Model2'!$CN63)</f>
        <v>0</v>
      </c>
      <c r="AA59" s="83"/>
    </row>
    <row r="60" spans="1:27" ht="12.75" customHeight="1">
      <c r="A60" s="37"/>
      <c r="B60" s="70" t="s">
        <v>163</v>
      </c>
      <c r="C60" s="70">
        <f t="shared" si="11"/>
        <v>3927683.543382816</v>
      </c>
      <c r="D60" s="71">
        <f>Model2!D64</f>
        <v>0</v>
      </c>
      <c r="E60" s="70" cm="1">
        <f t="array" ref="E60">SUMPRODUCT(--(E$8&lt;=Model2!$D$9:'Model2'!$CN$9),--(E$9&gt;=Model2!$D$9:'Model2'!$CN$9),Model2!$D64:'Model2'!$CN64)</f>
        <v>-1200</v>
      </c>
      <c r="F60" s="70" cm="1">
        <f t="array" ref="F60">SUMPRODUCT(--(F$8&lt;=Model2!$D$9:'Model2'!$CN$9),--(F$9&gt;=Model2!$D$9:'Model2'!$CN$9),Model2!$D64:'Model2'!$CN64)</f>
        <v>-1200</v>
      </c>
      <c r="G60" s="70" cm="1">
        <f t="array" ref="G60">SUMPRODUCT(--(G$8&lt;=Model2!$D$9:'Model2'!$CN$9),--(G$9&gt;=Model2!$D$9:'Model2'!$CN$9),Model2!$D64:'Model2'!$CN64)</f>
        <v>-2997.2089570312505</v>
      </c>
      <c r="H60" s="70" cm="1">
        <f t="array" ref="H60">SUMPRODUCT(--(H$8&lt;=Model2!$D$9:'Model2'!$CN$9),--(H$9&gt;=Model2!$D$9:'Model2'!$CN$9),Model2!$D64:'Model2'!$CN64)</f>
        <v>-20477.90974921875</v>
      </c>
      <c r="I60" s="70" cm="1">
        <f t="array" ref="I60">SUMPRODUCT(--(I$8&lt;=Model2!$D$9:'Model2'!$CN$9),--(I$9&gt;=Model2!$D$9:'Model2'!$CN$9),Model2!$D64:'Model2'!$CN64)</f>
        <v>-3194.1080158845762</v>
      </c>
      <c r="J60" s="70" cm="1">
        <f t="array" ref="J60">SUMPRODUCT(--(J$8&lt;=Model2!$D$9:'Model2'!$CN$9),--(J$9&gt;=Model2!$D$9:'Model2'!$CN$9),Model2!$D64:'Model2'!$CN64)</f>
        <v>112074.26634190118</v>
      </c>
      <c r="K60" s="70" cm="1">
        <f t="array" ref="K60">SUMPRODUCT(--(K$8&lt;=Model2!$D$9:'Model2'!$CN$9),--(K$9&gt;=Model2!$D$9:'Model2'!$CN$9),Model2!$D64:'Model2'!$CN64)</f>
        <v>127661.54653461755</v>
      </c>
      <c r="L60" s="70" cm="1">
        <f t="array" ref="L60">SUMPRODUCT(--(L$8&lt;=Model2!$D$9:'Model2'!$CN$9),--(L$9&gt;=Model2!$D$9:'Model2'!$CN$9),Model2!$D64:'Model2'!$CN64)</f>
        <v>143276.17198148571</v>
      </c>
      <c r="M60" s="70" cm="1">
        <f t="array" ref="M60">SUMPRODUCT(--(M$8&lt;=Model2!$D$9:'Model2'!$CN$9),--(M$9&gt;=Model2!$D$9:'Model2'!$CN$9),Model2!$D64:'Model2'!$CN64)</f>
        <v>160536.72962038664</v>
      </c>
      <c r="N60" s="70" cm="1">
        <f t="array" ref="N60">SUMPRODUCT(--(N$8&lt;=Model2!$D$9:'Model2'!$CN$9),--(N$9&gt;=Model2!$D$9:'Model2'!$CN$9),Model2!$D64:'Model2'!$CN64)</f>
        <v>179248.30541613314</v>
      </c>
      <c r="O60" s="70" cm="1">
        <f t="array" ref="O60">SUMPRODUCT(--(O$8&lt;=Model2!$D$9:'Model2'!$CN$9),--(O$9&gt;=Model2!$D$9:'Model2'!$CN$9),Model2!$D64:'Model2'!$CN64)</f>
        <v>197260.86055323356</v>
      </c>
      <c r="P60" s="70" cm="1">
        <f t="array" ref="P60">SUMPRODUCT(--(P$8&lt;=Model2!$D$9:'Model2'!$CN$9),--(P$9&gt;=Model2!$D$9:'Model2'!$CN$9),Model2!$D64:'Model2'!$CN64)</f>
        <v>209270.23995850855</v>
      </c>
      <c r="Q60" s="70" cm="1">
        <f t="array" ref="Q60">SUMPRODUCT(--(Q$8&lt;=Model2!$D$9:'Model2'!$CN$9),--(Q$9&gt;=Model2!$D$9:'Model2'!$CN$9),Model2!$D64:'Model2'!$CN64)</f>
        <v>220725.97763179734</v>
      </c>
      <c r="R60" s="70" cm="1">
        <f t="array" ref="R60">SUMPRODUCT(--(R$8&lt;=Model2!$D$9:'Model2'!$CN$9),--(R$9&gt;=Model2!$D$9:'Model2'!$CN$9),Model2!$D64:'Model2'!$CN64)</f>
        <v>232754.50218875054</v>
      </c>
      <c r="S60" s="70" cm="1">
        <f t="array" ref="S60">SUMPRODUCT(--(S$8&lt;=Model2!$D$9:'Model2'!$CN$9),--(S$9&gt;=Model2!$D$9:'Model2'!$CN$9),Model2!$D64:'Model2'!$CN64)</f>
        <v>245384.4529735515</v>
      </c>
      <c r="T60" s="70" cm="1">
        <f t="array" ref="T60">SUMPRODUCT(--(T$8&lt;=Model2!$D$9:'Model2'!$CN$9),--(T$9&gt;=Model2!$D$9:'Model2'!$CN$9),Model2!$D64:'Model2'!$CN64)</f>
        <v>258645.90129759247</v>
      </c>
      <c r="U60" s="70" cm="1">
        <f t="array" ref="U60">SUMPRODUCT(--(U$8&lt;=Model2!$D$9:'Model2'!$CN$9),--(U$9&gt;=Model2!$D$9:'Model2'!$CN$9),Model2!$D64:'Model2'!$CN64)</f>
        <v>272570.42203783547</v>
      </c>
      <c r="V60" s="70" cm="1">
        <f t="array" ref="V60">SUMPRODUCT(--(V$8&lt;=Model2!$D$9:'Model2'!$CN$9),--(V$9&gt;=Model2!$D$9:'Model2'!$CN$9),Model2!$D64:'Model2'!$CN64)</f>
        <v>287191.16881509055</v>
      </c>
      <c r="W60" s="70" cm="1">
        <f t="array" ref="W60">SUMPRODUCT(--(W$8&lt;=Model2!$D$9:'Model2'!$CN$9),--(W$9&gt;=Model2!$D$9:'Model2'!$CN$9),Model2!$D64:'Model2'!$CN64)</f>
        <v>302542.95293120854</v>
      </c>
      <c r="X60" s="70" cm="1">
        <f t="array" ref="X60">SUMPRODUCT(--(X$8&lt;=Model2!$D$9:'Model2'!$CN$9),--(X$9&gt;=Model2!$D$9:'Model2'!$CN$9),Model2!$D64:'Model2'!$CN64)</f>
        <v>318662.32625313231</v>
      </c>
      <c r="Y60" s="70" cm="1">
        <f t="array" ref="Y60">SUMPRODUCT(--(Y$8&lt;=Model2!$D$9:'Model2'!$CN$9),--(Y$9&gt;=Model2!$D$9:'Model2'!$CN$9),Model2!$D64:'Model2'!$CN64)</f>
        <v>335587.66824115231</v>
      </c>
      <c r="Z60" s="70" cm="1">
        <f t="array" ref="Z60">SUMPRODUCT(--(Z$8&lt;=Model2!$D$9:'Model2'!$CN$9),--(Z$9&gt;=Model2!$D$9:'Model2'!$CN$9),Model2!$D64:'Model2'!$CN64)</f>
        <v>353359.27732857334</v>
      </c>
      <c r="AA60" s="70"/>
    </row>
    <row r="61" spans="1:27" ht="12.75" customHeight="1">
      <c r="A61" s="35"/>
      <c r="B61" s="63" t="s">
        <v>164</v>
      </c>
      <c r="C61" s="74">
        <f t="shared" si="11"/>
        <v>-729685.76744836336</v>
      </c>
      <c r="D61" s="60">
        <f>Model2!D65</f>
        <v>0</v>
      </c>
      <c r="E61" s="35" cm="1">
        <f t="array" ref="E61">SUMPRODUCT(--(E$8&lt;=Model2!$D$9:'Model2'!$CN$9),--(E$9&gt;=Model2!$D$9:'Model2'!$CN$9),Model2!$D65:'Model2'!$CN65)</f>
        <v>0</v>
      </c>
      <c r="F61" s="35" cm="1">
        <f t="array" ref="F61">SUMPRODUCT(--(F$8&lt;=Model2!$D$9:'Model2'!$CN$9),--(F$9&gt;=Model2!$D$9:'Model2'!$CN$9),Model2!$D65:'Model2'!$CN65)</f>
        <v>0</v>
      </c>
      <c r="G61" s="35" cm="1">
        <f t="array" ref="G61">SUMPRODUCT(--(G$8&lt;=Model2!$D$9:'Model2'!$CN$9),--(G$9&gt;=Model2!$D$9:'Model2'!$CN$9),Model2!$D65:'Model2'!$CN65)</f>
        <v>0</v>
      </c>
      <c r="H61" s="35" cm="1">
        <f t="array" ref="H61">SUMPRODUCT(--(H$8&lt;=Model2!$D$9:'Model2'!$CN$9),--(H$9&gt;=Model2!$D$9:'Model2'!$CN$9),Model2!$D65:'Model2'!$CN65)</f>
        <v>0</v>
      </c>
      <c r="I61" s="35" cm="1">
        <f t="array" ref="I61">SUMPRODUCT(--(I$8&lt;=Model2!$D$9:'Model2'!$CN$9),--(I$9&gt;=Model2!$D$9:'Model2'!$CN$9),Model2!$D65:'Model2'!$CN65)</f>
        <v>0</v>
      </c>
      <c r="J61" s="35" cm="1">
        <f t="array" ref="J61">SUMPRODUCT(--(J$8&lt;=Model2!$D$9:'Model2'!$CN$9),--(J$9&gt;=Model2!$D$9:'Model2'!$CN$9),Model2!$D65:'Model2'!$CN65)</f>
        <v>-12865.781141063824</v>
      </c>
      <c r="K61" s="35" cm="1">
        <f t="array" ref="K61">SUMPRODUCT(--(K$8&lt;=Model2!$D$9:'Model2'!$CN$9),--(K$9&gt;=Model2!$D$9:'Model2'!$CN$9),Model2!$D65:'Model2'!$CN65)</f>
        <v>-19787.539712865724</v>
      </c>
      <c r="L61" s="35" cm="1">
        <f t="array" ref="L61">SUMPRODUCT(--(L$8&lt;=Model2!$D$9:'Model2'!$CN$9),--(L$9&gt;=Model2!$D$9:'Model2'!$CN$9),Model2!$D65:'Model2'!$CN65)</f>
        <v>-22207.806657130284</v>
      </c>
      <c r="M61" s="35" cm="1">
        <f t="array" ref="M61">SUMPRODUCT(--(M$8&lt;=Model2!$D$9:'Model2'!$CN$9),--(M$9&gt;=Model2!$D$9:'Model2'!$CN$9),Model2!$D65:'Model2'!$CN65)</f>
        <v>-24883.193091159927</v>
      </c>
      <c r="N61" s="35" cm="1">
        <f t="array" ref="N61">SUMPRODUCT(--(N$8&lt;=Model2!$D$9:'Model2'!$CN$9),--(N$9&gt;=Model2!$D$9:'Model2'!$CN$9),Model2!$D65:'Model2'!$CN65)</f>
        <v>-27783.487339500636</v>
      </c>
      <c r="O61" s="35" cm="1">
        <f t="array" ref="O61">SUMPRODUCT(--(O$8&lt;=Model2!$D$9:'Model2'!$CN$9),--(O$9&gt;=Model2!$D$9:'Model2'!$CN$9),Model2!$D65:'Model2'!$CN65)</f>
        <v>-30575.433385751196</v>
      </c>
      <c r="P61" s="35" cm="1">
        <f t="array" ref="P61">SUMPRODUCT(--(P$8&lt;=Model2!$D$9:'Model2'!$CN$9),--(P$9&gt;=Model2!$D$9:'Model2'!$CN$9),Model2!$D65:'Model2'!$CN65)</f>
        <v>-32436.887193568826</v>
      </c>
      <c r="Q61" s="35" cm="1">
        <f t="array" ref="Q61">SUMPRODUCT(--(Q$8&lt;=Model2!$D$9:'Model2'!$CN$9),--(Q$9&gt;=Model2!$D$9:'Model2'!$CN$9),Model2!$D65:'Model2'!$CN65)</f>
        <v>-37805.904513945519</v>
      </c>
      <c r="R61" s="35" cm="1">
        <f t="array" ref="R61">SUMPRODUCT(--(R$8&lt;=Model2!$D$9:'Model2'!$CN$9),--(R$9&gt;=Model2!$D$9:'Model2'!$CN$9),Model2!$D65:'Model2'!$CN65)</f>
        <v>-46550.900437750111</v>
      </c>
      <c r="S61" s="35" cm="1">
        <f t="array" ref="S61">SUMPRODUCT(--(S$8&lt;=Model2!$D$9:'Model2'!$CN$9),--(S$9&gt;=Model2!$D$9:'Model2'!$CN$9),Model2!$D65:'Model2'!$CN65)</f>
        <v>-49076.890594710305</v>
      </c>
      <c r="T61" s="35" cm="1">
        <f t="array" ref="T61">SUMPRODUCT(--(T$8&lt;=Model2!$D$9:'Model2'!$CN$9),--(T$9&gt;=Model2!$D$9:'Model2'!$CN$9),Model2!$D65:'Model2'!$CN65)</f>
        <v>-51729.1802595185</v>
      </c>
      <c r="U61" s="35" cm="1">
        <f t="array" ref="U61">SUMPRODUCT(--(U$8&lt;=Model2!$D$9:'Model2'!$CN$9),--(U$9&gt;=Model2!$D$9:'Model2'!$CN$9),Model2!$D65:'Model2'!$CN65)</f>
        <v>-54514.084407567105</v>
      </c>
      <c r="V61" s="35" cm="1">
        <f t="array" ref="V61">SUMPRODUCT(--(V$8&lt;=Model2!$D$9:'Model2'!$CN$9),--(V$9&gt;=Model2!$D$9:'Model2'!$CN$9),Model2!$D65:'Model2'!$CN65)</f>
        <v>-57438.233763018114</v>
      </c>
      <c r="W61" s="35" cm="1">
        <f t="array" ref="W61">SUMPRODUCT(--(W$8&lt;=Model2!$D$9:'Model2'!$CN$9),--(W$9&gt;=Model2!$D$9:'Model2'!$CN$9),Model2!$D65:'Model2'!$CN65)</f>
        <v>-60508.590586241713</v>
      </c>
      <c r="X61" s="35" cm="1">
        <f t="array" ref="X61">SUMPRODUCT(--(X$8&lt;=Model2!$D$9:'Model2'!$CN$9),--(X$9&gt;=Model2!$D$9:'Model2'!$CN$9),Model2!$D65:'Model2'!$CN65)</f>
        <v>-63732.465250626461</v>
      </c>
      <c r="Y61" s="35" cm="1">
        <f t="array" ref="Y61">SUMPRODUCT(--(Y$8&lt;=Model2!$D$9:'Model2'!$CN$9),--(Y$9&gt;=Model2!$D$9:'Model2'!$CN$9),Model2!$D65:'Model2'!$CN65)</f>
        <v>-67117.53364823047</v>
      </c>
      <c r="Z61" s="35" cm="1">
        <f t="array" ref="Z61">SUMPRODUCT(--(Z$8&lt;=Model2!$D$9:'Model2'!$CN$9),--(Z$9&gt;=Model2!$D$9:'Model2'!$CN$9),Model2!$D65:'Model2'!$CN65)</f>
        <v>-70671.855465714674</v>
      </c>
      <c r="AA61" s="35"/>
    </row>
    <row r="62" spans="1:27" ht="12.75" customHeight="1">
      <c r="A62" s="37"/>
      <c r="B62" s="70" t="s">
        <v>165</v>
      </c>
      <c r="C62" s="70">
        <f t="shared" si="11"/>
        <v>3197997.7759344527</v>
      </c>
      <c r="D62" s="71">
        <f>Model2!D66</f>
        <v>0</v>
      </c>
      <c r="E62" s="70" cm="1">
        <f t="array" ref="E62">SUMPRODUCT(--(E$8&lt;=Model2!$D$9:'Model2'!$CN$9),--(E$9&gt;=Model2!$D$9:'Model2'!$CN$9),Model2!$D66:'Model2'!$CN66)</f>
        <v>-1200</v>
      </c>
      <c r="F62" s="70" cm="1">
        <f t="array" ref="F62">SUMPRODUCT(--(F$8&lt;=Model2!$D$9:'Model2'!$CN$9),--(F$9&gt;=Model2!$D$9:'Model2'!$CN$9),Model2!$D66:'Model2'!$CN66)</f>
        <v>-1200</v>
      </c>
      <c r="G62" s="70" cm="1">
        <f t="array" ref="G62">SUMPRODUCT(--(G$8&lt;=Model2!$D$9:'Model2'!$CN$9),--(G$9&gt;=Model2!$D$9:'Model2'!$CN$9),Model2!$D66:'Model2'!$CN66)</f>
        <v>-2997.2089570312505</v>
      </c>
      <c r="H62" s="70" cm="1">
        <f t="array" ref="H62">SUMPRODUCT(--(H$8&lt;=Model2!$D$9:'Model2'!$CN$9),--(H$9&gt;=Model2!$D$9:'Model2'!$CN$9),Model2!$D66:'Model2'!$CN66)</f>
        <v>-20477.90974921875</v>
      </c>
      <c r="I62" s="70" cm="1">
        <f t="array" ref="I62">SUMPRODUCT(--(I$8&lt;=Model2!$D$9:'Model2'!$CN$9),--(I$9&gt;=Model2!$D$9:'Model2'!$CN$9),Model2!$D66:'Model2'!$CN66)</f>
        <v>-3194.1080158845762</v>
      </c>
      <c r="J62" s="70" cm="1">
        <f t="array" ref="J62">SUMPRODUCT(--(J$8&lt;=Model2!$D$9:'Model2'!$CN$9),--(J$9&gt;=Model2!$D$9:'Model2'!$CN$9),Model2!$D66:'Model2'!$CN66)</f>
        <v>99208.485200837371</v>
      </c>
      <c r="K62" s="70" cm="1">
        <f t="array" ref="K62">SUMPRODUCT(--(K$8&lt;=Model2!$D$9:'Model2'!$CN$9),--(K$9&gt;=Model2!$D$9:'Model2'!$CN$9),Model2!$D66:'Model2'!$CN66)</f>
        <v>107874.00682175184</v>
      </c>
      <c r="L62" s="70" cm="1">
        <f t="array" ref="L62">SUMPRODUCT(--(L$8&lt;=Model2!$D$9:'Model2'!$CN$9),--(L$9&gt;=Model2!$D$9:'Model2'!$CN$9),Model2!$D66:'Model2'!$CN66)</f>
        <v>121068.36532435541</v>
      </c>
      <c r="M62" s="70" cm="1">
        <f t="array" ref="M62">SUMPRODUCT(--(M$8&lt;=Model2!$D$9:'Model2'!$CN$9),--(M$9&gt;=Model2!$D$9:'Model2'!$CN$9),Model2!$D66:'Model2'!$CN66)</f>
        <v>135653.53652922669</v>
      </c>
      <c r="N62" s="70" cm="1">
        <f t="array" ref="N62">SUMPRODUCT(--(N$8&lt;=Model2!$D$9:'Model2'!$CN$9),--(N$9&gt;=Model2!$D$9:'Model2'!$CN$9),Model2!$D66:'Model2'!$CN66)</f>
        <v>151464.81807663248</v>
      </c>
      <c r="O62" s="70" cm="1">
        <f t="array" ref="O62">SUMPRODUCT(--(O$8&lt;=Model2!$D$9:'Model2'!$CN$9),--(O$9&gt;=Model2!$D$9:'Model2'!$CN$9),Model2!$D66:'Model2'!$CN66)</f>
        <v>166685.42716748232</v>
      </c>
      <c r="P62" s="70" cm="1">
        <f t="array" ref="P62">SUMPRODUCT(--(P$8&lt;=Model2!$D$9:'Model2'!$CN$9),--(P$9&gt;=Model2!$D$9:'Model2'!$CN$9),Model2!$D66:'Model2'!$CN66)</f>
        <v>176833.35276493971</v>
      </c>
      <c r="Q62" s="70" cm="1">
        <f t="array" ref="Q62">SUMPRODUCT(--(Q$8&lt;=Model2!$D$9:'Model2'!$CN$9),--(Q$9&gt;=Model2!$D$9:'Model2'!$CN$9),Model2!$D66:'Model2'!$CN66)</f>
        <v>182920.07311785183</v>
      </c>
      <c r="R62" s="70" cm="1">
        <f t="array" ref="R62">SUMPRODUCT(--(R$8&lt;=Model2!$D$9:'Model2'!$CN$9),--(R$9&gt;=Model2!$D$9:'Model2'!$CN$9),Model2!$D66:'Model2'!$CN66)</f>
        <v>186203.60175100045</v>
      </c>
      <c r="S62" s="70" cm="1">
        <f t="array" ref="S62">SUMPRODUCT(--(S$8&lt;=Model2!$D$9:'Model2'!$CN$9),--(S$9&gt;=Model2!$D$9:'Model2'!$CN$9),Model2!$D66:'Model2'!$CN66)</f>
        <v>196307.56237884122</v>
      </c>
      <c r="T62" s="70" cm="1">
        <f t="array" ref="T62">SUMPRODUCT(--(T$8&lt;=Model2!$D$9:'Model2'!$CN$9),--(T$9&gt;=Model2!$D$9:'Model2'!$CN$9),Model2!$D66:'Model2'!$CN66)</f>
        <v>206916.72103807394</v>
      </c>
      <c r="U62" s="70" cm="1">
        <f t="array" ref="U62">SUMPRODUCT(--(U$8&lt;=Model2!$D$9:'Model2'!$CN$9),--(U$9&gt;=Model2!$D$9:'Model2'!$CN$9),Model2!$D66:'Model2'!$CN66)</f>
        <v>218056.33763026842</v>
      </c>
      <c r="V62" s="70" cm="1">
        <f t="array" ref="V62">SUMPRODUCT(--(V$8&lt;=Model2!$D$9:'Model2'!$CN$9),--(V$9&gt;=Model2!$D$9:'Model2'!$CN$9),Model2!$D66:'Model2'!$CN66)</f>
        <v>229752.93505207245</v>
      </c>
      <c r="W62" s="70" cm="1">
        <f t="array" ref="W62">SUMPRODUCT(--(W$8&lt;=Model2!$D$9:'Model2'!$CN$9),--(W$9&gt;=Model2!$D$9:'Model2'!$CN$9),Model2!$D66:'Model2'!$CN66)</f>
        <v>242034.36234496685</v>
      </c>
      <c r="X62" s="70" cm="1">
        <f t="array" ref="X62">SUMPRODUCT(--(X$8&lt;=Model2!$D$9:'Model2'!$CN$9),--(X$9&gt;=Model2!$D$9:'Model2'!$CN$9),Model2!$D66:'Model2'!$CN66)</f>
        <v>254929.86100250584</v>
      </c>
      <c r="Y62" s="70" cm="1">
        <f t="array" ref="Y62">SUMPRODUCT(--(Y$8&lt;=Model2!$D$9:'Model2'!$CN$9),--(Y$9&gt;=Model2!$D$9:'Model2'!$CN$9),Model2!$D66:'Model2'!$CN66)</f>
        <v>268470.13459292188</v>
      </c>
      <c r="Z62" s="70" cm="1">
        <f t="array" ref="Z62">SUMPRODUCT(--(Z$8&lt;=Model2!$D$9:'Model2'!$CN$9),--(Z$9&gt;=Model2!$D$9:'Model2'!$CN$9),Model2!$D66:'Model2'!$CN66)</f>
        <v>282687.42186285864</v>
      </c>
      <c r="AA62" s="70"/>
    </row>
    <row r="63" spans="1:27" ht="12.75" customHeight="1">
      <c r="A63" s="35"/>
      <c r="B63" s="35"/>
      <c r="C63" s="35"/>
      <c r="D63" s="60">
        <f>Model2!D67</f>
        <v>0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</row>
    <row r="64" spans="1:27" ht="12.75" customHeight="1">
      <c r="A64" s="35"/>
      <c r="B64" s="35"/>
      <c r="C64" s="35"/>
      <c r="D64" s="60">
        <f>Model2!D68</f>
        <v>0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</row>
    <row r="65" spans="1:27" ht="12.75" customHeight="1">
      <c r="A65" s="35"/>
      <c r="B65" s="67" t="s">
        <v>166</v>
      </c>
      <c r="C65" s="68"/>
      <c r="D65" s="61" t="str">
        <f>Model2!D69</f>
        <v>0 период</v>
      </c>
      <c r="E65" s="62">
        <f>E6</f>
        <v>2023</v>
      </c>
      <c r="F65" s="62">
        <f t="shared" ref="F65:Z65" si="12">E65+1</f>
        <v>2024</v>
      </c>
      <c r="G65" s="62">
        <f t="shared" si="12"/>
        <v>2025</v>
      </c>
      <c r="H65" s="62">
        <f t="shared" si="12"/>
        <v>2026</v>
      </c>
      <c r="I65" s="62">
        <f t="shared" si="12"/>
        <v>2027</v>
      </c>
      <c r="J65" s="62">
        <f t="shared" si="12"/>
        <v>2028</v>
      </c>
      <c r="K65" s="62">
        <f t="shared" si="12"/>
        <v>2029</v>
      </c>
      <c r="L65" s="62">
        <f t="shared" si="12"/>
        <v>2030</v>
      </c>
      <c r="M65" s="62">
        <f t="shared" si="12"/>
        <v>2031</v>
      </c>
      <c r="N65" s="62">
        <f t="shared" si="12"/>
        <v>2032</v>
      </c>
      <c r="O65" s="62">
        <f t="shared" si="12"/>
        <v>2033</v>
      </c>
      <c r="P65" s="62">
        <f t="shared" si="12"/>
        <v>2034</v>
      </c>
      <c r="Q65" s="62">
        <f t="shared" si="12"/>
        <v>2035</v>
      </c>
      <c r="R65" s="62">
        <f t="shared" si="12"/>
        <v>2036</v>
      </c>
      <c r="S65" s="62">
        <f t="shared" si="12"/>
        <v>2037</v>
      </c>
      <c r="T65" s="62">
        <f t="shared" si="12"/>
        <v>2038</v>
      </c>
      <c r="U65" s="62">
        <f t="shared" si="12"/>
        <v>2039</v>
      </c>
      <c r="V65" s="62">
        <f t="shared" si="12"/>
        <v>2040</v>
      </c>
      <c r="W65" s="62">
        <f t="shared" si="12"/>
        <v>2041</v>
      </c>
      <c r="X65" s="62">
        <f t="shared" si="12"/>
        <v>2042</v>
      </c>
      <c r="Y65" s="62">
        <f t="shared" si="12"/>
        <v>2043</v>
      </c>
      <c r="Z65" s="62">
        <f t="shared" si="12"/>
        <v>2044</v>
      </c>
      <c r="AA65" s="62"/>
    </row>
    <row r="66" spans="1:27" ht="12.75" customHeight="1">
      <c r="A66" s="35"/>
      <c r="B66" s="37" t="s">
        <v>167</v>
      </c>
      <c r="C66" s="35"/>
      <c r="D66" s="46">
        <f>Model2!D70</f>
        <v>0</v>
      </c>
      <c r="E66" s="47" cm="1">
        <f t="array" ref="E66">SUMPRODUCT(--(E$8&lt;=Model2!$D$9:'Model2'!$CN$9),--(E$9&gt;=Model2!$D$9:'Model2'!$CN$9),Model2!$D70:'Model2'!$CN70)</f>
        <v>0</v>
      </c>
      <c r="F66" s="47" cm="1">
        <f t="array" ref="F66">SUMPRODUCT(--(F$8&lt;=Model2!$D$9:'Model2'!$CN$9),--(F$9&gt;=Model2!$D$9:'Model2'!$CN$9),Model2!$D70:'Model2'!$CN70)</f>
        <v>0</v>
      </c>
      <c r="G66" s="47" cm="1">
        <f t="array" ref="G66">SUMPRODUCT(--(G$8&lt;=Model2!$D$9:'Model2'!$CN$9),--(G$9&gt;=Model2!$D$9:'Model2'!$CN$9),Model2!$D70:'Model2'!$CN70)</f>
        <v>0</v>
      </c>
      <c r="H66" s="47" cm="1">
        <f t="array" ref="H66">SUMPRODUCT(--(H$8&lt;=Model2!$D$9:'Model2'!$CN$9),--(H$9&gt;=Model2!$D$9:'Model2'!$CN$9),Model2!$D70:'Model2'!$CN70)</f>
        <v>0</v>
      </c>
      <c r="I66" s="47" cm="1">
        <f t="array" ref="I66">SUMPRODUCT(--(I$8&lt;=Model2!$D$9:'Model2'!$CN$9),--(I$9&gt;=Model2!$D$9:'Model2'!$CN$9),Model2!$D70:'Model2'!$CN70)</f>
        <v>0</v>
      </c>
      <c r="J66" s="47" cm="1">
        <f t="array" ref="J66">SUMPRODUCT(--(J$8&lt;=Model2!$D$9:'Model2'!$CN$9),--(J$9&gt;=Model2!$D$9:'Model2'!$CN$9),Model2!$D70:'Model2'!$CN70)</f>
        <v>0</v>
      </c>
      <c r="K66" s="47" cm="1">
        <f t="array" ref="K66">SUMPRODUCT(--(K$8&lt;=Model2!$D$9:'Model2'!$CN$9),--(K$9&gt;=Model2!$D$9:'Model2'!$CN$9),Model2!$D70:'Model2'!$CN70)</f>
        <v>0</v>
      </c>
      <c r="L66" s="47" cm="1">
        <f t="array" ref="L66">SUMPRODUCT(--(L$8&lt;=Model2!$D$9:'Model2'!$CN$9),--(L$9&gt;=Model2!$D$9:'Model2'!$CN$9),Model2!$D70:'Model2'!$CN70)</f>
        <v>0</v>
      </c>
      <c r="M66" s="47" cm="1">
        <f t="array" ref="M66">SUMPRODUCT(--(M$8&lt;=Model2!$D$9:'Model2'!$CN$9),--(M$9&gt;=Model2!$D$9:'Model2'!$CN$9),Model2!$D70:'Model2'!$CN70)</f>
        <v>0</v>
      </c>
      <c r="N66" s="47" cm="1">
        <f t="array" ref="N66">SUMPRODUCT(--(N$8&lt;=Model2!$D$9:'Model2'!$CN$9),--(N$9&gt;=Model2!$D$9:'Model2'!$CN$9),Model2!$D70:'Model2'!$CN70)</f>
        <v>0</v>
      </c>
      <c r="O66" s="47" cm="1">
        <f t="array" ref="O66">SUMPRODUCT(--(O$8&lt;=Model2!$D$9:'Model2'!$CN$9),--(O$9&gt;=Model2!$D$9:'Model2'!$CN$9),Model2!$D70:'Model2'!$CN70)</f>
        <v>0</v>
      </c>
      <c r="P66" s="47" cm="1">
        <f t="array" ref="P66">SUMPRODUCT(--(P$8&lt;=Model2!$D$9:'Model2'!$CN$9),--(P$9&gt;=Model2!$D$9:'Model2'!$CN$9),Model2!$D70:'Model2'!$CN70)</f>
        <v>0</v>
      </c>
      <c r="Q66" s="47" cm="1">
        <f t="array" ref="Q66">SUMPRODUCT(--(Q$8&lt;=Model2!$D$9:'Model2'!$CN$9),--(Q$9&gt;=Model2!$D$9:'Model2'!$CN$9),Model2!$D70:'Model2'!$CN70)</f>
        <v>0</v>
      </c>
      <c r="R66" s="47" cm="1">
        <f t="array" ref="R66">SUMPRODUCT(--(R$8&lt;=Model2!$D$9:'Model2'!$CN$9),--(R$9&gt;=Model2!$D$9:'Model2'!$CN$9),Model2!$D70:'Model2'!$CN70)</f>
        <v>0</v>
      </c>
      <c r="S66" s="47" cm="1">
        <f t="array" ref="S66">SUMPRODUCT(--(S$8&lt;=Model2!$D$9:'Model2'!$CN$9),--(S$9&gt;=Model2!$D$9:'Model2'!$CN$9),Model2!$D70:'Model2'!$CN70)</f>
        <v>0</v>
      </c>
      <c r="T66" s="47" cm="1">
        <f t="array" ref="T66">SUMPRODUCT(--(T$8&lt;=Model2!$D$9:'Model2'!$CN$9),--(T$9&gt;=Model2!$D$9:'Model2'!$CN$9),Model2!$D70:'Model2'!$CN70)</f>
        <v>0</v>
      </c>
      <c r="U66" s="47" cm="1">
        <f t="array" ref="U66">SUMPRODUCT(--(U$8&lt;=Model2!$D$9:'Model2'!$CN$9),--(U$9&gt;=Model2!$D$9:'Model2'!$CN$9),Model2!$D70:'Model2'!$CN70)</f>
        <v>0</v>
      </c>
      <c r="V66" s="47" cm="1">
        <f t="array" ref="V66">SUMPRODUCT(--(V$8&lt;=Model2!$D$9:'Model2'!$CN$9),--(V$9&gt;=Model2!$D$9:'Model2'!$CN$9),Model2!$D70:'Model2'!$CN70)</f>
        <v>0</v>
      </c>
      <c r="W66" s="47" cm="1">
        <f t="array" ref="W66">SUMPRODUCT(--(W$8&lt;=Model2!$D$9:'Model2'!$CN$9),--(W$9&gt;=Model2!$D$9:'Model2'!$CN$9),Model2!$D70:'Model2'!$CN70)</f>
        <v>0</v>
      </c>
      <c r="X66" s="47" cm="1">
        <f t="array" ref="X66">SUMPRODUCT(--(X$8&lt;=Model2!$D$9:'Model2'!$CN$9),--(X$9&gt;=Model2!$D$9:'Model2'!$CN$9),Model2!$D70:'Model2'!$CN70)</f>
        <v>0</v>
      </c>
      <c r="Y66" s="47" cm="1">
        <f t="array" ref="Y66">SUMPRODUCT(--(Y$8&lt;=Model2!$D$9:'Model2'!$CN$9),--(Y$9&gt;=Model2!$D$9:'Model2'!$CN$9),Model2!$D70:'Model2'!$CN70)</f>
        <v>0</v>
      </c>
      <c r="Z66" s="47" cm="1">
        <f t="array" ref="Z66">SUMPRODUCT(--(Z$8&lt;=Model2!$D$9:'Model2'!$CN$9),--(Z$9&gt;=Model2!$D$9:'Model2'!$CN$9),Model2!$D70:'Model2'!$CN70)</f>
        <v>0</v>
      </c>
      <c r="AA66" s="47"/>
    </row>
    <row r="67" spans="1:27" ht="12.75" customHeight="1">
      <c r="A67" s="35"/>
      <c r="B67" s="63" t="s">
        <v>160</v>
      </c>
      <c r="C67" s="35">
        <f t="shared" ref="C67:C76" si="13">SUM(D67:AA67)</f>
        <v>4136856.9415455246</v>
      </c>
      <c r="D67" s="60">
        <f>Model2!D71</f>
        <v>0</v>
      </c>
      <c r="E67" s="35" cm="1">
        <f t="array" ref="E67">SUMPRODUCT(--(E$8&lt;=Model2!$D$9:'Model2'!$CN$9),--(E$9&gt;=Model2!$D$9:'Model2'!$CN$9),Model2!$D71:'Model2'!$CN71)</f>
        <v>-1200</v>
      </c>
      <c r="F67" s="35" cm="1">
        <f t="array" ref="F67">SUMPRODUCT(--(F$8&lt;=Model2!$D$9:'Model2'!$CN$9),--(F$9&gt;=Model2!$D$9:'Model2'!$CN$9),Model2!$D71:'Model2'!$CN71)</f>
        <v>-1200</v>
      </c>
      <c r="G67" s="35" cm="1">
        <f t="array" ref="G67">SUMPRODUCT(--(G$8&lt;=Model2!$D$9:'Model2'!$CN$9),--(G$9&gt;=Model2!$D$9:'Model2'!$CN$9),Model2!$D71:'Model2'!$CN71)</f>
        <v>-1200</v>
      </c>
      <c r="H67" s="35" cm="1">
        <f t="array" ref="H67">SUMPRODUCT(--(H$8&lt;=Model2!$D$9:'Model2'!$CN$9),--(H$9&gt;=Model2!$D$9:'Model2'!$CN$9),Model2!$D71:'Model2'!$CN71)</f>
        <v>-1200</v>
      </c>
      <c r="I67" s="35" cm="1">
        <f t="array" ref="I67">SUMPRODUCT(--(I$8&lt;=Model2!$D$9:'Model2'!$CN$9),--(I$9&gt;=Model2!$D$9:'Model2'!$CN$9),Model2!$D71:'Model2'!$CN71)</f>
        <v>40685.557939347636</v>
      </c>
      <c r="J67" s="35" cm="1">
        <f t="array" ref="J67">SUMPRODUCT(--(J$8&lt;=Model2!$D$9:'Model2'!$CN$9),--(J$9&gt;=Model2!$D$9:'Model2'!$CN$9),Model2!$D71:'Model2'!$CN71)</f>
        <v>151984.90180698509</v>
      </c>
      <c r="K67" s="35" cm="1">
        <f t="array" ref="K67">SUMPRODUCT(--(K$8&lt;=Model2!$D$9:'Model2'!$CN$9),--(K$9&gt;=Model2!$D$9:'Model2'!$CN$9),Model2!$D71:'Model2'!$CN71)</f>
        <v>161240.07060806625</v>
      </c>
      <c r="L67" s="35" cm="1">
        <f t="array" ref="L67">SUMPRODUCT(--(L$8&lt;=Model2!$D$9:'Model2'!$CN$9),--(L$9&gt;=Model2!$D$9:'Model2'!$CN$9),Model2!$D71:'Model2'!$CN71)</f>
        <v>169848.76118035839</v>
      </c>
      <c r="M67" s="35" cm="1">
        <f t="array" ref="M67">SUMPRODUCT(--(M$8&lt;=Model2!$D$9:'Model2'!$CN$9),--(M$9&gt;=Model2!$D$9:'Model2'!$CN$9),Model2!$D71:'Model2'!$CN71)</f>
        <v>179273.42491473968</v>
      </c>
      <c r="N67" s="35" cm="1">
        <f t="array" ref="N67">SUMPRODUCT(--(N$8&lt;=Model2!$D$9:'Model2'!$CN$9),--(N$9&gt;=Model2!$D$9:'Model2'!$CN$9),Model2!$D71:'Model2'!$CN71)</f>
        <v>189169.32183584</v>
      </c>
      <c r="O67" s="35" cm="1">
        <f t="array" ref="O67">SUMPRODUCT(--(O$8&lt;=Model2!$D$9:'Model2'!$CN$9),--(O$9&gt;=Model2!$D$9:'Model2'!$CN$9),Model2!$D71:'Model2'!$CN71)</f>
        <v>199560.0136029954</v>
      </c>
      <c r="P67" s="35" cm="1">
        <f t="array" ref="P67">SUMPRODUCT(--(P$8&lt;=Model2!$D$9:'Model2'!$CN$9),--(P$9&gt;=Model2!$D$9:'Model2'!$CN$9),Model2!$D71:'Model2'!$CN71)</f>
        <v>210470.23995850855</v>
      </c>
      <c r="Q67" s="35" cm="1">
        <f t="array" ref="Q67">SUMPRODUCT(--(Q$8&lt;=Model2!$D$9:'Model2'!$CN$9),--(Q$9&gt;=Model2!$D$9:'Model2'!$CN$9),Model2!$D71:'Model2'!$CN71)</f>
        <v>221925.97763179734</v>
      </c>
      <c r="R67" s="35" cm="1">
        <f t="array" ref="R67">SUMPRODUCT(--(R$8&lt;=Model2!$D$9:'Model2'!$CN$9),--(R$9&gt;=Model2!$D$9:'Model2'!$CN$9),Model2!$D71:'Model2'!$CN71)</f>
        <v>233954.50218875054</v>
      </c>
      <c r="S67" s="35" cm="1">
        <f t="array" ref="S67">SUMPRODUCT(--(S$8&lt;=Model2!$D$9:'Model2'!$CN$9),--(S$9&gt;=Model2!$D$9:'Model2'!$CN$9),Model2!$D71:'Model2'!$CN71)</f>
        <v>246584.4529735515</v>
      </c>
      <c r="T67" s="35" cm="1">
        <f t="array" ref="T67">SUMPRODUCT(--(T$8&lt;=Model2!$D$9:'Model2'!$CN$9),--(T$9&gt;=Model2!$D$9:'Model2'!$CN$9),Model2!$D71:'Model2'!$CN71)</f>
        <v>259845.90129759247</v>
      </c>
      <c r="U67" s="35" cm="1">
        <f t="array" ref="U67">SUMPRODUCT(--(U$8&lt;=Model2!$D$9:'Model2'!$CN$9),--(U$9&gt;=Model2!$D$9:'Model2'!$CN$9),Model2!$D71:'Model2'!$CN71)</f>
        <v>273770.42203783547</v>
      </c>
      <c r="V67" s="35" cm="1">
        <f t="array" ref="V67">SUMPRODUCT(--(V$8&lt;=Model2!$D$9:'Model2'!$CN$9),--(V$9&gt;=Model2!$D$9:'Model2'!$CN$9),Model2!$D71:'Model2'!$CN71)</f>
        <v>288391.16881509055</v>
      </c>
      <c r="W67" s="35" cm="1">
        <f t="array" ref="W67">SUMPRODUCT(--(W$8&lt;=Model2!$D$9:'Model2'!$CN$9),--(W$9&gt;=Model2!$D$9:'Model2'!$CN$9),Model2!$D71:'Model2'!$CN71)</f>
        <v>303742.95293120854</v>
      </c>
      <c r="X67" s="35" cm="1">
        <f t="array" ref="X67">SUMPRODUCT(--(X$8&lt;=Model2!$D$9:'Model2'!$CN$9),--(X$9&gt;=Model2!$D$9:'Model2'!$CN$9),Model2!$D71:'Model2'!$CN71)</f>
        <v>319862.32625313231</v>
      </c>
      <c r="Y67" s="35" cm="1">
        <f t="array" ref="Y67">SUMPRODUCT(--(Y$8&lt;=Model2!$D$9:'Model2'!$CN$9),--(Y$9&gt;=Model2!$D$9:'Model2'!$CN$9),Model2!$D71:'Model2'!$CN71)</f>
        <v>336787.66824115231</v>
      </c>
      <c r="Z67" s="35" cm="1">
        <f t="array" ref="Z67">SUMPRODUCT(--(Z$8&lt;=Model2!$D$9:'Model2'!$CN$9),--(Z$9&gt;=Model2!$D$9:'Model2'!$CN$9),Model2!$D71:'Model2'!$CN71)</f>
        <v>354559.27732857334</v>
      </c>
      <c r="AA67" s="35"/>
    </row>
    <row r="68" spans="1:27" ht="12.75" customHeight="1">
      <c r="A68" s="35"/>
      <c r="B68" s="87" t="s">
        <v>168</v>
      </c>
      <c r="C68" s="35">
        <f t="shared" si="13"/>
        <v>-2359.812878029446</v>
      </c>
      <c r="D68" s="60">
        <f>Model2!D72</f>
        <v>0</v>
      </c>
      <c r="E68" s="35" cm="1">
        <f t="array" ref="E68">SUMPRODUCT(--(E$8&lt;=Model2!$D$9:'Model2'!$CN$9),--(E$9&gt;=Model2!$D$9:'Model2'!$CN$9),Model2!$D72:'Model2'!$CN72)</f>
        <v>0</v>
      </c>
      <c r="F68" s="35" cm="1">
        <f t="array" ref="F68">SUMPRODUCT(--(F$8&lt;=Model2!$D$9:'Model2'!$CN$9),--(F$9&gt;=Model2!$D$9:'Model2'!$CN$9),Model2!$D72:'Model2'!$CN72)</f>
        <v>0</v>
      </c>
      <c r="G68" s="35" cm="1">
        <f t="array" ref="G68">SUMPRODUCT(--(G$8&lt;=Model2!$D$9:'Model2'!$CN$9),--(G$9&gt;=Model2!$D$9:'Model2'!$CN$9),Model2!$D72:'Model2'!$CN72)</f>
        <v>0</v>
      </c>
      <c r="H68" s="35" cm="1">
        <f t="array" ref="H68">SUMPRODUCT(--(H$8&lt;=Model2!$D$9:'Model2'!$CN$9),--(H$9&gt;=Model2!$D$9:'Model2'!$CN$9),Model2!$D72:'Model2'!$CN72)</f>
        <v>0</v>
      </c>
      <c r="I68" s="35" cm="1">
        <f t="array" ref="I68">SUMPRODUCT(--(I$8&lt;=Model2!$D$9:'Model2'!$CN$9),--(I$9&gt;=Model2!$D$9:'Model2'!$CN$9),Model2!$D72:'Model2'!$CN72)</f>
        <v>-978.09225537398493</v>
      </c>
      <c r="J68" s="35" cm="1">
        <f t="array" ref="J68">SUMPRODUCT(--(J$8&lt;=Model2!$D$9:'Model2'!$CN$9),--(J$9&gt;=Model2!$D$9:'Model2'!$CN$9),Model2!$D72:'Model2'!$CN72)</f>
        <v>-104.16537523322029</v>
      </c>
      <c r="K68" s="35" cm="1">
        <f t="array" ref="K68">SUMPRODUCT(--(K$8&lt;=Model2!$D$9:'Model2'!$CN$9),--(K$9&gt;=Model2!$D$9:'Model2'!$CN$9),Model2!$D72:'Model2'!$CN72)</f>
        <v>-52.852712020219144</v>
      </c>
      <c r="L68" s="35" cm="1">
        <f t="array" ref="L68">SUMPRODUCT(--(L$8&lt;=Model2!$D$9:'Model2'!$CN$9),--(L$9&gt;=Model2!$D$9:'Model2'!$CN$9),Model2!$D72:'Model2'!$CN72)</f>
        <v>-56.755517131370993</v>
      </c>
      <c r="M68" s="35" cm="1">
        <f t="array" ref="M68">SUMPRODUCT(--(M$8&lt;=Model2!$D$9:'Model2'!$CN$9),--(M$9&gt;=Model2!$D$9:'Model2'!$CN$9),Model2!$D72:'Model2'!$CN72)</f>
        <v>-59.593292987939833</v>
      </c>
      <c r="N68" s="35" cm="1">
        <f t="array" ref="N68">SUMPRODUCT(--(N$8&lt;=Model2!$D$9:'Model2'!$CN$9),--(N$9&gt;=Model2!$D$9:'Model2'!$CN$9),Model2!$D72:'Model2'!$CN72)</f>
        <v>-62.572957637337083</v>
      </c>
      <c r="O68" s="35" cm="1">
        <f t="array" ref="O68">SUMPRODUCT(--(O$8&lt;=Model2!$D$9:'Model2'!$CN$9),--(O$9&gt;=Model2!$D$9:'Model2'!$CN$9),Model2!$D72:'Model2'!$CN72)</f>
        <v>-65.701605519203326</v>
      </c>
      <c r="P68" s="35" cm="1">
        <f t="array" ref="P68">SUMPRODUCT(--(P$8&lt;=Model2!$D$9:'Model2'!$CN$9),--(P$9&gt;=Model2!$D$9:'Model2'!$CN$9),Model2!$D72:'Model2'!$CN72)</f>
        <v>-68.986685795163567</v>
      </c>
      <c r="Q68" s="35" cm="1">
        <f t="array" ref="Q68">SUMPRODUCT(--(Q$8&lt;=Model2!$D$9:'Model2'!$CN$9),--(Q$9&gt;=Model2!$D$9:'Model2'!$CN$9),Model2!$D72:'Model2'!$CN72)</f>
        <v>-72.436020084921893</v>
      </c>
      <c r="R68" s="35" cm="1">
        <f t="array" ref="R68">SUMPRODUCT(--(R$8&lt;=Model2!$D$9:'Model2'!$CN$9),--(R$9&gt;=Model2!$D$9:'Model2'!$CN$9),Model2!$D72:'Model2'!$CN72)</f>
        <v>-76.057821089168669</v>
      </c>
      <c r="S68" s="35" cm="1">
        <f t="array" ref="S68">SUMPRODUCT(--(S$8&lt;=Model2!$D$9:'Model2'!$CN$9),--(S$9&gt;=Model2!$D$9:'Model2'!$CN$9),Model2!$D72:'Model2'!$CN72)</f>
        <v>-79.860712143626643</v>
      </c>
      <c r="T68" s="35" cm="1">
        <f t="array" ref="T68">SUMPRODUCT(--(T$8&lt;=Model2!$D$9:'Model2'!$CN$9),--(T$9&gt;=Model2!$D$9:'Model2'!$CN$9),Model2!$D72:'Model2'!$CN72)</f>
        <v>-83.853747750807656</v>
      </c>
      <c r="U68" s="35" cm="1">
        <f t="array" ref="U68">SUMPRODUCT(--(U$8&lt;=Model2!$D$9:'Model2'!$CN$9),--(U$9&gt;=Model2!$D$9:'Model2'!$CN$9),Model2!$D72:'Model2'!$CN72)</f>
        <v>-88.046435138348102</v>
      </c>
      <c r="V68" s="35" cm="1">
        <f t="array" ref="V68">SUMPRODUCT(--(V$8&lt;=Model2!$D$9:'Model2'!$CN$9),--(V$9&gt;=Model2!$D$9:'Model2'!$CN$9),Model2!$D72:'Model2'!$CN72)</f>
        <v>-92.448756895266229</v>
      </c>
      <c r="W68" s="35" cm="1">
        <f t="array" ref="W68">SUMPRODUCT(--(W$8&lt;=Model2!$D$9:'Model2'!$CN$9),--(W$9&gt;=Model2!$D$9:'Model2'!$CN$9),Model2!$D72:'Model2'!$CN72)</f>
        <v>-97.071194740029</v>
      </c>
      <c r="X68" s="35" cm="1">
        <f t="array" ref="X68">SUMPRODUCT(--(X$8&lt;=Model2!$D$9:'Model2'!$CN$9),--(X$9&gt;=Model2!$D$9:'Model2'!$CN$9),Model2!$D72:'Model2'!$CN72)</f>
        <v>-101.92475447703123</v>
      </c>
      <c r="Y68" s="35" cm="1">
        <f t="array" ref="Y68">SUMPRODUCT(--(Y$8&lt;=Model2!$D$9:'Model2'!$CN$9),--(Y$9&gt;=Model2!$D$9:'Model2'!$CN$9),Model2!$D72:'Model2'!$CN72)</f>
        <v>-107.02099220088132</v>
      </c>
      <c r="Z68" s="35" cm="1">
        <f t="array" ref="Z68">SUMPRODUCT(--(Z$8&lt;=Model2!$D$9:'Model2'!$CN$9),--(Z$9&gt;=Model2!$D$9:'Model2'!$CN$9),Model2!$D72:'Model2'!$CN72)</f>
        <v>-112.37204181092613</v>
      </c>
      <c r="AA68" s="35"/>
    </row>
    <row r="69" spans="1:27" ht="12.75" customHeight="1">
      <c r="A69" s="35"/>
      <c r="B69" s="87" t="s">
        <v>169</v>
      </c>
      <c r="C69" s="35">
        <f t="shared" si="13"/>
        <v>11114.45589690632</v>
      </c>
      <c r="D69" s="60">
        <f>Model2!D73</f>
        <v>0</v>
      </c>
      <c r="E69" s="35" cm="1">
        <f t="array" ref="E69">SUMPRODUCT(--(E$8&lt;=Model2!$D$9:'Model2'!$CN$9),--(E$9&gt;=Model2!$D$9:'Model2'!$CN$9),Model2!$D73:'Model2'!$CN73)</f>
        <v>0</v>
      </c>
      <c r="F69" s="35" cm="1">
        <f t="array" ref="F69">SUMPRODUCT(--(F$8&lt;=Model2!$D$9:'Model2'!$CN$9),--(F$9&gt;=Model2!$D$9:'Model2'!$CN$9),Model2!$D73:'Model2'!$CN73)</f>
        <v>0</v>
      </c>
      <c r="G69" s="35" cm="1">
        <f t="array" ref="G69">SUMPRODUCT(--(G$8&lt;=Model2!$D$9:'Model2'!$CN$9),--(G$9&gt;=Model2!$D$9:'Model2'!$CN$9),Model2!$D73:'Model2'!$CN73)</f>
        <v>0</v>
      </c>
      <c r="H69" s="35" cm="1">
        <f t="array" ref="H69">SUMPRODUCT(--(H$8&lt;=Model2!$D$9:'Model2'!$CN$9),--(H$9&gt;=Model2!$D$9:'Model2'!$CN$9),Model2!$D73:'Model2'!$CN73)</f>
        <v>0</v>
      </c>
      <c r="I69" s="35" cm="1">
        <f t="array" ref="I69">SUMPRODUCT(--(I$8&lt;=Model2!$D$9:'Model2'!$CN$9),--(I$9&gt;=Model2!$D$9:'Model2'!$CN$9),Model2!$D73:'Model2'!$CN73)</f>
        <v>4776.2715772255424</v>
      </c>
      <c r="J69" s="35" cm="1">
        <f t="array" ref="J69">SUMPRODUCT(--(J$8&lt;=Model2!$D$9:'Model2'!$CN$9),--(J$9&gt;=Model2!$D$9:'Model2'!$CN$9),Model2!$D73:'Model2'!$CN73)</f>
        <v>330.20550599837043</v>
      </c>
      <c r="K69" s="35" cm="1">
        <f t="array" ref="K69">SUMPRODUCT(--(K$8&lt;=Model2!$D$9:'Model2'!$CN$9),--(K$9&gt;=Model2!$D$9:'Model2'!$CN$9),Model2!$D73:'Model2'!$CN73)</f>
        <v>239.76623916603512</v>
      </c>
      <c r="L69" s="35" cm="1">
        <f t="array" ref="L69">SUMPRODUCT(--(L$8&lt;=Model2!$D$9:'Model2'!$CN$9),--(L$9&gt;=Model2!$D$9:'Model2'!$CN$9),Model2!$D73:'Model2'!$CN73)</f>
        <v>267.31216611949594</v>
      </c>
      <c r="M69" s="35" cm="1">
        <f t="array" ref="M69">SUMPRODUCT(--(M$8&lt;=Model2!$D$9:'Model2'!$CN$9),--(M$9&gt;=Model2!$D$9:'Model2'!$CN$9),Model2!$D73:'Model2'!$CN73)</f>
        <v>280.67777442547231</v>
      </c>
      <c r="N69" s="35" cm="1">
        <f t="array" ref="N69">SUMPRODUCT(--(N$8&lt;=Model2!$D$9:'Model2'!$CN$9),--(N$9&gt;=Model2!$D$9:'Model2'!$CN$9),Model2!$D73:'Model2'!$CN73)</f>
        <v>294.7116631467452</v>
      </c>
      <c r="O69" s="35" cm="1">
        <f t="array" ref="O69">SUMPRODUCT(--(O$8&lt;=Model2!$D$9:'Model2'!$CN$9),--(O$9&gt;=Model2!$D$9:'Model2'!$CN$9),Model2!$D73:'Model2'!$CN73)</f>
        <v>309.44724630408382</v>
      </c>
      <c r="P69" s="35" cm="1">
        <f t="array" ref="P69">SUMPRODUCT(--(P$8&lt;=Model2!$D$9:'Model2'!$CN$9),--(P$9&gt;=Model2!$D$9:'Model2'!$CN$9),Model2!$D73:'Model2'!$CN73)</f>
        <v>324.91960861928692</v>
      </c>
      <c r="Q69" s="35" cm="1">
        <f t="array" ref="Q69">SUMPRODUCT(--(Q$8&lt;=Model2!$D$9:'Model2'!$CN$9),--(Q$9&gt;=Model2!$D$9:'Model2'!$CN$9),Model2!$D73:'Model2'!$CN73)</f>
        <v>341.16558905025067</v>
      </c>
      <c r="R69" s="35" cm="1">
        <f t="array" ref="R69">SUMPRODUCT(--(R$8&lt;=Model2!$D$9:'Model2'!$CN$9),--(R$9&gt;=Model2!$D$9:'Model2'!$CN$9),Model2!$D73:'Model2'!$CN73)</f>
        <v>358.22386850276689</v>
      </c>
      <c r="S69" s="35" cm="1">
        <f t="array" ref="S69">SUMPRODUCT(--(S$8&lt;=Model2!$D$9:'Model2'!$CN$9),--(S$9&gt;=Model2!$D$9:'Model2'!$CN$9),Model2!$D73:'Model2'!$CN73)</f>
        <v>376.13506192790101</v>
      </c>
      <c r="T69" s="35" cm="1">
        <f t="array" ref="T69">SUMPRODUCT(--(T$8&lt;=Model2!$D$9:'Model2'!$CN$9),--(T$9&gt;=Model2!$D$9:'Model2'!$CN$9),Model2!$D73:'Model2'!$CN73)</f>
        <v>394.94181502430092</v>
      </c>
      <c r="U69" s="35" cm="1">
        <f t="array" ref="U69">SUMPRODUCT(--(U$8&lt;=Model2!$D$9:'Model2'!$CN$9),--(U$9&gt;=Model2!$D$9:'Model2'!$CN$9),Model2!$D73:'Model2'!$CN73)</f>
        <v>414.68890577551065</v>
      </c>
      <c r="V69" s="35" cm="1">
        <f t="array" ref="V69">SUMPRODUCT(--(V$8&lt;=Model2!$D$9:'Model2'!$CN$9),--(V$9&gt;=Model2!$D$9:'Model2'!$CN$9),Model2!$D73:'Model2'!$CN73)</f>
        <v>435.42335106429073</v>
      </c>
      <c r="W69" s="35" cm="1">
        <f t="array" ref="W69">SUMPRODUCT(--(W$8&lt;=Model2!$D$9:'Model2'!$CN$9),--(W$9&gt;=Model2!$D$9:'Model2'!$CN$9),Model2!$D73:'Model2'!$CN73)</f>
        <v>457.19451861750076</v>
      </c>
      <c r="X69" s="35" cm="1">
        <f t="array" ref="X69">SUMPRODUCT(--(X$8&lt;=Model2!$D$9:'Model2'!$CN$9),--(X$9&gt;=Model2!$D$9:'Model2'!$CN$9),Model2!$D73:'Model2'!$CN73)</f>
        <v>480.05424454837794</v>
      </c>
      <c r="Y69" s="35" cm="1">
        <f t="array" ref="Y69">SUMPRODUCT(--(Y$8&lt;=Model2!$D$9:'Model2'!$CN$9),--(Y$9&gt;=Model2!$D$9:'Model2'!$CN$9),Model2!$D73:'Model2'!$CN73)</f>
        <v>504.05695677580024</v>
      </c>
      <c r="Z69" s="35" cm="1">
        <f t="array" ref="Z69">SUMPRODUCT(--(Z$8&lt;=Model2!$D$9:'Model2'!$CN$9),--(Z$9&gt;=Model2!$D$9:'Model2'!$CN$9),Model2!$D73:'Model2'!$CN73)</f>
        <v>529.25980461458857</v>
      </c>
      <c r="AA69" s="35"/>
    </row>
    <row r="70" spans="1:27" ht="12.75" customHeight="1">
      <c r="A70" s="35"/>
      <c r="B70" s="87" t="s">
        <v>170</v>
      </c>
      <c r="C70" s="35">
        <f t="shared" si="13"/>
        <v>-8921.0029576221586</v>
      </c>
      <c r="D70" s="60">
        <f>Model2!D74</f>
        <v>0</v>
      </c>
      <c r="E70" s="35" cm="1">
        <f t="array" ref="E70">SUMPRODUCT(--(E$8&lt;=Model2!$D$9:'Model2'!$CN$9),--(E$9&gt;=Model2!$D$9:'Model2'!$CN$9),Model2!$D74:'Model2'!$CN74)</f>
        <v>0</v>
      </c>
      <c r="F70" s="35" cm="1">
        <f t="array" ref="F70">SUMPRODUCT(--(F$8&lt;=Model2!$D$9:'Model2'!$CN$9),--(F$9&gt;=Model2!$D$9:'Model2'!$CN$9),Model2!$D74:'Model2'!$CN74)</f>
        <v>0</v>
      </c>
      <c r="G70" s="35" cm="1">
        <f t="array" ref="G70">SUMPRODUCT(--(G$8&lt;=Model2!$D$9:'Model2'!$CN$9),--(G$9&gt;=Model2!$D$9:'Model2'!$CN$9),Model2!$D74:'Model2'!$CN74)</f>
        <v>0</v>
      </c>
      <c r="H70" s="35" cm="1">
        <f t="array" ref="H70">SUMPRODUCT(--(H$8&lt;=Model2!$D$9:'Model2'!$CN$9),--(H$9&gt;=Model2!$D$9:'Model2'!$CN$9),Model2!$D74:'Model2'!$CN74)</f>
        <v>0</v>
      </c>
      <c r="I70" s="35" cm="1">
        <f t="array" ref="I70">SUMPRODUCT(--(I$8&lt;=Model2!$D$9:'Model2'!$CN$9),--(I$9&gt;=Model2!$D$9:'Model2'!$CN$9),Model2!$D74:'Model2'!$CN74)</f>
        <v>-3842.0265986437498</v>
      </c>
      <c r="J70" s="35" cm="1">
        <f t="array" ref="J70">SUMPRODUCT(--(J$8&lt;=Model2!$D$9:'Model2'!$CN$9),--(J$9&gt;=Model2!$D$9:'Model2'!$CN$9),Model2!$D74:'Model2'!$CN74)</f>
        <v>-258.16926697125041</v>
      </c>
      <c r="K70" s="35" cm="1">
        <f t="array" ref="K70">SUMPRODUCT(--(K$8&lt;=Model2!$D$9:'Model2'!$CN$9),--(K$9&gt;=Model2!$D$9:'Model2'!$CN$9),Model2!$D74:'Model2'!$CN74)</f>
        <v>-190.95908912137486</v>
      </c>
      <c r="L70" s="35" cm="1">
        <f t="array" ref="L70">SUMPRODUCT(--(L$8&lt;=Model2!$D$9:'Model2'!$CN$9),--(L$9&gt;=Model2!$D$9:'Model2'!$CN$9),Model2!$D74:'Model2'!$CN74)</f>
        <v>-214.55774773681901</v>
      </c>
      <c r="M70" s="35" cm="1">
        <f t="array" ref="M70">SUMPRODUCT(--(M$8&lt;=Model2!$D$9:'Model2'!$CN$9),--(M$9&gt;=Model2!$D$9:'Model2'!$CN$9),Model2!$D74:'Model2'!$CN74)</f>
        <v>-225.28563512365781</v>
      </c>
      <c r="N70" s="35" cm="1">
        <f t="array" ref="N70">SUMPRODUCT(--(N$8&lt;=Model2!$D$9:'Model2'!$CN$9),--(N$9&gt;=Model2!$D$9:'Model2'!$CN$9),Model2!$D74:'Model2'!$CN74)</f>
        <v>-236.54991687983943</v>
      </c>
      <c r="O70" s="35" cm="1">
        <f t="array" ref="O70">SUMPRODUCT(--(O$8&lt;=Model2!$D$9:'Model2'!$CN$9),--(O$9&gt;=Model2!$D$9:'Model2'!$CN$9),Model2!$D74:'Model2'!$CN74)</f>
        <v>-248.37741272383391</v>
      </c>
      <c r="P70" s="35" cm="1">
        <f t="array" ref="P70">SUMPRODUCT(--(P$8&lt;=Model2!$D$9:'Model2'!$CN$9),--(P$9&gt;=Model2!$D$9:'Model2'!$CN$9),Model2!$D74:'Model2'!$CN74)</f>
        <v>-260.79628336002565</v>
      </c>
      <c r="Q70" s="35" cm="1">
        <f t="array" ref="Q70">SUMPRODUCT(--(Q$8&lt;=Model2!$D$9:'Model2'!$CN$9),--(Q$9&gt;=Model2!$D$9:'Model2'!$CN$9),Model2!$D74:'Model2'!$CN74)</f>
        <v>-273.83609752802681</v>
      </c>
      <c r="R70" s="35" cm="1">
        <f t="array" ref="R70">SUMPRODUCT(--(R$8&lt;=Model2!$D$9:'Model2'!$CN$9),--(R$9&gt;=Model2!$D$9:'Model2'!$CN$9),Model2!$D74:'Model2'!$CN74)</f>
        <v>-287.52790240442823</v>
      </c>
      <c r="S70" s="35" cm="1">
        <f t="array" ref="S70">SUMPRODUCT(--(S$8&lt;=Model2!$D$9:'Model2'!$CN$9),--(S$9&gt;=Model2!$D$9:'Model2'!$CN$9),Model2!$D74:'Model2'!$CN74)</f>
        <v>-301.90429752465161</v>
      </c>
      <c r="T70" s="35" cm="1">
        <f t="array" ref="T70">SUMPRODUCT(--(T$8&lt;=Model2!$D$9:'Model2'!$CN$9),--(T$9&gt;=Model2!$D$9:'Model2'!$CN$9),Model2!$D74:'Model2'!$CN74)</f>
        <v>-316.99951240088444</v>
      </c>
      <c r="U70" s="35" cm="1">
        <f t="array" ref="U70">SUMPRODUCT(--(U$8&lt;=Model2!$D$9:'Model2'!$CN$9),--(U$9&gt;=Model2!$D$9:'Model2'!$CN$9),Model2!$D74:'Model2'!$CN74)</f>
        <v>-332.84948802092822</v>
      </c>
      <c r="V70" s="35" cm="1">
        <f t="array" ref="V70">SUMPRODUCT(--(V$8&lt;=Model2!$D$9:'Model2'!$CN$9),--(V$9&gt;=Model2!$D$9:'Model2'!$CN$9),Model2!$D74:'Model2'!$CN74)</f>
        <v>-349.49196242197377</v>
      </c>
      <c r="W70" s="35" cm="1">
        <f t="array" ref="W70">SUMPRODUCT(--(W$8&lt;=Model2!$D$9:'Model2'!$CN$9),--(W$9&gt;=Model2!$D$9:'Model2'!$CN$9),Model2!$D74:'Model2'!$CN74)</f>
        <v>-366.96656054307255</v>
      </c>
      <c r="X70" s="35" cm="1">
        <f t="array" ref="X70">SUMPRODUCT(--(X$8&lt;=Model2!$D$9:'Model2'!$CN$9),--(X$9&gt;=Model2!$D$9:'Model2'!$CN$9),Model2!$D74:'Model2'!$CN74)</f>
        <v>-385.3148885702285</v>
      </c>
      <c r="Y70" s="35" cm="1">
        <f t="array" ref="Y70">SUMPRODUCT(--(Y$8&lt;=Model2!$D$9:'Model2'!$CN$9),--(Y$9&gt;=Model2!$D$9:'Model2'!$CN$9),Model2!$D74:'Model2'!$CN74)</f>
        <v>-404.5806329987372</v>
      </c>
      <c r="Z70" s="35" cm="1">
        <f t="array" ref="Z70">SUMPRODUCT(--(Z$8&lt;=Model2!$D$9:'Model2'!$CN$9),--(Z$9&gt;=Model2!$D$9:'Model2'!$CN$9),Model2!$D74:'Model2'!$CN74)</f>
        <v>-424.80966464867606</v>
      </c>
      <c r="AA70" s="35"/>
    </row>
    <row r="71" spans="1:27" ht="12.75" customHeight="1">
      <c r="A71" s="35"/>
      <c r="B71" s="87" t="s">
        <v>171</v>
      </c>
      <c r="C71" s="35">
        <f t="shared" si="13"/>
        <v>-4300.3064413974789</v>
      </c>
      <c r="D71" s="60">
        <f>Model2!D75</f>
        <v>0</v>
      </c>
      <c r="E71" s="35" cm="1">
        <f t="array" ref="E71">SUMPRODUCT(--(E$8&lt;=Model2!$D$9:'Model2'!$CN$9),--(E$9&gt;=Model2!$D$9:'Model2'!$CN$9),Model2!$D75:'Model2'!$CN75)</f>
        <v>0</v>
      </c>
      <c r="F71" s="35" cm="1">
        <f t="array" ref="F71">SUMPRODUCT(--(F$8&lt;=Model2!$D$9:'Model2'!$CN$9),--(F$9&gt;=Model2!$D$9:'Model2'!$CN$9),Model2!$D75:'Model2'!$CN75)</f>
        <v>0</v>
      </c>
      <c r="G71" s="35" cm="1">
        <f t="array" ref="G71">SUMPRODUCT(--(G$8&lt;=Model2!$D$9:'Model2'!$CN$9),--(G$9&gt;=Model2!$D$9:'Model2'!$CN$9),Model2!$D75:'Model2'!$CN75)</f>
        <v>0</v>
      </c>
      <c r="H71" s="35" cm="1">
        <f t="array" ref="H71">SUMPRODUCT(--(H$8&lt;=Model2!$D$9:'Model2'!$CN$9),--(H$9&gt;=Model2!$D$9:'Model2'!$CN$9),Model2!$D75:'Model2'!$CN75)</f>
        <v>0</v>
      </c>
      <c r="I71" s="35" cm="1">
        <f t="array" ref="I71">SUMPRODUCT(--(I$8&lt;=Model2!$D$9:'Model2'!$CN$9),--(I$9&gt;=Model2!$D$9:'Model2'!$CN$9),Model2!$D75:'Model2'!$CN75)</f>
        <v>-1749.9450315265626</v>
      </c>
      <c r="J71" s="35" cm="1">
        <f t="array" ref="J71">SUMPRODUCT(--(J$8&lt;=Model2!$D$9:'Model2'!$CN$9),--(J$9&gt;=Model2!$D$9:'Model2'!$CN$9),Model2!$D75:'Model2'!$CN75)</f>
        <v>-222.06282140361941</v>
      </c>
      <c r="K71" s="35" cm="1">
        <f t="array" ref="K71">SUMPRODUCT(--(K$8&lt;=Model2!$D$9:'Model2'!$CN$9),--(K$9&gt;=Model2!$D$9:'Model2'!$CN$9),Model2!$D75:'Model2'!$CN75)</f>
        <v>-96.513072412739348</v>
      </c>
      <c r="L71" s="35" cm="1">
        <f t="array" ref="L71">SUMPRODUCT(--(L$8&lt;=Model2!$D$9:'Model2'!$CN$9),--(L$9&gt;=Model2!$D$9:'Model2'!$CN$9),Model2!$D75:'Model2'!$CN75)</f>
        <v>-103.42604626714683</v>
      </c>
      <c r="M71" s="35" cm="1">
        <f t="array" ref="M71">SUMPRODUCT(--(M$8&lt;=Model2!$D$9:'Model2'!$CN$9),--(M$9&gt;=Model2!$D$9:'Model2'!$CN$9),Model2!$D75:'Model2'!$CN75)</f>
        <v>-108.59734858050297</v>
      </c>
      <c r="N71" s="35" cm="1">
        <f t="array" ref="N71">SUMPRODUCT(--(N$8&lt;=Model2!$D$9:'Model2'!$CN$9),--(N$9&gt;=Model2!$D$9:'Model2'!$CN$9),Model2!$D75:'Model2'!$CN75)</f>
        <v>-114.02721600952918</v>
      </c>
      <c r="O71" s="35" cm="1">
        <f t="array" ref="O71">SUMPRODUCT(--(O$8&lt;=Model2!$D$9:'Model2'!$CN$9),--(O$9&gt;=Model2!$D$9:'Model2'!$CN$9),Model2!$D75:'Model2'!$CN75)</f>
        <v>-119.72857681000505</v>
      </c>
      <c r="P71" s="35" cm="1">
        <f t="array" ref="P71">SUMPRODUCT(--(P$8&lt;=Model2!$D$9:'Model2'!$CN$9),--(P$9&gt;=Model2!$D$9:'Model2'!$CN$9),Model2!$D75:'Model2'!$CN75)</f>
        <v>-125.71500565050519</v>
      </c>
      <c r="Q71" s="35" cm="1">
        <f t="array" ref="Q71">SUMPRODUCT(--(Q$8&lt;=Model2!$D$9:'Model2'!$CN$9),--(Q$9&gt;=Model2!$D$9:'Model2'!$CN$9),Model2!$D75:'Model2'!$CN75)</f>
        <v>-132.00075593303063</v>
      </c>
      <c r="R71" s="35" cm="1">
        <f t="array" ref="R71">SUMPRODUCT(--(R$8&lt;=Model2!$D$9:'Model2'!$CN$9),--(R$9&gt;=Model2!$D$9:'Model2'!$CN$9),Model2!$D75:'Model2'!$CN75)</f>
        <v>-138.60079372968289</v>
      </c>
      <c r="S71" s="35" cm="1">
        <f t="array" ref="S71">SUMPRODUCT(--(S$8&lt;=Model2!$D$9:'Model2'!$CN$9),--(S$9&gt;=Model2!$D$9:'Model2'!$CN$9),Model2!$D75:'Model2'!$CN75)</f>
        <v>-145.53083341616548</v>
      </c>
      <c r="T71" s="35" cm="1">
        <f t="array" ref="T71">SUMPRODUCT(--(T$8&lt;=Model2!$D$9:'Model2'!$CN$9),--(T$9&gt;=Model2!$D$9:'Model2'!$CN$9),Model2!$D75:'Model2'!$CN75)</f>
        <v>-152.80737508697507</v>
      </c>
      <c r="U71" s="35" cm="1">
        <f t="array" ref="U71">SUMPRODUCT(--(U$8&lt;=Model2!$D$9:'Model2'!$CN$9),--(U$9&gt;=Model2!$D$9:'Model2'!$CN$9),Model2!$D75:'Model2'!$CN75)</f>
        <v>-160.44774384132279</v>
      </c>
      <c r="V71" s="35" cm="1">
        <f t="array" ref="V71">SUMPRODUCT(--(V$8&lt;=Model2!$D$9:'Model2'!$CN$9),--(V$9&gt;=Model2!$D$9:'Model2'!$CN$9),Model2!$D75:'Model2'!$CN75)</f>
        <v>-168.47013103338986</v>
      </c>
      <c r="W71" s="35" cm="1">
        <f t="array" ref="W71">SUMPRODUCT(--(W$8&lt;=Model2!$D$9:'Model2'!$CN$9),--(W$9&gt;=Model2!$D$9:'Model2'!$CN$9),Model2!$D75:'Model2'!$CN75)</f>
        <v>-176.89363758505897</v>
      </c>
      <c r="X71" s="35" cm="1">
        <f t="array" ref="X71">SUMPRODUCT(--(X$8&lt;=Model2!$D$9:'Model2'!$CN$9),--(X$9&gt;=Model2!$D$9:'Model2'!$CN$9),Model2!$D75:'Model2'!$CN75)</f>
        <v>-185.73831946431164</v>
      </c>
      <c r="Y71" s="35" cm="1">
        <f t="array" ref="Y71">SUMPRODUCT(--(Y$8&lt;=Model2!$D$9:'Model2'!$CN$9),--(Y$9&gt;=Model2!$D$9:'Model2'!$CN$9),Model2!$D75:'Model2'!$CN75)</f>
        <v>-195.02523543752704</v>
      </c>
      <c r="Z71" s="35" cm="1">
        <f t="array" ref="Z71">SUMPRODUCT(--(Z$8&lt;=Model2!$D$9:'Model2'!$CN$9),--(Z$9&gt;=Model2!$D$9:'Model2'!$CN$9),Model2!$D75:'Model2'!$CN75)</f>
        <v>-204.77649720940371</v>
      </c>
      <c r="AA71" s="35"/>
    </row>
    <row r="72" spans="1:27" ht="12.75" customHeight="1">
      <c r="A72" s="35"/>
      <c r="B72" s="87" t="s">
        <v>172</v>
      </c>
      <c r="C72" s="35">
        <f t="shared" si="13"/>
        <v>5946.6574948868947</v>
      </c>
      <c r="D72" s="60">
        <f>Model2!D76</f>
        <v>0</v>
      </c>
      <c r="E72" s="35" cm="1">
        <f t="array" ref="E72">SUMPRODUCT(--(E$8&lt;=Model2!$D$9:'Model2'!$CN$9),--(E$9&gt;=Model2!$D$9:'Model2'!$CN$9),Model2!$D76:'Model2'!$CN76)</f>
        <v>0</v>
      </c>
      <c r="F72" s="35" cm="1">
        <f t="array" ref="F72">SUMPRODUCT(--(F$8&lt;=Model2!$D$9:'Model2'!$CN$9),--(F$9&gt;=Model2!$D$9:'Model2'!$CN$9),Model2!$D76:'Model2'!$CN76)</f>
        <v>0</v>
      </c>
      <c r="G72" s="35" cm="1">
        <f t="array" ref="G72">SUMPRODUCT(--(G$8&lt;=Model2!$D$9:'Model2'!$CN$9),--(G$9&gt;=Model2!$D$9:'Model2'!$CN$9),Model2!$D76:'Model2'!$CN76)</f>
        <v>0</v>
      </c>
      <c r="H72" s="35" cm="1">
        <f t="array" ref="H72">SUMPRODUCT(--(H$8&lt;=Model2!$D$9:'Model2'!$CN$9),--(H$9&gt;=Model2!$D$9:'Model2'!$CN$9),Model2!$D76:'Model2'!$CN76)</f>
        <v>0</v>
      </c>
      <c r="I72" s="35" cm="1">
        <f t="array" ref="I72">SUMPRODUCT(--(I$8&lt;=Model2!$D$9:'Model2'!$CN$9),--(I$9&gt;=Model2!$D$9:'Model2'!$CN$9),Model2!$D76:'Model2'!$CN76)</f>
        <v>5035.5934496953305</v>
      </c>
      <c r="J72" s="35" cm="1">
        <f t="array" ref="J72">SUMPRODUCT(--(J$8&lt;=Model2!$D$9:'Model2'!$CN$9),--(J$9&gt;=Model2!$D$9:'Model2'!$CN$9),Model2!$D76:'Model2'!$CN76)</f>
        <v>81.978753664192936</v>
      </c>
      <c r="K72" s="35" cm="1">
        <f t="array" ref="K72">SUMPRODUCT(--(K$8&lt;=Model2!$D$9:'Model2'!$CN$9),--(K$9&gt;=Model2!$D$9:'Model2'!$CN$9),Model2!$D76:'Model2'!$CN76)</f>
        <v>-12.480297541046639</v>
      </c>
      <c r="L72" s="35" cm="1">
        <f t="array" ref="L72">SUMPRODUCT(--(L$8&lt;=Model2!$D$9:'Model2'!$CN$9),--(L$9&gt;=Model2!$D$9:'Model2'!$CN$9),Model2!$D76:'Model2'!$CN76)</f>
        <v>4.1174285105257695</v>
      </c>
      <c r="M72" s="35" cm="1">
        <f t="array" ref="M72">SUMPRODUCT(--(M$8&lt;=Model2!$D$9:'Model2'!$CN$9),--(M$9&gt;=Model2!$D$9:'Model2'!$CN$9),Model2!$D76:'Model2'!$CN76)</f>
        <v>141.45981883998093</v>
      </c>
      <c r="N72" s="35" cm="1">
        <f t="array" ref="N72">SUMPRODUCT(--(N$8&lt;=Model2!$D$9:'Model2'!$CN$9),--(N$9&gt;=Model2!$D$9:'Model2'!$CN$9),Model2!$D76:'Model2'!$CN76)</f>
        <v>4.5394649328527521</v>
      </c>
      <c r="O72" s="35" cm="1">
        <f t="array" ref="O72">SUMPRODUCT(--(O$8&lt;=Model2!$D$9:'Model2'!$CN$9),--(O$9&gt;=Model2!$D$9:'Model2'!$CN$9),Model2!$D76:'Model2'!$CN76)</f>
        <v>4.7664381794961628</v>
      </c>
      <c r="P72" s="35" cm="1">
        <f t="array" ref="P72">SUMPRODUCT(--(P$8&lt;=Model2!$D$9:'Model2'!$CN$9),--(P$9&gt;=Model2!$D$9:'Model2'!$CN$9),Model2!$D76:'Model2'!$CN76)</f>
        <v>5.0047600884731764</v>
      </c>
      <c r="Q72" s="35" cm="1">
        <f t="array" ref="Q72">SUMPRODUCT(--(Q$8&lt;=Model2!$D$9:'Model2'!$CN$9),--(Q$9&gt;=Model2!$D$9:'Model2'!$CN$9),Model2!$D76:'Model2'!$CN76)</f>
        <v>171.94529392386266</v>
      </c>
      <c r="R72" s="35" cm="1">
        <f t="array" ref="R72">SUMPRODUCT(--(R$8&lt;=Model2!$D$9:'Model2'!$CN$9),--(R$9&gt;=Model2!$D$9:'Model2'!$CN$9),Model2!$D76:'Model2'!$CN76)</f>
        <v>5.5177479975418464</v>
      </c>
      <c r="S72" s="35" cm="1">
        <f t="array" ref="S72">SUMPRODUCT(--(S$8&lt;=Model2!$D$9:'Model2'!$CN$9),--(S$9&gt;=Model2!$D$9:'Model2'!$CN$9),Model2!$D76:'Model2'!$CN76)</f>
        <v>5.7936353974164376</v>
      </c>
      <c r="T72" s="35" cm="1">
        <f t="array" ref="T72">SUMPRODUCT(--(T$8&lt;=Model2!$D$9:'Model2'!$CN$9),--(T$9&gt;=Model2!$D$9:'Model2'!$CN$9),Model2!$D76:'Model2'!$CN76)</f>
        <v>6.0833171672884419</v>
      </c>
      <c r="U72" s="35" cm="1">
        <f t="array" ref="U72">SUMPRODUCT(--(U$8&lt;=Model2!$D$9:'Model2'!$CN$9),--(U$9&gt;=Model2!$D$9:'Model2'!$CN$9),Model2!$D76:'Model2'!$CN76)</f>
        <v>209.0005794225417</v>
      </c>
      <c r="V72" s="35" cm="1">
        <f t="array" ref="V72">SUMPRODUCT(--(V$8&lt;=Model2!$D$9:'Model2'!$CN$9),--(V$9&gt;=Model2!$D$9:'Model2'!$CN$9),Model2!$D76:'Model2'!$CN76)</f>
        <v>6.7068571769368646</v>
      </c>
      <c r="W72" s="35" cm="1">
        <f t="array" ref="W72">SUMPRODUCT(--(W$8&lt;=Model2!$D$9:'Model2'!$CN$9),--(W$9&gt;=Model2!$D$9:'Model2'!$CN$9),Model2!$D76:'Model2'!$CN76)</f>
        <v>7.0422000357848447</v>
      </c>
      <c r="X72" s="35" cm="1">
        <f t="array" ref="X72">SUMPRODUCT(--(X$8&lt;=Model2!$D$9:'Model2'!$CN$9),--(X$9&gt;=Model2!$D$9:'Model2'!$CN$9),Model2!$D76:'Model2'!$CN76)</f>
        <v>7.3943100375727226</v>
      </c>
      <c r="Y72" s="35" cm="1">
        <f t="array" ref="Y72">SUMPRODUCT(--(Y$8&lt;=Model2!$D$9:'Model2'!$CN$9),--(Y$9&gt;=Model2!$D$9:'Model2'!$CN$9),Model2!$D76:'Model2'!$CN76)</f>
        <v>254.04151054172144</v>
      </c>
      <c r="Z72" s="35" cm="1">
        <f t="array" ref="Z72">SUMPRODUCT(--(Z$8&lt;=Model2!$D$9:'Model2'!$CN$9),--(Z$9&gt;=Model2!$D$9:'Model2'!$CN$9),Model2!$D76:'Model2'!$CN76)</f>
        <v>8.1522268164226261</v>
      </c>
      <c r="AA72" s="35"/>
    </row>
    <row r="73" spans="1:27" ht="12.75" customHeight="1">
      <c r="A73" s="35"/>
      <c r="B73" s="87" t="s">
        <v>173</v>
      </c>
      <c r="C73" s="35">
        <f t="shared" si="13"/>
        <v>1651.5261989797921</v>
      </c>
      <c r="D73" s="60">
        <f>Model2!D77</f>
        <v>0</v>
      </c>
      <c r="E73" s="35" cm="1">
        <f t="array" ref="E73">SUMPRODUCT(--(E$8&lt;=Model2!$D$9:'Model2'!$CN$9),--(E$9&gt;=Model2!$D$9:'Model2'!$CN$9),Model2!$D77:'Model2'!$CN77)</f>
        <v>0</v>
      </c>
      <c r="F73" s="35" cm="1">
        <f t="array" ref="F73">SUMPRODUCT(--(F$8&lt;=Model2!$D$9:'Model2'!$CN$9),--(F$9&gt;=Model2!$D$9:'Model2'!$CN$9),Model2!$D77:'Model2'!$CN77)</f>
        <v>0</v>
      </c>
      <c r="G73" s="35" cm="1">
        <f t="array" ref="G73">SUMPRODUCT(--(G$8&lt;=Model2!$D$9:'Model2'!$CN$9),--(G$9&gt;=Model2!$D$9:'Model2'!$CN$9),Model2!$D77:'Model2'!$CN77)</f>
        <v>0</v>
      </c>
      <c r="H73" s="35" cm="1">
        <f t="array" ref="H73">SUMPRODUCT(--(H$8&lt;=Model2!$D$9:'Model2'!$CN$9),--(H$9&gt;=Model2!$D$9:'Model2'!$CN$9),Model2!$D77:'Model2'!$CN77)</f>
        <v>0</v>
      </c>
      <c r="I73" s="35" cm="1">
        <f t="array" ref="I73">SUMPRODUCT(--(I$8&lt;=Model2!$D$9:'Model2'!$CN$9),--(I$9&gt;=Model2!$D$9:'Model2'!$CN$9),Model2!$D77:'Model2'!$CN77)</f>
        <v>1419.1341686013361</v>
      </c>
      <c r="J73" s="35" cm="1">
        <f t="array" ref="J73">SUMPRODUCT(--(J$8&lt;=Model2!$D$9:'Model2'!$CN$9),--(J$9&gt;=Model2!$D$9:'Model2'!$CN$9),Model2!$D77:'Model2'!$CN77)</f>
        <v>20.910943761271824</v>
      </c>
      <c r="K73" s="35" cm="1">
        <f t="array" ref="K73">SUMPRODUCT(--(K$8&lt;=Model2!$D$9:'Model2'!$CN$9),--(K$9&gt;=Model2!$D$9:'Model2'!$CN$9),Model2!$D77:'Model2'!$CN77)</f>
        <v>-3.1834443479567653</v>
      </c>
      <c r="L73" s="35" cm="1">
        <f t="array" ref="L73">SUMPRODUCT(--(L$8&lt;=Model2!$D$9:'Model2'!$CN$9),--(L$9&gt;=Model2!$D$9:'Model2'!$CN$9),Model2!$D77:'Model2'!$CN77)</f>
        <v>1.0502637839224462</v>
      </c>
      <c r="M73" s="35" cm="1">
        <f t="array" ref="M73">SUMPRODUCT(--(M$8&lt;=Model2!$D$9:'Model2'!$CN$9),--(M$9&gt;=Model2!$D$9:'Model2'!$CN$9),Model2!$D77:'Model2'!$CN77)</f>
        <v>36.08323113034146</v>
      </c>
      <c r="N73" s="35" cm="1">
        <f t="array" ref="N73">SUMPRODUCT(--(N$8&lt;=Model2!$D$9:'Model2'!$CN$9),--(N$9&gt;=Model2!$D$9:'Model2'!$CN$9),Model2!$D77:'Model2'!$CN77)</f>
        <v>1.1579158217754184</v>
      </c>
      <c r="O73" s="35" cm="1">
        <f t="array" ref="O73">SUMPRODUCT(--(O$8&lt;=Model2!$D$9:'Model2'!$CN$9),--(O$9&gt;=Model2!$D$9:'Model2'!$CN$9),Model2!$D77:'Model2'!$CN77)</f>
        <v>1.2158116128650818</v>
      </c>
      <c r="P73" s="35" cm="1">
        <f t="array" ref="P73">SUMPRODUCT(--(P$8&lt;=Model2!$D$9:'Model2'!$CN$9),--(P$9&gt;=Model2!$D$9:'Model2'!$CN$9),Model2!$D77:'Model2'!$CN77)</f>
        <v>1.2766021935069602</v>
      </c>
      <c r="Q73" s="35" cm="1">
        <f t="array" ref="Q73">SUMPRODUCT(--(Q$8&lt;=Model2!$D$9:'Model2'!$CN$9),--(Q$9&gt;=Model2!$D$9:'Model2'!$CN$9),Model2!$D77:'Model2'!$CN77)</f>
        <v>43.859392959124307</v>
      </c>
      <c r="R73" s="35" cm="1">
        <f t="array" ref="R73">SUMPRODUCT(--(R$8&lt;=Model2!$D$9:'Model2'!$CN$9),--(R$9&gt;=Model2!$D$9:'Model2'!$CN$9),Model2!$D77:'Model2'!$CN77)</f>
        <v>1.4074539183420711</v>
      </c>
      <c r="S73" s="35" cm="1">
        <f t="array" ref="S73">SUMPRODUCT(--(S$8&lt;=Model2!$D$9:'Model2'!$CN$9),--(S$9&gt;=Model2!$D$9:'Model2'!$CN$9),Model2!$D77:'Model2'!$CN77)</f>
        <v>1.4778266142582197</v>
      </c>
      <c r="T73" s="35" cm="1">
        <f t="array" ref="T73">SUMPRODUCT(--(T$8&lt;=Model2!$D$9:'Model2'!$CN$9),--(T$9&gt;=Model2!$D$9:'Model2'!$CN$9),Model2!$D77:'Model2'!$CN77)</f>
        <v>1.5517179449725518</v>
      </c>
      <c r="U73" s="35" cm="1">
        <f t="array" ref="U73">SUMPRODUCT(--(U$8&lt;=Model2!$D$9:'Model2'!$CN$9),--(U$9&gt;=Model2!$D$9:'Model2'!$CN$9),Model2!$D77:'Model2'!$CN77)</f>
        <v>53.311366263021682</v>
      </c>
      <c r="V73" s="35" cm="1">
        <f t="array" ref="V73">SUMPRODUCT(--(V$8&lt;=Model2!$D$9:'Model2'!$CN$9),--(V$9&gt;=Model2!$D$9:'Model2'!$CN$9),Model2!$D77:'Model2'!$CN77)</f>
        <v>1.710769034332543</v>
      </c>
      <c r="W73" s="35" cm="1">
        <f t="array" ref="W73">SUMPRODUCT(--(W$8&lt;=Model2!$D$9:'Model2'!$CN$9),--(W$9&gt;=Model2!$D$9:'Model2'!$CN$9),Model2!$D77:'Model2'!$CN77)</f>
        <v>1.7963074860488177</v>
      </c>
      <c r="X73" s="35" cm="1">
        <f t="array" ref="X73">SUMPRODUCT(--(X$8&lt;=Model2!$D$9:'Model2'!$CN$9),--(X$9&gt;=Model2!$D$9:'Model2'!$CN$9),Model2!$D77:'Model2'!$CN77)</f>
        <v>1.8861228603504969</v>
      </c>
      <c r="Y73" s="35" cm="1">
        <f t="array" ref="Y73">SUMPRODUCT(--(Y$8&lt;=Model2!$D$9:'Model2'!$CN$9),--(Y$9&gt;=Model2!$D$9:'Model2'!$CN$9),Model2!$D77:'Model2'!$CN77)</f>
        <v>64.800298888741736</v>
      </c>
      <c r="Z73" s="35" cm="1">
        <f t="array" ref="Z73">SUMPRODUCT(--(Z$8&lt;=Model2!$D$9:'Model2'!$CN$9),--(Z$9&gt;=Model2!$D$9:'Model2'!$CN$9),Model2!$D77:'Model2'!$CN77)</f>
        <v>2.0794504535367651</v>
      </c>
      <c r="AA73" s="35"/>
    </row>
    <row r="74" spans="1:27" ht="12.75" customHeight="1">
      <c r="A74" s="35"/>
      <c r="B74" s="63" t="s">
        <v>164</v>
      </c>
      <c r="C74" s="35">
        <f t="shared" si="13"/>
        <v>-729685.76744836336</v>
      </c>
      <c r="D74" s="60">
        <f>Model2!D78</f>
        <v>0</v>
      </c>
      <c r="E74" s="35" cm="1">
        <f t="array" ref="E74">SUMPRODUCT(--(E$8&lt;=Model2!$D$9:'Model2'!$CN$9),--(E$9&gt;=Model2!$D$9:'Model2'!$CN$9),Model2!$D78:'Model2'!$CN78)</f>
        <v>0</v>
      </c>
      <c r="F74" s="35" cm="1">
        <f t="array" ref="F74">SUMPRODUCT(--(F$8&lt;=Model2!$D$9:'Model2'!$CN$9),--(F$9&gt;=Model2!$D$9:'Model2'!$CN$9),Model2!$D78:'Model2'!$CN78)</f>
        <v>0</v>
      </c>
      <c r="G74" s="35" cm="1">
        <f t="array" ref="G74">SUMPRODUCT(--(G$8&lt;=Model2!$D$9:'Model2'!$CN$9),--(G$9&gt;=Model2!$D$9:'Model2'!$CN$9),Model2!$D78:'Model2'!$CN78)</f>
        <v>0</v>
      </c>
      <c r="H74" s="35" cm="1">
        <f t="array" ref="H74">SUMPRODUCT(--(H$8&lt;=Model2!$D$9:'Model2'!$CN$9),--(H$9&gt;=Model2!$D$9:'Model2'!$CN$9),Model2!$D78:'Model2'!$CN78)</f>
        <v>0</v>
      </c>
      <c r="I74" s="35" cm="1">
        <f t="array" ref="I74">SUMPRODUCT(--(I$8&lt;=Model2!$D$9:'Model2'!$CN$9),--(I$9&gt;=Model2!$D$9:'Model2'!$CN$9),Model2!$D78:'Model2'!$CN78)</f>
        <v>0</v>
      </c>
      <c r="J74" s="35" cm="1">
        <f t="array" ref="J74">SUMPRODUCT(--(J$8&lt;=Model2!$D$9:'Model2'!$CN$9),--(J$9&gt;=Model2!$D$9:'Model2'!$CN$9),Model2!$D78:'Model2'!$CN78)</f>
        <v>-12865.781141063824</v>
      </c>
      <c r="K74" s="35" cm="1">
        <f t="array" ref="K74">SUMPRODUCT(--(K$8&lt;=Model2!$D$9:'Model2'!$CN$9),--(K$9&gt;=Model2!$D$9:'Model2'!$CN$9),Model2!$D78:'Model2'!$CN78)</f>
        <v>-19787.539712865724</v>
      </c>
      <c r="L74" s="35" cm="1">
        <f t="array" ref="L74">SUMPRODUCT(--(L$8&lt;=Model2!$D$9:'Model2'!$CN$9),--(L$9&gt;=Model2!$D$9:'Model2'!$CN$9),Model2!$D78:'Model2'!$CN78)</f>
        <v>-22207.806657130284</v>
      </c>
      <c r="M74" s="35" cm="1">
        <f t="array" ref="M74">SUMPRODUCT(--(M$8&lt;=Model2!$D$9:'Model2'!$CN$9),--(M$9&gt;=Model2!$D$9:'Model2'!$CN$9),Model2!$D78:'Model2'!$CN78)</f>
        <v>-24883.193091159927</v>
      </c>
      <c r="N74" s="35" cm="1">
        <f t="array" ref="N74">SUMPRODUCT(--(N$8&lt;=Model2!$D$9:'Model2'!$CN$9),--(N$9&gt;=Model2!$D$9:'Model2'!$CN$9),Model2!$D78:'Model2'!$CN78)</f>
        <v>-27783.487339500636</v>
      </c>
      <c r="O74" s="35" cm="1">
        <f t="array" ref="O74">SUMPRODUCT(--(O$8&lt;=Model2!$D$9:'Model2'!$CN$9),--(O$9&gt;=Model2!$D$9:'Model2'!$CN$9),Model2!$D78:'Model2'!$CN78)</f>
        <v>-30575.433385751196</v>
      </c>
      <c r="P74" s="35" cm="1">
        <f t="array" ref="P74">SUMPRODUCT(--(P$8&lt;=Model2!$D$9:'Model2'!$CN$9),--(P$9&gt;=Model2!$D$9:'Model2'!$CN$9),Model2!$D78:'Model2'!$CN78)</f>
        <v>-32436.887193568826</v>
      </c>
      <c r="Q74" s="35" cm="1">
        <f t="array" ref="Q74">SUMPRODUCT(--(Q$8&lt;=Model2!$D$9:'Model2'!$CN$9),--(Q$9&gt;=Model2!$D$9:'Model2'!$CN$9),Model2!$D78:'Model2'!$CN78)</f>
        <v>-37805.904513945519</v>
      </c>
      <c r="R74" s="35" cm="1">
        <f t="array" ref="R74">SUMPRODUCT(--(R$8&lt;=Model2!$D$9:'Model2'!$CN$9),--(R$9&gt;=Model2!$D$9:'Model2'!$CN$9),Model2!$D78:'Model2'!$CN78)</f>
        <v>-46550.900437750111</v>
      </c>
      <c r="S74" s="35" cm="1">
        <f t="array" ref="S74">SUMPRODUCT(--(S$8&lt;=Model2!$D$9:'Model2'!$CN$9),--(S$9&gt;=Model2!$D$9:'Model2'!$CN$9),Model2!$D78:'Model2'!$CN78)</f>
        <v>-49076.890594710305</v>
      </c>
      <c r="T74" s="35" cm="1">
        <f t="array" ref="T74">SUMPRODUCT(--(T$8&lt;=Model2!$D$9:'Model2'!$CN$9),--(T$9&gt;=Model2!$D$9:'Model2'!$CN$9),Model2!$D78:'Model2'!$CN78)</f>
        <v>-51729.1802595185</v>
      </c>
      <c r="U74" s="35" cm="1">
        <f t="array" ref="U74">SUMPRODUCT(--(U$8&lt;=Model2!$D$9:'Model2'!$CN$9),--(U$9&gt;=Model2!$D$9:'Model2'!$CN$9),Model2!$D78:'Model2'!$CN78)</f>
        <v>-54514.084407567105</v>
      </c>
      <c r="V74" s="35" cm="1">
        <f t="array" ref="V74">SUMPRODUCT(--(V$8&lt;=Model2!$D$9:'Model2'!$CN$9),--(V$9&gt;=Model2!$D$9:'Model2'!$CN$9),Model2!$D78:'Model2'!$CN78)</f>
        <v>-57438.233763018114</v>
      </c>
      <c r="W74" s="35" cm="1">
        <f t="array" ref="W74">SUMPRODUCT(--(W$8&lt;=Model2!$D$9:'Model2'!$CN$9),--(W$9&gt;=Model2!$D$9:'Model2'!$CN$9),Model2!$D78:'Model2'!$CN78)</f>
        <v>-60508.590586241713</v>
      </c>
      <c r="X74" s="35" cm="1">
        <f t="array" ref="X74">SUMPRODUCT(--(X$8&lt;=Model2!$D$9:'Model2'!$CN$9),--(X$9&gt;=Model2!$D$9:'Model2'!$CN$9),Model2!$D78:'Model2'!$CN78)</f>
        <v>-63732.465250626461</v>
      </c>
      <c r="Y74" s="35" cm="1">
        <f t="array" ref="Y74">SUMPRODUCT(--(Y$8&lt;=Model2!$D$9:'Model2'!$CN$9),--(Y$9&gt;=Model2!$D$9:'Model2'!$CN$9),Model2!$D78:'Model2'!$CN78)</f>
        <v>-67117.53364823047</v>
      </c>
      <c r="Z74" s="35" cm="1">
        <f t="array" ref="Z74">SUMPRODUCT(--(Z$8&lt;=Model2!$D$9:'Model2'!$CN$9),--(Z$9&gt;=Model2!$D$9:'Model2'!$CN$9),Model2!$D78:'Model2'!$CN78)</f>
        <v>-70671.855465714674</v>
      </c>
      <c r="AA74" s="35"/>
    </row>
    <row r="75" spans="1:27" ht="12.75" customHeight="1">
      <c r="A75" s="35"/>
      <c r="B75" s="63" t="s">
        <v>174</v>
      </c>
      <c r="C75" s="35">
        <f t="shared" si="13"/>
        <v>1433476.8546190092</v>
      </c>
      <c r="D75" s="60">
        <f>Model2!D79</f>
        <v>0</v>
      </c>
      <c r="E75" s="35" cm="1">
        <f t="array" ref="E75">SUMPRODUCT(--(E$8&lt;=Model2!$D$9:'Model2'!$CN$9),--(E$9&gt;=Model2!$D$9:'Model2'!$CN$9),Model2!$D79:'Model2'!$CN79)</f>
        <v>0</v>
      </c>
      <c r="F75" s="35" cm="1">
        <f t="array" ref="F75">SUMPRODUCT(--(F$8&lt;=Model2!$D$9:'Model2'!$CN$9),--(F$9&gt;=Model2!$D$9:'Model2'!$CN$9),Model2!$D79:'Model2'!$CN79)</f>
        <v>0</v>
      </c>
      <c r="G75" s="35" cm="1">
        <f t="array" ref="G75">SUMPRODUCT(--(G$8&lt;=Model2!$D$9:'Model2'!$CN$9),--(G$9&gt;=Model2!$D$9:'Model2'!$CN$9),Model2!$D79:'Model2'!$CN79)</f>
        <v>0</v>
      </c>
      <c r="H75" s="35" cm="1">
        <f t="array" ref="H75">SUMPRODUCT(--(H$8&lt;=Model2!$D$9:'Model2'!$CN$9),--(H$9&gt;=Model2!$D$9:'Model2'!$CN$9),Model2!$D79:'Model2'!$CN79)</f>
        <v>0</v>
      </c>
      <c r="I75" s="35" cm="1">
        <f t="array" ref="I75">SUMPRODUCT(--(I$8&lt;=Model2!$D$9:'Model2'!$CN$9),--(I$9&gt;=Model2!$D$9:'Model2'!$CN$9),Model2!$D79:'Model2'!$CN79)</f>
        <v>16724.258745922743</v>
      </c>
      <c r="J75" s="35" cm="1">
        <f t="array" ref="J75">SUMPRODUCT(--(J$8&lt;=Model2!$D$9:'Model2'!$CN$9),--(J$9&gt;=Model2!$D$9:'Model2'!$CN$9),Model2!$D79:'Model2'!$CN79)</f>
        <v>54603.102680809272</v>
      </c>
      <c r="K75" s="35" cm="1">
        <f t="array" ref="K75">SUMPRODUCT(--(K$8&lt;=Model2!$D$9:'Model2'!$CN$9),--(K$9&gt;=Model2!$D$9:'Model2'!$CN$9),Model2!$D79:'Model2'!$CN79)</f>
        <v>57681.169798550072</v>
      </c>
      <c r="L75" s="35" cm="1">
        <f t="array" ref="L75">SUMPRODUCT(--(L$8&lt;=Model2!$D$9:'Model2'!$CN$9),--(L$9&gt;=Model2!$D$9:'Model2'!$CN$9),Model2!$D79:'Model2'!$CN79)</f>
        <v>60452.046219860888</v>
      </c>
      <c r="M75" s="35" cm="1">
        <f t="array" ref="M75">SUMPRODUCT(--(M$8&lt;=Model2!$D$9:'Model2'!$CN$9),--(M$9&gt;=Model2!$D$9:'Model2'!$CN$9),Model2!$D79:'Model2'!$CN79)</f>
        <v>63474.648530853934</v>
      </c>
      <c r="N75" s="35" cm="1">
        <f t="array" ref="N75">SUMPRODUCT(--(N$8&lt;=Model2!$D$9:'Model2'!$CN$9),--(N$9&gt;=Model2!$D$9:'Model2'!$CN$9),Model2!$D79:'Model2'!$CN79)</f>
        <v>66648.380957396614</v>
      </c>
      <c r="O75" s="35" cm="1">
        <f t="array" ref="O75">SUMPRODUCT(--(O$8&lt;=Model2!$D$9:'Model2'!$CN$9),--(O$9&gt;=Model2!$D$9:'Model2'!$CN$9),Model2!$D79:'Model2'!$CN79)</f>
        <v>69980.800005266457</v>
      </c>
      <c r="P75" s="35" cm="1">
        <f t="array" ref="P75">SUMPRODUCT(--(P$8&lt;=Model2!$D$9:'Model2'!$CN$9),--(P$9&gt;=Model2!$D$9:'Model2'!$CN$9),Model2!$D79:'Model2'!$CN79)</f>
        <v>73479.840005529783</v>
      </c>
      <c r="Q75" s="35" cm="1">
        <f t="array" ref="Q75">SUMPRODUCT(--(Q$8&lt;=Model2!$D$9:'Model2'!$CN$9),--(Q$9&gt;=Model2!$D$9:'Model2'!$CN$9),Model2!$D79:'Model2'!$CN79)</f>
        <v>77153.832005806267</v>
      </c>
      <c r="R75" s="35" cm="1">
        <f t="array" ref="R75">SUMPRODUCT(--(R$8&lt;=Model2!$D$9:'Model2'!$CN$9),--(R$9&gt;=Model2!$D$9:'Model2'!$CN$9),Model2!$D79:'Model2'!$CN79)</f>
        <v>81011.523606096584</v>
      </c>
      <c r="S75" s="35" cm="1">
        <f t="array" ref="S75">SUMPRODUCT(--(S$8&lt;=Model2!$D$9:'Model2'!$CN$9),--(S$9&gt;=Model2!$D$9:'Model2'!$CN$9),Model2!$D79:'Model2'!$CN79)</f>
        <v>85062.099786401435</v>
      </c>
      <c r="T75" s="35" cm="1">
        <f t="array" ref="T75">SUMPRODUCT(--(T$8&lt;=Model2!$D$9:'Model2'!$CN$9),--(T$9&gt;=Model2!$D$9:'Model2'!$CN$9),Model2!$D79:'Model2'!$CN79)</f>
        <v>89315.204775721504</v>
      </c>
      <c r="U75" s="35" cm="1">
        <f t="array" ref="U75">SUMPRODUCT(--(U$8&lt;=Model2!$D$9:'Model2'!$CN$9),--(U$9&gt;=Model2!$D$9:'Model2'!$CN$9),Model2!$D79:'Model2'!$CN79)</f>
        <v>93780.965014507601</v>
      </c>
      <c r="V75" s="35" cm="1">
        <f t="array" ref="V75">SUMPRODUCT(--(V$8&lt;=Model2!$D$9:'Model2'!$CN$9),--(V$9&gt;=Model2!$D$9:'Model2'!$CN$9),Model2!$D79:'Model2'!$CN79)</f>
        <v>98470.013265232963</v>
      </c>
      <c r="W75" s="35" cm="1">
        <f t="array" ref="W75">SUMPRODUCT(--(W$8&lt;=Model2!$D$9:'Model2'!$CN$9),--(W$9&gt;=Model2!$D$9:'Model2'!$CN$9),Model2!$D79:'Model2'!$CN79)</f>
        <v>103393.51392849463</v>
      </c>
      <c r="X75" s="35" cm="1">
        <f t="array" ref="X75">SUMPRODUCT(--(X$8&lt;=Model2!$D$9:'Model2'!$CN$9),--(X$9&gt;=Model2!$D$9:'Model2'!$CN$9),Model2!$D79:'Model2'!$CN79)</f>
        <v>108563.18962491935</v>
      </c>
      <c r="Y75" s="35" cm="1">
        <f t="array" ref="Y75">SUMPRODUCT(--(Y$8&lt;=Model2!$D$9:'Model2'!$CN$9),--(Y$9&gt;=Model2!$D$9:'Model2'!$CN$9),Model2!$D79:'Model2'!$CN79)</f>
        <v>113991.34910616532</v>
      </c>
      <c r="Z75" s="35" cm="1">
        <f t="array" ref="Z75">SUMPRODUCT(--(Z$8&lt;=Model2!$D$9:'Model2'!$CN$9),--(Z$9&gt;=Model2!$D$9:'Model2'!$CN$9),Model2!$D79:'Model2'!$CN79)</f>
        <v>119690.9165614736</v>
      </c>
      <c r="AA75" s="35"/>
    </row>
    <row r="76" spans="1:27" ht="12.75" customHeight="1">
      <c r="A76" s="88"/>
      <c r="B76" s="89" t="s">
        <v>175</v>
      </c>
      <c r="C76" s="88">
        <f t="shared" si="13"/>
        <v>-1433476.8546190092</v>
      </c>
      <c r="D76" s="60">
        <f>Model2!D80</f>
        <v>0</v>
      </c>
      <c r="E76" s="88" cm="1">
        <f t="array" ref="E76">SUMPRODUCT(--(E$8&lt;=Model2!$D$9:'Model2'!$CN$9),--(E$9&gt;=Model2!$D$9:'Model2'!$CN$9),Model2!$D80:'Model2'!$CN80)</f>
        <v>0</v>
      </c>
      <c r="F76" s="88" cm="1">
        <f t="array" ref="F76">SUMPRODUCT(--(F$8&lt;=Model2!$D$9:'Model2'!$CN$9),--(F$9&gt;=Model2!$D$9:'Model2'!$CN$9),Model2!$D80:'Model2'!$CN80)</f>
        <v>0</v>
      </c>
      <c r="G76" s="88" cm="1">
        <f t="array" ref="G76">SUMPRODUCT(--(G$8&lt;=Model2!$D$9:'Model2'!$CN$9),--(G$9&gt;=Model2!$D$9:'Model2'!$CN$9),Model2!$D80:'Model2'!$CN80)</f>
        <v>0</v>
      </c>
      <c r="H76" s="88" cm="1">
        <f t="array" ref="H76">SUMPRODUCT(--(H$8&lt;=Model2!$D$9:'Model2'!$CN$9),--(H$9&gt;=Model2!$D$9:'Model2'!$CN$9),Model2!$D80:'Model2'!$CN80)</f>
        <v>0</v>
      </c>
      <c r="I76" s="88" cm="1">
        <f t="array" ref="I76">SUMPRODUCT(--(I$8&lt;=Model2!$D$9:'Model2'!$CN$9),--(I$9&gt;=Model2!$D$9:'Model2'!$CN$9),Model2!$D80:'Model2'!$CN80)</f>
        <v>-16724.258745922747</v>
      </c>
      <c r="J76" s="88" cm="1">
        <f t="array" ref="J76">SUMPRODUCT(--(J$8&lt;=Model2!$D$9:'Model2'!$CN$9),--(J$9&gt;=Model2!$D$9:'Model2'!$CN$9),Model2!$D80:'Model2'!$CN80)</f>
        <v>-54603.102680809272</v>
      </c>
      <c r="K76" s="88" cm="1">
        <f t="array" ref="K76">SUMPRODUCT(--(K$8&lt;=Model2!$D$9:'Model2'!$CN$9),--(K$9&gt;=Model2!$D$9:'Model2'!$CN$9),Model2!$D80:'Model2'!$CN80)</f>
        <v>-57681.169798550072</v>
      </c>
      <c r="L76" s="88" cm="1">
        <f t="array" ref="L76">SUMPRODUCT(--(L$8&lt;=Model2!$D$9:'Model2'!$CN$9),--(L$9&gt;=Model2!$D$9:'Model2'!$CN$9),Model2!$D80:'Model2'!$CN80)</f>
        <v>-60452.046219860888</v>
      </c>
      <c r="M76" s="88" cm="1">
        <f t="array" ref="M76">SUMPRODUCT(--(M$8&lt;=Model2!$D$9:'Model2'!$CN$9),--(M$9&gt;=Model2!$D$9:'Model2'!$CN$9),Model2!$D80:'Model2'!$CN80)</f>
        <v>-63474.648530853934</v>
      </c>
      <c r="N76" s="88" cm="1">
        <f t="array" ref="N76">SUMPRODUCT(--(N$8&lt;=Model2!$D$9:'Model2'!$CN$9),--(N$9&gt;=Model2!$D$9:'Model2'!$CN$9),Model2!$D80:'Model2'!$CN80)</f>
        <v>-66648.380957396614</v>
      </c>
      <c r="O76" s="88" cm="1">
        <f t="array" ref="O76">SUMPRODUCT(--(O$8&lt;=Model2!$D$9:'Model2'!$CN$9),--(O$9&gt;=Model2!$D$9:'Model2'!$CN$9),Model2!$D80:'Model2'!$CN80)</f>
        <v>-69980.800005266457</v>
      </c>
      <c r="P76" s="88" cm="1">
        <f t="array" ref="P76">SUMPRODUCT(--(P$8&lt;=Model2!$D$9:'Model2'!$CN$9),--(P$9&gt;=Model2!$D$9:'Model2'!$CN$9),Model2!$D80:'Model2'!$CN80)</f>
        <v>-73479.840005529783</v>
      </c>
      <c r="Q76" s="88" cm="1">
        <f t="array" ref="Q76">SUMPRODUCT(--(Q$8&lt;=Model2!$D$9:'Model2'!$CN$9),--(Q$9&gt;=Model2!$D$9:'Model2'!$CN$9),Model2!$D80:'Model2'!$CN80)</f>
        <v>-77153.832005806267</v>
      </c>
      <c r="R76" s="88" cm="1">
        <f t="array" ref="R76">SUMPRODUCT(--(R$8&lt;=Model2!$D$9:'Model2'!$CN$9),--(R$9&gt;=Model2!$D$9:'Model2'!$CN$9),Model2!$D80:'Model2'!$CN80)</f>
        <v>-81011.523606096584</v>
      </c>
      <c r="S76" s="88" cm="1">
        <f t="array" ref="S76">SUMPRODUCT(--(S$8&lt;=Model2!$D$9:'Model2'!$CN$9),--(S$9&gt;=Model2!$D$9:'Model2'!$CN$9),Model2!$D80:'Model2'!$CN80)</f>
        <v>-85062.099786401435</v>
      </c>
      <c r="T76" s="88" cm="1">
        <f t="array" ref="T76">SUMPRODUCT(--(T$8&lt;=Model2!$D$9:'Model2'!$CN$9),--(T$9&gt;=Model2!$D$9:'Model2'!$CN$9),Model2!$D80:'Model2'!$CN80)</f>
        <v>-89315.204775721504</v>
      </c>
      <c r="U76" s="88" cm="1">
        <f t="array" ref="U76">SUMPRODUCT(--(U$8&lt;=Model2!$D$9:'Model2'!$CN$9),--(U$9&gt;=Model2!$D$9:'Model2'!$CN$9),Model2!$D80:'Model2'!$CN80)</f>
        <v>-93780.965014507601</v>
      </c>
      <c r="V76" s="88" cm="1">
        <f t="array" ref="V76">SUMPRODUCT(--(V$8&lt;=Model2!$D$9:'Model2'!$CN$9),--(V$9&gt;=Model2!$D$9:'Model2'!$CN$9),Model2!$D80:'Model2'!$CN80)</f>
        <v>-98470.013265232963</v>
      </c>
      <c r="W76" s="88" cm="1">
        <f t="array" ref="W76">SUMPRODUCT(--(W$8&lt;=Model2!$D$9:'Model2'!$CN$9),--(W$9&gt;=Model2!$D$9:'Model2'!$CN$9),Model2!$D80:'Model2'!$CN80)</f>
        <v>-103393.51392849463</v>
      </c>
      <c r="X76" s="88" cm="1">
        <f t="array" ref="X76">SUMPRODUCT(--(X$8&lt;=Model2!$D$9:'Model2'!$CN$9),--(X$9&gt;=Model2!$D$9:'Model2'!$CN$9),Model2!$D80:'Model2'!$CN80)</f>
        <v>-108563.18962491935</v>
      </c>
      <c r="Y76" s="88" cm="1">
        <f t="array" ref="Y76">SUMPRODUCT(--(Y$8&lt;=Model2!$D$9:'Model2'!$CN$9),--(Y$9&gt;=Model2!$D$9:'Model2'!$CN$9),Model2!$D80:'Model2'!$CN80)</f>
        <v>-113991.34910616532</v>
      </c>
      <c r="Z76" s="88" cm="1">
        <f t="array" ref="Z76">SUMPRODUCT(--(Z$8&lt;=Model2!$D$9:'Model2'!$CN$9),--(Z$9&gt;=Model2!$D$9:'Model2'!$CN$9),Model2!$D80:'Model2'!$CN80)</f>
        <v>-119690.9165614736</v>
      </c>
      <c r="AA76" s="88"/>
    </row>
    <row r="77" spans="1:27" ht="12.75" customHeight="1">
      <c r="A77" s="37"/>
      <c r="B77" s="70" t="s">
        <v>176</v>
      </c>
      <c r="C77" s="70">
        <f>SUM(D77:Z77)</f>
        <v>3410302.6914108852</v>
      </c>
      <c r="D77" s="71">
        <f>Model2!D81</f>
        <v>0</v>
      </c>
      <c r="E77" s="70" cm="1">
        <f t="array" ref="E77">SUMPRODUCT(--(E$8&lt;=Model2!$D$9:'Model2'!$CN$9),--(E$9&gt;=Model2!$D$9:'Model2'!$CN$9),Model2!$D81:'Model2'!$CN81)</f>
        <v>-1200</v>
      </c>
      <c r="F77" s="70" cm="1">
        <f t="array" ref="F77">SUMPRODUCT(--(F$8&lt;=Model2!$D$9:'Model2'!$CN$9),--(F$9&gt;=Model2!$D$9:'Model2'!$CN$9),Model2!$D81:'Model2'!$CN81)</f>
        <v>-1200</v>
      </c>
      <c r="G77" s="70" cm="1">
        <f t="array" ref="G77">SUMPRODUCT(--(G$8&lt;=Model2!$D$9:'Model2'!$CN$9),--(G$9&gt;=Model2!$D$9:'Model2'!$CN$9),Model2!$D81:'Model2'!$CN81)</f>
        <v>-1200</v>
      </c>
      <c r="H77" s="70" cm="1">
        <f t="array" ref="H77">SUMPRODUCT(--(H$8&lt;=Model2!$D$9:'Model2'!$CN$9),--(H$9&gt;=Model2!$D$9:'Model2'!$CN$9),Model2!$D81:'Model2'!$CN81)</f>
        <v>-1200</v>
      </c>
      <c r="I77" s="70" cm="1">
        <f t="array" ref="I77">SUMPRODUCT(--(I$8&lt;=Model2!$D$9:'Model2'!$CN$9),--(I$9&gt;=Model2!$D$9:'Model2'!$CN$9),Model2!$D81:'Model2'!$CN81)</f>
        <v>45346.493249325533</v>
      </c>
      <c r="J77" s="70" cm="1">
        <f t="array" ref="J77">SUMPRODUCT(--(J$8&lt;=Model2!$D$9:'Model2'!$CN$9),--(J$9&gt;=Model2!$D$9:'Model2'!$CN$9),Model2!$D81:'Model2'!$CN81)</f>
        <v>138967.81840573702</v>
      </c>
      <c r="K77" s="70" cm="1">
        <f t="array" ref="K77">SUMPRODUCT(--(K$8&lt;=Model2!$D$9:'Model2'!$CN$9),--(K$9&gt;=Model2!$D$9:'Model2'!$CN$9),Model2!$D81:'Model2'!$CN81)</f>
        <v>141336.30851892324</v>
      </c>
      <c r="L77" s="70" cm="1">
        <f t="array" ref="L77">SUMPRODUCT(--(L$8&lt;=Model2!$D$9:'Model2'!$CN$9),--(L$9&gt;=Model2!$D$9:'Model2'!$CN$9),Model2!$D81:'Model2'!$CN81)</f>
        <v>147538.69507050674</v>
      </c>
      <c r="M77" s="70" cm="1">
        <f t="array" ref="M77">SUMPRODUCT(--(M$8&lt;=Model2!$D$9:'Model2'!$CN$9),--(M$9&gt;=Model2!$D$9:'Model2'!$CN$9),Model2!$D81:'Model2'!$CN81)</f>
        <v>154454.97637128347</v>
      </c>
      <c r="N77" s="70" cm="1">
        <f t="array" ref="N77">SUMPRODUCT(--(N$8&lt;=Model2!$D$9:'Model2'!$CN$9),--(N$9&gt;=Model2!$D$9:'Model2'!$CN$9),Model2!$D81:'Model2'!$CN81)</f>
        <v>161273.09344971401</v>
      </c>
      <c r="O77" s="70" cm="1">
        <f t="array" ref="O77">SUMPRODUCT(--(O$8&lt;=Model2!$D$9:'Model2'!$CN$9),--(O$9&gt;=Model2!$D$9:'Model2'!$CN$9),Model2!$D81:'Model2'!$CN81)</f>
        <v>168866.20211828762</v>
      </c>
      <c r="P77" s="70" cm="1">
        <f t="array" ref="P77">SUMPRODUCT(--(P$8&lt;=Model2!$D$9:'Model2'!$CN$9),--(P$9&gt;=Model2!$D$9:'Model2'!$CN$9),Model2!$D81:'Model2'!$CN81)</f>
        <v>177909.0557610353</v>
      </c>
      <c r="Q77" s="70" cm="1">
        <f t="array" ref="Q77">SUMPRODUCT(--(Q$8&lt;=Model2!$D$9:'Model2'!$CN$9),--(Q$9&gt;=Model2!$D$9:'Model2'!$CN$9),Model2!$D81:'Model2'!$CN81)</f>
        <v>184198.77052023908</v>
      </c>
      <c r="R77" s="70" cm="1">
        <f t="array" ref="R77">SUMPRODUCT(--(R$8&lt;=Model2!$D$9:'Model2'!$CN$9),--(R$9&gt;=Model2!$D$9:'Model2'!$CN$9),Model2!$D81:'Model2'!$CN81)</f>
        <v>187266.56430419578</v>
      </c>
      <c r="S77" s="70" cm="1">
        <f t="array" ref="S77">SUMPRODUCT(--(S$8&lt;=Model2!$D$9:'Model2'!$CN$9),--(S$9&gt;=Model2!$D$9:'Model2'!$CN$9),Model2!$D81:'Model2'!$CN81)</f>
        <v>197363.67305969633</v>
      </c>
      <c r="T77" s="70" cm="1">
        <f t="array" ref="T77">SUMPRODUCT(--(T$8&lt;=Model2!$D$9:'Model2'!$CN$9),--(T$9&gt;=Model2!$D$9:'Model2'!$CN$9),Model2!$D81:'Model2'!$CN81)</f>
        <v>207965.63725297185</v>
      </c>
      <c r="U77" s="70" cm="1">
        <f t="array" ref="U77">SUMPRODUCT(--(U$8&lt;=Model2!$D$9:'Model2'!$CN$9),--(U$9&gt;=Model2!$D$9:'Model2'!$CN$9),Model2!$D81:'Model2'!$CN81)</f>
        <v>219351.99481472885</v>
      </c>
      <c r="V77" s="70" cm="1">
        <f t="array" ref="V77">SUMPRODUCT(--(V$8&lt;=Model2!$D$9:'Model2'!$CN$9),--(V$9&gt;=Model2!$D$9:'Model2'!$CN$9),Model2!$D81:'Model2'!$CN81)</f>
        <v>230786.3651789974</v>
      </c>
      <c r="W77" s="70" cm="1">
        <f t="array" ref="W77">SUMPRODUCT(--(W$8&lt;=Model2!$D$9:'Model2'!$CN$9),--(W$9&gt;=Model2!$D$9:'Model2'!$CN$9),Model2!$D81:'Model2'!$CN81)</f>
        <v>243059.46397823808</v>
      </c>
      <c r="X77" s="70" cm="1">
        <f t="array" ref="X77">SUMPRODUCT(--(X$8&lt;=Model2!$D$9:'Model2'!$CN$9),--(X$9&gt;=Model2!$D$9:'Model2'!$CN$9),Model2!$D81:'Model2'!$CN81)</f>
        <v>255946.21771744057</v>
      </c>
      <c r="Y77" s="70" cm="1">
        <f t="array" ref="Y77">SUMPRODUCT(--(Y$8&lt;=Model2!$D$9:'Model2'!$CN$9),--(Y$9&gt;=Model2!$D$9:'Model2'!$CN$9),Model2!$D81:'Model2'!$CN81)</f>
        <v>269786.40649849101</v>
      </c>
      <c r="Z77" s="70" cm="1">
        <f t="array" ref="Z77">SUMPRODUCT(--(Z$8&lt;=Model2!$D$9:'Model2'!$CN$9),--(Z$9&gt;=Model2!$D$9:'Model2'!$CN$9),Model2!$D81:'Model2'!$CN81)</f>
        <v>283684.95514107414</v>
      </c>
      <c r="AA77" s="70"/>
    </row>
    <row r="78" spans="1:27" ht="12.75" customHeight="1">
      <c r="A78" s="35"/>
      <c r="B78" s="37" t="s">
        <v>177</v>
      </c>
      <c r="C78" s="35"/>
      <c r="D78" s="60">
        <f>Model2!D82</f>
        <v>0</v>
      </c>
      <c r="E78" s="35" cm="1">
        <f t="array" ref="E78">SUMPRODUCT(--(E$8&lt;=Model2!$D$9:'Model2'!$CN$9),--(E$9&gt;=Model2!$D$9:'Model2'!$CN$9),Model2!$D82:'Model2'!$CN82)</f>
        <v>0</v>
      </c>
      <c r="F78" s="35" cm="1">
        <f t="array" ref="F78">SUMPRODUCT(--(F$8&lt;=Model2!$D$9:'Model2'!$CN$9),--(F$9&gt;=Model2!$D$9:'Model2'!$CN$9),Model2!$D82:'Model2'!$CN82)</f>
        <v>0</v>
      </c>
      <c r="G78" s="35" cm="1">
        <f t="array" ref="G78">SUMPRODUCT(--(G$8&lt;=Model2!$D$9:'Model2'!$CN$9),--(G$9&gt;=Model2!$D$9:'Model2'!$CN$9),Model2!$D82:'Model2'!$CN82)</f>
        <v>0</v>
      </c>
      <c r="H78" s="35" cm="1">
        <f t="array" ref="H78">SUMPRODUCT(--(H$8&lt;=Model2!$D$9:'Model2'!$CN$9),--(H$9&gt;=Model2!$D$9:'Model2'!$CN$9),Model2!$D82:'Model2'!$CN82)</f>
        <v>0</v>
      </c>
      <c r="I78" s="35" cm="1">
        <f t="array" ref="I78">SUMPRODUCT(--(I$8&lt;=Model2!$D$9:'Model2'!$CN$9),--(I$9&gt;=Model2!$D$9:'Model2'!$CN$9),Model2!$D82:'Model2'!$CN82)</f>
        <v>0</v>
      </c>
      <c r="J78" s="35" cm="1">
        <f t="array" ref="J78">SUMPRODUCT(--(J$8&lt;=Model2!$D$9:'Model2'!$CN$9),--(J$9&gt;=Model2!$D$9:'Model2'!$CN$9),Model2!$D82:'Model2'!$CN82)</f>
        <v>0</v>
      </c>
      <c r="K78" s="35" cm="1">
        <f t="array" ref="K78">SUMPRODUCT(--(K$8&lt;=Model2!$D$9:'Model2'!$CN$9),--(K$9&gt;=Model2!$D$9:'Model2'!$CN$9),Model2!$D82:'Model2'!$CN82)</f>
        <v>0</v>
      </c>
      <c r="L78" s="35" cm="1">
        <f t="array" ref="L78">SUMPRODUCT(--(L$8&lt;=Model2!$D$9:'Model2'!$CN$9),--(L$9&gt;=Model2!$D$9:'Model2'!$CN$9),Model2!$D82:'Model2'!$CN82)</f>
        <v>0</v>
      </c>
      <c r="M78" s="35" cm="1">
        <f t="array" ref="M78">SUMPRODUCT(--(M$8&lt;=Model2!$D$9:'Model2'!$CN$9),--(M$9&gt;=Model2!$D$9:'Model2'!$CN$9),Model2!$D82:'Model2'!$CN82)</f>
        <v>0</v>
      </c>
      <c r="N78" s="35" cm="1">
        <f t="array" ref="N78">SUMPRODUCT(--(N$8&lt;=Model2!$D$9:'Model2'!$CN$9),--(N$9&gt;=Model2!$D$9:'Model2'!$CN$9),Model2!$D82:'Model2'!$CN82)</f>
        <v>0</v>
      </c>
      <c r="O78" s="35" cm="1">
        <f t="array" ref="O78">SUMPRODUCT(--(O$8&lt;=Model2!$D$9:'Model2'!$CN$9),--(O$9&gt;=Model2!$D$9:'Model2'!$CN$9),Model2!$D82:'Model2'!$CN82)</f>
        <v>0</v>
      </c>
      <c r="P78" s="35" cm="1">
        <f t="array" ref="P78">SUMPRODUCT(--(P$8&lt;=Model2!$D$9:'Model2'!$CN$9),--(P$9&gt;=Model2!$D$9:'Model2'!$CN$9),Model2!$D82:'Model2'!$CN82)</f>
        <v>0</v>
      </c>
      <c r="Q78" s="35" cm="1">
        <f t="array" ref="Q78">SUMPRODUCT(--(Q$8&lt;=Model2!$D$9:'Model2'!$CN$9),--(Q$9&gt;=Model2!$D$9:'Model2'!$CN$9),Model2!$D82:'Model2'!$CN82)</f>
        <v>0</v>
      </c>
      <c r="R78" s="35" cm="1">
        <f t="array" ref="R78">SUMPRODUCT(--(R$8&lt;=Model2!$D$9:'Model2'!$CN$9),--(R$9&gt;=Model2!$D$9:'Model2'!$CN$9),Model2!$D82:'Model2'!$CN82)</f>
        <v>0</v>
      </c>
      <c r="S78" s="35" cm="1">
        <f t="array" ref="S78">SUMPRODUCT(--(S$8&lt;=Model2!$D$9:'Model2'!$CN$9),--(S$9&gt;=Model2!$D$9:'Model2'!$CN$9),Model2!$D82:'Model2'!$CN82)</f>
        <v>0</v>
      </c>
      <c r="T78" s="35" cm="1">
        <f t="array" ref="T78">SUMPRODUCT(--(T$8&lt;=Model2!$D$9:'Model2'!$CN$9),--(T$9&gt;=Model2!$D$9:'Model2'!$CN$9),Model2!$D82:'Model2'!$CN82)</f>
        <v>0</v>
      </c>
      <c r="U78" s="35" cm="1">
        <f t="array" ref="U78">SUMPRODUCT(--(U$8&lt;=Model2!$D$9:'Model2'!$CN$9),--(U$9&gt;=Model2!$D$9:'Model2'!$CN$9),Model2!$D82:'Model2'!$CN82)</f>
        <v>0</v>
      </c>
      <c r="V78" s="35" cm="1">
        <f t="array" ref="V78">SUMPRODUCT(--(V$8&lt;=Model2!$D$9:'Model2'!$CN$9),--(V$9&gt;=Model2!$D$9:'Model2'!$CN$9),Model2!$D82:'Model2'!$CN82)</f>
        <v>0</v>
      </c>
      <c r="W78" s="35" cm="1">
        <f t="array" ref="W78">SUMPRODUCT(--(W$8&lt;=Model2!$D$9:'Model2'!$CN$9),--(W$9&gt;=Model2!$D$9:'Model2'!$CN$9),Model2!$D82:'Model2'!$CN82)</f>
        <v>0</v>
      </c>
      <c r="X78" s="35" cm="1">
        <f t="array" ref="X78">SUMPRODUCT(--(X$8&lt;=Model2!$D$9:'Model2'!$CN$9),--(X$9&gt;=Model2!$D$9:'Model2'!$CN$9),Model2!$D82:'Model2'!$CN82)</f>
        <v>0</v>
      </c>
      <c r="Y78" s="35" cm="1">
        <f t="array" ref="Y78">SUMPRODUCT(--(Y$8&lt;=Model2!$D$9:'Model2'!$CN$9),--(Y$9&gt;=Model2!$D$9:'Model2'!$CN$9),Model2!$D82:'Model2'!$CN82)</f>
        <v>0</v>
      </c>
      <c r="Z78" s="35" cm="1">
        <f t="array" ref="Z78">SUMPRODUCT(--(Z$8&lt;=Model2!$D$9:'Model2'!$CN$9),--(Z$9&gt;=Model2!$D$9:'Model2'!$CN$9),Model2!$D82:'Model2'!$CN82)</f>
        <v>0</v>
      </c>
      <c r="AA78" s="35"/>
    </row>
    <row r="79" spans="1:27" ht="12.75" customHeight="1">
      <c r="A79" s="35"/>
      <c r="B79" s="63" t="s">
        <v>178</v>
      </c>
      <c r="C79" s="35">
        <f t="shared" ref="C79:C81" si="14">SUM(D79:AA79)</f>
        <v>-727983.37500000012</v>
      </c>
      <c r="D79" s="60">
        <f>Model2!D83</f>
        <v>0</v>
      </c>
      <c r="E79" s="35" cm="1">
        <f t="array" ref="E79">SUMPRODUCT(--(E$8&lt;=Model2!$D$9:'Model2'!$CN$9),--(E$9&gt;=Model2!$D$9:'Model2'!$CN$9),Model2!$D83:'Model2'!$CN83)</f>
        <v>0</v>
      </c>
      <c r="F79" s="35" cm="1">
        <f t="array" ref="F79">SUMPRODUCT(--(F$8&lt;=Model2!$D$9:'Model2'!$CN$9),--(F$9&gt;=Model2!$D$9:'Model2'!$CN$9),Model2!$D83:'Model2'!$CN83)</f>
        <v>-72798.337499999994</v>
      </c>
      <c r="G79" s="35" cm="1">
        <f t="array" ref="G79">SUMPRODUCT(--(G$8&lt;=Model2!$D$9:'Model2'!$CN$9),--(G$9&gt;=Model2!$D$9:'Model2'!$CN$9),Model2!$D83:'Model2'!$CN83)</f>
        <v>-200802.0809375</v>
      </c>
      <c r="H79" s="35" cm="1">
        <f t="array" ref="H79">SUMPRODUCT(--(H$8&lt;=Model2!$D$9:'Model2'!$CN$9),--(H$9&gt;=Model2!$D$9:'Model2'!$CN$9),Model2!$D83:'Model2'!$CN83)</f>
        <v>-437760.66950000002</v>
      </c>
      <c r="I79" s="35" cm="1">
        <f t="array" ref="I79">SUMPRODUCT(--(I$8&lt;=Model2!$D$9:'Model2'!$CN$9),--(I$9&gt;=Model2!$D$9:'Model2'!$CN$9),Model2!$D83:'Model2'!$CN83)</f>
        <v>-16622.2870625</v>
      </c>
      <c r="J79" s="35" cm="1">
        <f t="array" ref="J79">SUMPRODUCT(--(J$8&lt;=Model2!$D$9:'Model2'!$CN$9),--(J$9&gt;=Model2!$D$9:'Model2'!$CN$9),Model2!$D83:'Model2'!$CN83)</f>
        <v>0</v>
      </c>
      <c r="K79" s="35" cm="1">
        <f t="array" ref="K79">SUMPRODUCT(--(K$8&lt;=Model2!$D$9:'Model2'!$CN$9),--(K$9&gt;=Model2!$D$9:'Model2'!$CN$9),Model2!$D83:'Model2'!$CN83)</f>
        <v>0</v>
      </c>
      <c r="L79" s="35" cm="1">
        <f t="array" ref="L79">SUMPRODUCT(--(L$8&lt;=Model2!$D$9:'Model2'!$CN$9),--(L$9&gt;=Model2!$D$9:'Model2'!$CN$9),Model2!$D83:'Model2'!$CN83)</f>
        <v>0</v>
      </c>
      <c r="M79" s="35" cm="1">
        <f t="array" ref="M79">SUMPRODUCT(--(M$8&lt;=Model2!$D$9:'Model2'!$CN$9),--(M$9&gt;=Model2!$D$9:'Model2'!$CN$9),Model2!$D83:'Model2'!$CN83)</f>
        <v>0</v>
      </c>
      <c r="N79" s="35" cm="1">
        <f t="array" ref="N79">SUMPRODUCT(--(N$8&lt;=Model2!$D$9:'Model2'!$CN$9),--(N$9&gt;=Model2!$D$9:'Model2'!$CN$9),Model2!$D83:'Model2'!$CN83)</f>
        <v>0</v>
      </c>
      <c r="O79" s="35" cm="1">
        <f t="array" ref="O79">SUMPRODUCT(--(O$8&lt;=Model2!$D$9:'Model2'!$CN$9),--(O$9&gt;=Model2!$D$9:'Model2'!$CN$9),Model2!$D83:'Model2'!$CN83)</f>
        <v>0</v>
      </c>
      <c r="P79" s="35" cm="1">
        <f t="array" ref="P79">SUMPRODUCT(--(P$8&lt;=Model2!$D$9:'Model2'!$CN$9),--(P$9&gt;=Model2!$D$9:'Model2'!$CN$9),Model2!$D83:'Model2'!$CN83)</f>
        <v>0</v>
      </c>
      <c r="Q79" s="35" cm="1">
        <f t="array" ref="Q79">SUMPRODUCT(--(Q$8&lt;=Model2!$D$9:'Model2'!$CN$9),--(Q$9&gt;=Model2!$D$9:'Model2'!$CN$9),Model2!$D83:'Model2'!$CN83)</f>
        <v>0</v>
      </c>
      <c r="R79" s="35" cm="1">
        <f t="array" ref="R79">SUMPRODUCT(--(R$8&lt;=Model2!$D$9:'Model2'!$CN$9),--(R$9&gt;=Model2!$D$9:'Model2'!$CN$9),Model2!$D83:'Model2'!$CN83)</f>
        <v>0</v>
      </c>
      <c r="S79" s="35" cm="1">
        <f t="array" ref="S79">SUMPRODUCT(--(S$8&lt;=Model2!$D$9:'Model2'!$CN$9),--(S$9&gt;=Model2!$D$9:'Model2'!$CN$9),Model2!$D83:'Model2'!$CN83)</f>
        <v>0</v>
      </c>
      <c r="T79" s="35" cm="1">
        <f t="array" ref="T79">SUMPRODUCT(--(T$8&lt;=Model2!$D$9:'Model2'!$CN$9),--(T$9&gt;=Model2!$D$9:'Model2'!$CN$9),Model2!$D83:'Model2'!$CN83)</f>
        <v>0</v>
      </c>
      <c r="U79" s="35" cm="1">
        <f t="array" ref="U79">SUMPRODUCT(--(U$8&lt;=Model2!$D$9:'Model2'!$CN$9),--(U$9&gt;=Model2!$D$9:'Model2'!$CN$9),Model2!$D83:'Model2'!$CN83)</f>
        <v>0</v>
      </c>
      <c r="V79" s="35" cm="1">
        <f t="array" ref="V79">SUMPRODUCT(--(V$8&lt;=Model2!$D$9:'Model2'!$CN$9),--(V$9&gt;=Model2!$D$9:'Model2'!$CN$9),Model2!$D83:'Model2'!$CN83)</f>
        <v>0</v>
      </c>
      <c r="W79" s="35" cm="1">
        <f t="array" ref="W79">SUMPRODUCT(--(W$8&lt;=Model2!$D$9:'Model2'!$CN$9),--(W$9&gt;=Model2!$D$9:'Model2'!$CN$9),Model2!$D83:'Model2'!$CN83)</f>
        <v>0</v>
      </c>
      <c r="X79" s="35" cm="1">
        <f t="array" ref="X79">SUMPRODUCT(--(X$8&lt;=Model2!$D$9:'Model2'!$CN$9),--(X$9&gt;=Model2!$D$9:'Model2'!$CN$9),Model2!$D83:'Model2'!$CN83)</f>
        <v>0</v>
      </c>
      <c r="Y79" s="35" cm="1">
        <f t="array" ref="Y79">SUMPRODUCT(--(Y$8&lt;=Model2!$D$9:'Model2'!$CN$9),--(Y$9&gt;=Model2!$D$9:'Model2'!$CN$9),Model2!$D83:'Model2'!$CN83)</f>
        <v>0</v>
      </c>
      <c r="Z79" s="35" cm="1">
        <f t="array" ref="Z79">SUMPRODUCT(--(Z$8&lt;=Model2!$D$9:'Model2'!$CN$9),--(Z$9&gt;=Model2!$D$9:'Model2'!$CN$9),Model2!$D83:'Model2'!$CN83)</f>
        <v>0</v>
      </c>
      <c r="AA79" s="35"/>
    </row>
    <row r="80" spans="1:27" ht="12.75" customHeight="1">
      <c r="A80" s="35"/>
      <c r="B80" s="63" t="s">
        <v>179</v>
      </c>
      <c r="C80" s="35">
        <f t="shared" si="14"/>
        <v>121330.5625</v>
      </c>
      <c r="D80" s="60">
        <f>Model2!D84</f>
        <v>0</v>
      </c>
      <c r="E80" s="35" cm="1">
        <f t="array" ref="E80">SUMPRODUCT(--(E$8&lt;=Model2!$D$9:'Model2'!$CN$9),--(E$9&gt;=Model2!$D$9:'Model2'!$CN$9),Model2!$D84:'Model2'!$CN84)</f>
        <v>0</v>
      </c>
      <c r="F80" s="35" cm="1">
        <f t="array" ref="F80">SUMPRODUCT(--(F$8&lt;=Model2!$D$9:'Model2'!$CN$9),--(F$9&gt;=Model2!$D$9:'Model2'!$CN$9),Model2!$D84:'Model2'!$CN84)</f>
        <v>4044.3520833333337</v>
      </c>
      <c r="G80" s="35" cm="1">
        <f t="array" ref="G80">SUMPRODUCT(--(G$8&lt;=Model2!$D$9:'Model2'!$CN$9),--(G$9&gt;=Model2!$D$9:'Model2'!$CN$9),Model2!$D84:'Model2'!$CN84)</f>
        <v>23760.568489583333</v>
      </c>
      <c r="H80" s="35" cm="1">
        <f t="array" ref="H80">SUMPRODUCT(--(H$8&lt;=Model2!$D$9:'Model2'!$CN$9),--(H$9&gt;=Model2!$D$9:'Model2'!$CN$9),Model2!$D84:'Model2'!$CN84)</f>
        <v>42566.805677083335</v>
      </c>
      <c r="I80" s="35" cm="1">
        <f t="array" ref="I80">SUMPRODUCT(--(I$8&lt;=Model2!$D$9:'Model2'!$CN$9),--(I$9&gt;=Model2!$D$9:'Model2'!$CN$9),Model2!$D84:'Model2'!$CN84)</f>
        <v>50958.83625</v>
      </c>
      <c r="J80" s="35" cm="1">
        <f t="array" ref="J80">SUMPRODUCT(--(J$8&lt;=Model2!$D$9:'Model2'!$CN$9),--(J$9&gt;=Model2!$D$9:'Model2'!$CN$9),Model2!$D84:'Model2'!$CN84)</f>
        <v>0</v>
      </c>
      <c r="K80" s="35" cm="1">
        <f t="array" ref="K80">SUMPRODUCT(--(K$8&lt;=Model2!$D$9:'Model2'!$CN$9),--(K$9&gt;=Model2!$D$9:'Model2'!$CN$9),Model2!$D84:'Model2'!$CN84)</f>
        <v>0</v>
      </c>
      <c r="L80" s="35" cm="1">
        <f t="array" ref="L80">SUMPRODUCT(--(L$8&lt;=Model2!$D$9:'Model2'!$CN$9),--(L$9&gt;=Model2!$D$9:'Model2'!$CN$9),Model2!$D84:'Model2'!$CN84)</f>
        <v>0</v>
      </c>
      <c r="M80" s="35" cm="1">
        <f t="array" ref="M80">SUMPRODUCT(--(M$8&lt;=Model2!$D$9:'Model2'!$CN$9),--(M$9&gt;=Model2!$D$9:'Model2'!$CN$9),Model2!$D84:'Model2'!$CN84)</f>
        <v>0</v>
      </c>
      <c r="N80" s="35" cm="1">
        <f t="array" ref="N80">SUMPRODUCT(--(N$8&lt;=Model2!$D$9:'Model2'!$CN$9),--(N$9&gt;=Model2!$D$9:'Model2'!$CN$9),Model2!$D84:'Model2'!$CN84)</f>
        <v>0</v>
      </c>
      <c r="O80" s="35" cm="1">
        <f t="array" ref="O80">SUMPRODUCT(--(O$8&lt;=Model2!$D$9:'Model2'!$CN$9),--(O$9&gt;=Model2!$D$9:'Model2'!$CN$9),Model2!$D84:'Model2'!$CN84)</f>
        <v>0</v>
      </c>
      <c r="P80" s="35" cm="1">
        <f t="array" ref="P80">SUMPRODUCT(--(P$8&lt;=Model2!$D$9:'Model2'!$CN$9),--(P$9&gt;=Model2!$D$9:'Model2'!$CN$9),Model2!$D84:'Model2'!$CN84)</f>
        <v>0</v>
      </c>
      <c r="Q80" s="35" cm="1">
        <f t="array" ref="Q80">SUMPRODUCT(--(Q$8&lt;=Model2!$D$9:'Model2'!$CN$9),--(Q$9&gt;=Model2!$D$9:'Model2'!$CN$9),Model2!$D84:'Model2'!$CN84)</f>
        <v>0</v>
      </c>
      <c r="R80" s="35" cm="1">
        <f t="array" ref="R80">SUMPRODUCT(--(R$8&lt;=Model2!$D$9:'Model2'!$CN$9),--(R$9&gt;=Model2!$D$9:'Model2'!$CN$9),Model2!$D84:'Model2'!$CN84)</f>
        <v>0</v>
      </c>
      <c r="S80" s="35" cm="1">
        <f t="array" ref="S80">SUMPRODUCT(--(S$8&lt;=Model2!$D$9:'Model2'!$CN$9),--(S$9&gt;=Model2!$D$9:'Model2'!$CN$9),Model2!$D84:'Model2'!$CN84)</f>
        <v>0</v>
      </c>
      <c r="T80" s="35" cm="1">
        <f t="array" ref="T80">SUMPRODUCT(--(T$8&lt;=Model2!$D$9:'Model2'!$CN$9),--(T$9&gt;=Model2!$D$9:'Model2'!$CN$9),Model2!$D84:'Model2'!$CN84)</f>
        <v>0</v>
      </c>
      <c r="U80" s="35" cm="1">
        <f t="array" ref="U80">SUMPRODUCT(--(U$8&lt;=Model2!$D$9:'Model2'!$CN$9),--(U$9&gt;=Model2!$D$9:'Model2'!$CN$9),Model2!$D84:'Model2'!$CN84)</f>
        <v>0</v>
      </c>
      <c r="V80" s="35" cm="1">
        <f t="array" ref="V80">SUMPRODUCT(--(V$8&lt;=Model2!$D$9:'Model2'!$CN$9),--(V$9&gt;=Model2!$D$9:'Model2'!$CN$9),Model2!$D84:'Model2'!$CN84)</f>
        <v>0</v>
      </c>
      <c r="W80" s="35" cm="1">
        <f t="array" ref="W80">SUMPRODUCT(--(W$8&lt;=Model2!$D$9:'Model2'!$CN$9),--(W$9&gt;=Model2!$D$9:'Model2'!$CN$9),Model2!$D84:'Model2'!$CN84)</f>
        <v>0</v>
      </c>
      <c r="X80" s="35" cm="1">
        <f t="array" ref="X80">SUMPRODUCT(--(X$8&lt;=Model2!$D$9:'Model2'!$CN$9),--(X$9&gt;=Model2!$D$9:'Model2'!$CN$9),Model2!$D84:'Model2'!$CN84)</f>
        <v>0</v>
      </c>
      <c r="Y80" s="35" cm="1">
        <f t="array" ref="Y80">SUMPRODUCT(--(Y$8&lt;=Model2!$D$9:'Model2'!$CN$9),--(Y$9&gt;=Model2!$D$9:'Model2'!$CN$9),Model2!$D84:'Model2'!$CN84)</f>
        <v>0</v>
      </c>
      <c r="Z80" s="35" cm="1">
        <f t="array" ref="Z80">SUMPRODUCT(--(Z$8&lt;=Model2!$D$9:'Model2'!$CN$9),--(Z$9&gt;=Model2!$D$9:'Model2'!$CN$9),Model2!$D84:'Model2'!$CN84)</f>
        <v>0</v>
      </c>
      <c r="AA80" s="35"/>
    </row>
    <row r="81" spans="1:27" ht="12.75" customHeight="1">
      <c r="A81" s="90"/>
      <c r="B81" s="91" t="s">
        <v>180</v>
      </c>
      <c r="C81" s="91">
        <f t="shared" si="14"/>
        <v>-606652.8125</v>
      </c>
      <c r="D81" s="71">
        <f>Model2!D85</f>
        <v>0</v>
      </c>
      <c r="E81" s="91" cm="1">
        <f t="array" ref="E81">SUMPRODUCT(--(E$8&lt;=Model2!$D$9:'Model2'!$CN$9),--(E$9&gt;=Model2!$D$9:'Model2'!$CN$9),Model2!$D85:'Model2'!$CN85)</f>
        <v>0</v>
      </c>
      <c r="F81" s="91" cm="1">
        <f t="array" ref="F81">SUMPRODUCT(--(F$8&lt;=Model2!$D$9:'Model2'!$CN$9),--(F$9&gt;=Model2!$D$9:'Model2'!$CN$9),Model2!$D85:'Model2'!$CN85)</f>
        <v>-68753.985416666663</v>
      </c>
      <c r="G81" s="91" cm="1">
        <f t="array" ref="G81">SUMPRODUCT(--(G$8&lt;=Model2!$D$9:'Model2'!$CN$9),--(G$9&gt;=Model2!$D$9:'Model2'!$CN$9),Model2!$D85:'Model2'!$CN85)</f>
        <v>-177041.51244791667</v>
      </c>
      <c r="H81" s="91" cm="1">
        <f t="array" ref="H81">SUMPRODUCT(--(H$8&lt;=Model2!$D$9:'Model2'!$CN$9),--(H$9&gt;=Model2!$D$9:'Model2'!$CN$9),Model2!$D85:'Model2'!$CN85)</f>
        <v>-395193.86382291664</v>
      </c>
      <c r="I81" s="91" cm="1">
        <f t="array" ref="I81">SUMPRODUCT(--(I$8&lt;=Model2!$D$9:'Model2'!$CN$9),--(I$9&gt;=Model2!$D$9:'Model2'!$CN$9),Model2!$D85:'Model2'!$CN85)</f>
        <v>34336.549187500001</v>
      </c>
      <c r="J81" s="91" cm="1">
        <f t="array" ref="J81">SUMPRODUCT(--(J$8&lt;=Model2!$D$9:'Model2'!$CN$9),--(J$9&gt;=Model2!$D$9:'Model2'!$CN$9),Model2!$D85:'Model2'!$CN85)</f>
        <v>0</v>
      </c>
      <c r="K81" s="91" cm="1">
        <f t="array" ref="K81">SUMPRODUCT(--(K$8&lt;=Model2!$D$9:'Model2'!$CN$9),--(K$9&gt;=Model2!$D$9:'Model2'!$CN$9),Model2!$D85:'Model2'!$CN85)</f>
        <v>0</v>
      </c>
      <c r="L81" s="91" cm="1">
        <f t="array" ref="L81">SUMPRODUCT(--(L$8&lt;=Model2!$D$9:'Model2'!$CN$9),--(L$9&gt;=Model2!$D$9:'Model2'!$CN$9),Model2!$D85:'Model2'!$CN85)</f>
        <v>0</v>
      </c>
      <c r="M81" s="91" cm="1">
        <f t="array" ref="M81">SUMPRODUCT(--(M$8&lt;=Model2!$D$9:'Model2'!$CN$9),--(M$9&gt;=Model2!$D$9:'Model2'!$CN$9),Model2!$D85:'Model2'!$CN85)</f>
        <v>0</v>
      </c>
      <c r="N81" s="91" cm="1">
        <f t="array" ref="N81">SUMPRODUCT(--(N$8&lt;=Model2!$D$9:'Model2'!$CN$9),--(N$9&gt;=Model2!$D$9:'Model2'!$CN$9),Model2!$D85:'Model2'!$CN85)</f>
        <v>0</v>
      </c>
      <c r="O81" s="91" cm="1">
        <f t="array" ref="O81">SUMPRODUCT(--(O$8&lt;=Model2!$D$9:'Model2'!$CN$9),--(O$9&gt;=Model2!$D$9:'Model2'!$CN$9),Model2!$D85:'Model2'!$CN85)</f>
        <v>0</v>
      </c>
      <c r="P81" s="91" cm="1">
        <f t="array" ref="P81">SUMPRODUCT(--(P$8&lt;=Model2!$D$9:'Model2'!$CN$9),--(P$9&gt;=Model2!$D$9:'Model2'!$CN$9),Model2!$D85:'Model2'!$CN85)</f>
        <v>0</v>
      </c>
      <c r="Q81" s="91" cm="1">
        <f t="array" ref="Q81">SUMPRODUCT(--(Q$8&lt;=Model2!$D$9:'Model2'!$CN$9),--(Q$9&gt;=Model2!$D$9:'Model2'!$CN$9),Model2!$D85:'Model2'!$CN85)</f>
        <v>0</v>
      </c>
      <c r="R81" s="91" cm="1">
        <f t="array" ref="R81">SUMPRODUCT(--(R$8&lt;=Model2!$D$9:'Model2'!$CN$9),--(R$9&gt;=Model2!$D$9:'Model2'!$CN$9),Model2!$D85:'Model2'!$CN85)</f>
        <v>0</v>
      </c>
      <c r="S81" s="91" cm="1">
        <f t="array" ref="S81">SUMPRODUCT(--(S$8&lt;=Model2!$D$9:'Model2'!$CN$9),--(S$9&gt;=Model2!$D$9:'Model2'!$CN$9),Model2!$D85:'Model2'!$CN85)</f>
        <v>0</v>
      </c>
      <c r="T81" s="91" cm="1">
        <f t="array" ref="T81">SUMPRODUCT(--(T$8&lt;=Model2!$D$9:'Model2'!$CN$9),--(T$9&gt;=Model2!$D$9:'Model2'!$CN$9),Model2!$D85:'Model2'!$CN85)</f>
        <v>0</v>
      </c>
      <c r="U81" s="91" cm="1">
        <f t="array" ref="U81">SUMPRODUCT(--(U$8&lt;=Model2!$D$9:'Model2'!$CN$9),--(U$9&gt;=Model2!$D$9:'Model2'!$CN$9),Model2!$D85:'Model2'!$CN85)</f>
        <v>0</v>
      </c>
      <c r="V81" s="91" cm="1">
        <f t="array" ref="V81">SUMPRODUCT(--(V$8&lt;=Model2!$D$9:'Model2'!$CN$9),--(V$9&gt;=Model2!$D$9:'Model2'!$CN$9),Model2!$D85:'Model2'!$CN85)</f>
        <v>0</v>
      </c>
      <c r="W81" s="91" cm="1">
        <f t="array" ref="W81">SUMPRODUCT(--(W$8&lt;=Model2!$D$9:'Model2'!$CN$9),--(W$9&gt;=Model2!$D$9:'Model2'!$CN$9),Model2!$D85:'Model2'!$CN85)</f>
        <v>0</v>
      </c>
      <c r="X81" s="91" cm="1">
        <f t="array" ref="X81">SUMPRODUCT(--(X$8&lt;=Model2!$D$9:'Model2'!$CN$9),--(X$9&gt;=Model2!$D$9:'Model2'!$CN$9),Model2!$D85:'Model2'!$CN85)</f>
        <v>0</v>
      </c>
      <c r="Y81" s="91" cm="1">
        <f t="array" ref="Y81">SUMPRODUCT(--(Y$8&lt;=Model2!$D$9:'Model2'!$CN$9),--(Y$9&gt;=Model2!$D$9:'Model2'!$CN$9),Model2!$D85:'Model2'!$CN85)</f>
        <v>0</v>
      </c>
      <c r="Z81" s="91" cm="1">
        <f t="array" ref="Z81">SUMPRODUCT(--(Z$8&lt;=Model2!$D$9:'Model2'!$CN$9),--(Z$9&gt;=Model2!$D$9:'Model2'!$CN$9),Model2!$D85:'Model2'!$CN85)</f>
        <v>0</v>
      </c>
      <c r="AA81" s="91"/>
    </row>
    <row r="82" spans="1:27" ht="12.75" customHeight="1">
      <c r="A82" s="90"/>
      <c r="B82" s="90" t="s">
        <v>181</v>
      </c>
      <c r="C82" s="90"/>
      <c r="D82" s="92">
        <f>Model2!D86</f>
        <v>0</v>
      </c>
      <c r="E82" s="90" cm="1">
        <f t="array" ref="E82">SUMPRODUCT(--(E$8&lt;=Model2!$D$9:'Model2'!$CN$9),--(E$9&gt;=Model2!$D$9:'Model2'!$CN$9),Model2!$D86:'Model2'!$CN86)</f>
        <v>0</v>
      </c>
      <c r="F82" s="90" cm="1">
        <f t="array" ref="F82">SUMPRODUCT(--(F$8&lt;=Model2!$D$9:'Model2'!$CN$9),--(F$9&gt;=Model2!$D$9:'Model2'!$CN$9),Model2!$D86:'Model2'!$CN86)</f>
        <v>0</v>
      </c>
      <c r="G82" s="90" cm="1">
        <f t="array" ref="G82">SUMPRODUCT(--(G$8&lt;=Model2!$D$9:'Model2'!$CN$9),--(G$9&gt;=Model2!$D$9:'Model2'!$CN$9),Model2!$D86:'Model2'!$CN86)</f>
        <v>0</v>
      </c>
      <c r="H82" s="90" cm="1">
        <f t="array" ref="H82">SUMPRODUCT(--(H$8&lt;=Model2!$D$9:'Model2'!$CN$9),--(H$9&gt;=Model2!$D$9:'Model2'!$CN$9),Model2!$D86:'Model2'!$CN86)</f>
        <v>0</v>
      </c>
      <c r="I82" s="90" cm="1">
        <f t="array" ref="I82">SUMPRODUCT(--(I$8&lt;=Model2!$D$9:'Model2'!$CN$9),--(I$9&gt;=Model2!$D$9:'Model2'!$CN$9),Model2!$D86:'Model2'!$CN86)</f>
        <v>0</v>
      </c>
      <c r="J82" s="90" cm="1">
        <f t="array" ref="J82">SUMPRODUCT(--(J$8&lt;=Model2!$D$9:'Model2'!$CN$9),--(J$9&gt;=Model2!$D$9:'Model2'!$CN$9),Model2!$D86:'Model2'!$CN86)</f>
        <v>0</v>
      </c>
      <c r="K82" s="90" cm="1">
        <f t="array" ref="K82">SUMPRODUCT(--(K$8&lt;=Model2!$D$9:'Model2'!$CN$9),--(K$9&gt;=Model2!$D$9:'Model2'!$CN$9),Model2!$D86:'Model2'!$CN86)</f>
        <v>0</v>
      </c>
      <c r="L82" s="90" cm="1">
        <f t="array" ref="L82">SUMPRODUCT(--(L$8&lt;=Model2!$D$9:'Model2'!$CN$9),--(L$9&gt;=Model2!$D$9:'Model2'!$CN$9),Model2!$D86:'Model2'!$CN86)</f>
        <v>0</v>
      </c>
      <c r="M82" s="90" cm="1">
        <f t="array" ref="M82">SUMPRODUCT(--(M$8&lt;=Model2!$D$9:'Model2'!$CN$9),--(M$9&gt;=Model2!$D$9:'Model2'!$CN$9),Model2!$D86:'Model2'!$CN86)</f>
        <v>0</v>
      </c>
      <c r="N82" s="90" cm="1">
        <f t="array" ref="N82">SUMPRODUCT(--(N$8&lt;=Model2!$D$9:'Model2'!$CN$9),--(N$9&gt;=Model2!$D$9:'Model2'!$CN$9),Model2!$D86:'Model2'!$CN86)</f>
        <v>0</v>
      </c>
      <c r="O82" s="90" cm="1">
        <f t="array" ref="O82">SUMPRODUCT(--(O$8&lt;=Model2!$D$9:'Model2'!$CN$9),--(O$9&gt;=Model2!$D$9:'Model2'!$CN$9),Model2!$D86:'Model2'!$CN86)</f>
        <v>0</v>
      </c>
      <c r="P82" s="90" cm="1">
        <f t="array" ref="P82">SUMPRODUCT(--(P$8&lt;=Model2!$D$9:'Model2'!$CN$9),--(P$9&gt;=Model2!$D$9:'Model2'!$CN$9),Model2!$D86:'Model2'!$CN86)</f>
        <v>0</v>
      </c>
      <c r="Q82" s="90" cm="1">
        <f t="array" ref="Q82">SUMPRODUCT(--(Q$8&lt;=Model2!$D$9:'Model2'!$CN$9),--(Q$9&gt;=Model2!$D$9:'Model2'!$CN$9),Model2!$D86:'Model2'!$CN86)</f>
        <v>0</v>
      </c>
      <c r="R82" s="90" cm="1">
        <f t="array" ref="R82">SUMPRODUCT(--(R$8&lt;=Model2!$D$9:'Model2'!$CN$9),--(R$9&gt;=Model2!$D$9:'Model2'!$CN$9),Model2!$D86:'Model2'!$CN86)</f>
        <v>0</v>
      </c>
      <c r="S82" s="90" cm="1">
        <f t="array" ref="S82">SUMPRODUCT(--(S$8&lt;=Model2!$D$9:'Model2'!$CN$9),--(S$9&gt;=Model2!$D$9:'Model2'!$CN$9),Model2!$D86:'Model2'!$CN86)</f>
        <v>0</v>
      </c>
      <c r="T82" s="90" cm="1">
        <f t="array" ref="T82">SUMPRODUCT(--(T$8&lt;=Model2!$D$9:'Model2'!$CN$9),--(T$9&gt;=Model2!$D$9:'Model2'!$CN$9),Model2!$D86:'Model2'!$CN86)</f>
        <v>0</v>
      </c>
      <c r="U82" s="90" cm="1">
        <f t="array" ref="U82">SUMPRODUCT(--(U$8&lt;=Model2!$D$9:'Model2'!$CN$9),--(U$9&gt;=Model2!$D$9:'Model2'!$CN$9),Model2!$D86:'Model2'!$CN86)</f>
        <v>0</v>
      </c>
      <c r="V82" s="90" cm="1">
        <f t="array" ref="V82">SUMPRODUCT(--(V$8&lt;=Model2!$D$9:'Model2'!$CN$9),--(V$9&gt;=Model2!$D$9:'Model2'!$CN$9),Model2!$D86:'Model2'!$CN86)</f>
        <v>0</v>
      </c>
      <c r="W82" s="90" cm="1">
        <f t="array" ref="W82">SUMPRODUCT(--(W$8&lt;=Model2!$D$9:'Model2'!$CN$9),--(W$9&gt;=Model2!$D$9:'Model2'!$CN$9),Model2!$D86:'Model2'!$CN86)</f>
        <v>0</v>
      </c>
      <c r="X82" s="90" cm="1">
        <f t="array" ref="X82">SUMPRODUCT(--(X$8&lt;=Model2!$D$9:'Model2'!$CN$9),--(X$9&gt;=Model2!$D$9:'Model2'!$CN$9),Model2!$D86:'Model2'!$CN86)</f>
        <v>0</v>
      </c>
      <c r="Y82" s="90" cm="1">
        <f t="array" ref="Y82">SUMPRODUCT(--(Y$8&lt;=Model2!$D$9:'Model2'!$CN$9),--(Y$9&gt;=Model2!$D$9:'Model2'!$CN$9),Model2!$D86:'Model2'!$CN86)</f>
        <v>0</v>
      </c>
      <c r="Z82" s="90" cm="1">
        <f t="array" ref="Z82">SUMPRODUCT(--(Z$8&lt;=Model2!$D$9:'Model2'!$CN$9),--(Z$9&gt;=Model2!$D$9:'Model2'!$CN$9),Model2!$D86:'Model2'!$CN86)</f>
        <v>0</v>
      </c>
      <c r="AA82" s="90"/>
    </row>
    <row r="83" spans="1:27" ht="12.75" customHeight="1">
      <c r="A83" s="35"/>
      <c r="B83" s="63" t="s">
        <v>182</v>
      </c>
      <c r="C83" s="35">
        <f t="shared" ref="C83:C90" si="15">SUM(D83:AA83)</f>
        <v>145596.67499999999</v>
      </c>
      <c r="D83" s="60">
        <f>Model2!D87</f>
        <v>145596.67499999999</v>
      </c>
      <c r="E83" s="35" cm="1">
        <f t="array" ref="E83">SUMPRODUCT(--(E$8&lt;=Model2!$D$9:'Model2'!$CN$9),--(E$9&gt;=Model2!$D$9:'Model2'!$CN$9),Model2!$D87:'Model2'!$CN87)</f>
        <v>0</v>
      </c>
      <c r="F83" s="35" cm="1">
        <f t="array" ref="F83">SUMPRODUCT(--(F$8&lt;=Model2!$D$9:'Model2'!$CN$9),--(F$9&gt;=Model2!$D$9:'Model2'!$CN$9),Model2!$D87:'Model2'!$CN87)</f>
        <v>0</v>
      </c>
      <c r="G83" s="35" cm="1">
        <f t="array" ref="G83">SUMPRODUCT(--(G$8&lt;=Model2!$D$9:'Model2'!$CN$9),--(G$9&gt;=Model2!$D$9:'Model2'!$CN$9),Model2!$D87:'Model2'!$CN87)</f>
        <v>0</v>
      </c>
      <c r="H83" s="35" cm="1">
        <f t="array" ref="H83">SUMPRODUCT(--(H$8&lt;=Model2!$D$9:'Model2'!$CN$9),--(H$9&gt;=Model2!$D$9:'Model2'!$CN$9),Model2!$D87:'Model2'!$CN87)</f>
        <v>0</v>
      </c>
      <c r="I83" s="35" cm="1">
        <f t="array" ref="I83">SUMPRODUCT(--(I$8&lt;=Model2!$D$9:'Model2'!$CN$9),--(I$9&gt;=Model2!$D$9:'Model2'!$CN$9),Model2!$D87:'Model2'!$CN87)</f>
        <v>0</v>
      </c>
      <c r="J83" s="35" cm="1">
        <f t="array" ref="J83">SUMPRODUCT(--(J$8&lt;=Model2!$D$9:'Model2'!$CN$9),--(J$9&gt;=Model2!$D$9:'Model2'!$CN$9),Model2!$D87:'Model2'!$CN87)</f>
        <v>0</v>
      </c>
      <c r="K83" s="35" cm="1">
        <f t="array" ref="K83">SUMPRODUCT(--(K$8&lt;=Model2!$D$9:'Model2'!$CN$9),--(K$9&gt;=Model2!$D$9:'Model2'!$CN$9),Model2!$D87:'Model2'!$CN87)</f>
        <v>0</v>
      </c>
      <c r="L83" s="35" cm="1">
        <f t="array" ref="L83">SUMPRODUCT(--(L$8&lt;=Model2!$D$9:'Model2'!$CN$9),--(L$9&gt;=Model2!$D$9:'Model2'!$CN$9),Model2!$D87:'Model2'!$CN87)</f>
        <v>0</v>
      </c>
      <c r="M83" s="35" cm="1">
        <f t="array" ref="M83">SUMPRODUCT(--(M$8&lt;=Model2!$D$9:'Model2'!$CN$9),--(M$9&gt;=Model2!$D$9:'Model2'!$CN$9),Model2!$D87:'Model2'!$CN87)</f>
        <v>0</v>
      </c>
      <c r="N83" s="35" cm="1">
        <f t="array" ref="N83">SUMPRODUCT(--(N$8&lt;=Model2!$D$9:'Model2'!$CN$9),--(N$9&gt;=Model2!$D$9:'Model2'!$CN$9),Model2!$D87:'Model2'!$CN87)</f>
        <v>0</v>
      </c>
      <c r="O83" s="35" cm="1">
        <f t="array" ref="O83">SUMPRODUCT(--(O$8&lt;=Model2!$D$9:'Model2'!$CN$9),--(O$9&gt;=Model2!$D$9:'Model2'!$CN$9),Model2!$D87:'Model2'!$CN87)</f>
        <v>0</v>
      </c>
      <c r="P83" s="35" cm="1">
        <f t="array" ref="P83">SUMPRODUCT(--(P$8&lt;=Model2!$D$9:'Model2'!$CN$9),--(P$9&gt;=Model2!$D$9:'Model2'!$CN$9),Model2!$D87:'Model2'!$CN87)</f>
        <v>0</v>
      </c>
      <c r="Q83" s="35" cm="1">
        <f t="array" ref="Q83">SUMPRODUCT(--(Q$8&lt;=Model2!$D$9:'Model2'!$CN$9),--(Q$9&gt;=Model2!$D$9:'Model2'!$CN$9),Model2!$D87:'Model2'!$CN87)</f>
        <v>0</v>
      </c>
      <c r="R83" s="35" cm="1">
        <f t="array" ref="R83">SUMPRODUCT(--(R$8&lt;=Model2!$D$9:'Model2'!$CN$9),--(R$9&gt;=Model2!$D$9:'Model2'!$CN$9),Model2!$D87:'Model2'!$CN87)</f>
        <v>0</v>
      </c>
      <c r="S83" s="35" cm="1">
        <f t="array" ref="S83">SUMPRODUCT(--(S$8&lt;=Model2!$D$9:'Model2'!$CN$9),--(S$9&gt;=Model2!$D$9:'Model2'!$CN$9),Model2!$D87:'Model2'!$CN87)</f>
        <v>0</v>
      </c>
      <c r="T83" s="35" cm="1">
        <f t="array" ref="T83">SUMPRODUCT(--(T$8&lt;=Model2!$D$9:'Model2'!$CN$9),--(T$9&gt;=Model2!$D$9:'Model2'!$CN$9),Model2!$D87:'Model2'!$CN87)</f>
        <v>0</v>
      </c>
      <c r="U83" s="35" cm="1">
        <f t="array" ref="U83">SUMPRODUCT(--(U$8&lt;=Model2!$D$9:'Model2'!$CN$9),--(U$9&gt;=Model2!$D$9:'Model2'!$CN$9),Model2!$D87:'Model2'!$CN87)</f>
        <v>0</v>
      </c>
      <c r="V83" s="35" cm="1">
        <f t="array" ref="V83">SUMPRODUCT(--(V$8&lt;=Model2!$D$9:'Model2'!$CN$9),--(V$9&gt;=Model2!$D$9:'Model2'!$CN$9),Model2!$D87:'Model2'!$CN87)</f>
        <v>0</v>
      </c>
      <c r="W83" s="35" cm="1">
        <f t="array" ref="W83">SUMPRODUCT(--(W$8&lt;=Model2!$D$9:'Model2'!$CN$9),--(W$9&gt;=Model2!$D$9:'Model2'!$CN$9),Model2!$D87:'Model2'!$CN87)</f>
        <v>0</v>
      </c>
      <c r="X83" s="35" cm="1">
        <f t="array" ref="X83">SUMPRODUCT(--(X$8&lt;=Model2!$D$9:'Model2'!$CN$9),--(X$9&gt;=Model2!$D$9:'Model2'!$CN$9),Model2!$D87:'Model2'!$CN87)</f>
        <v>0</v>
      </c>
      <c r="Y83" s="35" cm="1">
        <f t="array" ref="Y83">SUMPRODUCT(--(Y$8&lt;=Model2!$D$9:'Model2'!$CN$9),--(Y$9&gt;=Model2!$D$9:'Model2'!$CN$9),Model2!$D87:'Model2'!$CN87)</f>
        <v>0</v>
      </c>
      <c r="Z83" s="35" cm="1">
        <f t="array" ref="Z83">SUMPRODUCT(--(Z$8&lt;=Model2!$D$9:'Model2'!$CN$9),--(Z$9&gt;=Model2!$D$9:'Model2'!$CN$9),Model2!$D87:'Model2'!$CN87)</f>
        <v>0</v>
      </c>
      <c r="AA83" s="35"/>
    </row>
    <row r="84" spans="1:27" ht="12.75" customHeight="1">
      <c r="A84" s="35"/>
      <c r="B84" s="63" t="s">
        <v>183</v>
      </c>
      <c r="C84" s="35">
        <f t="shared" si="15"/>
        <v>-2593341.0720887724</v>
      </c>
      <c r="D84" s="60">
        <f>Model2!D88</f>
        <v>0</v>
      </c>
      <c r="E84" s="35" cm="1">
        <f t="array" ref="E84">SUMPRODUCT(--(E$8&lt;=Model2!$D$9:'Model2'!$CN$9),--(E$9&gt;=Model2!$D$9:'Model2'!$CN$9),Model2!$D88:'Model2'!$CN88)</f>
        <v>0</v>
      </c>
      <c r="F84" s="35" cm="1">
        <f t="array" ref="F84">SUMPRODUCT(--(F$8&lt;=Model2!$D$9:'Model2'!$CN$9),--(F$9&gt;=Model2!$D$9:'Model2'!$CN$9),Model2!$D88:'Model2'!$CN88)</f>
        <v>0</v>
      </c>
      <c r="G84" s="35" cm="1">
        <f t="array" ref="G84">SUMPRODUCT(--(G$8&lt;=Model2!$D$9:'Model2'!$CN$9),--(G$9&gt;=Model2!$D$9:'Model2'!$CN$9),Model2!$D88:'Model2'!$CN88)</f>
        <v>0</v>
      </c>
      <c r="H84" s="35" cm="1">
        <f t="array" ref="H84">SUMPRODUCT(--(H$8&lt;=Model2!$D$9:'Model2'!$CN$9),--(H$9&gt;=Model2!$D$9:'Model2'!$CN$9),Model2!$D88:'Model2'!$CN88)</f>
        <v>0</v>
      </c>
      <c r="I84" s="35" cm="1">
        <f t="array" ref="I84">SUMPRODUCT(--(I$8&lt;=Model2!$D$9:'Model2'!$CN$9),--(I$9&gt;=Model2!$D$9:'Model2'!$CN$9),Model2!$D88:'Model2'!$CN88)</f>
        <v>0</v>
      </c>
      <c r="J84" s="35" cm="1">
        <f t="array" ref="J84">SUMPRODUCT(--(J$8&lt;=Model2!$D$9:'Model2'!$CN$9),--(J$9&gt;=Model2!$D$9:'Model2'!$CN$9),Model2!$D88:'Model2'!$CN88)</f>
        <v>-21266.162361252213</v>
      </c>
      <c r="K84" s="35" cm="1">
        <f t="array" ref="K84">SUMPRODUCT(--(K$8&lt;=Model2!$D$9:'Model2'!$CN$9),--(K$9&gt;=Model2!$D$9:'Model2'!$CN$9),Model2!$D88:'Model2'!$CN88)</f>
        <v>-63318.436209829946</v>
      </c>
      <c r="L84" s="35" cm="1">
        <f t="array" ref="L84">SUMPRODUCT(--(L$8&lt;=Model2!$D$9:'Model2'!$CN$9),--(L$9&gt;=Model2!$D$9:'Model2'!$CN$9),Model2!$D88:'Model2'!$CN88)</f>
        <v>-3611.7102467478126</v>
      </c>
      <c r="M84" s="35" cm="1">
        <f t="array" ref="M84">SUMPRODUCT(--(M$8&lt;=Model2!$D$9:'Model2'!$CN$9),--(M$9&gt;=Model2!$D$9:'Model2'!$CN$9),Model2!$D88:'Model2'!$CN88)</f>
        <v>0</v>
      </c>
      <c r="N84" s="35" cm="1">
        <f t="array" ref="N84">SUMPRODUCT(--(N$8&lt;=Model2!$D$9:'Model2'!$CN$9),--(N$9&gt;=Model2!$D$9:'Model2'!$CN$9),Model2!$D88:'Model2'!$CN88)</f>
        <v>0</v>
      </c>
      <c r="O84" s="35" cm="1">
        <f t="array" ref="O84">SUMPRODUCT(--(O$8&lt;=Model2!$D$9:'Model2'!$CN$9),--(O$9&gt;=Model2!$D$9:'Model2'!$CN$9),Model2!$D88:'Model2'!$CN88)</f>
        <v>-60032.399734641105</v>
      </c>
      <c r="P84" s="35" cm="1">
        <f t="array" ref="P84">SUMPRODUCT(--(P$8&lt;=Model2!$D$9:'Model2'!$CN$9),--(P$9&gt;=Model2!$D$9:'Model2'!$CN$9),Model2!$D88:'Model2'!$CN88)</f>
        <v>-176833.35276493971</v>
      </c>
      <c r="Q84" s="35" cm="1">
        <f t="array" ref="Q84">SUMPRODUCT(--(Q$8&lt;=Model2!$D$9:'Model2'!$CN$9),--(Q$9&gt;=Model2!$D$9:'Model2'!$CN$9),Model2!$D88:'Model2'!$CN88)</f>
        <v>-182920.07311785183</v>
      </c>
      <c r="R84" s="35" cm="1">
        <f t="array" ref="R84">SUMPRODUCT(--(R$8&lt;=Model2!$D$9:'Model2'!$CN$9),--(R$9&gt;=Model2!$D$9:'Model2'!$CN$9),Model2!$D88:'Model2'!$CN88)</f>
        <v>-186203.60175100045</v>
      </c>
      <c r="S84" s="35" cm="1">
        <f t="array" ref="S84">SUMPRODUCT(--(S$8&lt;=Model2!$D$9:'Model2'!$CN$9),--(S$9&gt;=Model2!$D$9:'Model2'!$CN$9),Model2!$D88:'Model2'!$CN88)</f>
        <v>-196307.56237884122</v>
      </c>
      <c r="T84" s="35" cm="1">
        <f t="array" ref="T84">SUMPRODUCT(--(T$8&lt;=Model2!$D$9:'Model2'!$CN$9),--(T$9&gt;=Model2!$D$9:'Model2'!$CN$9),Model2!$D88:'Model2'!$CN88)</f>
        <v>-206916.72103807394</v>
      </c>
      <c r="U84" s="35" cm="1">
        <f t="array" ref="U84">SUMPRODUCT(--(U$8&lt;=Model2!$D$9:'Model2'!$CN$9),--(U$9&gt;=Model2!$D$9:'Model2'!$CN$9),Model2!$D88:'Model2'!$CN88)</f>
        <v>-218056.33763026842</v>
      </c>
      <c r="V84" s="35" cm="1">
        <f t="array" ref="V84">SUMPRODUCT(--(V$8&lt;=Model2!$D$9:'Model2'!$CN$9),--(V$9&gt;=Model2!$D$9:'Model2'!$CN$9),Model2!$D88:'Model2'!$CN88)</f>
        <v>-229752.93505207245</v>
      </c>
      <c r="W84" s="35" cm="1">
        <f t="array" ref="W84">SUMPRODUCT(--(W$8&lt;=Model2!$D$9:'Model2'!$CN$9),--(W$9&gt;=Model2!$D$9:'Model2'!$CN$9),Model2!$D88:'Model2'!$CN88)</f>
        <v>-242034.36234496685</v>
      </c>
      <c r="X84" s="35" cm="1">
        <f t="array" ref="X84">SUMPRODUCT(--(X$8&lt;=Model2!$D$9:'Model2'!$CN$9),--(X$9&gt;=Model2!$D$9:'Model2'!$CN$9),Model2!$D88:'Model2'!$CN88)</f>
        <v>-254929.86100250584</v>
      </c>
      <c r="Y84" s="35" cm="1">
        <f t="array" ref="Y84">SUMPRODUCT(--(Y$8&lt;=Model2!$D$9:'Model2'!$CN$9),--(Y$9&gt;=Model2!$D$9:'Model2'!$CN$9),Model2!$D88:'Model2'!$CN88)</f>
        <v>-268470.13459292188</v>
      </c>
      <c r="Z84" s="35" cm="1">
        <f t="array" ref="Z84">SUMPRODUCT(--(Z$8&lt;=Model2!$D$9:'Model2'!$CN$9),--(Z$9&gt;=Model2!$D$9:'Model2'!$CN$9),Model2!$D88:'Model2'!$CN88)</f>
        <v>-282687.42186285864</v>
      </c>
      <c r="AA84" s="35"/>
    </row>
    <row r="85" spans="1:27" ht="12.75" customHeight="1">
      <c r="A85" s="35"/>
      <c r="B85" s="63" t="s">
        <v>184</v>
      </c>
      <c r="C85" s="35">
        <f t="shared" si="15"/>
        <v>582386.70000000019</v>
      </c>
      <c r="D85" s="60">
        <f>Model2!D89</f>
        <v>0</v>
      </c>
      <c r="E85" s="35" cm="1">
        <f t="array" ref="E85">SUMPRODUCT(--(E$8&lt;=Model2!$D$9:'Model2'!$CN$9),--(E$9&gt;=Model2!$D$9:'Model2'!$CN$9),Model2!$D89:'Model2'!$CN89)</f>
        <v>0</v>
      </c>
      <c r="F85" s="35" cm="1">
        <f t="array" ref="F85">SUMPRODUCT(--(F$8&lt;=Model2!$D$9:'Model2'!$CN$9),--(F$9&gt;=Model2!$D$9:'Model2'!$CN$9),Model2!$D89:'Model2'!$CN89)</f>
        <v>0</v>
      </c>
      <c r="G85" s="35" cm="1">
        <f t="array" ref="G85">SUMPRODUCT(--(G$8&lt;=Model2!$D$9:'Model2'!$CN$9),--(G$9&gt;=Model2!$D$9:'Model2'!$CN$9),Model2!$D89:'Model2'!$CN89)</f>
        <v>128003.74343750003</v>
      </c>
      <c r="H85" s="35" cm="1">
        <f t="array" ref="H85">SUMPRODUCT(--(H$8&lt;=Model2!$D$9:'Model2'!$CN$9),--(H$9&gt;=Model2!$D$9:'Model2'!$CN$9),Model2!$D89:'Model2'!$CN89)</f>
        <v>437760.66950000002</v>
      </c>
      <c r="I85" s="35" cm="1">
        <f t="array" ref="I85">SUMPRODUCT(--(I$8&lt;=Model2!$D$9:'Model2'!$CN$9),--(I$9&gt;=Model2!$D$9:'Model2'!$CN$9),Model2!$D89:'Model2'!$CN89)</f>
        <v>16622.287062500138</v>
      </c>
      <c r="J85" s="35" cm="1">
        <f t="array" ref="J85">SUMPRODUCT(--(J$8&lt;=Model2!$D$9:'Model2'!$CN$9),--(J$9&gt;=Model2!$D$9:'Model2'!$CN$9),Model2!$D89:'Model2'!$CN89)</f>
        <v>0</v>
      </c>
      <c r="K85" s="35" cm="1">
        <f t="array" ref="K85">SUMPRODUCT(--(K$8&lt;=Model2!$D$9:'Model2'!$CN$9),--(K$9&gt;=Model2!$D$9:'Model2'!$CN$9),Model2!$D89:'Model2'!$CN89)</f>
        <v>0</v>
      </c>
      <c r="L85" s="35" cm="1">
        <f t="array" ref="L85">SUMPRODUCT(--(L$8&lt;=Model2!$D$9:'Model2'!$CN$9),--(L$9&gt;=Model2!$D$9:'Model2'!$CN$9),Model2!$D89:'Model2'!$CN89)</f>
        <v>0</v>
      </c>
      <c r="M85" s="35" cm="1">
        <f t="array" ref="M85">SUMPRODUCT(--(M$8&lt;=Model2!$D$9:'Model2'!$CN$9),--(M$9&gt;=Model2!$D$9:'Model2'!$CN$9),Model2!$D89:'Model2'!$CN89)</f>
        <v>0</v>
      </c>
      <c r="N85" s="35" cm="1">
        <f t="array" ref="N85">SUMPRODUCT(--(N$8&lt;=Model2!$D$9:'Model2'!$CN$9),--(N$9&gt;=Model2!$D$9:'Model2'!$CN$9),Model2!$D89:'Model2'!$CN89)</f>
        <v>0</v>
      </c>
      <c r="O85" s="35" cm="1">
        <f t="array" ref="O85">SUMPRODUCT(--(O$8&lt;=Model2!$D$9:'Model2'!$CN$9),--(O$9&gt;=Model2!$D$9:'Model2'!$CN$9),Model2!$D89:'Model2'!$CN89)</f>
        <v>0</v>
      </c>
      <c r="P85" s="35" cm="1">
        <f t="array" ref="P85">SUMPRODUCT(--(P$8&lt;=Model2!$D$9:'Model2'!$CN$9),--(P$9&gt;=Model2!$D$9:'Model2'!$CN$9),Model2!$D89:'Model2'!$CN89)</f>
        <v>0</v>
      </c>
      <c r="Q85" s="35" cm="1">
        <f t="array" ref="Q85">SUMPRODUCT(--(Q$8&lt;=Model2!$D$9:'Model2'!$CN$9),--(Q$9&gt;=Model2!$D$9:'Model2'!$CN$9),Model2!$D89:'Model2'!$CN89)</f>
        <v>0</v>
      </c>
      <c r="R85" s="35" cm="1">
        <f t="array" ref="R85">SUMPRODUCT(--(R$8&lt;=Model2!$D$9:'Model2'!$CN$9),--(R$9&gt;=Model2!$D$9:'Model2'!$CN$9),Model2!$D89:'Model2'!$CN89)</f>
        <v>0</v>
      </c>
      <c r="S85" s="35" cm="1">
        <f t="array" ref="S85">SUMPRODUCT(--(S$8&lt;=Model2!$D$9:'Model2'!$CN$9),--(S$9&gt;=Model2!$D$9:'Model2'!$CN$9),Model2!$D89:'Model2'!$CN89)</f>
        <v>0</v>
      </c>
      <c r="T85" s="35" cm="1">
        <f t="array" ref="T85">SUMPRODUCT(--(T$8&lt;=Model2!$D$9:'Model2'!$CN$9),--(T$9&gt;=Model2!$D$9:'Model2'!$CN$9),Model2!$D89:'Model2'!$CN89)</f>
        <v>0</v>
      </c>
      <c r="U85" s="35" cm="1">
        <f t="array" ref="U85">SUMPRODUCT(--(U$8&lt;=Model2!$D$9:'Model2'!$CN$9),--(U$9&gt;=Model2!$D$9:'Model2'!$CN$9),Model2!$D89:'Model2'!$CN89)</f>
        <v>0</v>
      </c>
      <c r="V85" s="35" cm="1">
        <f t="array" ref="V85">SUMPRODUCT(--(V$8&lt;=Model2!$D$9:'Model2'!$CN$9),--(V$9&gt;=Model2!$D$9:'Model2'!$CN$9),Model2!$D89:'Model2'!$CN89)</f>
        <v>0</v>
      </c>
      <c r="W85" s="35" cm="1">
        <f t="array" ref="W85">SUMPRODUCT(--(W$8&lt;=Model2!$D$9:'Model2'!$CN$9),--(W$9&gt;=Model2!$D$9:'Model2'!$CN$9),Model2!$D89:'Model2'!$CN89)</f>
        <v>0</v>
      </c>
      <c r="X85" s="35" cm="1">
        <f t="array" ref="X85">SUMPRODUCT(--(X$8&lt;=Model2!$D$9:'Model2'!$CN$9),--(X$9&gt;=Model2!$D$9:'Model2'!$CN$9),Model2!$D89:'Model2'!$CN89)</f>
        <v>0</v>
      </c>
      <c r="Y85" s="35" cm="1">
        <f t="array" ref="Y85">SUMPRODUCT(--(Y$8&lt;=Model2!$D$9:'Model2'!$CN$9),--(Y$9&gt;=Model2!$D$9:'Model2'!$CN$9),Model2!$D89:'Model2'!$CN89)</f>
        <v>0</v>
      </c>
      <c r="Z85" s="35" cm="1">
        <f t="array" ref="Z85">SUMPRODUCT(--(Z$8&lt;=Model2!$D$9:'Model2'!$CN$9),--(Z$9&gt;=Model2!$D$9:'Model2'!$CN$9),Model2!$D89:'Model2'!$CN89)</f>
        <v>0</v>
      </c>
      <c r="AA85" s="35"/>
    </row>
    <row r="86" spans="1:27" ht="12.75" customHeight="1">
      <c r="A86" s="35"/>
      <c r="B86" s="63" t="s">
        <v>185</v>
      </c>
      <c r="C86" s="35">
        <f t="shared" si="15"/>
        <v>-582386.70000000019</v>
      </c>
      <c r="D86" s="60">
        <f>Model2!D90</f>
        <v>0</v>
      </c>
      <c r="E86" s="35" cm="1">
        <f t="array" ref="E86">SUMPRODUCT(--(E$8&lt;=Model2!$D$9:'Model2'!$CN$9),--(E$9&gt;=Model2!$D$9:'Model2'!$CN$9),Model2!$D90:'Model2'!$CN90)</f>
        <v>0</v>
      </c>
      <c r="F86" s="35" cm="1">
        <f t="array" ref="F86">SUMPRODUCT(--(F$8&lt;=Model2!$D$9:'Model2'!$CN$9),--(F$9&gt;=Model2!$D$9:'Model2'!$CN$9),Model2!$D90:'Model2'!$CN90)</f>
        <v>0</v>
      </c>
      <c r="G86" s="35" cm="1">
        <f t="array" ref="G86">SUMPRODUCT(--(G$8&lt;=Model2!$D$9:'Model2'!$CN$9),--(G$9&gt;=Model2!$D$9:'Model2'!$CN$9),Model2!$D90:'Model2'!$CN90)</f>
        <v>0</v>
      </c>
      <c r="H86" s="35" cm="1">
        <f t="array" ref="H86">SUMPRODUCT(--(H$8&lt;=Model2!$D$9:'Model2'!$CN$9),--(H$9&gt;=Model2!$D$9:'Model2'!$CN$9),Model2!$D90:'Model2'!$CN90)</f>
        <v>0</v>
      </c>
      <c r="I86" s="35" cm="1">
        <f t="array" ref="I86">SUMPRODUCT(--(I$8&lt;=Model2!$D$9:'Model2'!$CN$9),--(I$9&gt;=Model2!$D$9:'Model2'!$CN$9),Model2!$D90:'Model2'!$CN90)</f>
        <v>-16317.642401933534</v>
      </c>
      <c r="J86" s="35" cm="1">
        <f t="array" ref="J86">SUMPRODUCT(--(J$8&lt;=Model2!$D$9:'Model2'!$CN$9),--(J$9&gt;=Model2!$D$9:'Model2'!$CN$9),Model2!$D90:'Model2'!$CN90)</f>
        <v>-82308.005151523103</v>
      </c>
      <c r="K86" s="35" cm="1">
        <f t="array" ref="K86">SUMPRODUCT(--(K$8&lt;=Model2!$D$9:'Model2'!$CN$9),--(K$9&gt;=Model2!$D$9:'Model2'!$CN$9),Model2!$D90:'Model2'!$CN90)</f>
        <v>-88995.264138390296</v>
      </c>
      <c r="L86" s="35" cm="1">
        <f t="array" ref="L86">SUMPRODUCT(--(L$8&lt;=Model2!$D$9:'Model2'!$CN$9),--(L$9&gt;=Model2!$D$9:'Model2'!$CN$9),Model2!$D90:'Model2'!$CN90)</f>
        <v>-99295.279184082639</v>
      </c>
      <c r="M86" s="35" cm="1">
        <f t="array" ref="M86">SUMPRODUCT(--(M$8&lt;=Model2!$D$9:'Model2'!$CN$9),--(M$9&gt;=Model2!$D$9:'Model2'!$CN$9),Model2!$D90:'Model2'!$CN90)</f>
        <v>-111175.78501504984</v>
      </c>
      <c r="N86" s="35" cm="1">
        <f t="array" ref="N86">SUMPRODUCT(--(N$8&lt;=Model2!$D$9:'Model2'!$CN$9),--(N$9&gt;=Model2!$D$9:'Model2'!$CN$9),Model2!$D90:'Model2'!$CN90)</f>
        <v>-125673.22812172146</v>
      </c>
      <c r="O86" s="35" cm="1">
        <f t="array" ref="O86">SUMPRODUCT(--(O$8&lt;=Model2!$D$9:'Model2'!$CN$9),--(O$9&gt;=Model2!$D$9:'Model2'!$CN$9),Model2!$D90:'Model2'!$CN90)</f>
        <v>-58621.49598729932</v>
      </c>
      <c r="P86" s="35" cm="1">
        <f t="array" ref="P86">SUMPRODUCT(--(P$8&lt;=Model2!$D$9:'Model2'!$CN$9),--(P$9&gt;=Model2!$D$9:'Model2'!$CN$9),Model2!$D90:'Model2'!$CN90)</f>
        <v>0</v>
      </c>
      <c r="Q86" s="35" cm="1">
        <f t="array" ref="Q86">SUMPRODUCT(--(Q$8&lt;=Model2!$D$9:'Model2'!$CN$9),--(Q$9&gt;=Model2!$D$9:'Model2'!$CN$9),Model2!$D90:'Model2'!$CN90)</f>
        <v>0</v>
      </c>
      <c r="R86" s="35" cm="1">
        <f t="array" ref="R86">SUMPRODUCT(--(R$8&lt;=Model2!$D$9:'Model2'!$CN$9),--(R$9&gt;=Model2!$D$9:'Model2'!$CN$9),Model2!$D90:'Model2'!$CN90)</f>
        <v>0</v>
      </c>
      <c r="S86" s="35" cm="1">
        <f t="array" ref="S86">SUMPRODUCT(--(S$8&lt;=Model2!$D$9:'Model2'!$CN$9),--(S$9&gt;=Model2!$D$9:'Model2'!$CN$9),Model2!$D90:'Model2'!$CN90)</f>
        <v>0</v>
      </c>
      <c r="T86" s="35" cm="1">
        <f t="array" ref="T86">SUMPRODUCT(--(T$8&lt;=Model2!$D$9:'Model2'!$CN$9),--(T$9&gt;=Model2!$D$9:'Model2'!$CN$9),Model2!$D90:'Model2'!$CN90)</f>
        <v>0</v>
      </c>
      <c r="U86" s="35" cm="1">
        <f t="array" ref="U86">SUMPRODUCT(--(U$8&lt;=Model2!$D$9:'Model2'!$CN$9),--(U$9&gt;=Model2!$D$9:'Model2'!$CN$9),Model2!$D90:'Model2'!$CN90)</f>
        <v>0</v>
      </c>
      <c r="V86" s="35" cm="1">
        <f t="array" ref="V86">SUMPRODUCT(--(V$8&lt;=Model2!$D$9:'Model2'!$CN$9),--(V$9&gt;=Model2!$D$9:'Model2'!$CN$9),Model2!$D90:'Model2'!$CN90)</f>
        <v>0</v>
      </c>
      <c r="W86" s="35" cm="1">
        <f t="array" ref="W86">SUMPRODUCT(--(W$8&lt;=Model2!$D$9:'Model2'!$CN$9),--(W$9&gt;=Model2!$D$9:'Model2'!$CN$9),Model2!$D90:'Model2'!$CN90)</f>
        <v>0</v>
      </c>
      <c r="X86" s="35" cm="1">
        <f t="array" ref="X86">SUMPRODUCT(--(X$8&lt;=Model2!$D$9:'Model2'!$CN$9),--(X$9&gt;=Model2!$D$9:'Model2'!$CN$9),Model2!$D90:'Model2'!$CN90)</f>
        <v>0</v>
      </c>
      <c r="Y86" s="35" cm="1">
        <f t="array" ref="Y86">SUMPRODUCT(--(Y$8&lt;=Model2!$D$9:'Model2'!$CN$9),--(Y$9&gt;=Model2!$D$9:'Model2'!$CN$9),Model2!$D90:'Model2'!$CN90)</f>
        <v>0</v>
      </c>
      <c r="Z86" s="35" cm="1">
        <f t="array" ref="Z86">SUMPRODUCT(--(Z$8&lt;=Model2!$D$9:'Model2'!$CN$9),--(Z$9&gt;=Model2!$D$9:'Model2'!$CN$9),Model2!$D90:'Model2'!$CN90)</f>
        <v>0</v>
      </c>
      <c r="AA86" s="35"/>
    </row>
    <row r="87" spans="1:27" ht="12.75" customHeight="1">
      <c r="A87" s="35"/>
      <c r="B87" s="63" t="s">
        <v>186</v>
      </c>
      <c r="C87" s="35">
        <f t="shared" si="15"/>
        <v>-188173.39816270932</v>
      </c>
      <c r="D87" s="60">
        <f>Model2!D91</f>
        <v>0</v>
      </c>
      <c r="E87" s="35" cm="1">
        <f t="array" ref="E87">SUMPRODUCT(--(E$8&lt;=Model2!$D$9:'Model2'!$CN$9),--(E$9&gt;=Model2!$D$9:'Model2'!$CN$9),Model2!$D91:'Model2'!$CN91)</f>
        <v>0</v>
      </c>
      <c r="F87" s="35" cm="1">
        <f t="array" ref="F87">SUMPRODUCT(--(F$8&lt;=Model2!$D$9:'Model2'!$CN$9),--(F$9&gt;=Model2!$D$9:'Model2'!$CN$9),Model2!$D91:'Model2'!$CN91)</f>
        <v>0</v>
      </c>
      <c r="G87" s="35" cm="1">
        <f t="array" ref="G87">SUMPRODUCT(--(G$8&lt;=Model2!$D$9:'Model2'!$CN$9),--(G$9&gt;=Model2!$D$9:'Model2'!$CN$9),Model2!$D91:'Model2'!$CN91)</f>
        <v>-1797.2089570312505</v>
      </c>
      <c r="H87" s="35" cm="1">
        <f t="array" ref="H87">SUMPRODUCT(--(H$8&lt;=Model2!$D$9:'Model2'!$CN$9),--(H$9&gt;=Model2!$D$9:'Model2'!$CN$9),Model2!$D91:'Model2'!$CN91)</f>
        <v>-19277.90974921875</v>
      </c>
      <c r="I87" s="35" cm="1">
        <f t="array" ref="I87">SUMPRODUCT(--(I$8&lt;=Model2!$D$9:'Model2'!$CN$9),--(I$9&gt;=Model2!$D$9:'Model2'!$CN$9),Model2!$D91:'Model2'!$CN91)</f>
        <v>-43279.665955232209</v>
      </c>
      <c r="J87" s="35" cm="1">
        <f t="array" ref="J87">SUMPRODUCT(--(J$8&lt;=Model2!$D$9:'Model2'!$CN$9),--(J$9&gt;=Model2!$D$9:'Model2'!$CN$9),Model2!$D91:'Model2'!$CN91)</f>
        <v>-38710.635465083906</v>
      </c>
      <c r="K87" s="35" cm="1">
        <f t="array" ref="K87">SUMPRODUCT(--(K$8&lt;=Model2!$D$9:'Model2'!$CN$9),--(K$9&gt;=Model2!$D$9:'Model2'!$CN$9),Model2!$D91:'Model2'!$CN91)</f>
        <v>-32378.52407344868</v>
      </c>
      <c r="L87" s="35" cm="1">
        <f t="array" ref="L87">SUMPRODUCT(--(L$8&lt;=Model2!$D$9:'Model2'!$CN$9),--(L$9&gt;=Model2!$D$9:'Model2'!$CN$9),Model2!$D91:'Model2'!$CN91)</f>
        <v>-25372.589198872694</v>
      </c>
      <c r="M87" s="35" cm="1">
        <f t="array" ref="M87">SUMPRODUCT(--(M$8&lt;=Model2!$D$9:'Model2'!$CN$9),--(M$9&gt;=Model2!$D$9:'Model2'!$CN$9),Model2!$D91:'Model2'!$CN91)</f>
        <v>-17536.695294353049</v>
      </c>
      <c r="N87" s="35" cm="1">
        <f t="array" ref="N87">SUMPRODUCT(--(N$8&lt;=Model2!$D$9:'Model2'!$CN$9),--(N$9&gt;=Model2!$D$9:'Model2'!$CN$9),Model2!$D91:'Model2'!$CN91)</f>
        <v>-8721.0164197069007</v>
      </c>
      <c r="O87" s="35" cm="1">
        <f t="array" ref="O87">SUMPRODUCT(--(O$8&lt;=Model2!$D$9:'Model2'!$CN$9),--(O$9&gt;=Model2!$D$9:'Model2'!$CN$9),Model2!$D91:'Model2'!$CN91)</f>
        <v>-1099.1530497618621</v>
      </c>
      <c r="P87" s="35" cm="1">
        <f t="array" ref="P87">SUMPRODUCT(--(P$8&lt;=Model2!$D$9:'Model2'!$CN$9),--(P$9&gt;=Model2!$D$9:'Model2'!$CN$9),Model2!$D91:'Model2'!$CN91)</f>
        <v>0</v>
      </c>
      <c r="Q87" s="35" cm="1">
        <f t="array" ref="Q87">SUMPRODUCT(--(Q$8&lt;=Model2!$D$9:'Model2'!$CN$9),--(Q$9&gt;=Model2!$D$9:'Model2'!$CN$9),Model2!$D91:'Model2'!$CN91)</f>
        <v>0</v>
      </c>
      <c r="R87" s="35" cm="1">
        <f t="array" ref="R87">SUMPRODUCT(--(R$8&lt;=Model2!$D$9:'Model2'!$CN$9),--(R$9&gt;=Model2!$D$9:'Model2'!$CN$9),Model2!$D91:'Model2'!$CN91)</f>
        <v>0</v>
      </c>
      <c r="S87" s="35" cm="1">
        <f t="array" ref="S87">SUMPRODUCT(--(S$8&lt;=Model2!$D$9:'Model2'!$CN$9),--(S$9&gt;=Model2!$D$9:'Model2'!$CN$9),Model2!$D91:'Model2'!$CN91)</f>
        <v>0</v>
      </c>
      <c r="T87" s="35" cm="1">
        <f t="array" ref="T87">SUMPRODUCT(--(T$8&lt;=Model2!$D$9:'Model2'!$CN$9),--(T$9&gt;=Model2!$D$9:'Model2'!$CN$9),Model2!$D91:'Model2'!$CN91)</f>
        <v>0</v>
      </c>
      <c r="U87" s="35" cm="1">
        <f t="array" ref="U87">SUMPRODUCT(--(U$8&lt;=Model2!$D$9:'Model2'!$CN$9),--(U$9&gt;=Model2!$D$9:'Model2'!$CN$9),Model2!$D91:'Model2'!$CN91)</f>
        <v>0</v>
      </c>
      <c r="V87" s="35" cm="1">
        <f t="array" ref="V87">SUMPRODUCT(--(V$8&lt;=Model2!$D$9:'Model2'!$CN$9),--(V$9&gt;=Model2!$D$9:'Model2'!$CN$9),Model2!$D91:'Model2'!$CN91)</f>
        <v>0</v>
      </c>
      <c r="W87" s="35" cm="1">
        <f t="array" ref="W87">SUMPRODUCT(--(W$8&lt;=Model2!$D$9:'Model2'!$CN$9),--(W$9&gt;=Model2!$D$9:'Model2'!$CN$9),Model2!$D91:'Model2'!$CN91)</f>
        <v>0</v>
      </c>
      <c r="X87" s="35" cm="1">
        <f t="array" ref="X87">SUMPRODUCT(--(X$8&lt;=Model2!$D$9:'Model2'!$CN$9),--(X$9&gt;=Model2!$D$9:'Model2'!$CN$9),Model2!$D91:'Model2'!$CN91)</f>
        <v>0</v>
      </c>
      <c r="Y87" s="35" cm="1">
        <f t="array" ref="Y87">SUMPRODUCT(--(Y$8&lt;=Model2!$D$9:'Model2'!$CN$9),--(Y$9&gt;=Model2!$D$9:'Model2'!$CN$9),Model2!$D91:'Model2'!$CN91)</f>
        <v>0</v>
      </c>
      <c r="Z87" s="35" cm="1">
        <f t="array" ref="Z87">SUMPRODUCT(--(Z$8&lt;=Model2!$D$9:'Model2'!$CN$9),--(Z$9&gt;=Model2!$D$9:'Model2'!$CN$9),Model2!$D91:'Model2'!$CN91)</f>
        <v>0</v>
      </c>
      <c r="AA87" s="35"/>
    </row>
    <row r="88" spans="1:27" ht="12.75" customHeight="1">
      <c r="A88" s="90"/>
      <c r="B88" s="91" t="s">
        <v>187</v>
      </c>
      <c r="C88" s="91">
        <f t="shared" si="15"/>
        <v>-2635917.7952514817</v>
      </c>
      <c r="D88" s="71">
        <f>Model2!D92</f>
        <v>145596.67499999999</v>
      </c>
      <c r="E88" s="91" cm="1">
        <f t="array" ref="E88">SUMPRODUCT(--(E$8&lt;=Model2!$D$9:'Model2'!$CN$9),--(E$9&gt;=Model2!$D$9:'Model2'!$CN$9),Model2!$D92:'Model2'!$CN92)</f>
        <v>0</v>
      </c>
      <c r="F88" s="91" cm="1">
        <f t="array" ref="F88">SUMPRODUCT(--(F$8&lt;=Model2!$D$9:'Model2'!$CN$9),--(F$9&gt;=Model2!$D$9:'Model2'!$CN$9),Model2!$D92:'Model2'!$CN92)</f>
        <v>0</v>
      </c>
      <c r="G88" s="91" cm="1">
        <f t="array" ref="G88">SUMPRODUCT(--(G$8&lt;=Model2!$D$9:'Model2'!$CN$9),--(G$9&gt;=Model2!$D$9:'Model2'!$CN$9),Model2!$D92:'Model2'!$CN92)</f>
        <v>126206.53448046878</v>
      </c>
      <c r="H88" s="91" cm="1">
        <f t="array" ref="H88">SUMPRODUCT(--(H$8&lt;=Model2!$D$9:'Model2'!$CN$9),--(H$9&gt;=Model2!$D$9:'Model2'!$CN$9),Model2!$D92:'Model2'!$CN92)</f>
        <v>418482.75975078123</v>
      </c>
      <c r="I88" s="91" cm="1">
        <f t="array" ref="I88">SUMPRODUCT(--(I$8&lt;=Model2!$D$9:'Model2'!$CN$9),--(I$9&gt;=Model2!$D$9:'Model2'!$CN$9),Model2!$D92:'Model2'!$CN92)</f>
        <v>-42975.02129466561</v>
      </c>
      <c r="J88" s="91" cm="1">
        <f t="array" ref="J88">SUMPRODUCT(--(J$8&lt;=Model2!$D$9:'Model2'!$CN$9),--(J$9&gt;=Model2!$D$9:'Model2'!$CN$9),Model2!$D92:'Model2'!$CN92)</f>
        <v>-142284.80297785925</v>
      </c>
      <c r="K88" s="91" cm="1">
        <f t="array" ref="K88">SUMPRODUCT(--(K$8&lt;=Model2!$D$9:'Model2'!$CN$9),--(K$9&gt;=Model2!$D$9:'Model2'!$CN$9),Model2!$D92:'Model2'!$CN92)</f>
        <v>-184692.22442166891</v>
      </c>
      <c r="L88" s="91" cm="1">
        <f t="array" ref="L88">SUMPRODUCT(--(L$8&lt;=Model2!$D$9:'Model2'!$CN$9),--(L$9&gt;=Model2!$D$9:'Model2'!$CN$9),Model2!$D92:'Model2'!$CN92)</f>
        <v>-128279.57862970314</v>
      </c>
      <c r="M88" s="91" cm="1">
        <f t="array" ref="M88">SUMPRODUCT(--(M$8&lt;=Model2!$D$9:'Model2'!$CN$9),--(M$9&gt;=Model2!$D$9:'Model2'!$CN$9),Model2!$D92:'Model2'!$CN92)</f>
        <v>-128712.48030940289</v>
      </c>
      <c r="N88" s="91" cm="1">
        <f t="array" ref="N88">SUMPRODUCT(--(N$8&lt;=Model2!$D$9:'Model2'!$CN$9),--(N$9&gt;=Model2!$D$9:'Model2'!$CN$9),Model2!$D92:'Model2'!$CN92)</f>
        <v>-134394.24454142837</v>
      </c>
      <c r="O88" s="91" cm="1">
        <f t="array" ref="O88">SUMPRODUCT(--(O$8&lt;=Model2!$D$9:'Model2'!$CN$9),--(O$9&gt;=Model2!$D$9:'Model2'!$CN$9),Model2!$D92:'Model2'!$CN92)</f>
        <v>-119753.04877170228</v>
      </c>
      <c r="P88" s="91" cm="1">
        <f t="array" ref="P88">SUMPRODUCT(--(P$8&lt;=Model2!$D$9:'Model2'!$CN$9),--(P$9&gt;=Model2!$D$9:'Model2'!$CN$9),Model2!$D92:'Model2'!$CN92)</f>
        <v>-176833.35276493971</v>
      </c>
      <c r="Q88" s="91" cm="1">
        <f t="array" ref="Q88">SUMPRODUCT(--(Q$8&lt;=Model2!$D$9:'Model2'!$CN$9),--(Q$9&gt;=Model2!$D$9:'Model2'!$CN$9),Model2!$D92:'Model2'!$CN92)</f>
        <v>-182920.07311785183</v>
      </c>
      <c r="R88" s="91" cm="1">
        <f t="array" ref="R88">SUMPRODUCT(--(R$8&lt;=Model2!$D$9:'Model2'!$CN$9),--(R$9&gt;=Model2!$D$9:'Model2'!$CN$9),Model2!$D92:'Model2'!$CN92)</f>
        <v>-186203.60175100045</v>
      </c>
      <c r="S88" s="91" cm="1">
        <f t="array" ref="S88">SUMPRODUCT(--(S$8&lt;=Model2!$D$9:'Model2'!$CN$9),--(S$9&gt;=Model2!$D$9:'Model2'!$CN$9),Model2!$D92:'Model2'!$CN92)</f>
        <v>-196307.56237884122</v>
      </c>
      <c r="T88" s="91" cm="1">
        <f t="array" ref="T88">SUMPRODUCT(--(T$8&lt;=Model2!$D$9:'Model2'!$CN$9),--(T$9&gt;=Model2!$D$9:'Model2'!$CN$9),Model2!$D92:'Model2'!$CN92)</f>
        <v>-206916.72103807394</v>
      </c>
      <c r="U88" s="91" cm="1">
        <f t="array" ref="U88">SUMPRODUCT(--(U$8&lt;=Model2!$D$9:'Model2'!$CN$9),--(U$9&gt;=Model2!$D$9:'Model2'!$CN$9),Model2!$D92:'Model2'!$CN92)</f>
        <v>-218056.33763026842</v>
      </c>
      <c r="V88" s="91" cm="1">
        <f t="array" ref="V88">SUMPRODUCT(--(V$8&lt;=Model2!$D$9:'Model2'!$CN$9),--(V$9&gt;=Model2!$D$9:'Model2'!$CN$9),Model2!$D92:'Model2'!$CN92)</f>
        <v>-229752.93505207245</v>
      </c>
      <c r="W88" s="91" cm="1">
        <f t="array" ref="W88">SUMPRODUCT(--(W$8&lt;=Model2!$D$9:'Model2'!$CN$9),--(W$9&gt;=Model2!$D$9:'Model2'!$CN$9),Model2!$D92:'Model2'!$CN92)</f>
        <v>-242034.36234496685</v>
      </c>
      <c r="X88" s="91" cm="1">
        <f t="array" ref="X88">SUMPRODUCT(--(X$8&lt;=Model2!$D$9:'Model2'!$CN$9),--(X$9&gt;=Model2!$D$9:'Model2'!$CN$9),Model2!$D92:'Model2'!$CN92)</f>
        <v>-254929.86100250584</v>
      </c>
      <c r="Y88" s="91" cm="1">
        <f t="array" ref="Y88">SUMPRODUCT(--(Y$8&lt;=Model2!$D$9:'Model2'!$CN$9),--(Y$9&gt;=Model2!$D$9:'Model2'!$CN$9),Model2!$D92:'Model2'!$CN92)</f>
        <v>-268470.13459292188</v>
      </c>
      <c r="Z88" s="91" cm="1">
        <f t="array" ref="Z88">SUMPRODUCT(--(Z$8&lt;=Model2!$D$9:'Model2'!$CN$9),--(Z$9&gt;=Model2!$D$9:'Model2'!$CN$9),Model2!$D92:'Model2'!$CN92)</f>
        <v>-282687.42186285864</v>
      </c>
      <c r="AA88" s="91"/>
    </row>
    <row r="89" spans="1:27" ht="12.75" customHeight="1">
      <c r="A89" s="90"/>
      <c r="B89" s="93" t="s">
        <v>188</v>
      </c>
      <c r="C89" s="90"/>
      <c r="D89" s="92">
        <f>Model2!D93</f>
        <v>0</v>
      </c>
      <c r="E89" s="90" cm="1">
        <f t="array" ref="E89">SUMPRODUCT(--(E$8=Model2!$D$9:'Model2'!$CN$9),Model2!$D93:'Model2'!$CN93)</f>
        <v>145596.67499999999</v>
      </c>
      <c r="F89" s="90" cm="1">
        <f t="array" ref="F89">SUMPRODUCT(--(F$8=Model2!$D$9:'Model2'!$CN$9),Model2!$D93:'Model2'!$CN93)</f>
        <v>144396.67499999999</v>
      </c>
      <c r="G89" s="90" cm="1">
        <f t="array" ref="G89">SUMPRODUCT(--(G$8=Model2!$D$9:'Model2'!$CN$9),Model2!$D93:'Model2'!$CN93)</f>
        <v>74442.689583333326</v>
      </c>
      <c r="H89" s="90" cm="1">
        <f t="array" ref="H89">SUMPRODUCT(--(H$8=Model2!$D$9:'Model2'!$CN$9),Model2!$D93:'Model2'!$CN93)</f>
        <v>22407.711615885448</v>
      </c>
      <c r="I89" s="90" cm="1">
        <f t="array" ref="I89">SUMPRODUCT(--(I$8=Model2!$D$9:'Model2'!$CN$9),Model2!$D93:'Model2'!$CN93)</f>
        <v>44496.607543750084</v>
      </c>
      <c r="J89" s="90" cm="1">
        <f t="array" ref="J89">SUMPRODUCT(--(J$8=Model2!$D$9:'Model2'!$CN$9),Model2!$D93:'Model2'!$CN93)</f>
        <v>81204.628685910007</v>
      </c>
      <c r="K89" s="90" cm="1">
        <f t="array" ref="K89">SUMPRODUCT(--(K$8=Model2!$D$9:'Model2'!$CN$9),Model2!$D93:'Model2'!$CN93)</f>
        <v>77887.644113787799</v>
      </c>
      <c r="L89" s="90" cm="1">
        <f t="array" ref="L89">SUMPRODUCT(--(L$8=Model2!$D$9:'Model2'!$CN$9),Model2!$D93:'Model2'!$CN93)</f>
        <v>34531.728211042107</v>
      </c>
      <c r="M89" s="90" cm="1">
        <f t="array" ref="M89">SUMPRODUCT(--(M$8=Model2!$D$9:'Model2'!$CN$9),Model2!$D93:'Model2'!$CN93)</f>
        <v>53790.844651845706</v>
      </c>
      <c r="N89" s="90" cm="1">
        <f t="array" ref="N89">SUMPRODUCT(--(N$8=Model2!$D$9:'Model2'!$CN$9),Model2!$D93:'Model2'!$CN93)</f>
        <v>79533.340713726269</v>
      </c>
      <c r="O89" s="90" cm="1">
        <f t="array" ref="O89">SUMPRODUCT(--(O$8=Model2!$D$9:'Model2'!$CN$9),Model2!$D93:'Model2'!$CN93)</f>
        <v>106412.18962201192</v>
      </c>
      <c r="P89" s="90" cm="1">
        <f t="array" ref="P89">SUMPRODUCT(--(P$8=Model2!$D$9:'Model2'!$CN$9),Model2!$D93:'Model2'!$CN93)</f>
        <v>155525.34296859725</v>
      </c>
      <c r="Q89" s="90" cm="1">
        <f t="array" ref="Q89">SUMPRODUCT(--(Q$8=Model2!$D$9:'Model2'!$CN$9),Model2!$D93:'Model2'!$CN93)</f>
        <v>156601.04596469281</v>
      </c>
      <c r="R89" s="90" cm="1">
        <f t="array" ref="R89">SUMPRODUCT(--(R$8=Model2!$D$9:'Model2'!$CN$9),Model2!$D93:'Model2'!$CN93)</f>
        <v>157879.74336708005</v>
      </c>
      <c r="S89" s="90" cm="1">
        <f t="array" ref="S89">SUMPRODUCT(--(S$8=Model2!$D$9:'Model2'!$CN$9),Model2!$D93:'Model2'!$CN93)</f>
        <v>158942.70592027536</v>
      </c>
      <c r="T89" s="90" cm="1">
        <f t="array" ref="T89">SUMPRODUCT(--(T$8=Model2!$D$9:'Model2'!$CN$9),Model2!$D93:'Model2'!$CN93)</f>
        <v>159998.81660113053</v>
      </c>
      <c r="U89" s="90" cm="1">
        <f t="array" ref="U89">SUMPRODUCT(--(U$8=Model2!$D$9:'Model2'!$CN$9),Model2!$D93:'Model2'!$CN93)</f>
        <v>161047.73281602841</v>
      </c>
      <c r="V89" s="90" cm="1">
        <f t="array" ref="V89">SUMPRODUCT(--(V$8=Model2!$D$9:'Model2'!$CN$9),Model2!$D93:'Model2'!$CN93)</f>
        <v>162343.39000048884</v>
      </c>
      <c r="W89" s="90" cm="1">
        <f t="array" ref="W89">SUMPRODUCT(--(W$8=Model2!$D$9:'Model2'!$CN$9),Model2!$D93:'Model2'!$CN93)</f>
        <v>163376.82012741384</v>
      </c>
      <c r="X89" s="90" cm="1">
        <f t="array" ref="X89">SUMPRODUCT(--(X$8=Model2!$D$9:'Model2'!$CN$9),Model2!$D93:'Model2'!$CN93)</f>
        <v>164401.92176068507</v>
      </c>
      <c r="Y89" s="90" cm="1">
        <f t="array" ref="Y89">SUMPRODUCT(--(Y$8=Model2!$D$9:'Model2'!$CN$9),Model2!$D93:'Model2'!$CN93)</f>
        <v>165418.27847561979</v>
      </c>
      <c r="Z89" s="90" cm="1">
        <f t="array" ref="Z89">SUMPRODUCT(--(Z$8=Model2!$D$9:'Model2'!$CN$9),Model2!$D93:'Model2'!$CN93)</f>
        <v>166734.55038118892</v>
      </c>
      <c r="AA89" s="90"/>
    </row>
    <row r="90" spans="1:27" ht="12.75" customHeight="1">
      <c r="A90" s="90"/>
      <c r="B90" s="93" t="s">
        <v>189</v>
      </c>
      <c r="C90" s="90">
        <f t="shared" si="15"/>
        <v>167732.08365940445</v>
      </c>
      <c r="D90" s="92">
        <f>Model2!D94</f>
        <v>145596.67499999999</v>
      </c>
      <c r="E90" s="90" cm="1">
        <f t="array" ref="E90">SUMPRODUCT(--(E$8&lt;=Model2!$D$9:'Model2'!$CN$9),--(E$9&gt;=Model2!$D$9:'Model2'!$CN$9),Model2!$D94:'Model2'!$CN94)</f>
        <v>-1200</v>
      </c>
      <c r="F90" s="90" cm="1">
        <f t="array" ref="F90">SUMPRODUCT(--(F$8&lt;=Model2!$D$9:'Model2'!$CN$9),--(F$9&gt;=Model2!$D$9:'Model2'!$CN$9),Model2!$D94:'Model2'!$CN94)</f>
        <v>-69953.985416666663</v>
      </c>
      <c r="G90" s="90" cm="1">
        <f t="array" ref="G90">SUMPRODUCT(--(G$8&lt;=Model2!$D$9:'Model2'!$CN$9),--(G$9&gt;=Model2!$D$9:'Model2'!$CN$9),Model2!$D94:'Model2'!$CN94)</f>
        <v>-52034.977967447878</v>
      </c>
      <c r="H90" s="90" cm="1">
        <f t="array" ref="H90">SUMPRODUCT(--(H$8&lt;=Model2!$D$9:'Model2'!$CN$9),--(H$9&gt;=Model2!$D$9:'Model2'!$CN$9),Model2!$D94:'Model2'!$CN94)</f>
        <v>22088.895927864636</v>
      </c>
      <c r="I90" s="90" cm="1">
        <f t="array" ref="I90">SUMPRODUCT(--(I$8&lt;=Model2!$D$9:'Model2'!$CN$9),--(I$9&gt;=Model2!$D$9:'Model2'!$CN$9),Model2!$D94:'Model2'!$CN94)</f>
        <v>36708.021142159931</v>
      </c>
      <c r="J90" s="90" cm="1">
        <f t="array" ref="J90">SUMPRODUCT(--(J$8&lt;=Model2!$D$9:'Model2'!$CN$9),--(J$9&gt;=Model2!$D$9:'Model2'!$CN$9),Model2!$D94:'Model2'!$CN94)</f>
        <v>-3316.9845721222082</v>
      </c>
      <c r="K90" s="90" cm="1">
        <f t="array" ref="K90">SUMPRODUCT(--(K$8&lt;=Model2!$D$9:'Model2'!$CN$9),--(K$9&gt;=Model2!$D$9:'Model2'!$CN$9),Model2!$D94:'Model2'!$CN94)</f>
        <v>-43355.915902745692</v>
      </c>
      <c r="L90" s="90" cm="1">
        <f t="array" ref="L90">SUMPRODUCT(--(L$8&lt;=Model2!$D$9:'Model2'!$CN$9),--(L$9&gt;=Model2!$D$9:'Model2'!$CN$9),Model2!$D94:'Model2'!$CN94)</f>
        <v>19259.116440803598</v>
      </c>
      <c r="M90" s="90" cm="1">
        <f t="array" ref="M90">SUMPRODUCT(--(M$8&lt;=Model2!$D$9:'Model2'!$CN$9),--(M$9&gt;=Model2!$D$9:'Model2'!$CN$9),Model2!$D94:'Model2'!$CN94)</f>
        <v>25742.496061880567</v>
      </c>
      <c r="N90" s="90" cm="1">
        <f t="array" ref="N90">SUMPRODUCT(--(N$8&lt;=Model2!$D$9:'Model2'!$CN$9),--(N$9&gt;=Model2!$D$9:'Model2'!$CN$9),Model2!$D94:'Model2'!$CN94)</f>
        <v>26878.848908285658</v>
      </c>
      <c r="O90" s="90" cm="1">
        <f t="array" ref="O90">SUMPRODUCT(--(O$8&lt;=Model2!$D$9:'Model2'!$CN$9),--(O$9&gt;=Model2!$D$9:'Model2'!$CN$9),Model2!$D94:'Model2'!$CN94)</f>
        <v>49113.153346585328</v>
      </c>
      <c r="P90" s="90" cm="1">
        <f t="array" ref="P90">SUMPRODUCT(--(P$8&lt;=Model2!$D$9:'Model2'!$CN$9),--(P$9&gt;=Model2!$D$9:'Model2'!$CN$9),Model2!$D94:'Model2'!$CN94)</f>
        <v>1075.7029960955597</v>
      </c>
      <c r="Q90" s="90" cm="1">
        <f t="array" ref="Q90">SUMPRODUCT(--(Q$8&lt;=Model2!$D$9:'Model2'!$CN$9),--(Q$9&gt;=Model2!$D$9:'Model2'!$CN$9),Model2!$D94:'Model2'!$CN94)</f>
        <v>1278.6974023872554</v>
      </c>
      <c r="R90" s="90" cm="1">
        <f t="array" ref="R90">SUMPRODUCT(--(R$8&lt;=Model2!$D$9:'Model2'!$CN$9),--(R$9&gt;=Model2!$D$9:'Model2'!$CN$9),Model2!$D94:'Model2'!$CN94)</f>
        <v>1062.9625531953516</v>
      </c>
      <c r="S90" s="90" cm="1">
        <f t="array" ref="S90">SUMPRODUCT(--(S$8&lt;=Model2!$D$9:'Model2'!$CN$9),--(S$9&gt;=Model2!$D$9:'Model2'!$CN$9),Model2!$D94:'Model2'!$CN94)</f>
        <v>1056.1106808551194</v>
      </c>
      <c r="T90" s="90" cm="1">
        <f t="array" ref="T90">SUMPRODUCT(--(T$8&lt;=Model2!$D$9:'Model2'!$CN$9),--(T$9&gt;=Model2!$D$9:'Model2'!$CN$9),Model2!$D94:'Model2'!$CN94)</f>
        <v>1048.916214897883</v>
      </c>
      <c r="U90" s="90" cm="1">
        <f t="array" ref="U90">SUMPRODUCT(--(U$8&lt;=Model2!$D$9:'Model2'!$CN$9),--(U$9&gt;=Model2!$D$9:'Model2'!$CN$9),Model2!$D94:'Model2'!$CN94)</f>
        <v>1295.6571844604587</v>
      </c>
      <c r="V90" s="90" cm="1">
        <f t="array" ref="V90">SUMPRODUCT(--(V$8&lt;=Model2!$D$9:'Model2'!$CN$9),--(V$9&gt;=Model2!$D$9:'Model2'!$CN$9),Model2!$D94:'Model2'!$CN94)</f>
        <v>1033.4301269249663</v>
      </c>
      <c r="W90" s="90" cm="1">
        <f t="array" ref="W90">SUMPRODUCT(--(W$8&lt;=Model2!$D$9:'Model2'!$CN$9),--(W$9&gt;=Model2!$D$9:'Model2'!$CN$9),Model2!$D94:'Model2'!$CN94)</f>
        <v>1025.1016332712188</v>
      </c>
      <c r="X90" s="90" cm="1">
        <f t="array" ref="X90">SUMPRODUCT(--(X$8&lt;=Model2!$D$9:'Model2'!$CN$9),--(X$9&gt;=Model2!$D$9:'Model2'!$CN$9),Model2!$D94:'Model2'!$CN94)</f>
        <v>1016.3567149347109</v>
      </c>
      <c r="Y90" s="90" cm="1">
        <f t="array" ref="Y90">SUMPRODUCT(--(Y$8&lt;=Model2!$D$9:'Model2'!$CN$9),--(Y$9&gt;=Model2!$D$9:'Model2'!$CN$9),Model2!$D94:'Model2'!$CN94)</f>
        <v>1316.2719055691123</v>
      </c>
      <c r="Z90" s="90" cm="1">
        <f t="array" ref="Z90">SUMPRODUCT(--(Z$8&lt;=Model2!$D$9:'Model2'!$CN$9),--(Z$9&gt;=Model2!$D$9:'Model2'!$CN$9),Model2!$D94:'Model2'!$CN94)</f>
        <v>997.53327821553466</v>
      </c>
      <c r="AA90" s="90"/>
    </row>
    <row r="91" spans="1:27" ht="12.75" customHeight="1">
      <c r="A91" s="90"/>
      <c r="B91" s="94" t="s">
        <v>190</v>
      </c>
      <c r="C91" s="95"/>
      <c r="D91" s="76">
        <f>Model2!D95</f>
        <v>145596.67499999999</v>
      </c>
      <c r="E91" s="95" cm="1">
        <f t="array" ref="E91">SUMPRODUCT(--(E$9=Model2!$D$9:'Model2'!$CN$9),Model2!$D95:'Model2'!$CN95)</f>
        <v>144396.67499999999</v>
      </c>
      <c r="F91" s="95" cm="1">
        <f t="array" ref="F91">SUMPRODUCT(--(F$9=Model2!$D$9:'Model2'!$CN$9),Model2!$D95:'Model2'!$CN95)</f>
        <v>74442.689583333326</v>
      </c>
      <c r="G91" s="95" cm="1">
        <f t="array" ref="G91">SUMPRODUCT(--(G$9=Model2!$D$9:'Model2'!$CN$9),Model2!$D95:'Model2'!$CN95)</f>
        <v>22407.711615885448</v>
      </c>
      <c r="H91" s="95" cm="1">
        <f t="array" ref="H91">SUMPRODUCT(--(H$9=Model2!$D$9:'Model2'!$CN$9),Model2!$D95:'Model2'!$CN95)</f>
        <v>44496.607543750084</v>
      </c>
      <c r="I91" s="95" cm="1">
        <f t="array" ref="I91">SUMPRODUCT(--(I$9=Model2!$D$9:'Model2'!$CN$9),Model2!$D95:'Model2'!$CN95)</f>
        <v>81204.628685910007</v>
      </c>
      <c r="J91" s="95" cm="1">
        <f t="array" ref="J91">SUMPRODUCT(--(J$9=Model2!$D$9:'Model2'!$CN$9),Model2!$D95:'Model2'!$CN95)</f>
        <v>77887.644113787799</v>
      </c>
      <c r="K91" s="95" cm="1">
        <f t="array" ref="K91">SUMPRODUCT(--(K$9=Model2!$D$9:'Model2'!$CN$9),Model2!$D95:'Model2'!$CN95)</f>
        <v>34531.728211042107</v>
      </c>
      <c r="L91" s="95" cm="1">
        <f t="array" ref="L91">SUMPRODUCT(--(L$9=Model2!$D$9:'Model2'!$CN$9),Model2!$D95:'Model2'!$CN95)</f>
        <v>53790.844651845706</v>
      </c>
      <c r="M91" s="95" cm="1">
        <f t="array" ref="M91">SUMPRODUCT(--(M$9=Model2!$D$9:'Model2'!$CN$9),Model2!$D95:'Model2'!$CN95)</f>
        <v>79533.340713726269</v>
      </c>
      <c r="N91" s="95" cm="1">
        <f t="array" ref="N91">SUMPRODUCT(--(N$9=Model2!$D$9:'Model2'!$CN$9),Model2!$D95:'Model2'!$CN95)</f>
        <v>106412.18962201192</v>
      </c>
      <c r="O91" s="95" cm="1">
        <f t="array" ref="O91">SUMPRODUCT(--(O$9=Model2!$D$9:'Model2'!$CN$9),Model2!$D95:'Model2'!$CN95)</f>
        <v>155525.34296859725</v>
      </c>
      <c r="P91" s="95" cm="1">
        <f t="array" ref="P91">SUMPRODUCT(--(P$9=Model2!$D$9:'Model2'!$CN$9),Model2!$D95:'Model2'!$CN95)</f>
        <v>156601.04596469281</v>
      </c>
      <c r="Q91" s="95" cm="1">
        <f t="array" ref="Q91">SUMPRODUCT(--(Q$9=Model2!$D$9:'Model2'!$CN$9),Model2!$D95:'Model2'!$CN95)</f>
        <v>157879.74336708005</v>
      </c>
      <c r="R91" s="95" cm="1">
        <f t="array" ref="R91">SUMPRODUCT(--(R$9=Model2!$D$9:'Model2'!$CN$9),Model2!$D95:'Model2'!$CN95)</f>
        <v>158942.70592027536</v>
      </c>
      <c r="S91" s="95" cm="1">
        <f t="array" ref="S91">SUMPRODUCT(--(S$9=Model2!$D$9:'Model2'!$CN$9),Model2!$D95:'Model2'!$CN95)</f>
        <v>159998.81660113053</v>
      </c>
      <c r="T91" s="95" cm="1">
        <f t="array" ref="T91">SUMPRODUCT(--(T$9=Model2!$D$9:'Model2'!$CN$9),Model2!$D95:'Model2'!$CN95)</f>
        <v>161047.73281602841</v>
      </c>
      <c r="U91" s="95" cm="1">
        <f t="array" ref="U91">SUMPRODUCT(--(U$9=Model2!$D$9:'Model2'!$CN$9),Model2!$D95:'Model2'!$CN95)</f>
        <v>162343.39000048884</v>
      </c>
      <c r="V91" s="95" cm="1">
        <f t="array" ref="V91">SUMPRODUCT(--(V$9=Model2!$D$9:'Model2'!$CN$9),Model2!$D95:'Model2'!$CN95)</f>
        <v>163376.82012741384</v>
      </c>
      <c r="W91" s="95" cm="1">
        <f t="array" ref="W91">SUMPRODUCT(--(W$9=Model2!$D$9:'Model2'!$CN$9),Model2!$D95:'Model2'!$CN95)</f>
        <v>164401.92176068507</v>
      </c>
      <c r="X91" s="95" cm="1">
        <f t="array" ref="X91">SUMPRODUCT(--(X$9=Model2!$D$9:'Model2'!$CN$9),Model2!$D95:'Model2'!$CN95)</f>
        <v>165418.27847561979</v>
      </c>
      <c r="Y91" s="95" cm="1">
        <f t="array" ref="Y91">SUMPRODUCT(--(Y$9=Model2!$D$9:'Model2'!$CN$9),Model2!$D95:'Model2'!$CN95)</f>
        <v>166734.55038118892</v>
      </c>
      <c r="Z91" s="95" cm="1">
        <f t="array" ref="Z91">SUMPRODUCT(--(Z$9=Model2!$D$9:'Model2'!$CN$9),Model2!$D95:'Model2'!$CN95)</f>
        <v>167732.08365940448</v>
      </c>
      <c r="AA91" s="95"/>
    </row>
    <row r="92" spans="1:27" ht="12.75" customHeight="1">
      <c r="A92" s="90"/>
      <c r="B92" s="93"/>
      <c r="C92" s="90"/>
      <c r="D92" s="92">
        <f>Model2!D96</f>
        <v>0</v>
      </c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</row>
    <row r="93" spans="1:27" ht="12.75" customHeight="1">
      <c r="A93" s="90"/>
      <c r="B93" s="96" t="s">
        <v>191</v>
      </c>
      <c r="C93" s="96">
        <f>$Z$77*(1+'выручка номеров'!$O$3)/(DiscRate!$E$3-'выручка номеров'!$O$3)</f>
        <v>4581507.6047555031</v>
      </c>
      <c r="D93" s="92">
        <f>Model2!D97</f>
        <v>0</v>
      </c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</row>
    <row r="94" spans="1:27" ht="12.75" customHeight="1">
      <c r="A94" s="90"/>
      <c r="B94" s="96" t="s">
        <v>192</v>
      </c>
      <c r="C94" s="96">
        <f>SUM(D94:AA94)</f>
        <v>7385157.4836663892</v>
      </c>
      <c r="D94" s="92">
        <f>Model2!D98</f>
        <v>0</v>
      </c>
      <c r="E94" s="90">
        <f t="shared" ref="E94:Z94" si="16">E81+E77</f>
        <v>-1200</v>
      </c>
      <c r="F94" s="90">
        <f t="shared" si="16"/>
        <v>-69953.985416666663</v>
      </c>
      <c r="G94" s="90">
        <f t="shared" si="16"/>
        <v>-178241.51244791667</v>
      </c>
      <c r="H94" s="90">
        <f t="shared" si="16"/>
        <v>-396393.86382291664</v>
      </c>
      <c r="I94" s="90">
        <f t="shared" si="16"/>
        <v>79683.042436825534</v>
      </c>
      <c r="J94" s="90">
        <f t="shared" si="16"/>
        <v>138967.81840573702</v>
      </c>
      <c r="K94" s="90">
        <f t="shared" si="16"/>
        <v>141336.30851892324</v>
      </c>
      <c r="L94" s="90">
        <f t="shared" si="16"/>
        <v>147538.69507050674</v>
      </c>
      <c r="M94" s="90">
        <f t="shared" si="16"/>
        <v>154454.97637128347</v>
      </c>
      <c r="N94" s="90">
        <f t="shared" si="16"/>
        <v>161273.09344971401</v>
      </c>
      <c r="O94" s="90">
        <f t="shared" si="16"/>
        <v>168866.20211828762</v>
      </c>
      <c r="P94" s="90">
        <f t="shared" si="16"/>
        <v>177909.0557610353</v>
      </c>
      <c r="Q94" s="90">
        <f t="shared" si="16"/>
        <v>184198.77052023908</v>
      </c>
      <c r="R94" s="90">
        <f t="shared" si="16"/>
        <v>187266.56430419578</v>
      </c>
      <c r="S94" s="90">
        <f t="shared" si="16"/>
        <v>197363.67305969633</v>
      </c>
      <c r="T94" s="90">
        <f t="shared" si="16"/>
        <v>207965.63725297185</v>
      </c>
      <c r="U94" s="90">
        <f t="shared" si="16"/>
        <v>219351.99481472885</v>
      </c>
      <c r="V94" s="90">
        <f t="shared" si="16"/>
        <v>230786.3651789974</v>
      </c>
      <c r="W94" s="90">
        <f t="shared" si="16"/>
        <v>243059.46397823808</v>
      </c>
      <c r="X94" s="90">
        <f t="shared" si="16"/>
        <v>255946.21771744057</v>
      </c>
      <c r="Y94" s="90">
        <f t="shared" si="16"/>
        <v>269786.40649849101</v>
      </c>
      <c r="Z94" s="90">
        <f t="shared" si="16"/>
        <v>283684.95514107414</v>
      </c>
      <c r="AA94" s="90">
        <f>C93</f>
        <v>4581507.6047555031</v>
      </c>
    </row>
    <row r="95" spans="1:27" ht="12.75" customHeight="1">
      <c r="A95" s="90"/>
      <c r="B95" s="96" t="s">
        <v>193</v>
      </c>
      <c r="C95" s="96">
        <f>AA95</f>
        <v>7385157.4836663892</v>
      </c>
      <c r="D95" s="92">
        <f>Model2!D99</f>
        <v>0</v>
      </c>
      <c r="E95" s="90">
        <f>D95+E94</f>
        <v>-1200</v>
      </c>
      <c r="F95" s="90">
        <f t="shared" ref="F95:AA95" si="17">E95+F94</f>
        <v>-71153.985416666663</v>
      </c>
      <c r="G95" s="90">
        <f t="shared" si="17"/>
        <v>-249395.49786458333</v>
      </c>
      <c r="H95" s="90">
        <f t="shared" si="17"/>
        <v>-645789.36168750003</v>
      </c>
      <c r="I95" s="90">
        <f t="shared" si="17"/>
        <v>-566106.31925067445</v>
      </c>
      <c r="J95" s="90">
        <f t="shared" si="17"/>
        <v>-427138.5008449374</v>
      </c>
      <c r="K95" s="90">
        <f t="shared" si="17"/>
        <v>-285802.19232601416</v>
      </c>
      <c r="L95" s="90">
        <f t="shared" si="17"/>
        <v>-138263.49725550742</v>
      </c>
      <c r="M95" s="90">
        <f t="shared" si="17"/>
        <v>16191.479115776048</v>
      </c>
      <c r="N95" s="90">
        <f t="shared" si="17"/>
        <v>177464.57256549006</v>
      </c>
      <c r="O95" s="90">
        <f t="shared" si="17"/>
        <v>346330.77468377771</v>
      </c>
      <c r="P95" s="90">
        <f t="shared" si="17"/>
        <v>524239.83044481301</v>
      </c>
      <c r="Q95" s="90">
        <f t="shared" si="17"/>
        <v>708438.60096505214</v>
      </c>
      <c r="R95" s="90">
        <f t="shared" si="17"/>
        <v>895705.16526924795</v>
      </c>
      <c r="S95" s="90">
        <f t="shared" si="17"/>
        <v>1093068.8383289443</v>
      </c>
      <c r="T95" s="90">
        <f t="shared" si="17"/>
        <v>1301034.475581916</v>
      </c>
      <c r="U95" s="90">
        <f t="shared" si="17"/>
        <v>1520386.4703966449</v>
      </c>
      <c r="V95" s="90">
        <f t="shared" si="17"/>
        <v>1751172.8355756423</v>
      </c>
      <c r="W95" s="90">
        <f t="shared" si="17"/>
        <v>1994232.2995538805</v>
      </c>
      <c r="X95" s="90">
        <f t="shared" si="17"/>
        <v>2250178.5172713213</v>
      </c>
      <c r="Y95" s="90">
        <f t="shared" si="17"/>
        <v>2519964.9237698121</v>
      </c>
      <c r="Z95" s="90">
        <f t="shared" si="17"/>
        <v>2803649.8789108861</v>
      </c>
      <c r="AA95" s="90">
        <f t="shared" si="17"/>
        <v>7385157.4836663892</v>
      </c>
    </row>
    <row r="96" spans="1:27" ht="12.75" customHeight="1">
      <c r="A96" s="90"/>
      <c r="B96" s="96" t="s">
        <v>194</v>
      </c>
      <c r="C96" s="96">
        <f>SUM(Model2!D100:'Model2'!CO100)</f>
        <v>1342249.5050768889</v>
      </c>
      <c r="D96" s="92">
        <f>Model2!D100</f>
        <v>0</v>
      </c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</row>
    <row r="97" spans="1:27" ht="12.75" customHeight="1">
      <c r="A97" s="90"/>
      <c r="B97" s="96" t="s">
        <v>195</v>
      </c>
      <c r="C97" s="96">
        <f>Model2!CO101</f>
        <v>1342249.5050768889</v>
      </c>
      <c r="D97" s="92">
        <f>Model2!D101</f>
        <v>0</v>
      </c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</row>
    <row r="98" spans="1:27" ht="12.75" customHeight="1">
      <c r="A98" s="90"/>
      <c r="B98" s="96" t="s">
        <v>196</v>
      </c>
      <c r="C98" s="96">
        <f>Model2!D98+NPV(Assump!D11,Model2!E98:CN98)+Model2!CO100</f>
        <v>1342249.505076888</v>
      </c>
      <c r="D98" s="92">
        <f>Model2!D102</f>
        <v>0</v>
      </c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</row>
    <row r="99" spans="1:27" ht="12.75" customHeight="1">
      <c r="A99" s="90"/>
      <c r="B99" s="408" t="s">
        <v>605</v>
      </c>
      <c r="C99" s="97">
        <f>IRR(D94:AA94)</f>
        <v>0.22802749736952888</v>
      </c>
      <c r="D99" s="92">
        <f>Model2!D103</f>
        <v>0.16013167818587215</v>
      </c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</row>
    <row r="100" spans="1:27" ht="12.75" customHeight="1">
      <c r="A100" s="90"/>
      <c r="B100" s="96" t="s">
        <v>199</v>
      </c>
      <c r="C100" s="101">
        <f>(NPV(Assump!D11,Model2!E81:CN81)+Model2!D81+Model2!CO100)/-(NPV(Assump!D11,Model2!E85:Z85)+Model2!D85)</f>
        <v>4.1455353533919928</v>
      </c>
      <c r="D100" s="92">
        <f>Model2!D104</f>
        <v>0</v>
      </c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</row>
    <row r="101" spans="1:27" ht="12.75" customHeight="1">
      <c r="A101" s="90"/>
      <c r="B101" s="96" t="s">
        <v>200</v>
      </c>
      <c r="C101" s="96">
        <f>(COUNTIF(Model2!D99:CN99,"&lt;0")+1)/4</f>
        <v>9</v>
      </c>
      <c r="D101" s="92">
        <f>Model2!D105</f>
        <v>0</v>
      </c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</row>
    <row r="102" spans="1:27" ht="12.75" customHeight="1">
      <c r="A102" s="90"/>
      <c r="B102" s="96" t="s">
        <v>201</v>
      </c>
      <c r="C102" s="96">
        <f>IF(Model2!C102&lt;0,"выходит за рамки модели",(COUNTIF(Model2!D101:CN101,"&lt;0")+1)/4)</f>
        <v>11.5</v>
      </c>
      <c r="D102" s="92">
        <f>Model2!D106</f>
        <v>0</v>
      </c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</row>
    <row r="103" spans="1:27" ht="12.75" customHeight="1">
      <c r="A103" s="90"/>
      <c r="B103" s="102" t="s">
        <v>202</v>
      </c>
      <c r="C103" s="102">
        <f>SUM(D103:AA103)</f>
        <v>2625991.7961648433</v>
      </c>
      <c r="D103" s="90">
        <f>Model2!D107</f>
        <v>0</v>
      </c>
      <c r="E103" s="90">
        <f>E81*(Финансирование!C9)+(E77+E86+E87)</f>
        <v>-1200</v>
      </c>
      <c r="F103" s="90">
        <f>F81*(Финансирование!D9)+(F77+F86+F87)</f>
        <v>-14950.797083333333</v>
      </c>
      <c r="G103" s="90">
        <f>G81*(Финансирование!E9)+(G77+G86+G87)</f>
        <v>-2997.2089570312505</v>
      </c>
      <c r="H103" s="90">
        <f>H81*(Финансирование!F9)+(H77+H86+H87)</f>
        <v>-20477.90974921875</v>
      </c>
      <c r="I103" s="90">
        <f>I81*(Финансирование!G9)+(I77+I86+I87)</f>
        <v>-14250.815107840208</v>
      </c>
      <c r="J103" s="90">
        <f>J81*(Финансирование!H9)+(J77+J86+J87)</f>
        <v>17949.177789130015</v>
      </c>
      <c r="K103" s="90">
        <f>K81*(Финансирование!I9)+(K77+K86+K87)</f>
        <v>19962.520307084262</v>
      </c>
      <c r="L103" s="90">
        <f>L81*(Финансирование!J9)+(L77+L86+L87)</f>
        <v>22870.826687551409</v>
      </c>
      <c r="M103" s="90">
        <f>M81*(Финансирование!K9)+(M77+M86+M87)</f>
        <v>25742.496061880578</v>
      </c>
      <c r="N103" s="90">
        <f>N81*(Финансирование!L9)+(N77+N86+N87)</f>
        <v>26878.848908285647</v>
      </c>
      <c r="O103" s="90">
        <f>O81*(Финансирование!M9)+(O77+O86+O87)</f>
        <v>109145.55308122643</v>
      </c>
      <c r="P103" s="90">
        <f>P81*(Финансирование!N9)+(P77+P86+P87)</f>
        <v>177909.0557610353</v>
      </c>
      <c r="Q103" s="90">
        <f>Q81*(Финансирование!O9)+(Q77+Q86+Q87)</f>
        <v>184198.77052023908</v>
      </c>
      <c r="R103" s="90">
        <f>R81*(Финансирование!P9)+(R77+R86+R87)</f>
        <v>187266.56430419578</v>
      </c>
      <c r="S103" s="90">
        <f>S81*(Финансирование!Q9)+(S77+S86+S87)</f>
        <v>197363.67305969633</v>
      </c>
      <c r="T103" s="90">
        <f>T81*(Финансирование!R9)+(T77+T86+T87)</f>
        <v>207965.63725297185</v>
      </c>
      <c r="U103" s="90">
        <f>U81*(Финансирование!S9)+(U77+U86+U87)</f>
        <v>219351.99481472885</v>
      </c>
      <c r="V103" s="90">
        <f>V81*(Финансирование!T9)+(V77+V86+V87)</f>
        <v>230786.3651789974</v>
      </c>
      <c r="W103" s="90">
        <f>W81*(Финансирование!U9)+(W77+W86+W87)</f>
        <v>243059.46397823808</v>
      </c>
      <c r="X103" s="90">
        <f>X81*(Финансирование!V9)+(X77+X86+X87)</f>
        <v>255946.21771744057</v>
      </c>
      <c r="Y103" s="90">
        <f>Y81*(Финансирование!W9)+(Y77+Y86+Y87)</f>
        <v>269786.40649849101</v>
      </c>
      <c r="Z103" s="90">
        <f>Z81*(Финансирование!X9)+(Z77+Z86+Z87)</f>
        <v>283684.95514107414</v>
      </c>
      <c r="AA103" s="90">
        <f>AA81*(Финансирование!Y9)+(AA77+AA86+AA87)</f>
        <v>0</v>
      </c>
    </row>
    <row r="104" spans="1:27" ht="12.75" customHeight="1">
      <c r="A104" s="90"/>
      <c r="B104" s="102" t="s">
        <v>203</v>
      </c>
      <c r="C104" s="102">
        <f>Model2!CO108</f>
        <v>2518412.0307481769</v>
      </c>
      <c r="D104" s="92">
        <f>Model2!D108</f>
        <v>0</v>
      </c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</row>
    <row r="105" spans="1:27" ht="12.75" customHeight="1">
      <c r="A105" s="90"/>
      <c r="B105" s="102" t="s">
        <v>204</v>
      </c>
      <c r="C105" s="102">
        <f>SUM(Model2!D109:CO109)</f>
        <v>-12288.345960562254</v>
      </c>
      <c r="D105" s="92">
        <f>Model2!D109</f>
        <v>0</v>
      </c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</row>
    <row r="106" spans="1:27" ht="12.75" customHeight="1">
      <c r="A106" s="90"/>
      <c r="B106" s="102" t="s">
        <v>205</v>
      </c>
      <c r="C106" s="102">
        <f>Model2!CO110</f>
        <v>-12288.345960562254</v>
      </c>
      <c r="D106" s="92">
        <f>Model2!D110</f>
        <v>0</v>
      </c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</row>
    <row r="107" spans="1:27" ht="12.75" customHeight="1">
      <c r="A107" s="90"/>
      <c r="B107" s="102" t="s">
        <v>206</v>
      </c>
      <c r="C107" s="102">
        <f>Model2!D107+NPV(DiscRate!G20,Model2!E107:CN107)+Model2!CO109</f>
        <v>-12288.34596056225</v>
      </c>
      <c r="D107" s="92">
        <f>Model2!D111</f>
        <v>0</v>
      </c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</row>
    <row r="108" spans="1:27" ht="12.75" customHeight="1">
      <c r="A108" s="90"/>
      <c r="B108" s="416" t="s">
        <v>606</v>
      </c>
      <c r="C108" s="103">
        <f>IRR(D103:AA103)</f>
        <v>0.44180563987487109</v>
      </c>
      <c r="D108" s="92">
        <f>Model2!D112</f>
        <v>0.16278210897451739</v>
      </c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</row>
    <row r="109" spans="1:27" ht="12.75" customHeight="1">
      <c r="A109" s="90"/>
      <c r="B109" s="102" t="s">
        <v>208</v>
      </c>
      <c r="C109" s="102">
        <f>(COUNTIF(Model2!D108:CO108,"&lt;0")+1)/4</f>
        <v>10.25</v>
      </c>
      <c r="D109" s="92">
        <f>Model2!D113</f>
        <v>0</v>
      </c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</row>
    <row r="110" spans="1:27" ht="12.75" customHeight="1">
      <c r="A110" s="90"/>
      <c r="B110" s="102" t="s">
        <v>209</v>
      </c>
      <c r="C110" s="102" t="str">
        <f>IF(Model2!C110&lt;0,"выходит за рамки модели",(COUNTIF(Model2!D110:CO110,"&lt;0")+1)/4)</f>
        <v>выходит за рамки модели</v>
      </c>
      <c r="D110" s="92">
        <f>Model2!D114</f>
        <v>0</v>
      </c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</row>
    <row r="111" spans="1:27" ht="12.75" customHeight="1">
      <c r="A111" s="90"/>
      <c r="B111" s="96" t="s">
        <v>210</v>
      </c>
      <c r="C111" s="96"/>
      <c r="D111" s="92" t="str">
        <f>Model2!D115</f>
        <v>-</v>
      </c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</row>
    <row r="112" spans="1:27" ht="12.75" customHeight="1">
      <c r="A112" s="90"/>
      <c r="B112" s="96" t="s">
        <v>211</v>
      </c>
      <c r="C112" s="96"/>
      <c r="D112" s="92">
        <f>Model2!D116</f>
        <v>0</v>
      </c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</row>
    <row r="113" spans="1:27" ht="12.75" customHeight="1">
      <c r="A113" s="90"/>
      <c r="B113" s="96" t="s">
        <v>212</v>
      </c>
      <c r="C113" s="96"/>
      <c r="D113" s="92">
        <f>Model2!D117</f>
        <v>0</v>
      </c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</row>
    <row r="114" spans="1:27" ht="12.75" customHeight="1">
      <c r="A114" s="90"/>
      <c r="B114" s="96" t="s">
        <v>213</v>
      </c>
      <c r="C114" s="96"/>
      <c r="D114" s="92" t="str">
        <f>Model2!D118</f>
        <v>-</v>
      </c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</row>
    <row r="115" spans="1:27" ht="12.75" customHeight="1">
      <c r="A115" s="90"/>
      <c r="B115" s="96" t="s">
        <v>214</v>
      </c>
      <c r="C115" s="96"/>
      <c r="D115" s="92" t="str">
        <f>Model2!D119</f>
        <v>-</v>
      </c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</row>
    <row r="116" spans="1:27" ht="12.75" customHeight="1">
      <c r="A116" s="90"/>
      <c r="B116" s="408" t="s">
        <v>215</v>
      </c>
      <c r="C116" s="96"/>
      <c r="D116" s="92">
        <f>Model2!D120</f>
        <v>145596.67499999999</v>
      </c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</row>
    <row r="117" spans="1:27" ht="12.75" customHeight="1">
      <c r="A117" s="90"/>
      <c r="B117" s="96" t="s">
        <v>216</v>
      </c>
      <c r="C117" s="96"/>
      <c r="D117" s="92" t="str">
        <f>Model2!D121</f>
        <v>-</v>
      </c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</row>
    <row r="118" spans="1:27" ht="12.75" customHeight="1">
      <c r="A118" s="90"/>
      <c r="B118" s="96" t="s">
        <v>217</v>
      </c>
      <c r="C118" s="96">
        <f>SUM(Model2!D122:CN122)</f>
        <v>2785567.564410618</v>
      </c>
      <c r="D118" s="92">
        <f>Model2!D122</f>
        <v>0</v>
      </c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</row>
    <row r="119" spans="1:27" ht="12.75" customHeight="1">
      <c r="A119" s="90"/>
      <c r="B119" s="96" t="s">
        <v>218</v>
      </c>
      <c r="C119" s="96">
        <f>Model2!D122+NPV(Assump!D12,Model2!E122:CN122)</f>
        <v>579544.02981815906</v>
      </c>
      <c r="D119" s="92">
        <f>Model2!D123</f>
        <v>0</v>
      </c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</row>
    <row r="120" spans="1:27" ht="12.75" customHeight="1">
      <c r="A120" s="90"/>
      <c r="B120" s="96" t="s">
        <v>219</v>
      </c>
      <c r="C120" s="96">
        <f>SUM(Model2!D124:CN124)</f>
        <v>121330.5625</v>
      </c>
      <c r="D120" s="92">
        <f>Model2!D124</f>
        <v>0</v>
      </c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</row>
    <row r="121" spans="1:27" ht="12.75" customHeight="1">
      <c r="A121" s="90"/>
      <c r="B121" s="96" t="s">
        <v>220</v>
      </c>
      <c r="C121" s="96">
        <f>Model2!D124+NPV(Assump!D12,Model2!E124:CN124)</f>
        <v>78275.561705568733</v>
      </c>
      <c r="D121" s="92">
        <f>Model2!D125</f>
        <v>0</v>
      </c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</row>
    <row r="122" spans="1:27" ht="12.75" customHeight="1">
      <c r="A122" s="90"/>
      <c r="B122" s="96" t="s">
        <v>221</v>
      </c>
      <c r="C122" s="96">
        <f>C119-C120</f>
        <v>458213.46731815906</v>
      </c>
      <c r="D122" s="90">
        <f>Model2!D126</f>
        <v>0</v>
      </c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</row>
    <row r="123" spans="1:27" ht="12.75" customHeight="1">
      <c r="A123" s="35"/>
      <c r="B123" s="96" t="s">
        <v>222</v>
      </c>
      <c r="C123" s="107">
        <f>C119/C121</f>
        <v>7.4038948707656322</v>
      </c>
      <c r="D123" s="60">
        <f>Model2!D127</f>
        <v>0</v>
      </c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</row>
    <row r="124" spans="1:27" ht="12.75" customHeight="1">
      <c r="A124" s="35"/>
      <c r="B124" s="90"/>
      <c r="C124" s="90"/>
      <c r="D124" s="60">
        <f>Model2!D128</f>
        <v>0</v>
      </c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</row>
    <row r="125" spans="1:27" ht="12.75" customHeight="1" outlineLevel="1">
      <c r="A125" s="35"/>
      <c r="B125" s="35" t="s">
        <v>223</v>
      </c>
      <c r="C125" s="35"/>
      <c r="D125" s="60">
        <f>Model2!D129</f>
        <v>0</v>
      </c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</row>
    <row r="126" spans="1:27" ht="12.75" customHeight="1" outlineLevel="1">
      <c r="A126" s="35"/>
      <c r="B126" s="37" t="s">
        <v>224</v>
      </c>
      <c r="C126" s="37"/>
      <c r="D126" s="60">
        <f>Model2!D130</f>
        <v>1302230.6892965576</v>
      </c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</row>
    <row r="127" spans="1:27" ht="12.75" customHeight="1" outlineLevel="1">
      <c r="A127" s="35"/>
      <c r="B127" s="35"/>
      <c r="C127" s="35"/>
      <c r="D127" s="60">
        <f>Model2!D131</f>
        <v>0</v>
      </c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</row>
    <row r="128" spans="1:27" ht="12.75" customHeight="1" outlineLevel="1">
      <c r="A128" s="35"/>
      <c r="B128" s="35" t="s">
        <v>164</v>
      </c>
      <c r="C128" s="35"/>
      <c r="D128" s="60">
        <f>Model2!D132</f>
        <v>0</v>
      </c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</row>
    <row r="129" spans="1:27" ht="12.75" customHeight="1" outlineLevel="1">
      <c r="A129" s="35"/>
      <c r="B129" s="49" t="s">
        <v>160</v>
      </c>
      <c r="C129" s="50">
        <f t="shared" ref="C129:C135" si="18">SUM(D129:AA129)</f>
        <v>4136856.9415455246</v>
      </c>
      <c r="D129" s="53">
        <f>Model2!D133</f>
        <v>0</v>
      </c>
      <c r="E129" s="50" cm="1">
        <f t="array" ref="E129">SUMPRODUCT(--(E$8&lt;=Model2!$D$9:'Model2'!$CN$9),--(E$9&gt;=Model2!$D$9:'Model2'!$CN$9),Model2!$D133:'Model2'!$CN133)</f>
        <v>-1200</v>
      </c>
      <c r="F129" s="50" cm="1">
        <f t="array" ref="F129">SUMPRODUCT(--(F$8&lt;=Model2!$D$9:'Model2'!$CN$9),--(F$9&gt;=Model2!$D$9:'Model2'!$CN$9),Model2!$D133:'Model2'!$CN133)</f>
        <v>-1200</v>
      </c>
      <c r="G129" s="50" cm="1">
        <f t="array" ref="G129">SUMPRODUCT(--(G$8&lt;=Model2!$D$9:'Model2'!$CN$9),--(G$9&gt;=Model2!$D$9:'Model2'!$CN$9),Model2!$D133:'Model2'!$CN133)</f>
        <v>-1200</v>
      </c>
      <c r="H129" s="50" cm="1">
        <f t="array" ref="H129">SUMPRODUCT(--(H$8&lt;=Model2!$D$9:'Model2'!$CN$9),--(H$9&gt;=Model2!$D$9:'Model2'!$CN$9),Model2!$D133:'Model2'!$CN133)</f>
        <v>-1200</v>
      </c>
      <c r="I129" s="50" cm="1">
        <f t="array" ref="I129">SUMPRODUCT(--(I$8&lt;=Model2!$D$9:'Model2'!$CN$9),--(I$9&gt;=Model2!$D$9:'Model2'!$CN$9),Model2!$D133:'Model2'!$CN133)</f>
        <v>40685.557939347636</v>
      </c>
      <c r="J129" s="50" cm="1">
        <f t="array" ref="J129">SUMPRODUCT(--(J$8&lt;=Model2!$D$9:'Model2'!$CN$9),--(J$9&gt;=Model2!$D$9:'Model2'!$CN$9),Model2!$D133:'Model2'!$CN133)</f>
        <v>151984.90180698509</v>
      </c>
      <c r="K129" s="50" cm="1">
        <f t="array" ref="K129">SUMPRODUCT(--(K$8&lt;=Model2!$D$9:'Model2'!$CN$9),--(K$9&gt;=Model2!$D$9:'Model2'!$CN$9),Model2!$D133:'Model2'!$CN133)</f>
        <v>161240.07060806625</v>
      </c>
      <c r="L129" s="50" cm="1">
        <f t="array" ref="L129">SUMPRODUCT(--(L$8&lt;=Model2!$D$9:'Model2'!$CN$9),--(L$9&gt;=Model2!$D$9:'Model2'!$CN$9),Model2!$D133:'Model2'!$CN133)</f>
        <v>169848.76118035839</v>
      </c>
      <c r="M129" s="50" cm="1">
        <f t="array" ref="M129">SUMPRODUCT(--(M$8&lt;=Model2!$D$9:'Model2'!$CN$9),--(M$9&gt;=Model2!$D$9:'Model2'!$CN$9),Model2!$D133:'Model2'!$CN133)</f>
        <v>179273.42491473968</v>
      </c>
      <c r="N129" s="50" cm="1">
        <f t="array" ref="N129">SUMPRODUCT(--(N$8&lt;=Model2!$D$9:'Model2'!$CN$9),--(N$9&gt;=Model2!$D$9:'Model2'!$CN$9),Model2!$D133:'Model2'!$CN133)</f>
        <v>189169.32183584</v>
      </c>
      <c r="O129" s="50" cm="1">
        <f t="array" ref="O129">SUMPRODUCT(--(O$8&lt;=Model2!$D$9:'Model2'!$CN$9),--(O$9&gt;=Model2!$D$9:'Model2'!$CN$9),Model2!$D133:'Model2'!$CN133)</f>
        <v>199560.0136029954</v>
      </c>
      <c r="P129" s="50" cm="1">
        <f t="array" ref="P129">SUMPRODUCT(--(P$8&lt;=Model2!$D$9:'Model2'!$CN$9),--(P$9&gt;=Model2!$D$9:'Model2'!$CN$9),Model2!$D133:'Model2'!$CN133)</f>
        <v>210470.23995850855</v>
      </c>
      <c r="Q129" s="50" cm="1">
        <f t="array" ref="Q129">SUMPRODUCT(--(Q$8&lt;=Model2!$D$9:'Model2'!$CN$9),--(Q$9&gt;=Model2!$D$9:'Model2'!$CN$9),Model2!$D133:'Model2'!$CN133)</f>
        <v>221925.97763179734</v>
      </c>
      <c r="R129" s="50" cm="1">
        <f t="array" ref="R129">SUMPRODUCT(--(R$8&lt;=Model2!$D$9:'Model2'!$CN$9),--(R$9&gt;=Model2!$D$9:'Model2'!$CN$9),Model2!$D133:'Model2'!$CN133)</f>
        <v>233954.50218875054</v>
      </c>
      <c r="S129" s="50" cm="1">
        <f t="array" ref="S129">SUMPRODUCT(--(S$8&lt;=Model2!$D$9:'Model2'!$CN$9),--(S$9&gt;=Model2!$D$9:'Model2'!$CN$9),Model2!$D133:'Model2'!$CN133)</f>
        <v>246584.4529735515</v>
      </c>
      <c r="T129" s="50" cm="1">
        <f t="array" ref="T129">SUMPRODUCT(--(T$8&lt;=Model2!$D$9:'Model2'!$CN$9),--(T$9&gt;=Model2!$D$9:'Model2'!$CN$9),Model2!$D133:'Model2'!$CN133)</f>
        <v>259845.90129759247</v>
      </c>
      <c r="U129" s="50" cm="1">
        <f t="array" ref="U129">SUMPRODUCT(--(U$8&lt;=Model2!$D$9:'Model2'!$CN$9),--(U$9&gt;=Model2!$D$9:'Model2'!$CN$9),Model2!$D133:'Model2'!$CN133)</f>
        <v>273770.42203783547</v>
      </c>
      <c r="V129" s="50" cm="1">
        <f t="array" ref="V129">SUMPRODUCT(--(V$8&lt;=Model2!$D$9:'Model2'!$CN$9),--(V$9&gt;=Model2!$D$9:'Model2'!$CN$9),Model2!$D133:'Model2'!$CN133)</f>
        <v>288391.16881509055</v>
      </c>
      <c r="W129" s="50" cm="1">
        <f t="array" ref="W129">SUMPRODUCT(--(W$8&lt;=Model2!$D$9:'Model2'!$CN$9),--(W$9&gt;=Model2!$D$9:'Model2'!$CN$9),Model2!$D133:'Model2'!$CN133)</f>
        <v>303742.95293120854</v>
      </c>
      <c r="X129" s="50" cm="1">
        <f t="array" ref="X129">SUMPRODUCT(--(X$8&lt;=Model2!$D$9:'Model2'!$CN$9),--(X$9&gt;=Model2!$D$9:'Model2'!$CN$9),Model2!$D133:'Model2'!$CN133)</f>
        <v>319862.32625313231</v>
      </c>
      <c r="Y129" s="50" cm="1">
        <f t="array" ref="Y129">SUMPRODUCT(--(Y$8&lt;=Model2!$D$9:'Model2'!$CN$9),--(Y$9&gt;=Model2!$D$9:'Model2'!$CN$9),Model2!$D133:'Model2'!$CN133)</f>
        <v>336787.66824115231</v>
      </c>
      <c r="Z129" s="50" cm="1">
        <f t="array" ref="Z129">SUMPRODUCT(--(Z$8&lt;=Model2!$D$9:'Model2'!$CN$9),--(Z$9&gt;=Model2!$D$9:'Model2'!$CN$9),Model2!$D133:'Model2'!$CN133)</f>
        <v>354559.27732857334</v>
      </c>
      <c r="AA129" s="50"/>
    </row>
    <row r="130" spans="1:27" ht="12.75" customHeight="1" outlineLevel="1">
      <c r="A130" s="35"/>
      <c r="B130" s="63" t="s">
        <v>55</v>
      </c>
      <c r="C130" s="35">
        <f t="shared" si="18"/>
        <v>-21000</v>
      </c>
      <c r="D130" s="60">
        <f>Model2!D134</f>
        <v>0</v>
      </c>
      <c r="E130" s="35" cm="1">
        <f t="array" ref="E130">SUMPRODUCT(--(E$8&lt;=Model2!$D$9:'Model2'!$CN$9),--(E$9&gt;=Model2!$D$9:'Model2'!$CN$9),Model2!$D134:'Model2'!$CN134)</f>
        <v>0</v>
      </c>
      <c r="F130" s="35" cm="1">
        <f t="array" ref="F130">SUMPRODUCT(--(F$8&lt;=Model2!$D$9:'Model2'!$CN$9),--(F$9&gt;=Model2!$D$9:'Model2'!$CN$9),Model2!$D134:'Model2'!$CN134)</f>
        <v>0</v>
      </c>
      <c r="G130" s="35" cm="1">
        <f t="array" ref="G130">SUMPRODUCT(--(G$8&lt;=Model2!$D$9:'Model2'!$CN$9),--(G$9&gt;=Model2!$D$9:'Model2'!$CN$9),Model2!$D134:'Model2'!$CN134)</f>
        <v>0</v>
      </c>
      <c r="H130" s="35" cm="1">
        <f t="array" ref="H130">SUMPRODUCT(--(H$8&lt;=Model2!$D$9:'Model2'!$CN$9),--(H$9&gt;=Model2!$D$9:'Model2'!$CN$9),Model2!$D134:'Model2'!$CN134)</f>
        <v>0</v>
      </c>
      <c r="I130" s="35" cm="1">
        <f t="array" ref="I130">SUMPRODUCT(--(I$8&lt;=Model2!$D$9:'Model2'!$CN$9),--(I$9&gt;=Model2!$D$9:'Model2'!$CN$9),Model2!$D134:'Model2'!$CN134)</f>
        <v>-600</v>
      </c>
      <c r="J130" s="35" cm="1">
        <f t="array" ref="J130">SUMPRODUCT(--(J$8&lt;=Model2!$D$9:'Model2'!$CN$9),--(J$9&gt;=Model2!$D$9:'Model2'!$CN$9),Model2!$D134:'Model2'!$CN134)</f>
        <v>-1200</v>
      </c>
      <c r="K130" s="35" cm="1">
        <f t="array" ref="K130">SUMPRODUCT(--(K$8&lt;=Model2!$D$9:'Model2'!$CN$9),--(K$9&gt;=Model2!$D$9:'Model2'!$CN$9),Model2!$D134:'Model2'!$CN134)</f>
        <v>-1200</v>
      </c>
      <c r="L130" s="35" cm="1">
        <f t="array" ref="L130">SUMPRODUCT(--(L$8&lt;=Model2!$D$9:'Model2'!$CN$9),--(L$9&gt;=Model2!$D$9:'Model2'!$CN$9),Model2!$D134:'Model2'!$CN134)</f>
        <v>-1200</v>
      </c>
      <c r="M130" s="35" cm="1">
        <f t="array" ref="M130">SUMPRODUCT(--(M$8&lt;=Model2!$D$9:'Model2'!$CN$9),--(M$9&gt;=Model2!$D$9:'Model2'!$CN$9),Model2!$D134:'Model2'!$CN134)</f>
        <v>-1200</v>
      </c>
      <c r="N130" s="35" cm="1">
        <f t="array" ref="N130">SUMPRODUCT(--(N$8&lt;=Model2!$D$9:'Model2'!$CN$9),--(N$9&gt;=Model2!$D$9:'Model2'!$CN$9),Model2!$D134:'Model2'!$CN134)</f>
        <v>-1200</v>
      </c>
      <c r="O130" s="35" cm="1">
        <f t="array" ref="O130">SUMPRODUCT(--(O$8&lt;=Model2!$D$9:'Model2'!$CN$9),--(O$9&gt;=Model2!$D$9:'Model2'!$CN$9),Model2!$D134:'Model2'!$CN134)</f>
        <v>-1200</v>
      </c>
      <c r="P130" s="35" cm="1">
        <f t="array" ref="P130">SUMPRODUCT(--(P$8&lt;=Model2!$D$9:'Model2'!$CN$9),--(P$9&gt;=Model2!$D$9:'Model2'!$CN$9),Model2!$D134:'Model2'!$CN134)</f>
        <v>-1200</v>
      </c>
      <c r="Q130" s="35" cm="1">
        <f t="array" ref="Q130">SUMPRODUCT(--(Q$8&lt;=Model2!$D$9:'Model2'!$CN$9),--(Q$9&gt;=Model2!$D$9:'Model2'!$CN$9),Model2!$D134:'Model2'!$CN134)</f>
        <v>-1200</v>
      </c>
      <c r="R130" s="35" cm="1">
        <f t="array" ref="R130">SUMPRODUCT(--(R$8&lt;=Model2!$D$9:'Model2'!$CN$9),--(R$9&gt;=Model2!$D$9:'Model2'!$CN$9),Model2!$D134:'Model2'!$CN134)</f>
        <v>-1200</v>
      </c>
      <c r="S130" s="35" cm="1">
        <f t="array" ref="S130">SUMPRODUCT(--(S$8&lt;=Model2!$D$9:'Model2'!$CN$9),--(S$9&gt;=Model2!$D$9:'Model2'!$CN$9),Model2!$D134:'Model2'!$CN134)</f>
        <v>-1200</v>
      </c>
      <c r="T130" s="35" cm="1">
        <f t="array" ref="T130">SUMPRODUCT(--(T$8&lt;=Model2!$D$9:'Model2'!$CN$9),--(T$9&gt;=Model2!$D$9:'Model2'!$CN$9),Model2!$D134:'Model2'!$CN134)</f>
        <v>-1200</v>
      </c>
      <c r="U130" s="35" cm="1">
        <f t="array" ref="U130">SUMPRODUCT(--(U$8&lt;=Model2!$D$9:'Model2'!$CN$9),--(U$9&gt;=Model2!$D$9:'Model2'!$CN$9),Model2!$D134:'Model2'!$CN134)</f>
        <v>-1200</v>
      </c>
      <c r="V130" s="35" cm="1">
        <f t="array" ref="V130">SUMPRODUCT(--(V$8&lt;=Model2!$D$9:'Model2'!$CN$9),--(V$9&gt;=Model2!$D$9:'Model2'!$CN$9),Model2!$D134:'Model2'!$CN134)</f>
        <v>-1200</v>
      </c>
      <c r="W130" s="35" cm="1">
        <f t="array" ref="W130">SUMPRODUCT(--(W$8&lt;=Model2!$D$9:'Model2'!$CN$9),--(W$9&gt;=Model2!$D$9:'Model2'!$CN$9),Model2!$D134:'Model2'!$CN134)</f>
        <v>-1200</v>
      </c>
      <c r="X130" s="35" cm="1">
        <f t="array" ref="X130">SUMPRODUCT(--(X$8&lt;=Model2!$D$9:'Model2'!$CN$9),--(X$9&gt;=Model2!$D$9:'Model2'!$CN$9),Model2!$D134:'Model2'!$CN134)</f>
        <v>-1200</v>
      </c>
      <c r="Y130" s="35" cm="1">
        <f t="array" ref="Y130">SUMPRODUCT(--(Y$8&lt;=Model2!$D$9:'Model2'!$CN$9),--(Y$9&gt;=Model2!$D$9:'Model2'!$CN$9),Model2!$D134:'Model2'!$CN134)</f>
        <v>-1200</v>
      </c>
      <c r="Z130" s="35" cm="1">
        <f t="array" ref="Z130">SUMPRODUCT(--(Z$8&lt;=Model2!$D$9:'Model2'!$CN$9),--(Z$9&gt;=Model2!$D$9:'Model2'!$CN$9),Model2!$D134:'Model2'!$CN134)</f>
        <v>-1200</v>
      </c>
      <c r="AA130" s="35"/>
    </row>
    <row r="131" spans="1:27" ht="12.75" customHeight="1" outlineLevel="1">
      <c r="A131" s="35"/>
      <c r="B131" s="63" t="s">
        <v>162</v>
      </c>
      <c r="C131" s="35">
        <f t="shared" si="18"/>
        <v>-188173.39816270932</v>
      </c>
      <c r="D131" s="60">
        <f>Model2!D135</f>
        <v>0</v>
      </c>
      <c r="E131" s="35" cm="1">
        <f t="array" ref="E131">SUMPRODUCT(--(E$8&lt;=Model2!$D$9:'Model2'!$CN$9),--(E$9&gt;=Model2!$D$9:'Model2'!$CN$9),Model2!$D135:'Model2'!$CN135)</f>
        <v>0</v>
      </c>
      <c r="F131" s="35" cm="1">
        <f t="array" ref="F131">SUMPRODUCT(--(F$8&lt;=Model2!$D$9:'Model2'!$CN$9),--(F$9&gt;=Model2!$D$9:'Model2'!$CN$9),Model2!$D135:'Model2'!$CN135)</f>
        <v>0</v>
      </c>
      <c r="G131" s="35" cm="1">
        <f t="array" ref="G131">SUMPRODUCT(--(G$8&lt;=Model2!$D$9:'Model2'!$CN$9),--(G$9&gt;=Model2!$D$9:'Model2'!$CN$9),Model2!$D135:'Model2'!$CN135)</f>
        <v>-1797.2089570312505</v>
      </c>
      <c r="H131" s="35" cm="1">
        <f t="array" ref="H131">SUMPRODUCT(--(H$8&lt;=Model2!$D$9:'Model2'!$CN$9),--(H$9&gt;=Model2!$D$9:'Model2'!$CN$9),Model2!$D135:'Model2'!$CN135)</f>
        <v>-19277.90974921875</v>
      </c>
      <c r="I131" s="35" cm="1">
        <f t="array" ref="I131">SUMPRODUCT(--(I$8&lt;=Model2!$D$9:'Model2'!$CN$9),--(I$9&gt;=Model2!$D$9:'Model2'!$CN$9),Model2!$D135:'Model2'!$CN135)</f>
        <v>-43279.665955232209</v>
      </c>
      <c r="J131" s="35" cm="1">
        <f t="array" ref="J131">SUMPRODUCT(--(J$8&lt;=Model2!$D$9:'Model2'!$CN$9),--(J$9&gt;=Model2!$D$9:'Model2'!$CN$9),Model2!$D135:'Model2'!$CN135)</f>
        <v>-38710.635465083906</v>
      </c>
      <c r="K131" s="35" cm="1">
        <f t="array" ref="K131">SUMPRODUCT(--(K$8&lt;=Model2!$D$9:'Model2'!$CN$9),--(K$9&gt;=Model2!$D$9:'Model2'!$CN$9),Model2!$D135:'Model2'!$CN135)</f>
        <v>-32378.52407344868</v>
      </c>
      <c r="L131" s="35" cm="1">
        <f t="array" ref="L131">SUMPRODUCT(--(L$8&lt;=Model2!$D$9:'Model2'!$CN$9),--(L$9&gt;=Model2!$D$9:'Model2'!$CN$9),Model2!$D135:'Model2'!$CN135)</f>
        <v>-25372.589198872694</v>
      </c>
      <c r="M131" s="35" cm="1">
        <f t="array" ref="M131">SUMPRODUCT(--(M$8&lt;=Model2!$D$9:'Model2'!$CN$9),--(M$9&gt;=Model2!$D$9:'Model2'!$CN$9),Model2!$D135:'Model2'!$CN135)</f>
        <v>-17536.695294353049</v>
      </c>
      <c r="N131" s="35" cm="1">
        <f t="array" ref="N131">SUMPRODUCT(--(N$8&lt;=Model2!$D$9:'Model2'!$CN$9),--(N$9&gt;=Model2!$D$9:'Model2'!$CN$9),Model2!$D135:'Model2'!$CN135)</f>
        <v>-8721.0164197069007</v>
      </c>
      <c r="O131" s="35" cm="1">
        <f t="array" ref="O131">SUMPRODUCT(--(O$8&lt;=Model2!$D$9:'Model2'!$CN$9),--(O$9&gt;=Model2!$D$9:'Model2'!$CN$9),Model2!$D135:'Model2'!$CN135)</f>
        <v>-1099.1530497618621</v>
      </c>
      <c r="P131" s="35" cm="1">
        <f t="array" ref="P131">SUMPRODUCT(--(P$8&lt;=Model2!$D$9:'Model2'!$CN$9),--(P$9&gt;=Model2!$D$9:'Model2'!$CN$9),Model2!$D135:'Model2'!$CN135)</f>
        <v>0</v>
      </c>
      <c r="Q131" s="35" cm="1">
        <f t="array" ref="Q131">SUMPRODUCT(--(Q$8&lt;=Model2!$D$9:'Model2'!$CN$9),--(Q$9&gt;=Model2!$D$9:'Model2'!$CN$9),Model2!$D135:'Model2'!$CN135)</f>
        <v>0</v>
      </c>
      <c r="R131" s="35" cm="1">
        <f t="array" ref="R131">SUMPRODUCT(--(R$8&lt;=Model2!$D$9:'Model2'!$CN$9),--(R$9&gt;=Model2!$D$9:'Model2'!$CN$9),Model2!$D135:'Model2'!$CN135)</f>
        <v>0</v>
      </c>
      <c r="S131" s="35" cm="1">
        <f t="array" ref="S131">SUMPRODUCT(--(S$8&lt;=Model2!$D$9:'Model2'!$CN$9),--(S$9&gt;=Model2!$D$9:'Model2'!$CN$9),Model2!$D135:'Model2'!$CN135)</f>
        <v>0</v>
      </c>
      <c r="T131" s="35" cm="1">
        <f t="array" ref="T131">SUMPRODUCT(--(T$8&lt;=Model2!$D$9:'Model2'!$CN$9),--(T$9&gt;=Model2!$D$9:'Model2'!$CN$9),Model2!$D135:'Model2'!$CN135)</f>
        <v>0</v>
      </c>
      <c r="U131" s="35" cm="1">
        <f t="array" ref="U131">SUMPRODUCT(--(U$8&lt;=Model2!$D$9:'Model2'!$CN$9),--(U$9&gt;=Model2!$D$9:'Model2'!$CN$9),Model2!$D135:'Model2'!$CN135)</f>
        <v>0</v>
      </c>
      <c r="V131" s="35" cm="1">
        <f t="array" ref="V131">SUMPRODUCT(--(V$8&lt;=Model2!$D$9:'Model2'!$CN$9),--(V$9&gt;=Model2!$D$9:'Model2'!$CN$9),Model2!$D135:'Model2'!$CN135)</f>
        <v>0</v>
      </c>
      <c r="W131" s="35" cm="1">
        <f t="array" ref="W131">SUMPRODUCT(--(W$8&lt;=Model2!$D$9:'Model2'!$CN$9),--(W$9&gt;=Model2!$D$9:'Model2'!$CN$9),Model2!$D135:'Model2'!$CN135)</f>
        <v>0</v>
      </c>
      <c r="X131" s="35" cm="1">
        <f t="array" ref="X131">SUMPRODUCT(--(X$8&lt;=Model2!$D$9:'Model2'!$CN$9),--(X$9&gt;=Model2!$D$9:'Model2'!$CN$9),Model2!$D135:'Model2'!$CN135)</f>
        <v>0</v>
      </c>
      <c r="Y131" s="35" cm="1">
        <f t="array" ref="Y131">SUMPRODUCT(--(Y$8&lt;=Model2!$D$9:'Model2'!$CN$9),--(Y$9&gt;=Model2!$D$9:'Model2'!$CN$9),Model2!$D135:'Model2'!$CN135)</f>
        <v>0</v>
      </c>
      <c r="Z131" s="35" cm="1">
        <f t="array" ref="Z131">SUMPRODUCT(--(Z$8&lt;=Model2!$D$9:'Model2'!$CN$9),--(Z$9&gt;=Model2!$D$9:'Model2'!$CN$9),Model2!$D135:'Model2'!$CN135)</f>
        <v>0</v>
      </c>
      <c r="AA131" s="35"/>
    </row>
    <row r="132" spans="1:27" ht="12.75" customHeight="1" outlineLevel="1">
      <c r="A132" s="35"/>
      <c r="B132" s="70" t="s">
        <v>225</v>
      </c>
      <c r="C132" s="70">
        <f t="shared" si="18"/>
        <v>3927683.543382816</v>
      </c>
      <c r="D132" s="71">
        <f>Model2!D136</f>
        <v>0</v>
      </c>
      <c r="E132" s="70" cm="1">
        <f t="array" ref="E132">SUMPRODUCT(--(E$8&lt;=Model2!$D$9:'Model2'!$CN$9),--(E$9&gt;=Model2!$D$9:'Model2'!$CN$9),Model2!$D136:'Model2'!$CN136)</f>
        <v>-1200</v>
      </c>
      <c r="F132" s="70" cm="1">
        <f t="array" ref="F132">SUMPRODUCT(--(F$8&lt;=Model2!$D$9:'Model2'!$CN$9),--(F$9&gt;=Model2!$D$9:'Model2'!$CN$9),Model2!$D136:'Model2'!$CN136)</f>
        <v>-1200</v>
      </c>
      <c r="G132" s="70" cm="1">
        <f t="array" ref="G132">SUMPRODUCT(--(G$8&lt;=Model2!$D$9:'Model2'!$CN$9),--(G$9&gt;=Model2!$D$9:'Model2'!$CN$9),Model2!$D136:'Model2'!$CN136)</f>
        <v>-2997.2089570312505</v>
      </c>
      <c r="H132" s="70" cm="1">
        <f t="array" ref="H132">SUMPRODUCT(--(H$8&lt;=Model2!$D$9:'Model2'!$CN$9),--(H$9&gt;=Model2!$D$9:'Model2'!$CN$9),Model2!$D136:'Model2'!$CN136)</f>
        <v>-20477.90974921875</v>
      </c>
      <c r="I132" s="70" cm="1">
        <f t="array" ref="I132">SUMPRODUCT(--(I$8&lt;=Model2!$D$9:'Model2'!$CN$9),--(I$9&gt;=Model2!$D$9:'Model2'!$CN$9),Model2!$D136:'Model2'!$CN136)</f>
        <v>-3194.1080158845762</v>
      </c>
      <c r="J132" s="70" cm="1">
        <f t="array" ref="J132">SUMPRODUCT(--(J$8&lt;=Model2!$D$9:'Model2'!$CN$9),--(J$9&gt;=Model2!$D$9:'Model2'!$CN$9),Model2!$D136:'Model2'!$CN136)</f>
        <v>112074.26634190118</v>
      </c>
      <c r="K132" s="70" cm="1">
        <f t="array" ref="K132">SUMPRODUCT(--(K$8&lt;=Model2!$D$9:'Model2'!$CN$9),--(K$9&gt;=Model2!$D$9:'Model2'!$CN$9),Model2!$D136:'Model2'!$CN136)</f>
        <v>127661.54653461755</v>
      </c>
      <c r="L132" s="70" cm="1">
        <f t="array" ref="L132">SUMPRODUCT(--(L$8&lt;=Model2!$D$9:'Model2'!$CN$9),--(L$9&gt;=Model2!$D$9:'Model2'!$CN$9),Model2!$D136:'Model2'!$CN136)</f>
        <v>143276.17198148571</v>
      </c>
      <c r="M132" s="70" cm="1">
        <f t="array" ref="M132">SUMPRODUCT(--(M$8&lt;=Model2!$D$9:'Model2'!$CN$9),--(M$9&gt;=Model2!$D$9:'Model2'!$CN$9),Model2!$D136:'Model2'!$CN136)</f>
        <v>160536.72962038664</v>
      </c>
      <c r="N132" s="70" cm="1">
        <f t="array" ref="N132">SUMPRODUCT(--(N$8&lt;=Model2!$D$9:'Model2'!$CN$9),--(N$9&gt;=Model2!$D$9:'Model2'!$CN$9),Model2!$D136:'Model2'!$CN136)</f>
        <v>179248.30541613314</v>
      </c>
      <c r="O132" s="70" cm="1">
        <f t="array" ref="O132">SUMPRODUCT(--(O$8&lt;=Model2!$D$9:'Model2'!$CN$9),--(O$9&gt;=Model2!$D$9:'Model2'!$CN$9),Model2!$D136:'Model2'!$CN136)</f>
        <v>197260.86055323356</v>
      </c>
      <c r="P132" s="70" cm="1">
        <f t="array" ref="P132">SUMPRODUCT(--(P$8&lt;=Model2!$D$9:'Model2'!$CN$9),--(P$9&gt;=Model2!$D$9:'Model2'!$CN$9),Model2!$D136:'Model2'!$CN136)</f>
        <v>209270.23995850855</v>
      </c>
      <c r="Q132" s="70" cm="1">
        <f t="array" ref="Q132">SUMPRODUCT(--(Q$8&lt;=Model2!$D$9:'Model2'!$CN$9),--(Q$9&gt;=Model2!$D$9:'Model2'!$CN$9),Model2!$D136:'Model2'!$CN136)</f>
        <v>220725.97763179734</v>
      </c>
      <c r="R132" s="70" cm="1">
        <f t="array" ref="R132">SUMPRODUCT(--(R$8&lt;=Model2!$D$9:'Model2'!$CN$9),--(R$9&gt;=Model2!$D$9:'Model2'!$CN$9),Model2!$D136:'Model2'!$CN136)</f>
        <v>232754.50218875054</v>
      </c>
      <c r="S132" s="70" cm="1">
        <f t="array" ref="S132">SUMPRODUCT(--(S$8&lt;=Model2!$D$9:'Model2'!$CN$9),--(S$9&gt;=Model2!$D$9:'Model2'!$CN$9),Model2!$D136:'Model2'!$CN136)</f>
        <v>245384.4529735515</v>
      </c>
      <c r="T132" s="70" cm="1">
        <f t="array" ref="T132">SUMPRODUCT(--(T$8&lt;=Model2!$D$9:'Model2'!$CN$9),--(T$9&gt;=Model2!$D$9:'Model2'!$CN$9),Model2!$D136:'Model2'!$CN136)</f>
        <v>258645.90129759247</v>
      </c>
      <c r="U132" s="70" cm="1">
        <f t="array" ref="U132">SUMPRODUCT(--(U$8&lt;=Model2!$D$9:'Model2'!$CN$9),--(U$9&gt;=Model2!$D$9:'Model2'!$CN$9),Model2!$D136:'Model2'!$CN136)</f>
        <v>272570.42203783547</v>
      </c>
      <c r="V132" s="70" cm="1">
        <f t="array" ref="V132">SUMPRODUCT(--(V$8&lt;=Model2!$D$9:'Model2'!$CN$9),--(V$9&gt;=Model2!$D$9:'Model2'!$CN$9),Model2!$D136:'Model2'!$CN136)</f>
        <v>287191.16881509055</v>
      </c>
      <c r="W132" s="70" cm="1">
        <f t="array" ref="W132">SUMPRODUCT(--(W$8&lt;=Model2!$D$9:'Model2'!$CN$9),--(W$9&gt;=Model2!$D$9:'Model2'!$CN$9),Model2!$D136:'Model2'!$CN136)</f>
        <v>302542.95293120854</v>
      </c>
      <c r="X132" s="70" cm="1">
        <f t="array" ref="X132">SUMPRODUCT(--(X$8&lt;=Model2!$D$9:'Model2'!$CN$9),--(X$9&gt;=Model2!$D$9:'Model2'!$CN$9),Model2!$D136:'Model2'!$CN136)</f>
        <v>318662.32625313231</v>
      </c>
      <c r="Y132" s="70" cm="1">
        <f t="array" ref="Y132">SUMPRODUCT(--(Y$8&lt;=Model2!$D$9:'Model2'!$CN$9),--(Y$9&gt;=Model2!$D$9:'Model2'!$CN$9),Model2!$D136:'Model2'!$CN136)</f>
        <v>335587.66824115231</v>
      </c>
      <c r="Z132" s="70" cm="1">
        <f t="array" ref="Z132">SUMPRODUCT(--(Z$8&lt;=Model2!$D$9:'Model2'!$CN$9),--(Z$9&gt;=Model2!$D$9:'Model2'!$CN$9),Model2!$D136:'Model2'!$CN136)</f>
        <v>353359.27732857334</v>
      </c>
      <c r="AA132" s="70"/>
    </row>
    <row r="133" spans="1:27" ht="12.75" customHeight="1" outlineLevel="1">
      <c r="A133" s="35"/>
      <c r="B133" s="63" t="s">
        <v>226</v>
      </c>
      <c r="C133" s="35">
        <f t="shared" si="18"/>
        <v>-48442.270618825307</v>
      </c>
      <c r="D133" s="60">
        <f>Model2!D137</f>
        <v>0</v>
      </c>
      <c r="E133" s="35" cm="1">
        <f t="array" ref="E133">SUMPRODUCT(--(E$8&lt;=Model2!$D$9:'Model2'!$CN$9),--(E$9&gt;=Model2!$D$9:'Model2'!$CN$9),Model2!$D137:'Model2'!$CN137)</f>
        <v>0</v>
      </c>
      <c r="F133" s="35" cm="1">
        <f t="array" ref="F133">SUMPRODUCT(--(F$8&lt;=Model2!$D$9:'Model2'!$CN$9),--(F$9&gt;=Model2!$D$9:'Model2'!$CN$9),Model2!$D137:'Model2'!$CN137)</f>
        <v>0</v>
      </c>
      <c r="G133" s="35" cm="1">
        <f t="array" ref="G133">SUMPRODUCT(--(G$8&lt;=Model2!$D$9:'Model2'!$CN$9),--(G$9&gt;=Model2!$D$9:'Model2'!$CN$9),Model2!$D137:'Model2'!$CN137)</f>
        <v>0</v>
      </c>
      <c r="H133" s="35" cm="1">
        <f t="array" ref="H133">SUMPRODUCT(--(H$8&lt;=Model2!$D$9:'Model2'!$CN$9),--(H$9&gt;=Model2!$D$9:'Model2'!$CN$9),Model2!$D137:'Model2'!$CN137)</f>
        <v>0</v>
      </c>
      <c r="I133" s="35" cm="1">
        <f t="array" ref="I133">SUMPRODUCT(--(I$8&lt;=Model2!$D$9:'Model2'!$CN$9),--(I$9&gt;=Model2!$D$9:'Model2'!$CN$9),Model2!$D137:'Model2'!$CN137)</f>
        <v>-18933.725351693553</v>
      </c>
      <c r="J133" s="35" cm="1">
        <f t="array" ref="J133">SUMPRODUCT(--(J$8&lt;=Model2!$D$9:'Model2'!$CN$9),--(J$9&gt;=Model2!$D$9:'Model2'!$CN$9),Model2!$D137:'Model2'!$CN137)</f>
        <v>-29508.545267131754</v>
      </c>
      <c r="K133" s="35" cm="1">
        <f t="array" ref="K133">SUMPRODUCT(--(K$8&lt;=Model2!$D$9:'Model2'!$CN$9),--(K$9&gt;=Model2!$D$9:'Model2'!$CN$9),Model2!$D137:'Model2'!$CN137)</f>
        <v>0</v>
      </c>
      <c r="L133" s="35" cm="1">
        <f t="array" ref="L133">SUMPRODUCT(--(L$8&lt;=Model2!$D$9:'Model2'!$CN$9),--(L$9&gt;=Model2!$D$9:'Model2'!$CN$9),Model2!$D137:'Model2'!$CN137)</f>
        <v>0</v>
      </c>
      <c r="M133" s="35" cm="1">
        <f t="array" ref="M133">SUMPRODUCT(--(M$8&lt;=Model2!$D$9:'Model2'!$CN$9),--(M$9&gt;=Model2!$D$9:'Model2'!$CN$9),Model2!$D137:'Model2'!$CN137)</f>
        <v>0</v>
      </c>
      <c r="N133" s="35" cm="1">
        <f t="array" ref="N133">SUMPRODUCT(--(N$8&lt;=Model2!$D$9:'Model2'!$CN$9),--(N$9&gt;=Model2!$D$9:'Model2'!$CN$9),Model2!$D137:'Model2'!$CN137)</f>
        <v>0</v>
      </c>
      <c r="O133" s="35" cm="1">
        <f t="array" ref="O133">SUMPRODUCT(--(O$8&lt;=Model2!$D$9:'Model2'!$CN$9),--(O$9&gt;=Model2!$D$9:'Model2'!$CN$9),Model2!$D137:'Model2'!$CN137)</f>
        <v>0</v>
      </c>
      <c r="P133" s="35" cm="1">
        <f t="array" ref="P133">SUMPRODUCT(--(P$8&lt;=Model2!$D$9:'Model2'!$CN$9),--(P$9&gt;=Model2!$D$9:'Model2'!$CN$9),Model2!$D137:'Model2'!$CN137)</f>
        <v>0</v>
      </c>
      <c r="Q133" s="35" cm="1">
        <f t="array" ref="Q133">SUMPRODUCT(--(Q$8&lt;=Model2!$D$9:'Model2'!$CN$9),--(Q$9&gt;=Model2!$D$9:'Model2'!$CN$9),Model2!$D137:'Model2'!$CN137)</f>
        <v>0</v>
      </c>
      <c r="R133" s="35" cm="1">
        <f t="array" ref="R133">SUMPRODUCT(--(R$8&lt;=Model2!$D$9:'Model2'!$CN$9),--(R$9&gt;=Model2!$D$9:'Model2'!$CN$9),Model2!$D137:'Model2'!$CN137)</f>
        <v>0</v>
      </c>
      <c r="S133" s="35" cm="1">
        <f t="array" ref="S133">SUMPRODUCT(--(S$8&lt;=Model2!$D$9:'Model2'!$CN$9),--(S$9&gt;=Model2!$D$9:'Model2'!$CN$9),Model2!$D137:'Model2'!$CN137)</f>
        <v>0</v>
      </c>
      <c r="T133" s="35" cm="1">
        <f t="array" ref="T133">SUMPRODUCT(--(T$8&lt;=Model2!$D$9:'Model2'!$CN$9),--(T$9&gt;=Model2!$D$9:'Model2'!$CN$9),Model2!$D137:'Model2'!$CN137)</f>
        <v>0</v>
      </c>
      <c r="U133" s="35" cm="1">
        <f t="array" ref="U133">SUMPRODUCT(--(U$8&lt;=Model2!$D$9:'Model2'!$CN$9),--(U$9&gt;=Model2!$D$9:'Model2'!$CN$9),Model2!$D137:'Model2'!$CN137)</f>
        <v>0</v>
      </c>
      <c r="V133" s="35" cm="1">
        <f t="array" ref="V133">SUMPRODUCT(--(V$8&lt;=Model2!$D$9:'Model2'!$CN$9),--(V$9&gt;=Model2!$D$9:'Model2'!$CN$9),Model2!$D137:'Model2'!$CN137)</f>
        <v>0</v>
      </c>
      <c r="W133" s="35" cm="1">
        <f t="array" ref="W133">SUMPRODUCT(--(W$8&lt;=Model2!$D$9:'Model2'!$CN$9),--(W$9&gt;=Model2!$D$9:'Model2'!$CN$9),Model2!$D137:'Model2'!$CN137)</f>
        <v>0</v>
      </c>
      <c r="X133" s="35" cm="1">
        <f t="array" ref="X133">SUMPRODUCT(--(X$8&lt;=Model2!$D$9:'Model2'!$CN$9),--(X$9&gt;=Model2!$D$9:'Model2'!$CN$9),Model2!$D137:'Model2'!$CN137)</f>
        <v>0</v>
      </c>
      <c r="Y133" s="35" cm="1">
        <f t="array" ref="Y133">SUMPRODUCT(--(Y$8&lt;=Model2!$D$9:'Model2'!$CN$9),--(Y$9&gt;=Model2!$D$9:'Model2'!$CN$9),Model2!$D137:'Model2'!$CN137)</f>
        <v>0</v>
      </c>
      <c r="Z133" s="35" cm="1">
        <f t="array" ref="Z133">SUMPRODUCT(--(Z$8&lt;=Model2!$D$9:'Model2'!$CN$9),--(Z$9&gt;=Model2!$D$9:'Model2'!$CN$9),Model2!$D137:'Model2'!$CN137)</f>
        <v>0</v>
      </c>
      <c r="AA133" s="35"/>
    </row>
    <row r="134" spans="1:27" ht="12.75" customHeight="1" outlineLevel="1">
      <c r="A134" s="35"/>
      <c r="B134" s="70" t="s">
        <v>227</v>
      </c>
      <c r="C134" s="70">
        <f t="shared" si="18"/>
        <v>3879241.2727639908</v>
      </c>
      <c r="D134" s="71">
        <f>Model2!D138</f>
        <v>0</v>
      </c>
      <c r="E134" s="70" cm="1">
        <f t="array" ref="E134">SUMPRODUCT(--(E$8&lt;=Model2!$D$9:'Model2'!$CN$9),--(E$9&gt;=Model2!$D$9:'Model2'!$CN$9),Model2!$D138:'Model2'!$CN138)</f>
        <v>-1200</v>
      </c>
      <c r="F134" s="70" cm="1">
        <f t="array" ref="F134">SUMPRODUCT(--(F$8&lt;=Model2!$D$9:'Model2'!$CN$9),--(F$9&gt;=Model2!$D$9:'Model2'!$CN$9),Model2!$D138:'Model2'!$CN138)</f>
        <v>-1200</v>
      </c>
      <c r="G134" s="70" cm="1">
        <f t="array" ref="G134">SUMPRODUCT(--(G$8&lt;=Model2!$D$9:'Model2'!$CN$9),--(G$9&gt;=Model2!$D$9:'Model2'!$CN$9),Model2!$D138:'Model2'!$CN138)</f>
        <v>-2997.2089570312505</v>
      </c>
      <c r="H134" s="70" cm="1">
        <f t="array" ref="H134">SUMPRODUCT(--(H$8&lt;=Model2!$D$9:'Model2'!$CN$9),--(H$9&gt;=Model2!$D$9:'Model2'!$CN$9),Model2!$D138:'Model2'!$CN138)</f>
        <v>-20477.90974921875</v>
      </c>
      <c r="I134" s="70" cm="1">
        <f t="array" ref="I134">SUMPRODUCT(--(I$8&lt;=Model2!$D$9:'Model2'!$CN$9),--(I$9&gt;=Model2!$D$9:'Model2'!$CN$9),Model2!$D138:'Model2'!$CN138)</f>
        <v>-22127.833367578129</v>
      </c>
      <c r="J134" s="70" cm="1">
        <f t="array" ref="J134">SUMPRODUCT(--(J$8&lt;=Model2!$D$9:'Model2'!$CN$9),--(J$9&gt;=Model2!$D$9:'Model2'!$CN$9),Model2!$D138:'Model2'!$CN138)</f>
        <v>82565.721074769433</v>
      </c>
      <c r="K134" s="70" cm="1">
        <f t="array" ref="K134">SUMPRODUCT(--(K$8&lt;=Model2!$D$9:'Model2'!$CN$9),--(K$9&gt;=Model2!$D$9:'Model2'!$CN$9),Model2!$D138:'Model2'!$CN138)</f>
        <v>127661.54653461755</v>
      </c>
      <c r="L134" s="70" cm="1">
        <f t="array" ref="L134">SUMPRODUCT(--(L$8&lt;=Model2!$D$9:'Model2'!$CN$9),--(L$9&gt;=Model2!$D$9:'Model2'!$CN$9),Model2!$D138:'Model2'!$CN138)</f>
        <v>143276.17198148571</v>
      </c>
      <c r="M134" s="70" cm="1">
        <f t="array" ref="M134">SUMPRODUCT(--(M$8&lt;=Model2!$D$9:'Model2'!$CN$9),--(M$9&gt;=Model2!$D$9:'Model2'!$CN$9),Model2!$D138:'Model2'!$CN138)</f>
        <v>160536.72962038664</v>
      </c>
      <c r="N134" s="70" cm="1">
        <f t="array" ref="N134">SUMPRODUCT(--(N$8&lt;=Model2!$D$9:'Model2'!$CN$9),--(N$9&gt;=Model2!$D$9:'Model2'!$CN$9),Model2!$D138:'Model2'!$CN138)</f>
        <v>179248.30541613314</v>
      </c>
      <c r="O134" s="70" cm="1">
        <f t="array" ref="O134">SUMPRODUCT(--(O$8&lt;=Model2!$D$9:'Model2'!$CN$9),--(O$9&gt;=Model2!$D$9:'Model2'!$CN$9),Model2!$D138:'Model2'!$CN138)</f>
        <v>197260.86055323356</v>
      </c>
      <c r="P134" s="70" cm="1">
        <f t="array" ref="P134">SUMPRODUCT(--(P$8&lt;=Model2!$D$9:'Model2'!$CN$9),--(P$9&gt;=Model2!$D$9:'Model2'!$CN$9),Model2!$D138:'Model2'!$CN138)</f>
        <v>209270.23995850855</v>
      </c>
      <c r="Q134" s="70" cm="1">
        <f t="array" ref="Q134">SUMPRODUCT(--(Q$8&lt;=Model2!$D$9:'Model2'!$CN$9),--(Q$9&gt;=Model2!$D$9:'Model2'!$CN$9),Model2!$D138:'Model2'!$CN138)</f>
        <v>220725.97763179734</v>
      </c>
      <c r="R134" s="70" cm="1">
        <f t="array" ref="R134">SUMPRODUCT(--(R$8&lt;=Model2!$D$9:'Model2'!$CN$9),--(R$9&gt;=Model2!$D$9:'Model2'!$CN$9),Model2!$D138:'Model2'!$CN138)</f>
        <v>232754.50218875054</v>
      </c>
      <c r="S134" s="70" cm="1">
        <f t="array" ref="S134">SUMPRODUCT(--(S$8&lt;=Model2!$D$9:'Model2'!$CN$9),--(S$9&gt;=Model2!$D$9:'Model2'!$CN$9),Model2!$D138:'Model2'!$CN138)</f>
        <v>245384.4529735515</v>
      </c>
      <c r="T134" s="70" cm="1">
        <f t="array" ref="T134">SUMPRODUCT(--(T$8&lt;=Model2!$D$9:'Model2'!$CN$9),--(T$9&gt;=Model2!$D$9:'Model2'!$CN$9),Model2!$D138:'Model2'!$CN138)</f>
        <v>258645.90129759247</v>
      </c>
      <c r="U134" s="70" cm="1">
        <f t="array" ref="U134">SUMPRODUCT(--(U$8&lt;=Model2!$D$9:'Model2'!$CN$9),--(U$9&gt;=Model2!$D$9:'Model2'!$CN$9),Model2!$D138:'Model2'!$CN138)</f>
        <v>272570.42203783547</v>
      </c>
      <c r="V134" s="70" cm="1">
        <f t="array" ref="V134">SUMPRODUCT(--(V$8&lt;=Model2!$D$9:'Model2'!$CN$9),--(V$9&gt;=Model2!$D$9:'Model2'!$CN$9),Model2!$D138:'Model2'!$CN138)</f>
        <v>287191.16881509055</v>
      </c>
      <c r="W134" s="70" cm="1">
        <f t="array" ref="W134">SUMPRODUCT(--(W$8&lt;=Model2!$D$9:'Model2'!$CN$9),--(W$9&gt;=Model2!$D$9:'Model2'!$CN$9),Model2!$D138:'Model2'!$CN138)</f>
        <v>302542.95293120854</v>
      </c>
      <c r="X134" s="70" cm="1">
        <f t="array" ref="X134">SUMPRODUCT(--(X$8&lt;=Model2!$D$9:'Model2'!$CN$9),--(X$9&gt;=Model2!$D$9:'Model2'!$CN$9),Model2!$D138:'Model2'!$CN138)</f>
        <v>318662.32625313231</v>
      </c>
      <c r="Y134" s="70" cm="1">
        <f t="array" ref="Y134">SUMPRODUCT(--(Y$8&lt;=Model2!$D$9:'Model2'!$CN$9),--(Y$9&gt;=Model2!$D$9:'Model2'!$CN$9),Model2!$D138:'Model2'!$CN138)</f>
        <v>335587.66824115231</v>
      </c>
      <c r="Z134" s="70" cm="1">
        <f t="array" ref="Z134">SUMPRODUCT(--(Z$8&lt;=Model2!$D$9:'Model2'!$CN$9),--(Z$9&gt;=Model2!$D$9:'Model2'!$CN$9),Model2!$D138:'Model2'!$CN138)</f>
        <v>353359.27732857334</v>
      </c>
      <c r="AA134" s="70"/>
    </row>
    <row r="135" spans="1:27" ht="12.75" customHeight="1" outlineLevel="1">
      <c r="A135" s="35"/>
      <c r="B135" s="108" t="s">
        <v>164</v>
      </c>
      <c r="C135" s="74">
        <f t="shared" si="18"/>
        <v>-729685.76744836336</v>
      </c>
      <c r="D135" s="109">
        <f>Model2!D139</f>
        <v>0</v>
      </c>
      <c r="E135" s="74" cm="1">
        <f t="array" ref="E135">SUMPRODUCT(--(E$8&lt;=Model2!$D$9:'Model2'!$CN$9),--(E$9&gt;=Model2!$D$9:'Model2'!$CN$9),Model2!$D139:'Model2'!$CN139)</f>
        <v>0</v>
      </c>
      <c r="F135" s="74" cm="1">
        <f t="array" ref="F135">SUMPRODUCT(--(F$8&lt;=Model2!$D$9:'Model2'!$CN$9),--(F$9&gt;=Model2!$D$9:'Model2'!$CN$9),Model2!$D139:'Model2'!$CN139)</f>
        <v>0</v>
      </c>
      <c r="G135" s="74" cm="1">
        <f t="array" ref="G135">SUMPRODUCT(--(G$8&lt;=Model2!$D$9:'Model2'!$CN$9),--(G$9&gt;=Model2!$D$9:'Model2'!$CN$9),Model2!$D139:'Model2'!$CN139)</f>
        <v>0</v>
      </c>
      <c r="H135" s="74" cm="1">
        <f t="array" ref="H135">SUMPRODUCT(--(H$8&lt;=Model2!$D$9:'Model2'!$CN$9),--(H$9&gt;=Model2!$D$9:'Model2'!$CN$9),Model2!$D139:'Model2'!$CN139)</f>
        <v>0</v>
      </c>
      <c r="I135" s="74" cm="1">
        <f t="array" ref="I135">SUMPRODUCT(--(I$8&lt;=Model2!$D$9:'Model2'!$CN$9),--(I$9&gt;=Model2!$D$9:'Model2'!$CN$9),Model2!$D139:'Model2'!$CN139)</f>
        <v>0</v>
      </c>
      <c r="J135" s="74" cm="1">
        <f t="array" ref="J135">SUMPRODUCT(--(J$8&lt;=Model2!$D$9:'Model2'!$CN$9),--(J$9&gt;=Model2!$D$9:'Model2'!$CN$9),Model2!$D139:'Model2'!$CN139)</f>
        <v>-12865.781141063824</v>
      </c>
      <c r="K135" s="74" cm="1">
        <f t="array" ref="K135">SUMPRODUCT(--(K$8&lt;=Model2!$D$9:'Model2'!$CN$9),--(K$9&gt;=Model2!$D$9:'Model2'!$CN$9),Model2!$D139:'Model2'!$CN139)</f>
        <v>-19787.539712865724</v>
      </c>
      <c r="L135" s="74" cm="1">
        <f t="array" ref="L135">SUMPRODUCT(--(L$8&lt;=Model2!$D$9:'Model2'!$CN$9),--(L$9&gt;=Model2!$D$9:'Model2'!$CN$9),Model2!$D139:'Model2'!$CN139)</f>
        <v>-22207.806657130284</v>
      </c>
      <c r="M135" s="74" cm="1">
        <f t="array" ref="M135">SUMPRODUCT(--(M$8&lt;=Model2!$D$9:'Model2'!$CN$9),--(M$9&gt;=Model2!$D$9:'Model2'!$CN$9),Model2!$D139:'Model2'!$CN139)</f>
        <v>-24883.193091159927</v>
      </c>
      <c r="N135" s="74" cm="1">
        <f t="array" ref="N135">SUMPRODUCT(--(N$8&lt;=Model2!$D$9:'Model2'!$CN$9),--(N$9&gt;=Model2!$D$9:'Model2'!$CN$9),Model2!$D139:'Model2'!$CN139)</f>
        <v>-27783.487339500636</v>
      </c>
      <c r="O135" s="74" cm="1">
        <f t="array" ref="O135">SUMPRODUCT(--(O$8&lt;=Model2!$D$9:'Model2'!$CN$9),--(O$9&gt;=Model2!$D$9:'Model2'!$CN$9),Model2!$D139:'Model2'!$CN139)</f>
        <v>-30575.433385751196</v>
      </c>
      <c r="P135" s="74" cm="1">
        <f t="array" ref="P135">SUMPRODUCT(--(P$8&lt;=Model2!$D$9:'Model2'!$CN$9),--(P$9&gt;=Model2!$D$9:'Model2'!$CN$9),Model2!$D139:'Model2'!$CN139)</f>
        <v>-32436.887193568826</v>
      </c>
      <c r="Q135" s="74" cm="1">
        <f t="array" ref="Q135">SUMPRODUCT(--(Q$8&lt;=Model2!$D$9:'Model2'!$CN$9),--(Q$9&gt;=Model2!$D$9:'Model2'!$CN$9),Model2!$D139:'Model2'!$CN139)</f>
        <v>-37805.904513945519</v>
      </c>
      <c r="R135" s="74" cm="1">
        <f t="array" ref="R135">SUMPRODUCT(--(R$8&lt;=Model2!$D$9:'Model2'!$CN$9),--(R$9&gt;=Model2!$D$9:'Model2'!$CN$9),Model2!$D139:'Model2'!$CN139)</f>
        <v>-46550.900437750111</v>
      </c>
      <c r="S135" s="74" cm="1">
        <f t="array" ref="S135">SUMPRODUCT(--(S$8&lt;=Model2!$D$9:'Model2'!$CN$9),--(S$9&gt;=Model2!$D$9:'Model2'!$CN$9),Model2!$D139:'Model2'!$CN139)</f>
        <v>-49076.890594710305</v>
      </c>
      <c r="T135" s="74" cm="1">
        <f t="array" ref="T135">SUMPRODUCT(--(T$8&lt;=Model2!$D$9:'Model2'!$CN$9),--(T$9&gt;=Model2!$D$9:'Model2'!$CN$9),Model2!$D139:'Model2'!$CN139)</f>
        <v>-51729.1802595185</v>
      </c>
      <c r="U135" s="74" cm="1">
        <f t="array" ref="U135">SUMPRODUCT(--(U$8&lt;=Model2!$D$9:'Model2'!$CN$9),--(U$9&gt;=Model2!$D$9:'Model2'!$CN$9),Model2!$D139:'Model2'!$CN139)</f>
        <v>-54514.084407567105</v>
      </c>
      <c r="V135" s="74" cm="1">
        <f t="array" ref="V135">SUMPRODUCT(--(V$8&lt;=Model2!$D$9:'Model2'!$CN$9),--(V$9&gt;=Model2!$D$9:'Model2'!$CN$9),Model2!$D139:'Model2'!$CN139)</f>
        <v>-57438.233763018114</v>
      </c>
      <c r="W135" s="74" cm="1">
        <f t="array" ref="W135">SUMPRODUCT(--(W$8&lt;=Model2!$D$9:'Model2'!$CN$9),--(W$9&gt;=Model2!$D$9:'Model2'!$CN$9),Model2!$D139:'Model2'!$CN139)</f>
        <v>-60508.590586241713</v>
      </c>
      <c r="X135" s="74" cm="1">
        <f t="array" ref="X135">SUMPRODUCT(--(X$8&lt;=Model2!$D$9:'Model2'!$CN$9),--(X$9&gt;=Model2!$D$9:'Model2'!$CN$9),Model2!$D139:'Model2'!$CN139)</f>
        <v>-63732.465250626461</v>
      </c>
      <c r="Y135" s="74" cm="1">
        <f t="array" ref="Y135">SUMPRODUCT(--(Y$8&lt;=Model2!$D$9:'Model2'!$CN$9),--(Y$9&gt;=Model2!$D$9:'Model2'!$CN$9),Model2!$D139:'Model2'!$CN139)</f>
        <v>-67117.53364823047</v>
      </c>
      <c r="Z135" s="74" cm="1">
        <f t="array" ref="Z135">SUMPRODUCT(--(Z$8&lt;=Model2!$D$9:'Model2'!$CN$9),--(Z$9&gt;=Model2!$D$9:'Model2'!$CN$9),Model2!$D139:'Model2'!$CN139)</f>
        <v>-70671.855465714674</v>
      </c>
      <c r="AA135" s="74"/>
    </row>
    <row r="136" spans="1:27" ht="12.75" customHeight="1" outlineLevel="1">
      <c r="A136" s="35"/>
      <c r="B136" s="108" t="s">
        <v>630</v>
      </c>
      <c r="C136" s="74">
        <f t="shared" ref="C136" si="19">SUM(D136:AA136)</f>
        <v>51191.580067703551</v>
      </c>
      <c r="D136" s="109">
        <f>Model2!D140</f>
        <v>0</v>
      </c>
      <c r="E136" s="74" cm="1">
        <f t="array" ref="E136">SUMPRODUCT(--(E$8&lt;=Model2!$D$9:'Model2'!$CN$9),--(E$9&gt;=Model2!$D$9:'Model2'!$CN$9),Model2!$D140:'Model2'!$CN140)</f>
        <v>2911.9335000000001</v>
      </c>
      <c r="F136" s="74" cm="1">
        <f t="array" ref="F136">SUMPRODUCT(--(F$8&lt;=Model2!$D$9:'Model2'!$CN$9),--(F$9&gt;=Model2!$D$9:'Model2'!$CN$9),Model2!$D140:'Model2'!$CN140)</f>
        <v>2911.9335000000001</v>
      </c>
      <c r="G136" s="74" cm="1">
        <f t="array" ref="G136">SUMPRODUCT(--(G$8&lt;=Model2!$D$9:'Model2'!$CN$9),--(G$9&gt;=Model2!$D$9:'Model2'!$CN$9),Model2!$D140:'Model2'!$CN140)</f>
        <v>2552.49170859375</v>
      </c>
      <c r="H136" s="74" cm="1">
        <f t="array" ref="H136">SUMPRODUCT(--(H$8&lt;=Model2!$D$9:'Model2'!$CN$9),--(H$9&gt;=Model2!$D$9:'Model2'!$CN$9),Model2!$D140:'Model2'!$CN140)</f>
        <v>-943.64844984375043</v>
      </c>
      <c r="I136" s="74" cm="1">
        <f t="array" ref="I136">SUMPRODUCT(--(I$8&lt;=Model2!$D$9:'Model2'!$CN$9),--(I$9&gt;=Model2!$D$9:'Model2'!$CN$9),Model2!$D140:'Model2'!$CN140)</f>
        <v>-5743.9996910464424</v>
      </c>
      <c r="J136" s="74" cm="1">
        <f t="array" ref="J136">SUMPRODUCT(--(J$8&lt;=Model2!$D$9:'Model2'!$CN$9),--(J$9&gt;=Model2!$D$9:'Model2'!$CN$9),Model2!$D140:'Model2'!$CN140)</f>
        <v>2911.9335000000001</v>
      </c>
      <c r="K136" s="74" cm="1">
        <f t="array" ref="K136">SUMPRODUCT(--(K$8&lt;=Model2!$D$9:'Model2'!$CN$9),--(K$9&gt;=Model2!$D$9:'Model2'!$CN$9),Model2!$D140:'Model2'!$CN140)</f>
        <v>2911.9335000000001</v>
      </c>
      <c r="L136" s="74" cm="1">
        <f t="array" ref="L136">SUMPRODUCT(--(L$8&lt;=Model2!$D$9:'Model2'!$CN$9),--(L$9&gt;=Model2!$D$9:'Model2'!$CN$9),Model2!$D140:'Model2'!$CN140)</f>
        <v>2911.9335000000001</v>
      </c>
      <c r="M136" s="74" cm="1">
        <f t="array" ref="M136">SUMPRODUCT(--(M$8&lt;=Model2!$D$9:'Model2'!$CN$9),--(M$9&gt;=Model2!$D$9:'Model2'!$CN$9),Model2!$D140:'Model2'!$CN140)</f>
        <v>2911.9335000000001</v>
      </c>
      <c r="N136" s="74" cm="1">
        <f t="array" ref="N136">SUMPRODUCT(--(N$8&lt;=Model2!$D$9:'Model2'!$CN$9),--(N$9&gt;=Model2!$D$9:'Model2'!$CN$9),Model2!$D140:'Model2'!$CN140)</f>
        <v>2911.9335000000001</v>
      </c>
      <c r="O136" s="74" cm="1">
        <f t="array" ref="O136">SUMPRODUCT(--(O$8&lt;=Model2!$D$9:'Model2'!$CN$9),--(O$9&gt;=Model2!$D$9:'Model2'!$CN$9),Model2!$D140:'Model2'!$CN140)</f>
        <v>2911.9335000000001</v>
      </c>
      <c r="P136" s="74" cm="1">
        <f t="array" ref="P136">SUMPRODUCT(--(P$8&lt;=Model2!$D$9:'Model2'!$CN$9),--(P$9&gt;=Model2!$D$9:'Model2'!$CN$9),Model2!$D140:'Model2'!$CN140)</f>
        <v>2911.9335000000001</v>
      </c>
      <c r="Q136" s="74" cm="1">
        <f t="array" ref="Q136">SUMPRODUCT(--(Q$8&lt;=Model2!$D$9:'Model2'!$CN$9),--(Q$9&gt;=Model2!$D$9:'Model2'!$CN$9),Model2!$D140:'Model2'!$CN140)</f>
        <v>2911.9335000000001</v>
      </c>
      <c r="R136" s="74" cm="1">
        <f t="array" ref="R136">SUMPRODUCT(--(R$8&lt;=Model2!$D$9:'Model2'!$CN$9),--(R$9&gt;=Model2!$D$9:'Model2'!$CN$9),Model2!$D140:'Model2'!$CN140)</f>
        <v>2911.9335000000001</v>
      </c>
      <c r="S136" s="74" cm="1">
        <f t="array" ref="S136">SUMPRODUCT(--(S$8&lt;=Model2!$D$9:'Model2'!$CN$9),--(S$9&gt;=Model2!$D$9:'Model2'!$CN$9),Model2!$D140:'Model2'!$CN140)</f>
        <v>2911.9335000000001</v>
      </c>
      <c r="T136" s="74" cm="1">
        <f t="array" ref="T136">SUMPRODUCT(--(T$8&lt;=Model2!$D$9:'Model2'!$CN$9),--(T$9&gt;=Model2!$D$9:'Model2'!$CN$9),Model2!$D140:'Model2'!$CN140)</f>
        <v>2911.9335000000001</v>
      </c>
      <c r="U136" s="74" cm="1">
        <f t="array" ref="U136">SUMPRODUCT(--(U$8&lt;=Model2!$D$9:'Model2'!$CN$9),--(U$9&gt;=Model2!$D$9:'Model2'!$CN$9),Model2!$D140:'Model2'!$CN140)</f>
        <v>2911.9335000000001</v>
      </c>
      <c r="V136" s="74" cm="1">
        <f t="array" ref="V136">SUMPRODUCT(--(V$8&lt;=Model2!$D$9:'Model2'!$CN$9),--(V$9&gt;=Model2!$D$9:'Model2'!$CN$9),Model2!$D140:'Model2'!$CN140)</f>
        <v>2911.9335000000001</v>
      </c>
      <c r="W136" s="74" cm="1">
        <f t="array" ref="W136">SUMPRODUCT(--(W$8&lt;=Model2!$D$9:'Model2'!$CN$9),--(W$9&gt;=Model2!$D$9:'Model2'!$CN$9),Model2!$D140:'Model2'!$CN140)</f>
        <v>2911.9335000000001</v>
      </c>
      <c r="X136" s="74" cm="1">
        <f t="array" ref="X136">SUMPRODUCT(--(X$8&lt;=Model2!$D$9:'Model2'!$CN$9),--(X$9&gt;=Model2!$D$9:'Model2'!$CN$9),Model2!$D140:'Model2'!$CN140)</f>
        <v>2911.9335000000001</v>
      </c>
      <c r="Y136" s="74" cm="1">
        <f t="array" ref="Y136">SUMPRODUCT(--(Y$8&lt;=Model2!$D$9:'Model2'!$CN$9),--(Y$9&gt;=Model2!$D$9:'Model2'!$CN$9),Model2!$D140:'Model2'!$CN140)</f>
        <v>2911.9335000000001</v>
      </c>
      <c r="Z136" s="74" cm="1">
        <f t="array" ref="Z136">SUMPRODUCT(--(Z$8&lt;=Model2!$D$9:'Model2'!$CN$9),--(Z$9&gt;=Model2!$D$9:'Model2'!$CN$9),Model2!$D140:'Model2'!$CN140)</f>
        <v>2911.9335000000001</v>
      </c>
      <c r="AA136" s="74"/>
    </row>
    <row r="137" spans="1:27" ht="12.75" customHeight="1" outlineLevel="1">
      <c r="A137" s="35"/>
      <c r="B137" s="63"/>
      <c r="C137" s="35"/>
      <c r="D137" s="60">
        <f>Model2!D141</f>
        <v>0</v>
      </c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</row>
    <row r="138" spans="1:27" ht="12.75" customHeight="1" outlineLevel="1">
      <c r="A138" s="35"/>
      <c r="B138" s="35" t="s">
        <v>226</v>
      </c>
      <c r="C138" s="35"/>
      <c r="D138" s="60">
        <f>Model2!D142</f>
        <v>0</v>
      </c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</row>
    <row r="139" spans="1:27" ht="12.75" customHeight="1" outlineLevel="1">
      <c r="A139" s="35"/>
      <c r="B139" s="49" t="s">
        <v>228</v>
      </c>
      <c r="C139" s="50"/>
      <c r="D139" s="53">
        <f>Model2!D143</f>
        <v>0</v>
      </c>
      <c r="E139" s="50" cm="1">
        <f t="array" ref="E139">SUMPRODUCT(--(E$8=Model2!$D$9:$CN$9),Model2!$D143:$CN143)</f>
        <v>0</v>
      </c>
      <c r="F139" s="50" cm="1">
        <f t="array" ref="F139">SUMPRODUCT(--(F$8=Model2!$D$9:$CN$9),Model2!$D143:$CN143)</f>
        <v>1200</v>
      </c>
      <c r="G139" s="50" cm="1">
        <f t="array" ref="G139">SUMPRODUCT(--(G$8=Model2!$D$9:$CN$9),Model2!$D143:$CN143)</f>
        <v>2400</v>
      </c>
      <c r="H139" s="50" cm="1">
        <f t="array" ref="H139">SUMPRODUCT(--(H$8=Model2!$D$9:$CN$9),Model2!$D143:$CN143)</f>
        <v>5397.208957031251</v>
      </c>
      <c r="I139" s="50" cm="1">
        <f t="array" ref="I139">SUMPRODUCT(--(I$8=Model2!$D$9:$CN$9),Model2!$D143:$CN143)</f>
        <v>25875.118706250003</v>
      </c>
      <c r="J139" s="50" cm="1">
        <f t="array" ref="J139">SUMPRODUCT(--(J$8=Model2!$D$9:$CN$9),Model2!$D143:$CN143)</f>
        <v>29069.226722134579</v>
      </c>
      <c r="K139" s="50" cm="1">
        <f t="array" ref="K139">SUMPRODUCT(--(K$8=Model2!$D$9:$CN$9),Model2!$D143:$CN143)</f>
        <v>0</v>
      </c>
      <c r="L139" s="50" cm="1">
        <f t="array" ref="L139">SUMPRODUCT(--(L$8=Model2!$D$9:$CN$9),Model2!$D143:$CN143)</f>
        <v>0</v>
      </c>
      <c r="M139" s="50" cm="1">
        <f t="array" ref="M139">SUMPRODUCT(--(M$8=Model2!$D$9:$CN$9),Model2!$D143:$CN143)</f>
        <v>0</v>
      </c>
      <c r="N139" s="50" cm="1">
        <f t="array" ref="N139">SUMPRODUCT(--(N$8=Model2!$D$9:$CN$9),Model2!$D143:$CN143)</f>
        <v>0</v>
      </c>
      <c r="O139" s="50" cm="1">
        <f t="array" ref="O139">SUMPRODUCT(--(O$8=Model2!$D$9:$CN$9),Model2!$D143:$CN143)</f>
        <v>0</v>
      </c>
      <c r="P139" s="50" cm="1">
        <f t="array" ref="P139">SUMPRODUCT(--(P$8=Model2!$D$9:$CN$9),Model2!$D143:$CN143)</f>
        <v>0</v>
      </c>
      <c r="Q139" s="50" cm="1">
        <f t="array" ref="Q139">SUMPRODUCT(--(Q$8=Model2!$D$9:$CN$9),Model2!$D143:$CN143)</f>
        <v>0</v>
      </c>
      <c r="R139" s="50" cm="1">
        <f t="array" ref="R139">SUMPRODUCT(--(R$8=Model2!$D$9:$CN$9),Model2!$D143:$CN143)</f>
        <v>0</v>
      </c>
      <c r="S139" s="50" cm="1">
        <f t="array" ref="S139">SUMPRODUCT(--(S$8=Model2!$D$9:$CN$9),Model2!$D143:$CN143)</f>
        <v>0</v>
      </c>
      <c r="T139" s="50" cm="1">
        <f t="array" ref="T139">SUMPRODUCT(--(T$8=Model2!$D$9:$CN$9),Model2!$D143:$CN143)</f>
        <v>0</v>
      </c>
      <c r="U139" s="50" cm="1">
        <f t="array" ref="U139">SUMPRODUCT(--(U$8=Model2!$D$9:$CN$9),Model2!$D143:$CN143)</f>
        <v>0</v>
      </c>
      <c r="V139" s="50" cm="1">
        <f t="array" ref="V139">SUMPRODUCT(--(V$8=Model2!$D$9:$CN$9),Model2!$D143:$CN143)</f>
        <v>0</v>
      </c>
      <c r="W139" s="50" cm="1">
        <f t="array" ref="W139">SUMPRODUCT(--(W$8=Model2!$D$9:$CN$9),Model2!$D143:$CN143)</f>
        <v>0</v>
      </c>
      <c r="X139" s="50" cm="1">
        <f t="array" ref="X139">SUMPRODUCT(--(X$8=Model2!$D$9:$CN$9),Model2!$D143:$CN143)</f>
        <v>0</v>
      </c>
      <c r="Y139" s="50" cm="1">
        <f t="array" ref="Y139">SUMPRODUCT(--(Y$8=Model2!$D$9:$CN$9),Model2!$D143:$CN143)</f>
        <v>0</v>
      </c>
      <c r="Z139" s="50" cm="1">
        <f t="array" ref="Z139">SUMPRODUCT(--(Z$8=Model2!$D$9:$CN$9),Model2!$D143:$CN143)</f>
        <v>0</v>
      </c>
      <c r="AA139" s="50"/>
    </row>
    <row r="140" spans="1:27" ht="12.75" customHeight="1" outlineLevel="1">
      <c r="A140" s="35"/>
      <c r="B140" s="63" t="s">
        <v>226</v>
      </c>
      <c r="C140" s="35">
        <f t="shared" ref="C140:C141" si="20">SUM(D140:AA140)</f>
        <v>48442.270618825307</v>
      </c>
      <c r="D140" s="60">
        <f>Model2!D144</f>
        <v>0</v>
      </c>
      <c r="E140" s="35" cm="1">
        <f t="array" ref="E140">SUMPRODUCT(--(E$8&lt;=Model2!$D$9:'Model2'!$CN$9),--(E$9&gt;=Model2!$D$9:'Model2'!$CN$9),Model2!$D144:'Model2'!$CN144)</f>
        <v>1200</v>
      </c>
      <c r="F140" s="35" cm="1">
        <f t="array" ref="F140">SUMPRODUCT(--(F$8&lt;=Model2!$D$9:'Model2'!$CN$9),--(F$9&gt;=Model2!$D$9:'Model2'!$CN$9),Model2!$D144:'Model2'!$CN144)</f>
        <v>1200</v>
      </c>
      <c r="G140" s="35" cm="1">
        <f t="array" ref="G140">SUMPRODUCT(--(G$8&lt;=Model2!$D$9:'Model2'!$CN$9),--(G$9&gt;=Model2!$D$9:'Model2'!$CN$9),Model2!$D144:'Model2'!$CN144)</f>
        <v>2997.2089570312505</v>
      </c>
      <c r="H140" s="35" cm="1">
        <f t="array" ref="H140">SUMPRODUCT(--(H$8&lt;=Model2!$D$9:'Model2'!$CN$9),--(H$9&gt;=Model2!$D$9:'Model2'!$CN$9),Model2!$D144:'Model2'!$CN144)</f>
        <v>20477.90974921875</v>
      </c>
      <c r="I140" s="35" cm="1">
        <f t="array" ref="I140">SUMPRODUCT(--(I$8&lt;=Model2!$D$9:'Model2'!$CN$9),--(I$9&gt;=Model2!$D$9:'Model2'!$CN$9),Model2!$D144:'Model2'!$CN144)</f>
        <v>22127.833367578129</v>
      </c>
      <c r="J140" s="35" cm="1">
        <f t="array" ref="J140">SUMPRODUCT(--(J$8&lt;=Model2!$D$9:'Model2'!$CN$9),--(J$9&gt;=Model2!$D$9:'Model2'!$CN$9),Model2!$D144:'Model2'!$CN144)</f>
        <v>439.3185449971752</v>
      </c>
      <c r="K140" s="35" cm="1">
        <f t="array" ref="K140">SUMPRODUCT(--(K$8&lt;=Model2!$D$9:'Model2'!$CN$9),--(K$9&gt;=Model2!$D$9:'Model2'!$CN$9),Model2!$D144:'Model2'!$CN144)</f>
        <v>0</v>
      </c>
      <c r="L140" s="35" cm="1">
        <f t="array" ref="L140">SUMPRODUCT(--(L$8&lt;=Model2!$D$9:'Model2'!$CN$9),--(L$9&gt;=Model2!$D$9:'Model2'!$CN$9),Model2!$D144:'Model2'!$CN144)</f>
        <v>0</v>
      </c>
      <c r="M140" s="35" cm="1">
        <f t="array" ref="M140">SUMPRODUCT(--(M$8&lt;=Model2!$D$9:'Model2'!$CN$9),--(M$9&gt;=Model2!$D$9:'Model2'!$CN$9),Model2!$D144:'Model2'!$CN144)</f>
        <v>0</v>
      </c>
      <c r="N140" s="35" cm="1">
        <f t="array" ref="N140">SUMPRODUCT(--(N$8&lt;=Model2!$D$9:'Model2'!$CN$9),--(N$9&gt;=Model2!$D$9:'Model2'!$CN$9),Model2!$D144:'Model2'!$CN144)</f>
        <v>0</v>
      </c>
      <c r="O140" s="35" cm="1">
        <f t="array" ref="O140">SUMPRODUCT(--(O$8&lt;=Model2!$D$9:'Model2'!$CN$9),--(O$9&gt;=Model2!$D$9:'Model2'!$CN$9),Model2!$D144:'Model2'!$CN144)</f>
        <v>0</v>
      </c>
      <c r="P140" s="35" cm="1">
        <f t="array" ref="P140">SUMPRODUCT(--(P$8&lt;=Model2!$D$9:'Model2'!$CN$9),--(P$9&gt;=Model2!$D$9:'Model2'!$CN$9),Model2!$D144:'Model2'!$CN144)</f>
        <v>0</v>
      </c>
      <c r="Q140" s="35" cm="1">
        <f t="array" ref="Q140">SUMPRODUCT(--(Q$8&lt;=Model2!$D$9:'Model2'!$CN$9),--(Q$9&gt;=Model2!$D$9:'Model2'!$CN$9),Model2!$D144:'Model2'!$CN144)</f>
        <v>0</v>
      </c>
      <c r="R140" s="35" cm="1">
        <f t="array" ref="R140">SUMPRODUCT(--(R$8&lt;=Model2!$D$9:'Model2'!$CN$9),--(R$9&gt;=Model2!$D$9:'Model2'!$CN$9),Model2!$D144:'Model2'!$CN144)</f>
        <v>0</v>
      </c>
      <c r="S140" s="35" cm="1">
        <f t="array" ref="S140">SUMPRODUCT(--(S$8&lt;=Model2!$D$9:'Model2'!$CN$9),--(S$9&gt;=Model2!$D$9:'Model2'!$CN$9),Model2!$D144:'Model2'!$CN144)</f>
        <v>0</v>
      </c>
      <c r="T140" s="35" cm="1">
        <f t="array" ref="T140">SUMPRODUCT(--(T$8&lt;=Model2!$D$9:'Model2'!$CN$9),--(T$9&gt;=Model2!$D$9:'Model2'!$CN$9),Model2!$D144:'Model2'!$CN144)</f>
        <v>0</v>
      </c>
      <c r="U140" s="35" cm="1">
        <f t="array" ref="U140">SUMPRODUCT(--(U$8&lt;=Model2!$D$9:'Model2'!$CN$9),--(U$9&gt;=Model2!$D$9:'Model2'!$CN$9),Model2!$D144:'Model2'!$CN144)</f>
        <v>0</v>
      </c>
      <c r="V140" s="35" cm="1">
        <f t="array" ref="V140">SUMPRODUCT(--(V$8&lt;=Model2!$D$9:'Model2'!$CN$9),--(V$9&gt;=Model2!$D$9:'Model2'!$CN$9),Model2!$D144:'Model2'!$CN144)</f>
        <v>0</v>
      </c>
      <c r="W140" s="35" cm="1">
        <f t="array" ref="W140">SUMPRODUCT(--(W$8&lt;=Model2!$D$9:'Model2'!$CN$9),--(W$9&gt;=Model2!$D$9:'Model2'!$CN$9),Model2!$D144:'Model2'!$CN144)</f>
        <v>0</v>
      </c>
      <c r="X140" s="35" cm="1">
        <f t="array" ref="X140">SUMPRODUCT(--(X$8&lt;=Model2!$D$9:'Model2'!$CN$9),--(X$9&gt;=Model2!$D$9:'Model2'!$CN$9),Model2!$D144:'Model2'!$CN144)</f>
        <v>0</v>
      </c>
      <c r="Y140" s="35" cm="1">
        <f t="array" ref="Y140">SUMPRODUCT(--(Y$8&lt;=Model2!$D$9:'Model2'!$CN$9),--(Y$9&gt;=Model2!$D$9:'Model2'!$CN$9),Model2!$D144:'Model2'!$CN144)</f>
        <v>0</v>
      </c>
      <c r="Z140" s="35" cm="1">
        <f t="array" ref="Z140">SUMPRODUCT(--(Z$8&lt;=Model2!$D$9:'Model2'!$CN$9),--(Z$9&gt;=Model2!$D$9:'Model2'!$CN$9),Model2!$D144:'Model2'!$CN144)</f>
        <v>0</v>
      </c>
      <c r="AA140" s="35"/>
    </row>
    <row r="141" spans="1:27" ht="12.75" customHeight="1" outlineLevel="1">
      <c r="A141" s="35"/>
      <c r="B141" s="63" t="s">
        <v>229</v>
      </c>
      <c r="C141" s="35">
        <f t="shared" si="20"/>
        <v>-48442.270618825307</v>
      </c>
      <c r="D141" s="60">
        <f>Model2!D145</f>
        <v>0</v>
      </c>
      <c r="E141" s="35" cm="1">
        <f t="array" ref="E141">SUMPRODUCT(--(E$8&lt;=Model2!$D$9:'Model2'!$CN$9),--(E$9&gt;=Model2!$D$9:'Model2'!$CN$9),Model2!$D145:'Model2'!$CN145)</f>
        <v>0</v>
      </c>
      <c r="F141" s="35" cm="1">
        <f t="array" ref="F141">SUMPRODUCT(--(F$8&lt;=Model2!$D$9:'Model2'!$CN$9),--(F$9&gt;=Model2!$D$9:'Model2'!$CN$9),Model2!$D145:'Model2'!$CN145)</f>
        <v>0</v>
      </c>
      <c r="G141" s="35" cm="1">
        <f t="array" ref="G141">SUMPRODUCT(--(G$8&lt;=Model2!$D$9:'Model2'!$CN$9),--(G$9&gt;=Model2!$D$9:'Model2'!$CN$9),Model2!$D145:'Model2'!$CN145)</f>
        <v>0</v>
      </c>
      <c r="H141" s="35" cm="1">
        <f t="array" ref="H141">SUMPRODUCT(--(H$8&lt;=Model2!$D$9:'Model2'!$CN$9),--(H$9&gt;=Model2!$D$9:'Model2'!$CN$9),Model2!$D145:'Model2'!$CN145)</f>
        <v>0</v>
      </c>
      <c r="I141" s="35" cm="1">
        <f t="array" ref="I141">SUMPRODUCT(--(I$8&lt;=Model2!$D$9:'Model2'!$CN$9),--(I$9&gt;=Model2!$D$9:'Model2'!$CN$9),Model2!$D145:'Model2'!$CN145)</f>
        <v>-18933.725351693553</v>
      </c>
      <c r="J141" s="35" cm="1">
        <f t="array" ref="J141">SUMPRODUCT(--(J$8&lt;=Model2!$D$9:'Model2'!$CN$9),--(J$9&gt;=Model2!$D$9:'Model2'!$CN$9),Model2!$D145:'Model2'!$CN145)</f>
        <v>-29508.545267131754</v>
      </c>
      <c r="K141" s="35" cm="1">
        <f t="array" ref="K141">SUMPRODUCT(--(K$8&lt;=Model2!$D$9:'Model2'!$CN$9),--(K$9&gt;=Model2!$D$9:'Model2'!$CN$9),Model2!$D145:'Model2'!$CN145)</f>
        <v>0</v>
      </c>
      <c r="L141" s="35" cm="1">
        <f t="array" ref="L141">SUMPRODUCT(--(L$8&lt;=Model2!$D$9:'Model2'!$CN$9),--(L$9&gt;=Model2!$D$9:'Model2'!$CN$9),Model2!$D145:'Model2'!$CN145)</f>
        <v>0</v>
      </c>
      <c r="M141" s="35" cm="1">
        <f t="array" ref="M141">SUMPRODUCT(--(M$8&lt;=Model2!$D$9:'Model2'!$CN$9),--(M$9&gt;=Model2!$D$9:'Model2'!$CN$9),Model2!$D145:'Model2'!$CN145)</f>
        <v>0</v>
      </c>
      <c r="N141" s="35" cm="1">
        <f t="array" ref="N141">SUMPRODUCT(--(N$8&lt;=Model2!$D$9:'Model2'!$CN$9),--(N$9&gt;=Model2!$D$9:'Model2'!$CN$9),Model2!$D145:'Model2'!$CN145)</f>
        <v>0</v>
      </c>
      <c r="O141" s="35" cm="1">
        <f t="array" ref="O141">SUMPRODUCT(--(O$8&lt;=Model2!$D$9:'Model2'!$CN$9),--(O$9&gt;=Model2!$D$9:'Model2'!$CN$9),Model2!$D145:'Model2'!$CN145)</f>
        <v>0</v>
      </c>
      <c r="P141" s="35" cm="1">
        <f t="array" ref="P141">SUMPRODUCT(--(P$8&lt;=Model2!$D$9:'Model2'!$CN$9),--(P$9&gt;=Model2!$D$9:'Model2'!$CN$9),Model2!$D145:'Model2'!$CN145)</f>
        <v>0</v>
      </c>
      <c r="Q141" s="35" cm="1">
        <f t="array" ref="Q141">SUMPRODUCT(--(Q$8&lt;=Model2!$D$9:'Model2'!$CN$9),--(Q$9&gt;=Model2!$D$9:'Model2'!$CN$9),Model2!$D145:'Model2'!$CN145)</f>
        <v>0</v>
      </c>
      <c r="R141" s="35" cm="1">
        <f t="array" ref="R141">SUMPRODUCT(--(R$8&lt;=Model2!$D$9:'Model2'!$CN$9),--(R$9&gt;=Model2!$D$9:'Model2'!$CN$9),Model2!$D145:'Model2'!$CN145)</f>
        <v>0</v>
      </c>
      <c r="S141" s="35" cm="1">
        <f t="array" ref="S141">SUMPRODUCT(--(S$8&lt;=Model2!$D$9:'Model2'!$CN$9),--(S$9&gt;=Model2!$D$9:'Model2'!$CN$9),Model2!$D145:'Model2'!$CN145)</f>
        <v>0</v>
      </c>
      <c r="T141" s="35" cm="1">
        <f t="array" ref="T141">SUMPRODUCT(--(T$8&lt;=Model2!$D$9:'Model2'!$CN$9),--(T$9&gt;=Model2!$D$9:'Model2'!$CN$9),Model2!$D145:'Model2'!$CN145)</f>
        <v>0</v>
      </c>
      <c r="U141" s="35" cm="1">
        <f t="array" ref="U141">SUMPRODUCT(--(U$8&lt;=Model2!$D$9:'Model2'!$CN$9),--(U$9&gt;=Model2!$D$9:'Model2'!$CN$9),Model2!$D145:'Model2'!$CN145)</f>
        <v>0</v>
      </c>
      <c r="V141" s="35" cm="1">
        <f t="array" ref="V141">SUMPRODUCT(--(V$8&lt;=Model2!$D$9:'Model2'!$CN$9),--(V$9&gt;=Model2!$D$9:'Model2'!$CN$9),Model2!$D145:'Model2'!$CN145)</f>
        <v>0</v>
      </c>
      <c r="W141" s="35" cm="1">
        <f t="array" ref="W141">SUMPRODUCT(--(W$8&lt;=Model2!$D$9:'Model2'!$CN$9),--(W$9&gt;=Model2!$D$9:'Model2'!$CN$9),Model2!$D145:'Model2'!$CN145)</f>
        <v>0</v>
      </c>
      <c r="X141" s="35" cm="1">
        <f t="array" ref="X141">SUMPRODUCT(--(X$8&lt;=Model2!$D$9:'Model2'!$CN$9),--(X$9&gt;=Model2!$D$9:'Model2'!$CN$9),Model2!$D145:'Model2'!$CN145)</f>
        <v>0</v>
      </c>
      <c r="Y141" s="35" cm="1">
        <f t="array" ref="Y141">SUMPRODUCT(--(Y$8&lt;=Model2!$D$9:'Model2'!$CN$9),--(Y$9&gt;=Model2!$D$9:'Model2'!$CN$9),Model2!$D145:'Model2'!$CN145)</f>
        <v>0</v>
      </c>
      <c r="Z141" s="35" cm="1">
        <f t="array" ref="Z141">SUMPRODUCT(--(Z$8&lt;=Model2!$D$9:'Model2'!$CN$9),--(Z$9&gt;=Model2!$D$9:'Model2'!$CN$9),Model2!$D145:'Model2'!$CN145)</f>
        <v>0</v>
      </c>
      <c r="AA141" s="35"/>
    </row>
    <row r="142" spans="1:27" ht="12.75" customHeight="1" outlineLevel="1">
      <c r="A142" s="35"/>
      <c r="B142" s="54" t="s">
        <v>230</v>
      </c>
      <c r="C142" s="55"/>
      <c r="D142" s="58">
        <f>Model2!D146</f>
        <v>0</v>
      </c>
      <c r="E142" s="55" cm="1">
        <f t="array" ref="E142">SUMPRODUCT(--(E$9=Model2!$D$9:$CN$9),Model2!$D146:$CN146)</f>
        <v>1200</v>
      </c>
      <c r="F142" s="55" cm="1">
        <f t="array" ref="F142">SUMPRODUCT(--(F$9=Model2!$D$9:$CN$9),Model2!$D146:$CN146)</f>
        <v>2400</v>
      </c>
      <c r="G142" s="55" cm="1">
        <f t="array" ref="G142">SUMPRODUCT(--(G$9=Model2!$D$9:$CN$9),Model2!$D146:$CN146)</f>
        <v>5397.208957031251</v>
      </c>
      <c r="H142" s="55" cm="1">
        <f t="array" ref="H142">SUMPRODUCT(--(H$9=Model2!$D$9:$CN$9),Model2!$D146:$CN146)</f>
        <v>25875.118706250003</v>
      </c>
      <c r="I142" s="55" cm="1">
        <f t="array" ref="I142">SUMPRODUCT(--(I$9=Model2!$D$9:$CN$9),Model2!$D146:$CN146)</f>
        <v>29069.226722134579</v>
      </c>
      <c r="J142" s="55" cm="1">
        <f t="array" ref="J142">SUMPRODUCT(--(J$9=Model2!$D$9:$CN$9),Model2!$D146:$CN146)</f>
        <v>0</v>
      </c>
      <c r="K142" s="55" cm="1">
        <f t="array" ref="K142">SUMPRODUCT(--(K$9=Model2!$D$9:$CN$9),Model2!$D146:$CN146)</f>
        <v>0</v>
      </c>
      <c r="L142" s="55" cm="1">
        <f t="array" ref="L142">SUMPRODUCT(--(L$9=Model2!$D$9:$CN$9),Model2!$D146:$CN146)</f>
        <v>0</v>
      </c>
      <c r="M142" s="55" cm="1">
        <f t="array" ref="M142">SUMPRODUCT(--(M$9=Model2!$D$9:$CN$9),Model2!$D146:$CN146)</f>
        <v>0</v>
      </c>
      <c r="N142" s="55" cm="1">
        <f t="array" ref="N142">SUMPRODUCT(--(N$9=Model2!$D$9:$CN$9),Model2!$D146:$CN146)</f>
        <v>0</v>
      </c>
      <c r="O142" s="55" cm="1">
        <f t="array" ref="O142">SUMPRODUCT(--(O$9=Model2!$D$9:$CN$9),Model2!$D146:$CN146)</f>
        <v>0</v>
      </c>
      <c r="P142" s="55" cm="1">
        <f t="array" ref="P142">SUMPRODUCT(--(P$9=Model2!$D$9:$CN$9),Model2!$D146:$CN146)</f>
        <v>0</v>
      </c>
      <c r="Q142" s="55" cm="1">
        <f t="array" ref="Q142">SUMPRODUCT(--(Q$9=Model2!$D$9:$CN$9),Model2!$D146:$CN146)</f>
        <v>0</v>
      </c>
      <c r="R142" s="55" cm="1">
        <f t="array" ref="R142">SUMPRODUCT(--(R$9=Model2!$D$9:$CN$9),Model2!$D146:$CN146)</f>
        <v>0</v>
      </c>
      <c r="S142" s="55" cm="1">
        <f t="array" ref="S142">SUMPRODUCT(--(S$9=Model2!$D$9:$CN$9),Model2!$D146:$CN146)</f>
        <v>0</v>
      </c>
      <c r="T142" s="55" cm="1">
        <f t="array" ref="T142">SUMPRODUCT(--(T$9=Model2!$D$9:$CN$9),Model2!$D146:$CN146)</f>
        <v>0</v>
      </c>
      <c r="U142" s="55" cm="1">
        <f t="array" ref="U142">SUMPRODUCT(--(U$9=Model2!$D$9:$CN$9),Model2!$D146:$CN146)</f>
        <v>0</v>
      </c>
      <c r="V142" s="55" cm="1">
        <f t="array" ref="V142">SUMPRODUCT(--(V$9=Model2!$D$9:$CN$9),Model2!$D146:$CN146)</f>
        <v>0</v>
      </c>
      <c r="W142" s="55" cm="1">
        <f t="array" ref="W142">SUMPRODUCT(--(W$9=Model2!$D$9:$CN$9),Model2!$D146:$CN146)</f>
        <v>0</v>
      </c>
      <c r="X142" s="55" cm="1">
        <f t="array" ref="X142">SUMPRODUCT(--(X$9=Model2!$D$9:$CN$9),Model2!$D146:$CN146)</f>
        <v>0</v>
      </c>
      <c r="Y142" s="55" cm="1">
        <f t="array" ref="Y142">SUMPRODUCT(--(Y$9=Model2!$D$9:$CN$9),Model2!$D146:$CN146)</f>
        <v>0</v>
      </c>
      <c r="Z142" s="55" cm="1">
        <f t="array" ref="Z142">SUMPRODUCT(--(Z$9=Model2!$D$9:$CN$9),Model2!$D146:$CN146)</f>
        <v>0</v>
      </c>
      <c r="AA142" s="55"/>
    </row>
    <row r="143" spans="1:27" ht="12.75" customHeight="1" outlineLevel="1">
      <c r="A143" s="35"/>
      <c r="B143" s="35"/>
      <c r="C143" s="35"/>
      <c r="D143" s="60">
        <f>Model2!D147</f>
        <v>0</v>
      </c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</row>
    <row r="144" spans="1:27" ht="12.75" customHeight="1" outlineLevel="1">
      <c r="A144" s="35"/>
      <c r="B144" s="35" t="s">
        <v>231</v>
      </c>
      <c r="C144" s="35"/>
      <c r="D144" s="60">
        <f>Model2!D148</f>
        <v>0</v>
      </c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</row>
    <row r="145" spans="1:27" ht="12.75" customHeight="1" outlineLevel="1">
      <c r="A145" s="35"/>
      <c r="B145" s="49" t="s">
        <v>228</v>
      </c>
      <c r="C145" s="50"/>
      <c r="D145" s="53">
        <f>Model2!D149</f>
        <v>0</v>
      </c>
      <c r="E145" s="50" cm="1">
        <f t="array" ref="E145">SUMPRODUCT(--(E$9=Model2!$D$9:$CN$9),Model2!$D149:$CN149)</f>
        <v>0</v>
      </c>
      <c r="F145" s="50" cm="1">
        <f t="array" ref="F145">SUMPRODUCT(--(F$9=Model2!$D$9:$CN$9),Model2!$D149:$CN149)</f>
        <v>0</v>
      </c>
      <c r="G145" s="50" cm="1">
        <f t="array" ref="G145">SUMPRODUCT(--(G$9=Model2!$D$9:$CN$9),Model2!$D149:$CN149)</f>
        <v>0</v>
      </c>
      <c r="H145" s="50" cm="1">
        <f t="array" ref="H145">SUMPRODUCT(--(H$9=Model2!$D$9:$CN$9),Model2!$D149:$CN149)</f>
        <v>0</v>
      </c>
      <c r="I145" s="50" cm="1">
        <f t="array" ref="I145">SUMPRODUCT(--(I$9=Model2!$D$9:$CN$9),Model2!$D149:$CN149)</f>
        <v>0</v>
      </c>
      <c r="J145" s="50" cm="1">
        <f t="array" ref="J145">SUMPRODUCT(--(J$9=Model2!$D$9:$CN$9),Model2!$D149:$CN149)</f>
        <v>0</v>
      </c>
      <c r="K145" s="50" cm="1">
        <f t="array" ref="K145">SUMPRODUCT(--(K$9=Model2!$D$9:$CN$9),Model2!$D149:$CN149)</f>
        <v>0</v>
      </c>
      <c r="L145" s="50" cm="1">
        <f t="array" ref="L145">SUMPRODUCT(--(L$9=Model2!$D$9:$CN$9),Model2!$D149:$CN149)</f>
        <v>0</v>
      </c>
      <c r="M145" s="50" cm="1">
        <f t="array" ref="M145">SUMPRODUCT(--(M$9=Model2!$D$9:$CN$9),Model2!$D149:$CN149)</f>
        <v>0</v>
      </c>
      <c r="N145" s="50" cm="1">
        <f t="array" ref="N145">SUMPRODUCT(--(N$9=Model2!$D$9:$CN$9),Model2!$D149:$CN149)</f>
        <v>0</v>
      </c>
      <c r="O145" s="50" cm="1">
        <f t="array" ref="O145">SUMPRODUCT(--(O$9=Model2!$D$9:$CN$9),Model2!$D149:$CN149)</f>
        <v>0</v>
      </c>
      <c r="P145" s="50" cm="1">
        <f t="array" ref="P145">SUMPRODUCT(--(P$9=Model2!$D$9:$CN$9),Model2!$D149:$CN149)</f>
        <v>0</v>
      </c>
      <c r="Q145" s="50" cm="1">
        <f t="array" ref="Q145">SUMPRODUCT(--(Q$9=Model2!$D$9:$CN$9),Model2!$D149:$CN149)</f>
        <v>0</v>
      </c>
      <c r="R145" s="50" cm="1">
        <f t="array" ref="R145">SUMPRODUCT(--(R$9=Model2!$D$9:$CN$9),Model2!$D149:$CN149)</f>
        <v>0</v>
      </c>
      <c r="S145" s="50" cm="1">
        <f t="array" ref="S145">SUMPRODUCT(--(S$9=Model2!$D$9:$CN$9),Model2!$D149:$CN149)</f>
        <v>0</v>
      </c>
      <c r="T145" s="50" cm="1">
        <f t="array" ref="T145">SUMPRODUCT(--(T$9=Model2!$D$9:$CN$9),Model2!$D149:$CN149)</f>
        <v>0</v>
      </c>
      <c r="U145" s="50" cm="1">
        <f t="array" ref="U145">SUMPRODUCT(--(U$9=Model2!$D$9:$CN$9),Model2!$D149:$CN149)</f>
        <v>0</v>
      </c>
      <c r="V145" s="50" cm="1">
        <f t="array" ref="V145">SUMPRODUCT(--(V$9=Model2!$D$9:$CN$9),Model2!$D149:$CN149)</f>
        <v>0</v>
      </c>
      <c r="W145" s="50" cm="1">
        <f t="array" ref="W145">SUMPRODUCT(--(W$9=Model2!$D$9:$CN$9),Model2!$D149:$CN149)</f>
        <v>0</v>
      </c>
      <c r="X145" s="50" cm="1">
        <f t="array" ref="X145">SUMPRODUCT(--(X$9=Model2!$D$9:$CN$9),Model2!$D149:$CN149)</f>
        <v>0</v>
      </c>
      <c r="Y145" s="50" cm="1">
        <f t="array" ref="Y145">SUMPRODUCT(--(Y$9=Model2!$D$9:$CN$9),Model2!$D149:$CN149)</f>
        <v>0</v>
      </c>
      <c r="Z145" s="50" cm="1">
        <f t="array" ref="Z145">SUMPRODUCT(--(Z$9=Model2!$D$9:$CN$9),Model2!$D149:$CN149)</f>
        <v>0</v>
      </c>
      <c r="AA145" s="50"/>
    </row>
    <row r="146" spans="1:27" ht="12.75" customHeight="1" outlineLevel="1">
      <c r="A146" s="35"/>
      <c r="B146" s="63" t="s">
        <v>232</v>
      </c>
      <c r="C146" s="35">
        <f>SUM(D146:AA146)</f>
        <v>339724.27161255421</v>
      </c>
      <c r="D146" s="60">
        <f>Model2!D150</f>
        <v>0</v>
      </c>
      <c r="E146" s="35" cm="1">
        <f t="array" ref="E146">SUMPRODUCT(--(E$8&lt;=Model2!$D$9:'Model2'!$CN$9),--(E$9&gt;=Model2!$D$9:'Model2'!$CN$9),Model2!$D150:'Model2'!$CN150)</f>
        <v>0</v>
      </c>
      <c r="F146" s="35" cm="1">
        <f t="array" ref="F146">SUMPRODUCT(--(F$8&lt;=Model2!$D$9:'Model2'!$CN$9),--(F$9&gt;=Model2!$D$9:'Model2'!$CN$9),Model2!$D150:'Model2'!$CN150)</f>
        <v>0</v>
      </c>
      <c r="G146" s="35" cm="1">
        <f t="array" ref="G146">SUMPRODUCT(--(G$8&lt;=Model2!$D$9:'Model2'!$CN$9),--(G$9&gt;=Model2!$D$9:'Model2'!$CN$9),Model2!$D150:'Model2'!$CN150)</f>
        <v>0</v>
      </c>
      <c r="H146" s="35" cm="1">
        <f t="array" ref="H146">SUMPRODUCT(--(H$8&lt;=Model2!$D$9:'Model2'!$CN$9),--(H$9&gt;=Model2!$D$9:'Model2'!$CN$9),Model2!$D150:'Model2'!$CN150)</f>
        <v>0</v>
      </c>
      <c r="I146" s="35" cm="1">
        <f t="array" ref="I146">SUMPRODUCT(--(I$8&lt;=Model2!$D$9:'Model2'!$CN$9),--(I$9&gt;=Model2!$D$9:'Model2'!$CN$9),Model2!$D150:'Model2'!$CN150)</f>
        <v>5561.9723897647536</v>
      </c>
      <c r="J146" s="35" cm="1">
        <f t="array" ref="J146">SUMPRODUCT(--(J$8&lt;=Model2!$D$9:'Model2'!$CN$9),--(J$9&gt;=Model2!$D$9:'Model2'!$CN$9),Model2!$D150:'Model2'!$CN150)</f>
        <v>12704.014400103228</v>
      </c>
      <c r="K146" s="35" cm="1">
        <f t="array" ref="K146">SUMPRODUCT(--(K$8&lt;=Model2!$D$9:'Model2'!$CN$9),--(K$9&gt;=Model2!$D$9:'Model2'!$CN$9),Model2!$D150:'Model2'!$CN150)</f>
        <v>13593.56967047742</v>
      </c>
      <c r="L146" s="35" cm="1">
        <f t="array" ref="L146">SUMPRODUCT(--(L$8&lt;=Model2!$D$9:'Model2'!$CN$9),--(L$9&gt;=Model2!$D$9:'Model2'!$CN$9),Model2!$D150:'Model2'!$CN150)</f>
        <v>14267.155174321753</v>
      </c>
      <c r="M146" s="35" cm="1">
        <f t="array" ref="M146">SUMPRODUCT(--(M$8&lt;=Model2!$D$9:'Model2'!$CN$9),--(M$9&gt;=Model2!$D$9:'Model2'!$CN$9),Model2!$D150:'Model2'!$CN150)</f>
        <v>14980.51293303784</v>
      </c>
      <c r="N146" s="35" cm="1">
        <f t="array" ref="N146">SUMPRODUCT(--(N$8&lt;=Model2!$D$9:'Model2'!$CN$9),--(N$9&gt;=Model2!$D$9:'Model2'!$CN$9),Model2!$D150:'Model2'!$CN150)</f>
        <v>15729.538579689735</v>
      </c>
      <c r="O146" s="35" cm="1">
        <f t="array" ref="O146">SUMPRODUCT(--(O$8&lt;=Model2!$D$9:'Model2'!$CN$9),--(O$9&gt;=Model2!$D$9:'Model2'!$CN$9),Model2!$D150:'Model2'!$CN150)</f>
        <v>16516.015508674223</v>
      </c>
      <c r="P146" s="35" cm="1">
        <f t="array" ref="P146">SUMPRODUCT(--(P$8&lt;=Model2!$D$9:'Model2'!$CN$9),--(P$9&gt;=Model2!$D$9:'Model2'!$CN$9),Model2!$D150:'Model2'!$CN150)</f>
        <v>17341.816284107928</v>
      </c>
      <c r="Q146" s="35" cm="1">
        <f t="array" ref="Q146">SUMPRODUCT(--(Q$8&lt;=Model2!$D$9:'Model2'!$CN$9),--(Q$9&gt;=Model2!$D$9:'Model2'!$CN$9),Model2!$D150:'Model2'!$CN150)</f>
        <v>18208.907098313328</v>
      </c>
      <c r="R146" s="35" cm="1">
        <f t="array" ref="R146">SUMPRODUCT(--(R$8&lt;=Model2!$D$9:'Model2'!$CN$9),--(R$9&gt;=Model2!$D$9:'Model2'!$CN$9),Model2!$D150:'Model2'!$CN150)</f>
        <v>19119.352453228992</v>
      </c>
      <c r="S146" s="35" cm="1">
        <f t="array" ref="S146">SUMPRODUCT(--(S$8&lt;=Model2!$D$9:'Model2'!$CN$9),--(S$9&gt;=Model2!$D$9:'Model2'!$CN$9),Model2!$D150:'Model2'!$CN150)</f>
        <v>20075.320075890446</v>
      </c>
      <c r="T146" s="35" cm="1">
        <f t="array" ref="T146">SUMPRODUCT(--(T$8&lt;=Model2!$D$9:'Model2'!$CN$9),--(T$9&gt;=Model2!$D$9:'Model2'!$CN$9),Model2!$D150:'Model2'!$CN150)</f>
        <v>21079.086079684967</v>
      </c>
      <c r="U146" s="35" cm="1">
        <f t="array" ref="U146">SUMPRODUCT(--(U$8&lt;=Model2!$D$9:'Model2'!$CN$9),--(U$9&gt;=Model2!$D$9:'Model2'!$CN$9),Model2!$D150:'Model2'!$CN150)</f>
        <v>22133.040383669217</v>
      </c>
      <c r="V146" s="35" cm="1">
        <f t="array" ref="V146">SUMPRODUCT(--(V$8&lt;=Model2!$D$9:'Model2'!$CN$9),--(V$9&gt;=Model2!$D$9:'Model2'!$CN$9),Model2!$D150:'Model2'!$CN150)</f>
        <v>23239.692402852677</v>
      </c>
      <c r="W146" s="35" cm="1">
        <f t="array" ref="W146">SUMPRODUCT(--(W$8&lt;=Model2!$D$9:'Model2'!$CN$9),--(W$9&gt;=Model2!$D$9:'Model2'!$CN$9),Model2!$D150:'Model2'!$CN150)</f>
        <v>24401.677022995318</v>
      </c>
      <c r="X146" s="35" cm="1">
        <f t="array" ref="X146">SUMPRODUCT(--(X$8&lt;=Model2!$D$9:'Model2'!$CN$9),--(X$9&gt;=Model2!$D$9:'Model2'!$CN$9),Model2!$D150:'Model2'!$CN150)</f>
        <v>25621.760874145079</v>
      </c>
      <c r="Y146" s="35" cm="1">
        <f t="array" ref="Y146">SUMPRODUCT(--(Y$8&lt;=Model2!$D$9:'Model2'!$CN$9),--(Y$9&gt;=Model2!$D$9:'Model2'!$CN$9),Model2!$D150:'Model2'!$CN150)</f>
        <v>26902.848917852341</v>
      </c>
      <c r="Z146" s="35" cm="1">
        <f t="array" ref="Z146">SUMPRODUCT(--(Z$8&lt;=Model2!$D$9:'Model2'!$CN$9),--(Z$9&gt;=Model2!$D$9:'Model2'!$CN$9),Model2!$D150:'Model2'!$CN150)</f>
        <v>28247.991363744954</v>
      </c>
      <c r="AA146" s="35"/>
    </row>
    <row r="147" spans="1:27" ht="12.75" customHeight="1" outlineLevel="1">
      <c r="A147" s="35"/>
      <c r="B147" s="63" t="s">
        <v>233</v>
      </c>
      <c r="C147" s="35">
        <f>SUM(D147:AA147)</f>
        <v>-1773201.126231563</v>
      </c>
      <c r="D147" s="60">
        <f>Model2!D151</f>
        <v>0</v>
      </c>
      <c r="E147" s="35" cm="1">
        <f t="array" ref="E147">SUMPRODUCT(--(E$8&lt;=Model2!$D$9:'Model2'!$CN$9),--(E$9&gt;=Model2!$D$9:'Model2'!$CN$9),Model2!$D151:'Model2'!$CN151)</f>
        <v>0</v>
      </c>
      <c r="F147" s="35" cm="1">
        <f t="array" ref="F147">SUMPRODUCT(--(F$8&lt;=Model2!$D$9:'Model2'!$CN$9),--(F$9&gt;=Model2!$D$9:'Model2'!$CN$9),Model2!$D151:'Model2'!$CN151)</f>
        <v>0</v>
      </c>
      <c r="G147" s="35" cm="1">
        <f t="array" ref="G147">SUMPRODUCT(--(G$8&lt;=Model2!$D$9:'Model2'!$CN$9),--(G$9&gt;=Model2!$D$9:'Model2'!$CN$9),Model2!$D151:'Model2'!$CN151)</f>
        <v>0</v>
      </c>
      <c r="H147" s="35" cm="1">
        <f t="array" ref="H147">SUMPRODUCT(--(H$8&lt;=Model2!$D$9:'Model2'!$CN$9),--(H$9&gt;=Model2!$D$9:'Model2'!$CN$9),Model2!$D151:'Model2'!$CN151)</f>
        <v>0</v>
      </c>
      <c r="I147" s="35" cm="1">
        <f t="array" ref="I147">SUMPRODUCT(--(I$8&lt;=Model2!$D$9:'Model2'!$CN$9),--(I$9&gt;=Model2!$D$9:'Model2'!$CN$9),Model2!$D151:'Model2'!$CN151)</f>
        <v>-22286.2311356875</v>
      </c>
      <c r="J147" s="35" cm="1">
        <f t="array" ref="J147">SUMPRODUCT(--(J$8&lt;=Model2!$D$9:'Model2'!$CN$9),--(J$9&gt;=Model2!$D$9:'Model2'!$CN$9),Model2!$D151:'Model2'!$CN151)</f>
        <v>-67307.117080912489</v>
      </c>
      <c r="K147" s="35" cm="1">
        <f t="array" ref="K147">SUMPRODUCT(--(K$8&lt;=Model2!$D$9:'Model2'!$CN$9),--(K$9&gt;=Model2!$D$9:'Model2'!$CN$9),Model2!$D151:'Model2'!$CN151)</f>
        <v>-71274.739469027496</v>
      </c>
      <c r="L147" s="35" cm="1">
        <f t="array" ref="L147">SUMPRODUCT(--(L$8&lt;=Model2!$D$9:'Model2'!$CN$9),--(L$9&gt;=Model2!$D$9:'Model2'!$CN$9),Model2!$D151:'Model2'!$CN151)</f>
        <v>-74719.201394182644</v>
      </c>
      <c r="M147" s="35" cm="1">
        <f t="array" ref="M147">SUMPRODUCT(--(M$8&lt;=Model2!$D$9:'Model2'!$CN$9),--(M$9&gt;=Model2!$D$9:'Model2'!$CN$9),Model2!$D151:'Model2'!$CN151)</f>
        <v>-78455.161463891767</v>
      </c>
      <c r="N147" s="35" cm="1">
        <f t="array" ref="N147">SUMPRODUCT(--(N$8&lt;=Model2!$D$9:'Model2'!$CN$9),--(N$9&gt;=Model2!$D$9:'Model2'!$CN$9),Model2!$D151:'Model2'!$CN151)</f>
        <v>-82377.91953708636</v>
      </c>
      <c r="O147" s="35" cm="1">
        <f t="array" ref="O147">SUMPRODUCT(--(O$8&lt;=Model2!$D$9:'Model2'!$CN$9),--(O$9&gt;=Model2!$D$9:'Model2'!$CN$9),Model2!$D151:'Model2'!$CN151)</f>
        <v>-86496.815513940688</v>
      </c>
      <c r="P147" s="35" cm="1">
        <f t="array" ref="P147">SUMPRODUCT(--(P$8&lt;=Model2!$D$9:'Model2'!$CN$9),--(P$9&gt;=Model2!$D$9:'Model2'!$CN$9),Model2!$D151:'Model2'!$CN151)</f>
        <v>-90821.656289637715</v>
      </c>
      <c r="Q147" s="35" cm="1">
        <f t="array" ref="Q147">SUMPRODUCT(--(Q$8&lt;=Model2!$D$9:'Model2'!$CN$9),--(Q$9&gt;=Model2!$D$9:'Model2'!$CN$9),Model2!$D151:'Model2'!$CN151)</f>
        <v>-95362.739104119595</v>
      </c>
      <c r="R147" s="35" cm="1">
        <f t="array" ref="R147">SUMPRODUCT(--(R$8&lt;=Model2!$D$9:'Model2'!$CN$9),--(R$9&gt;=Model2!$D$9:'Model2'!$CN$9),Model2!$D151:'Model2'!$CN151)</f>
        <v>-100130.87605932557</v>
      </c>
      <c r="S147" s="35" cm="1">
        <f t="array" ref="S147">SUMPRODUCT(--(S$8&lt;=Model2!$D$9:'Model2'!$CN$9),--(S$9&gt;=Model2!$D$9:'Model2'!$CN$9),Model2!$D151:'Model2'!$CN151)</f>
        <v>-105137.41986229186</v>
      </c>
      <c r="T147" s="35" cm="1">
        <f t="array" ref="T147">SUMPRODUCT(--(T$8&lt;=Model2!$D$9:'Model2'!$CN$9),--(T$9&gt;=Model2!$D$9:'Model2'!$CN$9),Model2!$D151:'Model2'!$CN151)</f>
        <v>-110394.29085540646</v>
      </c>
      <c r="U147" s="35" cm="1">
        <f t="array" ref="U147">SUMPRODUCT(--(U$8&lt;=Model2!$D$9:'Model2'!$CN$9),--(U$9&gt;=Model2!$D$9:'Model2'!$CN$9),Model2!$D151:'Model2'!$CN151)</f>
        <v>-115914.0053981768</v>
      </c>
      <c r="V147" s="35" cm="1">
        <f t="array" ref="V147">SUMPRODUCT(--(V$8&lt;=Model2!$D$9:'Model2'!$CN$9),--(V$9&gt;=Model2!$D$9:'Model2'!$CN$9),Model2!$D151:'Model2'!$CN151)</f>
        <v>-121709.70566808565</v>
      </c>
      <c r="W147" s="35" cm="1">
        <f t="array" ref="W147">SUMPRODUCT(--(W$8&lt;=Model2!$D$9:'Model2'!$CN$9),--(W$9&gt;=Model2!$D$9:'Model2'!$CN$9),Model2!$D151:'Model2'!$CN151)</f>
        <v>-127795.19095148995</v>
      </c>
      <c r="X147" s="35" cm="1">
        <f t="array" ref="X147">SUMPRODUCT(--(X$8&lt;=Model2!$D$9:'Model2'!$CN$9),--(X$9&gt;=Model2!$D$9:'Model2'!$CN$9),Model2!$D151:'Model2'!$CN151)</f>
        <v>-134184.95049906441</v>
      </c>
      <c r="Y147" s="35" cm="1">
        <f t="array" ref="Y147">SUMPRODUCT(--(Y$8&lt;=Model2!$D$9:'Model2'!$CN$9),--(Y$9&gt;=Model2!$D$9:'Model2'!$CN$9),Model2!$D151:'Model2'!$CN151)</f>
        <v>-140894.19802401765</v>
      </c>
      <c r="Z147" s="35" cm="1">
        <f t="array" ref="Z147">SUMPRODUCT(--(Z$8&lt;=Model2!$D$9:'Model2'!$CN$9),--(Z$9&gt;=Model2!$D$9:'Model2'!$CN$9),Model2!$D151:'Model2'!$CN151)</f>
        <v>-147938.90792521855</v>
      </c>
      <c r="AA147" s="35"/>
    </row>
    <row r="148" spans="1:27" ht="12.75" customHeight="1" outlineLevel="1">
      <c r="A148" s="88"/>
      <c r="B148" s="110" t="s">
        <v>230</v>
      </c>
      <c r="C148" s="111"/>
      <c r="D148" s="58">
        <f>Model2!D152</f>
        <v>0</v>
      </c>
      <c r="E148" s="111" cm="1">
        <f t="array" ref="E148">SUMPRODUCT(--(E$9=Model2!$D$9:$CN$9),Model2!$D152:$CN152)</f>
        <v>0</v>
      </c>
      <c r="F148" s="111" cm="1">
        <f t="array" ref="F148">SUMPRODUCT(--(F$9=Model2!$D$9:$CN$9),Model2!$D152:$CN152)</f>
        <v>0</v>
      </c>
      <c r="G148" s="111" cm="1">
        <f t="array" ref="G148">SUMPRODUCT(--(G$9=Model2!$D$9:$CN$9),Model2!$D152:$CN152)</f>
        <v>0</v>
      </c>
      <c r="H148" s="111" cm="1">
        <f t="array" ref="H148">SUMPRODUCT(--(H$9=Model2!$D$9:$CN$9),Model2!$D152:$CN152)</f>
        <v>0</v>
      </c>
      <c r="I148" s="111" cm="1">
        <f t="array" ref="I148">SUMPRODUCT(--(I$9=Model2!$D$9:$CN$9),Model2!$D152:$CN152)</f>
        <v>0</v>
      </c>
      <c r="J148" s="111" cm="1">
        <f t="array" ref="J148">SUMPRODUCT(--(J$9=Model2!$D$9:$CN$9),Model2!$D152:$CN152)</f>
        <v>0</v>
      </c>
      <c r="K148" s="111" cm="1">
        <f t="array" ref="K148">SUMPRODUCT(--(K$9=Model2!$D$9:$CN$9),Model2!$D152:$CN152)</f>
        <v>0</v>
      </c>
      <c r="L148" s="111" cm="1">
        <f t="array" ref="L148">SUMPRODUCT(--(L$9=Model2!$D$9:$CN$9),Model2!$D152:$CN152)</f>
        <v>0</v>
      </c>
      <c r="M148" s="111" cm="1">
        <f t="array" ref="M148">SUMPRODUCT(--(M$9=Model2!$D$9:$CN$9),Model2!$D152:$CN152)</f>
        <v>0</v>
      </c>
      <c r="N148" s="111" cm="1">
        <f t="array" ref="N148">SUMPRODUCT(--(N$9=Model2!$D$9:$CN$9),Model2!$D152:$CN152)</f>
        <v>0</v>
      </c>
      <c r="O148" s="111" cm="1">
        <f t="array" ref="O148">SUMPRODUCT(--(O$9=Model2!$D$9:$CN$9),Model2!$D152:$CN152)</f>
        <v>0</v>
      </c>
      <c r="P148" s="111" cm="1">
        <f t="array" ref="P148">SUMPRODUCT(--(P$9=Model2!$D$9:$CN$9),Model2!$D152:$CN152)</f>
        <v>0</v>
      </c>
      <c r="Q148" s="111" cm="1">
        <f t="array" ref="Q148">SUMPRODUCT(--(Q$9=Model2!$D$9:$CN$9),Model2!$D152:$CN152)</f>
        <v>0</v>
      </c>
      <c r="R148" s="111" cm="1">
        <f t="array" ref="R148">SUMPRODUCT(--(R$9=Model2!$D$9:$CN$9),Model2!$D152:$CN152)</f>
        <v>0</v>
      </c>
      <c r="S148" s="111" cm="1">
        <f t="array" ref="S148">SUMPRODUCT(--(S$9=Model2!$D$9:$CN$9),Model2!$D152:$CN152)</f>
        <v>0</v>
      </c>
      <c r="T148" s="111" cm="1">
        <f t="array" ref="T148">SUMPRODUCT(--(T$9=Model2!$D$9:$CN$9),Model2!$D152:$CN152)</f>
        <v>0</v>
      </c>
      <c r="U148" s="111" cm="1">
        <f t="array" ref="U148">SUMPRODUCT(--(U$9=Model2!$D$9:$CN$9),Model2!$D152:$CN152)</f>
        <v>0</v>
      </c>
      <c r="V148" s="111" cm="1">
        <f t="array" ref="V148">SUMPRODUCT(--(V$9=Model2!$D$9:$CN$9),Model2!$D152:$CN152)</f>
        <v>0</v>
      </c>
      <c r="W148" s="111" cm="1">
        <f t="array" ref="W148">SUMPRODUCT(--(W$9=Model2!$D$9:$CN$9),Model2!$D152:$CN152)</f>
        <v>0</v>
      </c>
      <c r="X148" s="111" cm="1">
        <f t="array" ref="X148">SUMPRODUCT(--(X$9=Model2!$D$9:$CN$9),Model2!$D152:$CN152)</f>
        <v>0</v>
      </c>
      <c r="Y148" s="111" cm="1">
        <f t="array" ref="Y148">SUMPRODUCT(--(Y$9=Model2!$D$9:$CN$9),Model2!$D152:$CN152)</f>
        <v>0</v>
      </c>
      <c r="Z148" s="111" cm="1">
        <f t="array" ref="Z148">SUMPRODUCT(--(Z$9=Model2!$D$9:$CN$9),Model2!$D152:$CN152)</f>
        <v>0</v>
      </c>
      <c r="AA148" s="111"/>
    </row>
    <row r="149" spans="1:27" ht="12.75" customHeight="1" outlineLevel="1">
      <c r="A149" s="88"/>
      <c r="B149" s="89"/>
      <c r="C149" s="88"/>
      <c r="D149" s="60">
        <f>Model2!D153</f>
        <v>0</v>
      </c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</row>
    <row r="150" spans="1:27" ht="12.75" customHeight="1" outlineLevel="1">
      <c r="A150" s="35"/>
      <c r="B150" s="35" t="s">
        <v>234</v>
      </c>
      <c r="C150" s="35"/>
      <c r="D150" s="60">
        <f>Model2!D154</f>
        <v>0</v>
      </c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</row>
    <row r="151" spans="1:27" ht="12.75" customHeight="1" outlineLevel="1">
      <c r="A151" s="35"/>
      <c r="B151" s="49" t="s">
        <v>228</v>
      </c>
      <c r="C151" s="50"/>
      <c r="D151" s="53">
        <f>Model2!D155</f>
        <v>0</v>
      </c>
      <c r="E151" s="50" cm="1">
        <f t="array" ref="E151">SUMPRODUCT(--(E$9=Model2!$D$9:$CN$9),Model2!$D155:$CN155)</f>
        <v>0</v>
      </c>
      <c r="F151" s="50" cm="1">
        <f t="array" ref="F151">SUMPRODUCT(--(F$9=Model2!$D$9:$CN$9),Model2!$D155:$CN155)</f>
        <v>-8088.7041666666673</v>
      </c>
      <c r="G151" s="50" cm="1">
        <f t="array" ref="G151">SUMPRODUCT(--(G$9=Model2!$D$9:$CN$9),Model2!$D155:$CN155)</f>
        <v>-17795.14916666667</v>
      </c>
      <c r="H151" s="50" cm="1">
        <f t="array" ref="H151">SUMPRODUCT(--(H$9=Model2!$D$9:$CN$9),Model2!$D155:$CN155)</f>
        <v>-35570.076572916667</v>
      </c>
      <c r="I151" s="50" cm="1">
        <f t="array" ref="I151">SUMPRODUCT(--(I$9=Model2!$D$9:$CN$9),Model2!$D155:$CN155)</f>
        <v>0</v>
      </c>
      <c r="J151" s="50" cm="1">
        <f t="array" ref="J151">SUMPRODUCT(--(J$9=Model2!$D$9:$CN$9),Model2!$D155:$CN155)</f>
        <v>0</v>
      </c>
      <c r="K151" s="50" cm="1">
        <f t="array" ref="K151">SUMPRODUCT(--(K$9=Model2!$D$9:$CN$9),Model2!$D155:$CN155)</f>
        <v>0</v>
      </c>
      <c r="L151" s="50" cm="1">
        <f t="array" ref="L151">SUMPRODUCT(--(L$9=Model2!$D$9:$CN$9),Model2!$D155:$CN155)</f>
        <v>0</v>
      </c>
      <c r="M151" s="50" cm="1">
        <f t="array" ref="M151">SUMPRODUCT(--(M$9=Model2!$D$9:$CN$9),Model2!$D155:$CN155)</f>
        <v>0</v>
      </c>
      <c r="N151" s="50" cm="1">
        <f t="array" ref="N151">SUMPRODUCT(--(N$9=Model2!$D$9:$CN$9),Model2!$D155:$CN155)</f>
        <v>0</v>
      </c>
      <c r="O151" s="50" cm="1">
        <f t="array" ref="O151">SUMPRODUCT(--(O$9=Model2!$D$9:$CN$9),Model2!$D155:$CN155)</f>
        <v>0</v>
      </c>
      <c r="P151" s="50" cm="1">
        <f t="array" ref="P151">SUMPRODUCT(--(P$9=Model2!$D$9:$CN$9),Model2!$D155:$CN155)</f>
        <v>0</v>
      </c>
      <c r="Q151" s="50" cm="1">
        <f t="array" ref="Q151">SUMPRODUCT(--(Q$9=Model2!$D$9:$CN$9),Model2!$D155:$CN155)</f>
        <v>0</v>
      </c>
      <c r="R151" s="50" cm="1">
        <f t="array" ref="R151">SUMPRODUCT(--(R$9=Model2!$D$9:$CN$9),Model2!$D155:$CN155)</f>
        <v>0</v>
      </c>
      <c r="S151" s="50" cm="1">
        <f t="array" ref="S151">SUMPRODUCT(--(S$9=Model2!$D$9:$CN$9),Model2!$D155:$CN155)</f>
        <v>0</v>
      </c>
      <c r="T151" s="50" cm="1">
        <f t="array" ref="T151">SUMPRODUCT(--(T$9=Model2!$D$9:$CN$9),Model2!$D155:$CN155)</f>
        <v>0</v>
      </c>
      <c r="U151" s="50" cm="1">
        <f t="array" ref="U151">SUMPRODUCT(--(U$9=Model2!$D$9:$CN$9),Model2!$D155:$CN155)</f>
        <v>0</v>
      </c>
      <c r="V151" s="50" cm="1">
        <f t="array" ref="V151">SUMPRODUCT(--(V$9=Model2!$D$9:$CN$9),Model2!$D155:$CN155)</f>
        <v>0</v>
      </c>
      <c r="W151" s="50" cm="1">
        <f t="array" ref="W151">SUMPRODUCT(--(W$9=Model2!$D$9:$CN$9),Model2!$D155:$CN155)</f>
        <v>0</v>
      </c>
      <c r="X151" s="50" cm="1">
        <f t="array" ref="X151">SUMPRODUCT(--(X$9=Model2!$D$9:$CN$9),Model2!$D155:$CN155)</f>
        <v>0</v>
      </c>
      <c r="Y151" s="50" cm="1">
        <f t="array" ref="Y151">SUMPRODUCT(--(Y$9=Model2!$D$9:$CN$9),Model2!$D155:$CN155)</f>
        <v>0</v>
      </c>
      <c r="Z151" s="50" cm="1">
        <f t="array" ref="Z151">SUMPRODUCT(--(Z$9=Model2!$D$9:$CN$9),Model2!$D155:$CN155)</f>
        <v>0</v>
      </c>
      <c r="AA151" s="50"/>
    </row>
    <row r="152" spans="1:27" ht="12.75" customHeight="1" outlineLevel="1">
      <c r="A152" s="35"/>
      <c r="B152" s="63" t="s">
        <v>235</v>
      </c>
      <c r="C152" s="35">
        <f t="shared" ref="C152:C153" si="21">SUM(D152:AA152)</f>
        <v>-121330.5625</v>
      </c>
      <c r="D152" s="60">
        <f>Model2!D156</f>
        <v>0</v>
      </c>
      <c r="E152" s="35" cm="1">
        <f t="array" ref="E152">SUMPRODUCT(--(E$8&lt;=Model2!$D$9:'Model2'!$CN$9),--(E$9&gt;=Model2!$D$9:'Model2'!$CN$9),Model2!$D156:'Model2'!$CN156)</f>
        <v>0</v>
      </c>
      <c r="F152" s="35" cm="1">
        <f t="array" ref="F152">SUMPRODUCT(--(F$8&lt;=Model2!$D$9:'Model2'!$CN$9),--(F$9&gt;=Model2!$D$9:'Model2'!$CN$9),Model2!$D156:'Model2'!$CN156)</f>
        <v>-12133.056250000001</v>
      </c>
      <c r="G152" s="35" cm="1">
        <f t="array" ref="G152">SUMPRODUCT(--(G$8&lt;=Model2!$D$9:'Model2'!$CN$9),--(G$9&gt;=Model2!$D$9:'Model2'!$CN$9),Model2!$D156:'Model2'!$CN156)</f>
        <v>-33467.013489583333</v>
      </c>
      <c r="H152" s="35" cm="1">
        <f t="array" ref="H152">SUMPRODUCT(--(H$8&lt;=Model2!$D$9:'Model2'!$CN$9),--(H$9&gt;=Model2!$D$9:'Model2'!$CN$9),Model2!$D156:'Model2'!$CN156)</f>
        <v>-72960.111583333332</v>
      </c>
      <c r="I152" s="35" cm="1">
        <f t="array" ref="I152">SUMPRODUCT(--(I$8&lt;=Model2!$D$9:'Model2'!$CN$9),--(I$9&gt;=Model2!$D$9:'Model2'!$CN$9),Model2!$D156:'Model2'!$CN156)</f>
        <v>-2770.3811770833336</v>
      </c>
      <c r="J152" s="35" cm="1">
        <f t="array" ref="J152">SUMPRODUCT(--(J$8&lt;=Model2!$D$9:'Model2'!$CN$9),--(J$9&gt;=Model2!$D$9:'Model2'!$CN$9),Model2!$D156:'Model2'!$CN156)</f>
        <v>0</v>
      </c>
      <c r="K152" s="35" cm="1">
        <f t="array" ref="K152">SUMPRODUCT(--(K$8&lt;=Model2!$D$9:'Model2'!$CN$9),--(K$9&gt;=Model2!$D$9:'Model2'!$CN$9),Model2!$D156:'Model2'!$CN156)</f>
        <v>0</v>
      </c>
      <c r="L152" s="35" cm="1">
        <f t="array" ref="L152">SUMPRODUCT(--(L$8&lt;=Model2!$D$9:'Model2'!$CN$9),--(L$9&gt;=Model2!$D$9:'Model2'!$CN$9),Model2!$D156:'Model2'!$CN156)</f>
        <v>0</v>
      </c>
      <c r="M152" s="35" cm="1">
        <f t="array" ref="M152">SUMPRODUCT(--(M$8&lt;=Model2!$D$9:'Model2'!$CN$9),--(M$9&gt;=Model2!$D$9:'Model2'!$CN$9),Model2!$D156:'Model2'!$CN156)</f>
        <v>0</v>
      </c>
      <c r="N152" s="35" cm="1">
        <f t="array" ref="N152">SUMPRODUCT(--(N$8&lt;=Model2!$D$9:'Model2'!$CN$9),--(N$9&gt;=Model2!$D$9:'Model2'!$CN$9),Model2!$D156:'Model2'!$CN156)</f>
        <v>0</v>
      </c>
      <c r="O152" s="35" cm="1">
        <f t="array" ref="O152">SUMPRODUCT(--(O$8&lt;=Model2!$D$9:'Model2'!$CN$9),--(O$9&gt;=Model2!$D$9:'Model2'!$CN$9),Model2!$D156:'Model2'!$CN156)</f>
        <v>0</v>
      </c>
      <c r="P152" s="35" cm="1">
        <f t="array" ref="P152">SUMPRODUCT(--(P$8&lt;=Model2!$D$9:'Model2'!$CN$9),--(P$9&gt;=Model2!$D$9:'Model2'!$CN$9),Model2!$D156:'Model2'!$CN156)</f>
        <v>0</v>
      </c>
      <c r="Q152" s="35" cm="1">
        <f t="array" ref="Q152">SUMPRODUCT(--(Q$8&lt;=Model2!$D$9:'Model2'!$CN$9),--(Q$9&gt;=Model2!$D$9:'Model2'!$CN$9),Model2!$D156:'Model2'!$CN156)</f>
        <v>0</v>
      </c>
      <c r="R152" s="35" cm="1">
        <f t="array" ref="R152">SUMPRODUCT(--(R$8&lt;=Model2!$D$9:'Model2'!$CN$9),--(R$9&gt;=Model2!$D$9:'Model2'!$CN$9),Model2!$D156:'Model2'!$CN156)</f>
        <v>0</v>
      </c>
      <c r="S152" s="35" cm="1">
        <f t="array" ref="S152">SUMPRODUCT(--(S$8&lt;=Model2!$D$9:'Model2'!$CN$9),--(S$9&gt;=Model2!$D$9:'Model2'!$CN$9),Model2!$D156:'Model2'!$CN156)</f>
        <v>0</v>
      </c>
      <c r="T152" s="35" cm="1">
        <f t="array" ref="T152">SUMPRODUCT(--(T$8&lt;=Model2!$D$9:'Model2'!$CN$9),--(T$9&gt;=Model2!$D$9:'Model2'!$CN$9),Model2!$D156:'Model2'!$CN156)</f>
        <v>0</v>
      </c>
      <c r="U152" s="35" cm="1">
        <f t="array" ref="U152">SUMPRODUCT(--(U$8&lt;=Model2!$D$9:'Model2'!$CN$9),--(U$9&gt;=Model2!$D$9:'Model2'!$CN$9),Model2!$D156:'Model2'!$CN156)</f>
        <v>0</v>
      </c>
      <c r="V152" s="35" cm="1">
        <f t="array" ref="V152">SUMPRODUCT(--(V$8&lt;=Model2!$D$9:'Model2'!$CN$9),--(V$9&gt;=Model2!$D$9:'Model2'!$CN$9),Model2!$D156:'Model2'!$CN156)</f>
        <v>0</v>
      </c>
      <c r="W152" s="35" cm="1">
        <f t="array" ref="W152">SUMPRODUCT(--(W$8&lt;=Model2!$D$9:'Model2'!$CN$9),--(W$9&gt;=Model2!$D$9:'Model2'!$CN$9),Model2!$D156:'Model2'!$CN156)</f>
        <v>0</v>
      </c>
      <c r="X152" s="35" cm="1">
        <f t="array" ref="X152">SUMPRODUCT(--(X$8&lt;=Model2!$D$9:'Model2'!$CN$9),--(X$9&gt;=Model2!$D$9:'Model2'!$CN$9),Model2!$D156:'Model2'!$CN156)</f>
        <v>0</v>
      </c>
      <c r="Y152" s="35" cm="1">
        <f t="array" ref="Y152">SUMPRODUCT(--(Y$8&lt;=Model2!$D$9:'Model2'!$CN$9),--(Y$9&gt;=Model2!$D$9:'Model2'!$CN$9),Model2!$D156:'Model2'!$CN156)</f>
        <v>0</v>
      </c>
      <c r="Z152" s="35" cm="1">
        <f t="array" ref="Z152">SUMPRODUCT(--(Z$8&lt;=Model2!$D$9:'Model2'!$CN$9),--(Z$9&gt;=Model2!$D$9:'Model2'!$CN$9),Model2!$D156:'Model2'!$CN156)</f>
        <v>0</v>
      </c>
      <c r="AA152" s="35"/>
    </row>
    <row r="153" spans="1:27" ht="12.75" customHeight="1" outlineLevel="1">
      <c r="A153" s="35"/>
      <c r="B153" s="63" t="s">
        <v>236</v>
      </c>
      <c r="C153" s="35">
        <f t="shared" si="21"/>
        <v>121330.5625</v>
      </c>
      <c r="D153" s="60">
        <f>Model2!D157</f>
        <v>0</v>
      </c>
      <c r="E153" s="35" cm="1">
        <f t="array" ref="E153">SUMPRODUCT(--(E$8&lt;=Model2!$D$9:'Model2'!$CN$9),--(E$9&gt;=Model2!$D$9:'Model2'!$CN$9),Model2!$D157:'Model2'!$CN157)</f>
        <v>0</v>
      </c>
      <c r="F153" s="35" cm="1">
        <f t="array" ref="F153">SUMPRODUCT(--(F$8&lt;=Model2!$D$9:'Model2'!$CN$9),--(F$9&gt;=Model2!$D$9:'Model2'!$CN$9),Model2!$D157:'Model2'!$CN157)</f>
        <v>4044.3520833333337</v>
      </c>
      <c r="G153" s="35" cm="1">
        <f t="array" ref="G153">SUMPRODUCT(--(G$8&lt;=Model2!$D$9:'Model2'!$CN$9),--(G$9&gt;=Model2!$D$9:'Model2'!$CN$9),Model2!$D157:'Model2'!$CN157)</f>
        <v>23760.568489583333</v>
      </c>
      <c r="H153" s="35" cm="1">
        <f t="array" ref="H153">SUMPRODUCT(--(H$8&lt;=Model2!$D$9:'Model2'!$CN$9),--(H$9&gt;=Model2!$D$9:'Model2'!$CN$9),Model2!$D157:'Model2'!$CN157)</f>
        <v>42566.805677083335</v>
      </c>
      <c r="I153" s="35" cm="1">
        <f t="array" ref="I153">SUMPRODUCT(--(I$8&lt;=Model2!$D$9:'Model2'!$CN$9),--(I$9&gt;=Model2!$D$9:'Model2'!$CN$9),Model2!$D157:'Model2'!$CN157)</f>
        <v>50958.83625</v>
      </c>
      <c r="J153" s="35" cm="1">
        <f t="array" ref="J153">SUMPRODUCT(--(J$8&lt;=Model2!$D$9:'Model2'!$CN$9),--(J$9&gt;=Model2!$D$9:'Model2'!$CN$9),Model2!$D157:'Model2'!$CN157)</f>
        <v>0</v>
      </c>
      <c r="K153" s="35" cm="1">
        <f t="array" ref="K153">SUMPRODUCT(--(K$8&lt;=Model2!$D$9:'Model2'!$CN$9),--(K$9&gt;=Model2!$D$9:'Model2'!$CN$9),Model2!$D157:'Model2'!$CN157)</f>
        <v>0</v>
      </c>
      <c r="L153" s="35" cm="1">
        <f t="array" ref="L153">SUMPRODUCT(--(L$8&lt;=Model2!$D$9:'Model2'!$CN$9),--(L$9&gt;=Model2!$D$9:'Model2'!$CN$9),Model2!$D157:'Model2'!$CN157)</f>
        <v>0</v>
      </c>
      <c r="M153" s="35" cm="1">
        <f t="array" ref="M153">SUMPRODUCT(--(M$8&lt;=Model2!$D$9:'Model2'!$CN$9),--(M$9&gt;=Model2!$D$9:'Model2'!$CN$9),Model2!$D157:'Model2'!$CN157)</f>
        <v>0</v>
      </c>
      <c r="N153" s="35" cm="1">
        <f t="array" ref="N153">SUMPRODUCT(--(N$8&lt;=Model2!$D$9:'Model2'!$CN$9),--(N$9&gt;=Model2!$D$9:'Model2'!$CN$9),Model2!$D157:'Model2'!$CN157)</f>
        <v>0</v>
      </c>
      <c r="O153" s="35" cm="1">
        <f t="array" ref="O153">SUMPRODUCT(--(O$8&lt;=Model2!$D$9:'Model2'!$CN$9),--(O$9&gt;=Model2!$D$9:'Model2'!$CN$9),Model2!$D157:'Model2'!$CN157)</f>
        <v>0</v>
      </c>
      <c r="P153" s="35" cm="1">
        <f t="array" ref="P153">SUMPRODUCT(--(P$8&lt;=Model2!$D$9:'Model2'!$CN$9),--(P$9&gt;=Model2!$D$9:'Model2'!$CN$9),Model2!$D157:'Model2'!$CN157)</f>
        <v>0</v>
      </c>
      <c r="Q153" s="35" cm="1">
        <f t="array" ref="Q153">SUMPRODUCT(--(Q$8&lt;=Model2!$D$9:'Model2'!$CN$9),--(Q$9&gt;=Model2!$D$9:'Model2'!$CN$9),Model2!$D157:'Model2'!$CN157)</f>
        <v>0</v>
      </c>
      <c r="R153" s="35" cm="1">
        <f t="array" ref="R153">SUMPRODUCT(--(R$8&lt;=Model2!$D$9:'Model2'!$CN$9),--(R$9&gt;=Model2!$D$9:'Model2'!$CN$9),Model2!$D157:'Model2'!$CN157)</f>
        <v>0</v>
      </c>
      <c r="S153" s="35" cm="1">
        <f t="array" ref="S153">SUMPRODUCT(--(S$8&lt;=Model2!$D$9:'Model2'!$CN$9),--(S$9&gt;=Model2!$D$9:'Model2'!$CN$9),Model2!$D157:'Model2'!$CN157)</f>
        <v>0</v>
      </c>
      <c r="T153" s="35" cm="1">
        <f t="array" ref="T153">SUMPRODUCT(--(T$8&lt;=Model2!$D$9:'Model2'!$CN$9),--(T$9&gt;=Model2!$D$9:'Model2'!$CN$9),Model2!$D157:'Model2'!$CN157)</f>
        <v>0</v>
      </c>
      <c r="U153" s="35" cm="1">
        <f t="array" ref="U153">SUMPRODUCT(--(U$8&lt;=Model2!$D$9:'Model2'!$CN$9),--(U$9&gt;=Model2!$D$9:'Model2'!$CN$9),Model2!$D157:'Model2'!$CN157)</f>
        <v>0</v>
      </c>
      <c r="V153" s="35" cm="1">
        <f t="array" ref="V153">SUMPRODUCT(--(V$8&lt;=Model2!$D$9:'Model2'!$CN$9),--(V$9&gt;=Model2!$D$9:'Model2'!$CN$9),Model2!$D157:'Model2'!$CN157)</f>
        <v>0</v>
      </c>
      <c r="W153" s="35" cm="1">
        <f t="array" ref="W153">SUMPRODUCT(--(W$8&lt;=Model2!$D$9:'Model2'!$CN$9),--(W$9&gt;=Model2!$D$9:'Model2'!$CN$9),Model2!$D157:'Model2'!$CN157)</f>
        <v>0</v>
      </c>
      <c r="X153" s="35" cm="1">
        <f t="array" ref="X153">SUMPRODUCT(--(X$8&lt;=Model2!$D$9:'Model2'!$CN$9),--(X$9&gt;=Model2!$D$9:'Model2'!$CN$9),Model2!$D157:'Model2'!$CN157)</f>
        <v>0</v>
      </c>
      <c r="Y153" s="35" cm="1">
        <f t="array" ref="Y153">SUMPRODUCT(--(Y$8&lt;=Model2!$D$9:'Model2'!$CN$9),--(Y$9&gt;=Model2!$D$9:'Model2'!$CN$9),Model2!$D157:'Model2'!$CN157)</f>
        <v>0</v>
      </c>
      <c r="Z153" s="35" cm="1">
        <f t="array" ref="Z153">SUMPRODUCT(--(Z$8&lt;=Model2!$D$9:'Model2'!$CN$9),--(Z$9&gt;=Model2!$D$9:'Model2'!$CN$9),Model2!$D157:'Model2'!$CN157)</f>
        <v>0</v>
      </c>
      <c r="AA153" s="35"/>
    </row>
    <row r="154" spans="1:27" ht="12.75" customHeight="1" outlineLevel="1">
      <c r="A154" s="88"/>
      <c r="B154" s="110" t="s">
        <v>230</v>
      </c>
      <c r="C154" s="111"/>
      <c r="D154" s="58">
        <f>Model2!D158</f>
        <v>0</v>
      </c>
      <c r="E154" s="111" cm="1">
        <f t="array" ref="E154">SUMPRODUCT(--(E$9=Model2!$D$9:$CN$9),Model2!$D158:$CN158)</f>
        <v>0</v>
      </c>
      <c r="F154" s="111" cm="1">
        <f t="array" ref="F154">SUMPRODUCT(--(F$9=Model2!$D$9:$CN$9),Model2!$D158:$CN158)</f>
        <v>-8088.7041666666682</v>
      </c>
      <c r="G154" s="111" cm="1">
        <f t="array" ref="G154">SUMPRODUCT(--(G$9=Model2!$D$9:$CN$9),Model2!$D158:$CN158)</f>
        <v>-17795.14916666667</v>
      </c>
      <c r="H154" s="111" cm="1">
        <f t="array" ref="H154">SUMPRODUCT(--(H$9=Model2!$D$9:$CN$9),Model2!$D158:$CN158)</f>
        <v>-48188.455072916666</v>
      </c>
      <c r="I154" s="111" cm="1">
        <f t="array" ref="I154">SUMPRODUCT(--(I$9=Model2!$D$9:$CN$9),Model2!$D158:$CN158)</f>
        <v>0</v>
      </c>
      <c r="J154" s="111" cm="1">
        <f t="array" ref="J154">SUMPRODUCT(--(J$9=Model2!$D$9:$CN$9),Model2!$D158:$CN158)</f>
        <v>0</v>
      </c>
      <c r="K154" s="111" cm="1">
        <f t="array" ref="K154">SUMPRODUCT(--(K$9=Model2!$D$9:$CN$9),Model2!$D158:$CN158)</f>
        <v>0</v>
      </c>
      <c r="L154" s="111" cm="1">
        <f t="array" ref="L154">SUMPRODUCT(--(L$9=Model2!$D$9:$CN$9),Model2!$D158:$CN158)</f>
        <v>0</v>
      </c>
      <c r="M154" s="111" cm="1">
        <f t="array" ref="M154">SUMPRODUCT(--(M$9=Model2!$D$9:$CN$9),Model2!$D158:$CN158)</f>
        <v>0</v>
      </c>
      <c r="N154" s="111" cm="1">
        <f t="array" ref="N154">SUMPRODUCT(--(N$9=Model2!$D$9:$CN$9),Model2!$D158:$CN158)</f>
        <v>0</v>
      </c>
      <c r="O154" s="111" cm="1">
        <f t="array" ref="O154">SUMPRODUCT(--(O$9=Model2!$D$9:$CN$9),Model2!$D158:$CN158)</f>
        <v>0</v>
      </c>
      <c r="P154" s="111" cm="1">
        <f t="array" ref="P154">SUMPRODUCT(--(P$9=Model2!$D$9:$CN$9),Model2!$D158:$CN158)</f>
        <v>0</v>
      </c>
      <c r="Q154" s="111" cm="1">
        <f t="array" ref="Q154">SUMPRODUCT(--(Q$9=Model2!$D$9:$CN$9),Model2!$D158:$CN158)</f>
        <v>0</v>
      </c>
      <c r="R154" s="111" cm="1">
        <f t="array" ref="R154">SUMPRODUCT(--(R$9=Model2!$D$9:$CN$9),Model2!$D158:$CN158)</f>
        <v>0</v>
      </c>
      <c r="S154" s="111" cm="1">
        <f t="array" ref="S154">SUMPRODUCT(--(S$9=Model2!$D$9:$CN$9),Model2!$D158:$CN158)</f>
        <v>0</v>
      </c>
      <c r="T154" s="111" cm="1">
        <f t="array" ref="T154">SUMPRODUCT(--(T$9=Model2!$D$9:$CN$9),Model2!$D158:$CN158)</f>
        <v>0</v>
      </c>
      <c r="U154" s="111" cm="1">
        <f t="array" ref="U154">SUMPRODUCT(--(U$9=Model2!$D$9:$CN$9),Model2!$D158:$CN158)</f>
        <v>0</v>
      </c>
      <c r="V154" s="111" cm="1">
        <f t="array" ref="V154">SUMPRODUCT(--(V$9=Model2!$D$9:$CN$9),Model2!$D158:$CN158)</f>
        <v>0</v>
      </c>
      <c r="W154" s="111" cm="1">
        <f t="array" ref="W154">SUMPRODUCT(--(W$9=Model2!$D$9:$CN$9),Model2!$D158:$CN158)</f>
        <v>0</v>
      </c>
      <c r="X154" s="111" cm="1">
        <f t="array" ref="X154">SUMPRODUCT(--(X$9=Model2!$D$9:$CN$9),Model2!$D158:$CN158)</f>
        <v>0</v>
      </c>
      <c r="Y154" s="111" cm="1">
        <f t="array" ref="Y154">SUMPRODUCT(--(Y$9=Model2!$D$9:$CN$9),Model2!$D158:$CN158)</f>
        <v>0</v>
      </c>
      <c r="Z154" s="111" cm="1">
        <f t="array" ref="Z154">SUMPRODUCT(--(Z$9=Model2!$D$9:$CN$9),Model2!$D158:$CN158)</f>
        <v>0</v>
      </c>
      <c r="AA154" s="111"/>
    </row>
    <row r="155" spans="1:27" ht="12.75" customHeight="1" outlineLevel="1">
      <c r="A155" s="88"/>
      <c r="B155" s="89"/>
      <c r="C155" s="88"/>
      <c r="D155" s="60">
        <f>Model2!D159</f>
        <v>0</v>
      </c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</row>
    <row r="156" spans="1:27" ht="12.75" customHeight="1" outlineLevel="1">
      <c r="A156" s="35"/>
      <c r="B156" s="35" t="s">
        <v>237</v>
      </c>
      <c r="C156" s="35"/>
      <c r="D156" s="60">
        <f>Model2!D160</f>
        <v>0</v>
      </c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</row>
    <row r="157" spans="1:27" ht="12.75" customHeight="1" outlineLevel="1">
      <c r="A157" s="35"/>
      <c r="B157" s="49" t="s">
        <v>228</v>
      </c>
      <c r="C157" s="50"/>
      <c r="D157" s="53">
        <f>Model2!D161</f>
        <v>0</v>
      </c>
      <c r="E157" s="50" cm="1">
        <f t="array" ref="E157">SUMPRODUCT(--(E$9=Model2!$D$9:$CN$9),Model2!$D161:$CN161)</f>
        <v>0</v>
      </c>
      <c r="F157" s="50" cm="1">
        <f t="array" ref="F157">SUMPRODUCT(--(F$9=Model2!$D$9:$CN$9),Model2!$D161:$CN161)</f>
        <v>0</v>
      </c>
      <c r="G157" s="50" cm="1">
        <f t="array" ref="G157">SUMPRODUCT(--(G$9=Model2!$D$9:$CN$9),Model2!$D161:$CN161)</f>
        <v>74618.295937500021</v>
      </c>
      <c r="H157" s="50" cm="1">
        <f t="array" ref="H157">SUMPRODUCT(--(H$9=Model2!$D$9:$CN$9),Model2!$D161:$CN161)</f>
        <v>418469.11006250005</v>
      </c>
      <c r="I157" s="50" cm="1">
        <f t="array" ref="I157">SUMPRODUCT(--(I$9=Model2!$D$9:$CN$9),Model2!$D161:$CN161)</f>
        <v>577711.03800821758</v>
      </c>
      <c r="J157" s="50" cm="1">
        <f t="array" ref="J157">SUMPRODUCT(--(J$9=Model2!$D$9:$CN$9),Model2!$D161:$CN161)</f>
        <v>496247.72417055303</v>
      </c>
      <c r="K157" s="50" cm="1">
        <f t="array" ref="K157">SUMPRODUCT(--(K$9=Model2!$D$9:$CN$9),Model2!$D161:$CN161)</f>
        <v>409741.77115422214</v>
      </c>
      <c r="L157" s="50" cm="1">
        <f t="array" ref="L157">SUMPRODUCT(--(L$9=Model2!$D$9:$CN$9),Model2!$D161:$CN161)</f>
        <v>313266.89021554257</v>
      </c>
      <c r="M157" s="50" cm="1">
        <f t="array" ref="M157">SUMPRODUCT(--(M$9=Model2!$D$9:$CN$9),Model2!$D161:$CN161)</f>
        <v>205163.63028807595</v>
      </c>
      <c r="N157" s="50" cm="1">
        <f t="array" ref="N157">SUMPRODUCT(--(N$9=Model2!$D$9:$CN$9),Model2!$D161:$CN161)</f>
        <v>82860.160138794687</v>
      </c>
      <c r="O157" s="50" cm="1">
        <f t="array" ref="O157">SUMPRODUCT(--(O$9=Model2!$D$9:$CN$9),Model2!$D161:$CN161)</f>
        <v>0</v>
      </c>
      <c r="P157" s="50" cm="1">
        <f t="array" ref="P157">SUMPRODUCT(--(P$9=Model2!$D$9:$CN$9),Model2!$D161:$CN161)</f>
        <v>0</v>
      </c>
      <c r="Q157" s="50" cm="1">
        <f t="array" ref="Q157">SUMPRODUCT(--(Q$9=Model2!$D$9:$CN$9),Model2!$D161:$CN161)</f>
        <v>0</v>
      </c>
      <c r="R157" s="50" cm="1">
        <f t="array" ref="R157">SUMPRODUCT(--(R$9=Model2!$D$9:$CN$9),Model2!$D161:$CN161)</f>
        <v>0</v>
      </c>
      <c r="S157" s="50" cm="1">
        <f t="array" ref="S157">SUMPRODUCT(--(S$9=Model2!$D$9:$CN$9),Model2!$D161:$CN161)</f>
        <v>0</v>
      </c>
      <c r="T157" s="50" cm="1">
        <f t="array" ref="T157">SUMPRODUCT(--(T$9=Model2!$D$9:$CN$9),Model2!$D161:$CN161)</f>
        <v>0</v>
      </c>
      <c r="U157" s="50" cm="1">
        <f t="array" ref="U157">SUMPRODUCT(--(U$9=Model2!$D$9:$CN$9),Model2!$D161:$CN161)</f>
        <v>0</v>
      </c>
      <c r="V157" s="50" cm="1">
        <f t="array" ref="V157">SUMPRODUCT(--(V$9=Model2!$D$9:$CN$9),Model2!$D161:$CN161)</f>
        <v>0</v>
      </c>
      <c r="W157" s="50" cm="1">
        <f t="array" ref="W157">SUMPRODUCT(--(W$9=Model2!$D$9:$CN$9),Model2!$D161:$CN161)</f>
        <v>0</v>
      </c>
      <c r="X157" s="50" cm="1">
        <f t="array" ref="X157">SUMPRODUCT(--(X$9=Model2!$D$9:$CN$9),Model2!$D161:$CN161)</f>
        <v>0</v>
      </c>
      <c r="Y157" s="50" cm="1">
        <f t="array" ref="Y157">SUMPRODUCT(--(Y$9=Model2!$D$9:$CN$9),Model2!$D161:$CN161)</f>
        <v>0</v>
      </c>
      <c r="Z157" s="50" cm="1">
        <f t="array" ref="Z157">SUMPRODUCT(--(Z$9=Model2!$D$9:$CN$9),Model2!$D161:$CN161)</f>
        <v>0</v>
      </c>
      <c r="AA157" s="50"/>
    </row>
    <row r="158" spans="1:27" ht="12.75" customHeight="1" outlineLevel="1">
      <c r="A158" s="35"/>
      <c r="B158" s="63" t="s">
        <v>184</v>
      </c>
      <c r="C158" s="35">
        <f t="shared" ref="C158:C159" si="22">SUM(D158:AA158)</f>
        <v>582386.70000000019</v>
      </c>
      <c r="D158" s="60">
        <f>Model2!D162</f>
        <v>0</v>
      </c>
      <c r="E158" s="35" cm="1">
        <f t="array" ref="E158">SUMPRODUCT(--(E$8&lt;=Model2!$D$9:'Model2'!$CN$9),--(E$9&gt;=Model2!$D$9:'Model2'!$CN$9),Model2!$D162:'Model2'!$CN162)</f>
        <v>0</v>
      </c>
      <c r="F158" s="35" cm="1">
        <f t="array" ref="F158">SUMPRODUCT(--(F$8&lt;=Model2!$D$9:'Model2'!$CN$9),--(F$9&gt;=Model2!$D$9:'Model2'!$CN$9),Model2!$D162:'Model2'!$CN162)</f>
        <v>0</v>
      </c>
      <c r="G158" s="35" cm="1">
        <f t="array" ref="G158">SUMPRODUCT(--(G$8&lt;=Model2!$D$9:'Model2'!$CN$9),--(G$9&gt;=Model2!$D$9:'Model2'!$CN$9),Model2!$D162:'Model2'!$CN162)</f>
        <v>128003.74343750003</v>
      </c>
      <c r="H158" s="35" cm="1">
        <f t="array" ref="H158">SUMPRODUCT(--(H$8&lt;=Model2!$D$9:'Model2'!$CN$9),--(H$9&gt;=Model2!$D$9:'Model2'!$CN$9),Model2!$D162:'Model2'!$CN162)</f>
        <v>437760.66950000002</v>
      </c>
      <c r="I158" s="35" cm="1">
        <f t="array" ref="I158">SUMPRODUCT(--(I$8&lt;=Model2!$D$9:'Model2'!$CN$9),--(I$9&gt;=Model2!$D$9:'Model2'!$CN$9),Model2!$D162:'Model2'!$CN162)</f>
        <v>16622.287062500138</v>
      </c>
      <c r="J158" s="35" cm="1">
        <f t="array" ref="J158">SUMPRODUCT(--(J$8&lt;=Model2!$D$9:'Model2'!$CN$9),--(J$9&gt;=Model2!$D$9:'Model2'!$CN$9),Model2!$D162:'Model2'!$CN162)</f>
        <v>0</v>
      </c>
      <c r="K158" s="35" cm="1">
        <f t="array" ref="K158">SUMPRODUCT(--(K$8&lt;=Model2!$D$9:'Model2'!$CN$9),--(K$9&gt;=Model2!$D$9:'Model2'!$CN$9),Model2!$D162:'Model2'!$CN162)</f>
        <v>0</v>
      </c>
      <c r="L158" s="35" cm="1">
        <f t="array" ref="L158">SUMPRODUCT(--(L$8&lt;=Model2!$D$9:'Model2'!$CN$9),--(L$9&gt;=Model2!$D$9:'Model2'!$CN$9),Model2!$D162:'Model2'!$CN162)</f>
        <v>0</v>
      </c>
      <c r="M158" s="35" cm="1">
        <f t="array" ref="M158">SUMPRODUCT(--(M$8&lt;=Model2!$D$9:'Model2'!$CN$9),--(M$9&gt;=Model2!$D$9:'Model2'!$CN$9),Model2!$D162:'Model2'!$CN162)</f>
        <v>0</v>
      </c>
      <c r="N158" s="35" cm="1">
        <f t="array" ref="N158">SUMPRODUCT(--(N$8&lt;=Model2!$D$9:'Model2'!$CN$9),--(N$9&gt;=Model2!$D$9:'Model2'!$CN$9),Model2!$D162:'Model2'!$CN162)</f>
        <v>0</v>
      </c>
      <c r="O158" s="35" cm="1">
        <f t="array" ref="O158">SUMPRODUCT(--(O$8&lt;=Model2!$D$9:'Model2'!$CN$9),--(O$9&gt;=Model2!$D$9:'Model2'!$CN$9),Model2!$D162:'Model2'!$CN162)</f>
        <v>0</v>
      </c>
      <c r="P158" s="35" cm="1">
        <f t="array" ref="P158">SUMPRODUCT(--(P$8&lt;=Model2!$D$9:'Model2'!$CN$9),--(P$9&gt;=Model2!$D$9:'Model2'!$CN$9),Model2!$D162:'Model2'!$CN162)</f>
        <v>0</v>
      </c>
      <c r="Q158" s="35" cm="1">
        <f t="array" ref="Q158">SUMPRODUCT(--(Q$8&lt;=Model2!$D$9:'Model2'!$CN$9),--(Q$9&gt;=Model2!$D$9:'Model2'!$CN$9),Model2!$D162:'Model2'!$CN162)</f>
        <v>0</v>
      </c>
      <c r="R158" s="35" cm="1">
        <f t="array" ref="R158">SUMPRODUCT(--(R$8&lt;=Model2!$D$9:'Model2'!$CN$9),--(R$9&gt;=Model2!$D$9:'Model2'!$CN$9),Model2!$D162:'Model2'!$CN162)</f>
        <v>0</v>
      </c>
      <c r="S158" s="35" cm="1">
        <f t="array" ref="S158">SUMPRODUCT(--(S$8&lt;=Model2!$D$9:'Model2'!$CN$9),--(S$9&gt;=Model2!$D$9:'Model2'!$CN$9),Model2!$D162:'Model2'!$CN162)</f>
        <v>0</v>
      </c>
      <c r="T158" s="35" cm="1">
        <f t="array" ref="T158">SUMPRODUCT(--(T$8&lt;=Model2!$D$9:'Model2'!$CN$9),--(T$9&gt;=Model2!$D$9:'Model2'!$CN$9),Model2!$D162:'Model2'!$CN162)</f>
        <v>0</v>
      </c>
      <c r="U158" s="35" cm="1">
        <f t="array" ref="U158">SUMPRODUCT(--(U$8&lt;=Model2!$D$9:'Model2'!$CN$9),--(U$9&gt;=Model2!$D$9:'Model2'!$CN$9),Model2!$D162:'Model2'!$CN162)</f>
        <v>0</v>
      </c>
      <c r="V158" s="35" cm="1">
        <f t="array" ref="V158">SUMPRODUCT(--(V$8&lt;=Model2!$D$9:'Model2'!$CN$9),--(V$9&gt;=Model2!$D$9:'Model2'!$CN$9),Model2!$D162:'Model2'!$CN162)</f>
        <v>0</v>
      </c>
      <c r="W158" s="35" cm="1">
        <f t="array" ref="W158">SUMPRODUCT(--(W$8&lt;=Model2!$D$9:'Model2'!$CN$9),--(W$9&gt;=Model2!$D$9:'Model2'!$CN$9),Model2!$D162:'Model2'!$CN162)</f>
        <v>0</v>
      </c>
      <c r="X158" s="35" cm="1">
        <f t="array" ref="X158">SUMPRODUCT(--(X$8&lt;=Model2!$D$9:'Model2'!$CN$9),--(X$9&gt;=Model2!$D$9:'Model2'!$CN$9),Model2!$D162:'Model2'!$CN162)</f>
        <v>0</v>
      </c>
      <c r="Y158" s="35" cm="1">
        <f t="array" ref="Y158">SUMPRODUCT(--(Y$8&lt;=Model2!$D$9:'Model2'!$CN$9),--(Y$9&gt;=Model2!$D$9:'Model2'!$CN$9),Model2!$D162:'Model2'!$CN162)</f>
        <v>0</v>
      </c>
      <c r="Z158" s="35" cm="1">
        <f t="array" ref="Z158">SUMPRODUCT(--(Z$8&lt;=Model2!$D$9:'Model2'!$CN$9),--(Z$9&gt;=Model2!$D$9:'Model2'!$CN$9),Model2!$D162:'Model2'!$CN162)</f>
        <v>0</v>
      </c>
      <c r="AA158" s="35"/>
    </row>
    <row r="159" spans="1:27" ht="12.75" customHeight="1" outlineLevel="1">
      <c r="A159" s="35"/>
      <c r="B159" s="63" t="s">
        <v>185</v>
      </c>
      <c r="C159" s="35">
        <f t="shared" si="22"/>
        <v>-582386.70000000019</v>
      </c>
      <c r="D159" s="60">
        <f>Model2!D163</f>
        <v>0</v>
      </c>
      <c r="E159" s="35" cm="1">
        <f t="array" ref="E159">SUMPRODUCT(--(E$8&lt;=Model2!$D$9:'Model2'!$CN$9),--(E$9&gt;=Model2!$D$9:'Model2'!$CN$9),Model2!$D163:'Model2'!$CN163)</f>
        <v>0</v>
      </c>
      <c r="F159" s="35" cm="1">
        <f t="array" ref="F159">SUMPRODUCT(--(F$8&lt;=Model2!$D$9:'Model2'!$CN$9),--(F$9&gt;=Model2!$D$9:'Model2'!$CN$9),Model2!$D163:'Model2'!$CN163)</f>
        <v>0</v>
      </c>
      <c r="G159" s="35" cm="1">
        <f t="array" ref="G159">SUMPRODUCT(--(G$8&lt;=Model2!$D$9:'Model2'!$CN$9),--(G$9&gt;=Model2!$D$9:'Model2'!$CN$9),Model2!$D163:'Model2'!$CN163)</f>
        <v>0</v>
      </c>
      <c r="H159" s="35" cm="1">
        <f t="array" ref="H159">SUMPRODUCT(--(H$8&lt;=Model2!$D$9:'Model2'!$CN$9),--(H$9&gt;=Model2!$D$9:'Model2'!$CN$9),Model2!$D163:'Model2'!$CN163)</f>
        <v>0</v>
      </c>
      <c r="I159" s="35" cm="1">
        <f t="array" ref="I159">SUMPRODUCT(--(I$8&lt;=Model2!$D$9:'Model2'!$CN$9),--(I$9&gt;=Model2!$D$9:'Model2'!$CN$9),Model2!$D163:'Model2'!$CN163)</f>
        <v>-16317.642401933534</v>
      </c>
      <c r="J159" s="35" cm="1">
        <f t="array" ref="J159">SUMPRODUCT(--(J$8&lt;=Model2!$D$9:'Model2'!$CN$9),--(J$9&gt;=Model2!$D$9:'Model2'!$CN$9),Model2!$D163:'Model2'!$CN163)</f>
        <v>-82308.005151523103</v>
      </c>
      <c r="K159" s="35" cm="1">
        <f t="array" ref="K159">SUMPRODUCT(--(K$8&lt;=Model2!$D$9:'Model2'!$CN$9),--(K$9&gt;=Model2!$D$9:'Model2'!$CN$9),Model2!$D163:'Model2'!$CN163)</f>
        <v>-88995.264138390296</v>
      </c>
      <c r="L159" s="35" cm="1">
        <f t="array" ref="L159">SUMPRODUCT(--(L$8&lt;=Model2!$D$9:'Model2'!$CN$9),--(L$9&gt;=Model2!$D$9:'Model2'!$CN$9),Model2!$D163:'Model2'!$CN163)</f>
        <v>-99295.279184082639</v>
      </c>
      <c r="M159" s="35" cm="1">
        <f t="array" ref="M159">SUMPRODUCT(--(M$8&lt;=Model2!$D$9:'Model2'!$CN$9),--(M$9&gt;=Model2!$D$9:'Model2'!$CN$9),Model2!$D163:'Model2'!$CN163)</f>
        <v>-111175.78501504984</v>
      </c>
      <c r="N159" s="35" cm="1">
        <f t="array" ref="N159">SUMPRODUCT(--(N$8&lt;=Model2!$D$9:'Model2'!$CN$9),--(N$9&gt;=Model2!$D$9:'Model2'!$CN$9),Model2!$D163:'Model2'!$CN163)</f>
        <v>-125673.22812172146</v>
      </c>
      <c r="O159" s="35" cm="1">
        <f t="array" ref="O159">SUMPRODUCT(--(O$8&lt;=Model2!$D$9:'Model2'!$CN$9),--(O$9&gt;=Model2!$D$9:'Model2'!$CN$9),Model2!$D163:'Model2'!$CN163)</f>
        <v>-58621.49598729932</v>
      </c>
      <c r="P159" s="35" cm="1">
        <f t="array" ref="P159">SUMPRODUCT(--(P$8&lt;=Model2!$D$9:'Model2'!$CN$9),--(P$9&gt;=Model2!$D$9:'Model2'!$CN$9),Model2!$D163:'Model2'!$CN163)</f>
        <v>0</v>
      </c>
      <c r="Q159" s="35" cm="1">
        <f t="array" ref="Q159">SUMPRODUCT(--(Q$8&lt;=Model2!$D$9:'Model2'!$CN$9),--(Q$9&gt;=Model2!$D$9:'Model2'!$CN$9),Model2!$D163:'Model2'!$CN163)</f>
        <v>0</v>
      </c>
      <c r="R159" s="35" cm="1">
        <f t="array" ref="R159">SUMPRODUCT(--(R$8&lt;=Model2!$D$9:'Model2'!$CN$9),--(R$9&gt;=Model2!$D$9:'Model2'!$CN$9),Model2!$D163:'Model2'!$CN163)</f>
        <v>0</v>
      </c>
      <c r="S159" s="35" cm="1">
        <f t="array" ref="S159">SUMPRODUCT(--(S$8&lt;=Model2!$D$9:'Model2'!$CN$9),--(S$9&gt;=Model2!$D$9:'Model2'!$CN$9),Model2!$D163:'Model2'!$CN163)</f>
        <v>0</v>
      </c>
      <c r="T159" s="35" cm="1">
        <f t="array" ref="T159">SUMPRODUCT(--(T$8&lt;=Model2!$D$9:'Model2'!$CN$9),--(T$9&gt;=Model2!$D$9:'Model2'!$CN$9),Model2!$D163:'Model2'!$CN163)</f>
        <v>0</v>
      </c>
      <c r="U159" s="35" cm="1">
        <f t="array" ref="U159">SUMPRODUCT(--(U$8&lt;=Model2!$D$9:'Model2'!$CN$9),--(U$9&gt;=Model2!$D$9:'Model2'!$CN$9),Model2!$D163:'Model2'!$CN163)</f>
        <v>0</v>
      </c>
      <c r="V159" s="35" cm="1">
        <f t="array" ref="V159">SUMPRODUCT(--(V$8&lt;=Model2!$D$9:'Model2'!$CN$9),--(V$9&gt;=Model2!$D$9:'Model2'!$CN$9),Model2!$D163:'Model2'!$CN163)</f>
        <v>0</v>
      </c>
      <c r="W159" s="35" cm="1">
        <f t="array" ref="W159">SUMPRODUCT(--(W$8&lt;=Model2!$D$9:'Model2'!$CN$9),--(W$9&gt;=Model2!$D$9:'Model2'!$CN$9),Model2!$D163:'Model2'!$CN163)</f>
        <v>0</v>
      </c>
      <c r="X159" s="35" cm="1">
        <f t="array" ref="X159">SUMPRODUCT(--(X$8&lt;=Model2!$D$9:'Model2'!$CN$9),--(X$9&gt;=Model2!$D$9:'Model2'!$CN$9),Model2!$D163:'Model2'!$CN163)</f>
        <v>0</v>
      </c>
      <c r="Y159" s="35" cm="1">
        <f t="array" ref="Y159">SUMPRODUCT(--(Y$8&lt;=Model2!$D$9:'Model2'!$CN$9),--(Y$9&gt;=Model2!$D$9:'Model2'!$CN$9),Model2!$D163:'Model2'!$CN163)</f>
        <v>0</v>
      </c>
      <c r="Z159" s="35" cm="1">
        <f t="array" ref="Z159">SUMPRODUCT(--(Z$8&lt;=Model2!$D$9:'Model2'!$CN$9),--(Z$9&gt;=Model2!$D$9:'Model2'!$CN$9),Model2!$D163:'Model2'!$CN163)</f>
        <v>0</v>
      </c>
      <c r="AA159" s="35"/>
    </row>
    <row r="160" spans="1:27" ht="12.75" customHeight="1" outlineLevel="1">
      <c r="A160" s="35"/>
      <c r="B160" s="54" t="s">
        <v>230</v>
      </c>
      <c r="C160" s="55"/>
      <c r="D160" s="58">
        <f>Model2!D164</f>
        <v>0</v>
      </c>
      <c r="E160" s="55" cm="1">
        <f t="array" ref="E160">SUMPRODUCT(--(E$9=Model2!$D$9:$CN$9),Model2!$D164:$CN164)</f>
        <v>0</v>
      </c>
      <c r="F160" s="55" cm="1">
        <f t="array" ref="F160">SUMPRODUCT(--(F$9=Model2!$D$9:$CN$9),Model2!$D164:$CN164)</f>
        <v>0</v>
      </c>
      <c r="G160" s="55" cm="1">
        <f t="array" ref="G160">SUMPRODUCT(--(G$9=Model2!$D$9:$CN$9),Model2!$D164:$CN164)</f>
        <v>128003.74343750003</v>
      </c>
      <c r="H160" s="55" cm="1">
        <f t="array" ref="H160">SUMPRODUCT(--(H$9=Model2!$D$9:$CN$9),Model2!$D164:$CN164)</f>
        <v>565764.41293750005</v>
      </c>
      <c r="I160" s="55" cm="1">
        <f t="array" ref="I160">SUMPRODUCT(--(I$9=Model2!$D$9:$CN$9),Model2!$D164:$CN164)</f>
        <v>566069.05759806663</v>
      </c>
      <c r="J160" s="55" cm="1">
        <f t="array" ref="J160">SUMPRODUCT(--(J$9=Model2!$D$9:$CN$9),Model2!$D164:$CN164)</f>
        <v>483761.05244654353</v>
      </c>
      <c r="K160" s="55" cm="1">
        <f t="array" ref="K160">SUMPRODUCT(--(K$9=Model2!$D$9:$CN$9),Model2!$D164:$CN164)</f>
        <v>394765.78830815322</v>
      </c>
      <c r="L160" s="55" cm="1">
        <f t="array" ref="L160">SUMPRODUCT(--(L$9=Model2!$D$9:$CN$9),Model2!$D164:$CN164)</f>
        <v>295470.50912407064</v>
      </c>
      <c r="M160" s="55" cm="1">
        <f t="array" ref="M160">SUMPRODUCT(--(M$9=Model2!$D$9:$CN$9),Model2!$D164:$CN164)</f>
        <v>184294.72410902078</v>
      </c>
      <c r="N160" s="55" cm="1">
        <f t="array" ref="N160">SUMPRODUCT(--(N$9=Model2!$D$9:$CN$9),Model2!$D164:$CN164)</f>
        <v>58621.49598729932</v>
      </c>
      <c r="O160" s="55" cm="1">
        <f t="array" ref="O160">SUMPRODUCT(--(O$9=Model2!$D$9:$CN$9),Model2!$D164:$CN164)</f>
        <v>0</v>
      </c>
      <c r="P160" s="55" cm="1">
        <f t="array" ref="P160">SUMPRODUCT(--(P$9=Model2!$D$9:$CN$9),Model2!$D164:$CN164)</f>
        <v>0</v>
      </c>
      <c r="Q160" s="55" cm="1">
        <f t="array" ref="Q160">SUMPRODUCT(--(Q$9=Model2!$D$9:$CN$9),Model2!$D164:$CN164)</f>
        <v>0</v>
      </c>
      <c r="R160" s="55" cm="1">
        <f t="array" ref="R160">SUMPRODUCT(--(R$9=Model2!$D$9:$CN$9),Model2!$D164:$CN164)</f>
        <v>0</v>
      </c>
      <c r="S160" s="55" cm="1">
        <f t="array" ref="S160">SUMPRODUCT(--(S$9=Model2!$D$9:$CN$9),Model2!$D164:$CN164)</f>
        <v>0</v>
      </c>
      <c r="T160" s="55" cm="1">
        <f t="array" ref="T160">SUMPRODUCT(--(T$9=Model2!$D$9:$CN$9),Model2!$D164:$CN164)</f>
        <v>0</v>
      </c>
      <c r="U160" s="55" cm="1">
        <f t="array" ref="U160">SUMPRODUCT(--(U$9=Model2!$D$9:$CN$9),Model2!$D164:$CN164)</f>
        <v>0</v>
      </c>
      <c r="V160" s="55" cm="1">
        <f t="array" ref="V160">SUMPRODUCT(--(V$9=Model2!$D$9:$CN$9),Model2!$D164:$CN164)</f>
        <v>0</v>
      </c>
      <c r="W160" s="55" cm="1">
        <f t="array" ref="W160">SUMPRODUCT(--(W$9=Model2!$D$9:$CN$9),Model2!$D164:$CN164)</f>
        <v>0</v>
      </c>
      <c r="X160" s="55" cm="1">
        <f t="array" ref="X160">SUMPRODUCT(--(X$9=Model2!$D$9:$CN$9),Model2!$D164:$CN164)</f>
        <v>0</v>
      </c>
      <c r="Y160" s="55" cm="1">
        <f t="array" ref="Y160">SUMPRODUCT(--(Y$9=Model2!$D$9:$CN$9),Model2!$D164:$CN164)</f>
        <v>0</v>
      </c>
      <c r="Z160" s="55" cm="1">
        <f t="array" ref="Z160">SUMPRODUCT(--(Z$9=Model2!$D$9:$CN$9),Model2!$D164:$CN164)</f>
        <v>0</v>
      </c>
      <c r="AA160" s="55"/>
    </row>
    <row r="161" spans="1:27" ht="12.75" customHeight="1" outlineLevel="1">
      <c r="A161" s="35"/>
      <c r="B161" s="63" t="s">
        <v>238</v>
      </c>
      <c r="C161" s="35">
        <f>SUM(D161:AA161)</f>
        <v>-188173.39816270932</v>
      </c>
      <c r="D161" s="82">
        <f>Model2!D165</f>
        <v>0</v>
      </c>
      <c r="E161" s="83" cm="1">
        <f t="array" ref="E161">SUMPRODUCT(--(E$8&lt;=Model2!$D$9:'Model2'!$CN$9),--(E$9&gt;=Model2!$D$9:'Model2'!$CN$9),Model2!$D165:'Model2'!$CN165)</f>
        <v>0</v>
      </c>
      <c r="F161" s="83" cm="1">
        <f t="array" ref="F161">SUMPRODUCT(--(F$8&lt;=Model2!$D$9:'Model2'!$CN$9),--(F$9&gt;=Model2!$D$9:'Model2'!$CN$9),Model2!$D165:'Model2'!$CN165)</f>
        <v>0</v>
      </c>
      <c r="G161" s="83" cm="1">
        <f t="array" ref="G161">SUMPRODUCT(--(G$8&lt;=Model2!$D$9:'Model2'!$CN$9),--(G$9&gt;=Model2!$D$9:'Model2'!$CN$9),Model2!$D165:'Model2'!$CN165)</f>
        <v>-1797.2089570312505</v>
      </c>
      <c r="H161" s="83" cm="1">
        <f t="array" ref="H161">SUMPRODUCT(--(H$8&lt;=Model2!$D$9:'Model2'!$CN$9),--(H$9&gt;=Model2!$D$9:'Model2'!$CN$9),Model2!$D165:'Model2'!$CN165)</f>
        <v>-19277.90974921875</v>
      </c>
      <c r="I161" s="83" cm="1">
        <f t="array" ref="I161">SUMPRODUCT(--(I$8&lt;=Model2!$D$9:'Model2'!$CN$9),--(I$9&gt;=Model2!$D$9:'Model2'!$CN$9),Model2!$D165:'Model2'!$CN165)</f>
        <v>-43279.665955232209</v>
      </c>
      <c r="J161" s="83" cm="1">
        <f t="array" ref="J161">SUMPRODUCT(--(J$8&lt;=Model2!$D$9:'Model2'!$CN$9),--(J$9&gt;=Model2!$D$9:'Model2'!$CN$9),Model2!$D165:'Model2'!$CN165)</f>
        <v>-38710.635465083906</v>
      </c>
      <c r="K161" s="83" cm="1">
        <f t="array" ref="K161">SUMPRODUCT(--(K$8&lt;=Model2!$D$9:'Model2'!$CN$9),--(K$9&gt;=Model2!$D$9:'Model2'!$CN$9),Model2!$D165:'Model2'!$CN165)</f>
        <v>-32378.52407344868</v>
      </c>
      <c r="L161" s="83" cm="1">
        <f t="array" ref="L161">SUMPRODUCT(--(L$8&lt;=Model2!$D$9:'Model2'!$CN$9),--(L$9&gt;=Model2!$D$9:'Model2'!$CN$9),Model2!$D165:'Model2'!$CN165)</f>
        <v>-25372.589198872694</v>
      </c>
      <c r="M161" s="83" cm="1">
        <f t="array" ref="M161">SUMPRODUCT(--(M$8&lt;=Model2!$D$9:'Model2'!$CN$9),--(M$9&gt;=Model2!$D$9:'Model2'!$CN$9),Model2!$D165:'Model2'!$CN165)</f>
        <v>-17536.695294353049</v>
      </c>
      <c r="N161" s="83" cm="1">
        <f t="array" ref="N161">SUMPRODUCT(--(N$8&lt;=Model2!$D$9:'Model2'!$CN$9),--(N$9&gt;=Model2!$D$9:'Model2'!$CN$9),Model2!$D165:'Model2'!$CN165)</f>
        <v>-8721.0164197069007</v>
      </c>
      <c r="O161" s="83" cm="1">
        <f t="array" ref="O161">SUMPRODUCT(--(O$8&lt;=Model2!$D$9:'Model2'!$CN$9),--(O$9&gt;=Model2!$D$9:'Model2'!$CN$9),Model2!$D165:'Model2'!$CN165)</f>
        <v>-1099.1530497618621</v>
      </c>
      <c r="P161" s="83" cm="1">
        <f t="array" ref="P161">SUMPRODUCT(--(P$8&lt;=Model2!$D$9:'Model2'!$CN$9),--(P$9&gt;=Model2!$D$9:'Model2'!$CN$9),Model2!$D165:'Model2'!$CN165)</f>
        <v>0</v>
      </c>
      <c r="Q161" s="83" cm="1">
        <f t="array" ref="Q161">SUMPRODUCT(--(Q$8&lt;=Model2!$D$9:'Model2'!$CN$9),--(Q$9&gt;=Model2!$D$9:'Model2'!$CN$9),Model2!$D165:'Model2'!$CN165)</f>
        <v>0</v>
      </c>
      <c r="R161" s="83" cm="1">
        <f t="array" ref="R161">SUMPRODUCT(--(R$8&lt;=Model2!$D$9:'Model2'!$CN$9),--(R$9&gt;=Model2!$D$9:'Model2'!$CN$9),Model2!$D165:'Model2'!$CN165)</f>
        <v>0</v>
      </c>
      <c r="S161" s="83" cm="1">
        <f t="array" ref="S161">SUMPRODUCT(--(S$8&lt;=Model2!$D$9:'Model2'!$CN$9),--(S$9&gt;=Model2!$D$9:'Model2'!$CN$9),Model2!$D165:'Model2'!$CN165)</f>
        <v>0</v>
      </c>
      <c r="T161" s="83" cm="1">
        <f t="array" ref="T161">SUMPRODUCT(--(T$8&lt;=Model2!$D$9:'Model2'!$CN$9),--(T$9&gt;=Model2!$D$9:'Model2'!$CN$9),Model2!$D165:'Model2'!$CN165)</f>
        <v>0</v>
      </c>
      <c r="U161" s="83" cm="1">
        <f t="array" ref="U161">SUMPRODUCT(--(U$8&lt;=Model2!$D$9:'Model2'!$CN$9),--(U$9&gt;=Model2!$D$9:'Model2'!$CN$9),Model2!$D165:'Model2'!$CN165)</f>
        <v>0</v>
      </c>
      <c r="V161" s="83" cm="1">
        <f t="array" ref="V161">SUMPRODUCT(--(V$8&lt;=Model2!$D$9:'Model2'!$CN$9),--(V$9&gt;=Model2!$D$9:'Model2'!$CN$9),Model2!$D165:'Model2'!$CN165)</f>
        <v>0</v>
      </c>
      <c r="W161" s="83" cm="1">
        <f t="array" ref="W161">SUMPRODUCT(--(W$8&lt;=Model2!$D$9:'Model2'!$CN$9),--(W$9&gt;=Model2!$D$9:'Model2'!$CN$9),Model2!$D165:'Model2'!$CN165)</f>
        <v>0</v>
      </c>
      <c r="X161" s="83" cm="1">
        <f t="array" ref="X161">SUMPRODUCT(--(X$8&lt;=Model2!$D$9:'Model2'!$CN$9),--(X$9&gt;=Model2!$D$9:'Model2'!$CN$9),Model2!$D165:'Model2'!$CN165)</f>
        <v>0</v>
      </c>
      <c r="Y161" s="83" cm="1">
        <f t="array" ref="Y161">SUMPRODUCT(--(Y$8&lt;=Model2!$D$9:'Model2'!$CN$9),--(Y$9&gt;=Model2!$D$9:'Model2'!$CN$9),Model2!$D165:'Model2'!$CN165)</f>
        <v>0</v>
      </c>
      <c r="Z161" s="83" cm="1">
        <f t="array" ref="Z161">SUMPRODUCT(--(Z$8&lt;=Model2!$D$9:'Model2'!$CN$9),--(Z$9&gt;=Model2!$D$9:'Model2'!$CN$9),Model2!$D165:'Model2'!$CN165)</f>
        <v>0</v>
      </c>
      <c r="AA161" s="83"/>
    </row>
    <row r="162" spans="1:27" ht="12.75" customHeight="1" outlineLevel="1">
      <c r="A162" s="35"/>
      <c r="B162" s="35"/>
      <c r="C162" s="35"/>
      <c r="D162" s="82">
        <f>Model2!D166</f>
        <v>0</v>
      </c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</row>
    <row r="163" spans="1:27" ht="12.75" customHeight="1">
      <c r="A163" s="35"/>
      <c r="B163" s="35"/>
      <c r="C163" s="35"/>
      <c r="D163" s="82">
        <f>Model2!D167</f>
        <v>0</v>
      </c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</row>
    <row r="164" spans="1:27" ht="12.75" customHeight="1">
      <c r="A164" s="112"/>
      <c r="B164" s="67" t="s">
        <v>239</v>
      </c>
      <c r="C164" s="113"/>
      <c r="D164" s="114" t="str">
        <f>Model2!D168</f>
        <v>0 период</v>
      </c>
      <c r="E164" s="62">
        <f t="shared" ref="E164:Z164" si="23">E6</f>
        <v>2023</v>
      </c>
      <c r="F164" s="62">
        <f t="shared" si="23"/>
        <v>2024</v>
      </c>
      <c r="G164" s="62">
        <f t="shared" si="23"/>
        <v>2025</v>
      </c>
      <c r="H164" s="62">
        <f t="shared" si="23"/>
        <v>2026</v>
      </c>
      <c r="I164" s="62">
        <f t="shared" si="23"/>
        <v>2027</v>
      </c>
      <c r="J164" s="62">
        <f t="shared" si="23"/>
        <v>2028</v>
      </c>
      <c r="K164" s="62">
        <f t="shared" si="23"/>
        <v>2029</v>
      </c>
      <c r="L164" s="62">
        <f t="shared" si="23"/>
        <v>2030</v>
      </c>
      <c r="M164" s="62">
        <f t="shared" si="23"/>
        <v>2031</v>
      </c>
      <c r="N164" s="62">
        <f t="shared" si="23"/>
        <v>2032</v>
      </c>
      <c r="O164" s="62">
        <f t="shared" si="23"/>
        <v>2033</v>
      </c>
      <c r="P164" s="62">
        <f t="shared" si="23"/>
        <v>2034</v>
      </c>
      <c r="Q164" s="62">
        <f t="shared" si="23"/>
        <v>2035</v>
      </c>
      <c r="R164" s="62">
        <f t="shared" si="23"/>
        <v>2036</v>
      </c>
      <c r="S164" s="62">
        <f t="shared" si="23"/>
        <v>2037</v>
      </c>
      <c r="T164" s="62">
        <f t="shared" si="23"/>
        <v>2038</v>
      </c>
      <c r="U164" s="62">
        <f t="shared" si="23"/>
        <v>2039</v>
      </c>
      <c r="V164" s="62">
        <f t="shared" si="23"/>
        <v>2040</v>
      </c>
      <c r="W164" s="62">
        <f t="shared" si="23"/>
        <v>2041</v>
      </c>
      <c r="X164" s="62">
        <f t="shared" si="23"/>
        <v>2042</v>
      </c>
      <c r="Y164" s="62">
        <f t="shared" si="23"/>
        <v>2043</v>
      </c>
      <c r="Z164" s="62">
        <f t="shared" si="23"/>
        <v>2044</v>
      </c>
      <c r="AA164" s="62"/>
    </row>
    <row r="165" spans="1:27" ht="12.75" customHeight="1">
      <c r="A165" s="112"/>
      <c r="B165" s="112" t="s">
        <v>240</v>
      </c>
      <c r="C165" s="112"/>
      <c r="D165" s="116">
        <f>Model2!D169</f>
        <v>0</v>
      </c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</row>
    <row r="166" spans="1:27" ht="12.75" customHeight="1">
      <c r="A166" s="112"/>
      <c r="B166" s="112" t="s">
        <v>241</v>
      </c>
      <c r="C166" s="112"/>
      <c r="D166" s="116">
        <f>Model2!D170</f>
        <v>145596.67499999999</v>
      </c>
      <c r="E166" s="112" cm="1">
        <f t="array" ref="E166">SUMPRODUCT(--(E$9=Model2!$D$9:$CN$9),Model2!$D170:$CN170)</f>
        <v>144396.67499999999</v>
      </c>
      <c r="F166" s="112" cm="1">
        <f t="array" ref="F166">SUMPRODUCT(--(F$9=Model2!$D$9:$CN$9),Model2!$D170:$CN170)</f>
        <v>82531.393749999988</v>
      </c>
      <c r="G166" s="112" cm="1">
        <f t="array" ref="G166">SUMPRODUCT(--(G$9=Model2!$D$9:$CN$9),Model2!$D170:$CN170)</f>
        <v>40202.860782552118</v>
      </c>
      <c r="H166" s="112" cm="1">
        <f t="array" ref="H166">SUMPRODUCT(--(H$9=Model2!$D$9:$CN$9),Model2!$D170:$CN170)</f>
        <v>92685.06261666675</v>
      </c>
      <c r="I166" s="112" cm="1">
        <f t="array" ref="I166">SUMPRODUCT(--(I$9=Model2!$D$9:$CN$9),Model2!$D170:$CN170)</f>
        <v>87774.692571454303</v>
      </c>
      <c r="J166" s="112" cm="1">
        <f t="array" ref="J166">SUMPRODUCT(--(J$9=Model2!$D$9:$CN$9),Model2!$D170:$CN170)</f>
        <v>85042.105462940192</v>
      </c>
      <c r="K166" s="112" cm="1">
        <f t="array" ref="K166">SUMPRODUCT(--(K$9=Model2!$D$9:$CN$9),Model2!$D170:$CN170)</f>
        <v>42026.514433748831</v>
      </c>
      <c r="L166" s="112" cm="1">
        <f t="array" ref="L166">SUMPRODUCT(--(L$9=Model2!$D$9:$CN$9),Model2!$D170:$CN170)</f>
        <v>61660.370185687767</v>
      </c>
      <c r="M166" s="112" cm="1">
        <f t="array" ref="M166">SUMPRODUCT(--(M$9=Model2!$D$9:$CN$9),Model2!$D170:$CN170)</f>
        <v>87796.342524260428</v>
      </c>
      <c r="N166" s="112" cm="1">
        <f t="array" ref="N166">SUMPRODUCT(--(N$9=Model2!$D$9:$CN$9),Model2!$D170:$CN170)</f>
        <v>115088.3415230728</v>
      </c>
      <c r="O166" s="112" cm="1">
        <f t="array" ref="O166">SUMPRODUCT(--(O$9=Model2!$D$9:$CN$9),Model2!$D170:$CN170)</f>
        <v>164635.30246471116</v>
      </c>
      <c r="P166" s="112" cm="1">
        <f t="array" ref="P166">SUMPRODUCT(--(P$9=Model2!$D$9:$CN$9),Model2!$D170:$CN170)</f>
        <v>166166.50343561242</v>
      </c>
      <c r="Q166" s="112" cm="1">
        <f t="array" ref="Q166">SUMPRODUCT(--(Q$9=Model2!$D$9:$CN$9),Model2!$D170:$CN170)</f>
        <v>167923.47371154564</v>
      </c>
      <c r="R166" s="112" cm="1">
        <f t="array" ref="R166">SUMPRODUCT(--(R$9=Model2!$D$9:$CN$9),Model2!$D170:$CN170)</f>
        <v>169488.62278196422</v>
      </c>
      <c r="S166" s="112" cm="1">
        <f t="array" ref="S166">SUMPRODUCT(--(S$9=Model2!$D$9:$CN$9),Model2!$D170:$CN170)</f>
        <v>171072.02930590385</v>
      </c>
      <c r="T166" s="112" cm="1">
        <f t="array" ref="T166">SUMPRODUCT(--(T$9=Model2!$D$9:$CN$9),Model2!$D170:$CN170)</f>
        <v>172674.60615604039</v>
      </c>
      <c r="U166" s="112" cm="1">
        <f t="array" ref="U166">SUMPRODUCT(--(U$9=Model2!$D$9:$CN$9),Model2!$D170:$CN170)</f>
        <v>174551.60700750141</v>
      </c>
      <c r="V166" s="112" cm="1">
        <f t="array" ref="V166">SUMPRODUCT(--(V$9=Model2!$D$9:$CN$9),Model2!$D170:$CN170)</f>
        <v>176195.44798477704</v>
      </c>
      <c r="W166" s="112" cm="1">
        <f t="array" ref="W166">SUMPRODUCT(--(W$9=Model2!$D$9:$CN$9),Model2!$D170:$CN170)</f>
        <v>177861.48101091641</v>
      </c>
      <c r="X166" s="112" cm="1">
        <f t="array" ref="X166">SUMPRODUCT(--(X$9=Model2!$D$9:$CN$9),Model2!$D170:$CN170)</f>
        <v>179550.81568836272</v>
      </c>
      <c r="Y166" s="112" cm="1">
        <f t="array" ref="Y166">SUMPRODUCT(--(Y$9=Model2!$D$9:$CN$9),Model2!$D170:$CN170)</f>
        <v>181573.71445456901</v>
      </c>
      <c r="Z166" s="112" cm="1">
        <f t="array" ref="Z166">SUMPRODUCT(--(Z$9=Model2!$D$9:$CN$9),Model2!$D170:$CN170)</f>
        <v>183313.20593645354</v>
      </c>
      <c r="AA166" s="112"/>
    </row>
    <row r="167" spans="1:27" ht="12.75" customHeight="1">
      <c r="A167" s="117"/>
      <c r="B167" s="26" t="s">
        <v>242</v>
      </c>
      <c r="C167" s="117"/>
      <c r="D167" s="118">
        <f>Model2!D171</f>
        <v>145596.67499999999</v>
      </c>
      <c r="E167" s="5" cm="1">
        <f t="array" ref="E167">SUMPRODUCT(--(E$9=Model2!$D$9:$CN$9),Model2!$D171:$CN171)</f>
        <v>144396.67499999999</v>
      </c>
      <c r="F167" s="5" cm="1">
        <f t="array" ref="F167">SUMPRODUCT(--(F$9=Model2!$D$9:$CN$9),Model2!$D171:$CN171)</f>
        <v>74442.689583333326</v>
      </c>
      <c r="G167" s="5" cm="1">
        <f t="array" ref="G167">SUMPRODUCT(--(G$9=Model2!$D$9:$CN$9),Model2!$D171:$CN171)</f>
        <v>22407.711615885448</v>
      </c>
      <c r="H167" s="5" cm="1">
        <f t="array" ref="H167">SUMPRODUCT(--(H$9=Model2!$D$9:$CN$9),Model2!$D171:$CN171)</f>
        <v>44496.607543750084</v>
      </c>
      <c r="I167" s="5" cm="1">
        <f t="array" ref="I167">SUMPRODUCT(--(I$9=Model2!$D$9:$CN$9),Model2!$D171:$CN171)</f>
        <v>81204.628685910007</v>
      </c>
      <c r="J167" s="5" cm="1">
        <f t="array" ref="J167">SUMPRODUCT(--(J$9=Model2!$D$9:$CN$9),Model2!$D171:$CN171)</f>
        <v>77887.644113787799</v>
      </c>
      <c r="K167" s="5" cm="1">
        <f t="array" ref="K167">SUMPRODUCT(--(K$9=Model2!$D$9:$CN$9),Model2!$D171:$CN171)</f>
        <v>34531.728211042107</v>
      </c>
      <c r="L167" s="5" cm="1">
        <f t="array" ref="L167">SUMPRODUCT(--(L$9=Model2!$D$9:$CN$9),Model2!$D171:$CN171)</f>
        <v>53790.844651845706</v>
      </c>
      <c r="M167" s="5" cm="1">
        <f t="array" ref="M167">SUMPRODUCT(--(M$9=Model2!$D$9:$CN$9),Model2!$D171:$CN171)</f>
        <v>79533.340713726269</v>
      </c>
      <c r="N167" s="5" cm="1">
        <f t="array" ref="N167">SUMPRODUCT(--(N$9=Model2!$D$9:$CN$9),Model2!$D171:$CN171)</f>
        <v>106412.18962201192</v>
      </c>
      <c r="O167" s="5" cm="1">
        <f t="array" ref="O167">SUMPRODUCT(--(O$9=Model2!$D$9:$CN$9),Model2!$D171:$CN171)</f>
        <v>155525.34296859725</v>
      </c>
      <c r="P167" s="5" cm="1">
        <f t="array" ref="P167">SUMPRODUCT(--(P$9=Model2!$D$9:$CN$9),Model2!$D171:$CN171)</f>
        <v>156601.04596469281</v>
      </c>
      <c r="Q167" s="5" cm="1">
        <f t="array" ref="Q167">SUMPRODUCT(--(Q$9=Model2!$D$9:$CN$9),Model2!$D171:$CN171)</f>
        <v>157879.74336708005</v>
      </c>
      <c r="R167" s="5" cm="1">
        <f t="array" ref="R167">SUMPRODUCT(--(R$9=Model2!$D$9:$CN$9),Model2!$D171:$CN171)</f>
        <v>158942.70592027536</v>
      </c>
      <c r="S167" s="5" cm="1">
        <f t="array" ref="S167">SUMPRODUCT(--(S$9=Model2!$D$9:$CN$9),Model2!$D171:$CN171)</f>
        <v>159998.81660113053</v>
      </c>
      <c r="T167" s="5" cm="1">
        <f t="array" ref="T167">SUMPRODUCT(--(T$9=Model2!$D$9:$CN$9),Model2!$D171:$CN171)</f>
        <v>161047.73281602841</v>
      </c>
      <c r="U167" s="5" cm="1">
        <f t="array" ref="U167">SUMPRODUCT(--(U$9=Model2!$D$9:$CN$9),Model2!$D171:$CN171)</f>
        <v>162343.39000048884</v>
      </c>
      <c r="V167" s="5" cm="1">
        <f t="array" ref="V167">SUMPRODUCT(--(V$9=Model2!$D$9:$CN$9),Model2!$D171:$CN171)</f>
        <v>163376.82012741384</v>
      </c>
      <c r="W167" s="5" cm="1">
        <f t="array" ref="W167">SUMPRODUCT(--(W$9=Model2!$D$9:$CN$9),Model2!$D171:$CN171)</f>
        <v>164401.92176068507</v>
      </c>
      <c r="X167" s="5" cm="1">
        <f t="array" ref="X167">SUMPRODUCT(--(X$9=Model2!$D$9:$CN$9),Model2!$D171:$CN171)</f>
        <v>165418.27847561979</v>
      </c>
      <c r="Y167" s="5" cm="1">
        <f t="array" ref="Y167">SUMPRODUCT(--(Y$9=Model2!$D$9:$CN$9),Model2!$D171:$CN171)</f>
        <v>166734.55038118892</v>
      </c>
      <c r="Z167" s="5" cm="1">
        <f t="array" ref="Z167">SUMPRODUCT(--(Z$9=Model2!$D$9:$CN$9),Model2!$D171:$CN171)</f>
        <v>167732.08365940448</v>
      </c>
      <c r="AA167" s="5"/>
    </row>
    <row r="168" spans="1:27" ht="12.75" customHeight="1">
      <c r="A168" s="117"/>
      <c r="B168" s="26" t="s">
        <v>243</v>
      </c>
      <c r="C168" s="117"/>
      <c r="D168" s="118">
        <f>Model2!D172</f>
        <v>0</v>
      </c>
      <c r="E168" s="5" cm="1">
        <f t="array" ref="E168">SUMPRODUCT(--(E$9=Model2!$D$9:$CN$9),Model2!$D172:$CN172)</f>
        <v>0</v>
      </c>
      <c r="F168" s="5" cm="1">
        <f t="array" ref="F168">SUMPRODUCT(--(F$9=Model2!$D$9:$CN$9),Model2!$D172:$CN172)</f>
        <v>0</v>
      </c>
      <c r="G168" s="5" cm="1">
        <f t="array" ref="G168">SUMPRODUCT(--(G$9=Model2!$D$9:$CN$9),Model2!$D172:$CN172)</f>
        <v>0</v>
      </c>
      <c r="H168" s="5" cm="1">
        <f t="array" ref="H168">SUMPRODUCT(--(H$9=Model2!$D$9:$CN$9),Model2!$D172:$CN172)</f>
        <v>0</v>
      </c>
      <c r="I168" s="5" cm="1">
        <f t="array" ref="I168">SUMPRODUCT(--(I$9=Model2!$D$9:$CN$9),Model2!$D172:$CN172)</f>
        <v>1749.9450315265626</v>
      </c>
      <c r="J168" s="5" cm="1">
        <f t="array" ref="J168">SUMPRODUCT(--(J$9=Model2!$D$9:$CN$9),Model2!$D172:$CN172)</f>
        <v>1972.007852930182</v>
      </c>
      <c r="K168" s="5" cm="1">
        <f t="array" ref="K168">SUMPRODUCT(--(K$9=Model2!$D$9:$CN$9),Model2!$D172:$CN172)</f>
        <v>2068.5209253429216</v>
      </c>
      <c r="L168" s="5" cm="1">
        <f t="array" ref="L168">SUMPRODUCT(--(L$9=Model2!$D$9:$CN$9),Model2!$D172:$CN172)</f>
        <v>2171.9469716100684</v>
      </c>
      <c r="M168" s="5" cm="1">
        <f t="array" ref="M168">SUMPRODUCT(--(M$9=Model2!$D$9:$CN$9),Model2!$D172:$CN172)</f>
        <v>2280.5443201905714</v>
      </c>
      <c r="N168" s="5" cm="1">
        <f t="array" ref="N168">SUMPRODUCT(--(N$9=Model2!$D$9:$CN$9),Model2!$D172:$CN172)</f>
        <v>2394.5715362001006</v>
      </c>
      <c r="O168" s="5" cm="1">
        <f t="array" ref="O168">SUMPRODUCT(--(O$9=Model2!$D$9:$CN$9),Model2!$D172:$CN172)</f>
        <v>2514.3001130101056</v>
      </c>
      <c r="P168" s="5" cm="1">
        <f t="array" ref="P168">SUMPRODUCT(--(P$9=Model2!$D$9:$CN$9),Model2!$D172:$CN172)</f>
        <v>2640.0151186606108</v>
      </c>
      <c r="Q168" s="5" cm="1">
        <f t="array" ref="Q168">SUMPRODUCT(--(Q$9=Model2!$D$9:$CN$9),Model2!$D172:$CN172)</f>
        <v>2772.0158745936415</v>
      </c>
      <c r="R168" s="5" cm="1">
        <f t="array" ref="R168">SUMPRODUCT(--(R$9=Model2!$D$9:$CN$9),Model2!$D172:$CN172)</f>
        <v>2910.6166683233241</v>
      </c>
      <c r="S168" s="5" cm="1">
        <f t="array" ref="S168">SUMPRODUCT(--(S$9=Model2!$D$9:$CN$9),Model2!$D172:$CN172)</f>
        <v>3056.1475017394896</v>
      </c>
      <c r="T168" s="5" cm="1">
        <f t="array" ref="T168">SUMPRODUCT(--(T$9=Model2!$D$9:$CN$9),Model2!$D172:$CN172)</f>
        <v>3208.9548768264649</v>
      </c>
      <c r="U168" s="5" cm="1">
        <f t="array" ref="U168">SUMPRODUCT(--(U$9=Model2!$D$9:$CN$9),Model2!$D172:$CN172)</f>
        <v>3369.4026206677881</v>
      </c>
      <c r="V168" s="5" cm="1">
        <f t="array" ref="V168">SUMPRODUCT(--(V$9=Model2!$D$9:$CN$9),Model2!$D172:$CN172)</f>
        <v>3537.8727517011785</v>
      </c>
      <c r="W168" s="5" cm="1">
        <f t="array" ref="W168">SUMPRODUCT(--(W$9=Model2!$D$9:$CN$9),Model2!$D172:$CN172)</f>
        <v>3714.7663892862374</v>
      </c>
      <c r="X168" s="5" cm="1">
        <f t="array" ref="X168">SUMPRODUCT(--(X$9=Model2!$D$9:$CN$9),Model2!$D172:$CN172)</f>
        <v>3900.5047087505491</v>
      </c>
      <c r="Y168" s="5" cm="1">
        <f t="array" ref="Y168">SUMPRODUCT(--(Y$9=Model2!$D$9:$CN$9),Model2!$D172:$CN172)</f>
        <v>4095.5299441880757</v>
      </c>
      <c r="Z168" s="5" cm="1">
        <f t="array" ref="Z168">SUMPRODUCT(--(Z$9=Model2!$D$9:$CN$9),Model2!$D172:$CN172)</f>
        <v>4300.3064413974789</v>
      </c>
      <c r="AA168" s="5"/>
    </row>
    <row r="169" spans="1:27" ht="12.75" customHeight="1">
      <c r="A169" s="117"/>
      <c r="B169" s="26" t="s">
        <v>244</v>
      </c>
      <c r="C169" s="117"/>
      <c r="D169" s="118">
        <f>Model2!D173</f>
        <v>0</v>
      </c>
      <c r="E169" s="5" cm="1">
        <f t="array" ref="E169">SUMPRODUCT(--(E$9=Model2!$D$9:$CN$9),Model2!$D173:$CN173)</f>
        <v>0</v>
      </c>
      <c r="F169" s="5" cm="1">
        <f t="array" ref="F169">SUMPRODUCT(--(F$9=Model2!$D$9:$CN$9),Model2!$D173:$CN173)</f>
        <v>0</v>
      </c>
      <c r="G169" s="5" cm="1">
        <f t="array" ref="G169">SUMPRODUCT(--(G$9=Model2!$D$9:$CN$9),Model2!$D173:$CN173)</f>
        <v>0</v>
      </c>
      <c r="H169" s="5" cm="1">
        <f t="array" ref="H169">SUMPRODUCT(--(H$9=Model2!$D$9:$CN$9),Model2!$D173:$CN173)</f>
        <v>0</v>
      </c>
      <c r="I169" s="5" cm="1">
        <f t="array" ref="I169">SUMPRODUCT(--(I$9=Model2!$D$9:$CN$9),Model2!$D173:$CN173)</f>
        <v>4820.1188540177354</v>
      </c>
      <c r="J169" s="5" cm="1">
        <f t="array" ref="J169">SUMPRODUCT(--(J$9=Model2!$D$9:$CN$9),Model2!$D173:$CN173)</f>
        <v>5182.453496222206</v>
      </c>
      <c r="K169" s="5" cm="1">
        <f t="array" ref="K169">SUMPRODUCT(--(K$9=Model2!$D$9:$CN$9),Model2!$D173:$CN173)</f>
        <v>5426.2652973638005</v>
      </c>
      <c r="L169" s="5" cm="1">
        <f t="array" ref="L169">SUMPRODUCT(--(L$9=Model2!$D$9:$CN$9),Model2!$D173:$CN173)</f>
        <v>5697.5785622319909</v>
      </c>
      <c r="M169" s="5" cm="1">
        <f t="array" ref="M169">SUMPRODUCT(--(M$9=Model2!$D$9:$CN$9),Model2!$D173:$CN173)</f>
        <v>5982.4574903435887</v>
      </c>
      <c r="N169" s="5" cm="1">
        <f t="array" ref="N169">SUMPRODUCT(--(N$9=Model2!$D$9:$CN$9),Model2!$D173:$CN173)</f>
        <v>6281.5803648607662</v>
      </c>
      <c r="O169" s="5" cm="1">
        <f t="array" ref="O169">SUMPRODUCT(--(O$9=Model2!$D$9:$CN$9),Model2!$D173:$CN173)</f>
        <v>6595.6593831038044</v>
      </c>
      <c r="P169" s="5" cm="1">
        <f t="array" ref="P169">SUMPRODUCT(--(P$9=Model2!$D$9:$CN$9),Model2!$D173:$CN173)</f>
        <v>6925.442352258995</v>
      </c>
      <c r="Q169" s="5" cm="1">
        <f t="array" ref="Q169">SUMPRODUCT(--(Q$9=Model2!$D$9:$CN$9),Model2!$D173:$CN173)</f>
        <v>7271.714469871943</v>
      </c>
      <c r="R169" s="5" cm="1">
        <f t="array" ref="R169">SUMPRODUCT(--(R$9=Model2!$D$9:$CN$9),Model2!$D173:$CN173)</f>
        <v>7635.3001933655387</v>
      </c>
      <c r="S169" s="5" cm="1">
        <f t="array" ref="S169">SUMPRODUCT(--(S$9=Model2!$D$9:$CN$9),Model2!$D173:$CN173)</f>
        <v>8017.0652030338169</v>
      </c>
      <c r="T169" s="5" cm="1">
        <f t="array" ref="T169">SUMPRODUCT(--(T$9=Model2!$D$9:$CN$9),Model2!$D173:$CN173)</f>
        <v>8417.9184631855078</v>
      </c>
      <c r="U169" s="5" cm="1">
        <f t="array" ref="U169">SUMPRODUCT(--(U$9=Model2!$D$9:$CN$9),Model2!$D173:$CN173)</f>
        <v>8838.8143863447822</v>
      </c>
      <c r="V169" s="5" cm="1">
        <f t="array" ref="V169">SUMPRODUCT(--(V$9=Model2!$D$9:$CN$9),Model2!$D173:$CN173)</f>
        <v>9280.7551056620196</v>
      </c>
      <c r="W169" s="5" cm="1">
        <f t="array" ref="W169">SUMPRODUCT(--(W$9=Model2!$D$9:$CN$9),Model2!$D173:$CN173)</f>
        <v>9744.7928609451192</v>
      </c>
      <c r="X169" s="5" cm="1">
        <f t="array" ref="X169">SUMPRODUCT(--(X$9=Model2!$D$9:$CN$9),Model2!$D173:$CN173)</f>
        <v>10232.032503992379</v>
      </c>
      <c r="Y169" s="5" cm="1">
        <f t="array" ref="Y169">SUMPRODUCT(--(Y$9=Model2!$D$9:$CN$9),Model2!$D173:$CN173)</f>
        <v>10743.634129191998</v>
      </c>
      <c r="Z169" s="5" cm="1">
        <f t="array" ref="Z169">SUMPRODUCT(--(Z$9=Model2!$D$9:$CN$9),Model2!$D173:$CN173)</f>
        <v>11280.8158356516</v>
      </c>
      <c r="AA169" s="5"/>
    </row>
    <row r="170" spans="1:27" ht="12.75" customHeight="1">
      <c r="A170" s="117"/>
      <c r="B170" s="26" t="s">
        <v>245</v>
      </c>
      <c r="C170" s="117"/>
      <c r="D170" s="118">
        <f>Model2!D174</f>
        <v>0</v>
      </c>
      <c r="E170" s="5" cm="1">
        <f t="array" ref="E170">SUMPRODUCT(--(E$9=Model2!$D$9:$CN$9),Model2!$D174:$CN174)</f>
        <v>0</v>
      </c>
      <c r="F170" s="5" cm="1">
        <f t="array" ref="F170">SUMPRODUCT(--(F$9=Model2!$D$9:$CN$9),Model2!$D174:$CN174)</f>
        <v>8088.7041666666682</v>
      </c>
      <c r="G170" s="5" cm="1">
        <f t="array" ref="G170">SUMPRODUCT(--(G$9=Model2!$D$9:$CN$9),Model2!$D174:$CN174)</f>
        <v>17795.14916666667</v>
      </c>
      <c r="H170" s="5" cm="1">
        <f t="array" ref="H170">SUMPRODUCT(--(H$9=Model2!$D$9:$CN$9),Model2!$D174:$CN174)</f>
        <v>48188.455072916666</v>
      </c>
      <c r="I170" s="5" cm="1">
        <f t="array" ref="I170">SUMPRODUCT(--(I$9=Model2!$D$9:$CN$9),Model2!$D174:$CN174)</f>
        <v>0</v>
      </c>
      <c r="J170" s="5" cm="1">
        <f t="array" ref="J170">SUMPRODUCT(--(J$9=Model2!$D$9:$CN$9),Model2!$D174:$CN174)</f>
        <v>0</v>
      </c>
      <c r="K170" s="5" cm="1">
        <f t="array" ref="K170">SUMPRODUCT(--(K$9=Model2!$D$9:$CN$9),Model2!$D174:$CN174)</f>
        <v>0</v>
      </c>
      <c r="L170" s="5" cm="1">
        <f t="array" ref="L170">SUMPRODUCT(--(L$9=Model2!$D$9:$CN$9),Model2!$D174:$CN174)</f>
        <v>0</v>
      </c>
      <c r="M170" s="5" cm="1">
        <f t="array" ref="M170">SUMPRODUCT(--(M$9=Model2!$D$9:$CN$9),Model2!$D174:$CN174)</f>
        <v>0</v>
      </c>
      <c r="N170" s="5" cm="1">
        <f t="array" ref="N170">SUMPRODUCT(--(N$9=Model2!$D$9:$CN$9),Model2!$D174:$CN174)</f>
        <v>0</v>
      </c>
      <c r="O170" s="5" cm="1">
        <f t="array" ref="O170">SUMPRODUCT(--(O$9=Model2!$D$9:$CN$9),Model2!$D174:$CN174)</f>
        <v>0</v>
      </c>
      <c r="P170" s="5" cm="1">
        <f t="array" ref="P170">SUMPRODUCT(--(P$9=Model2!$D$9:$CN$9),Model2!$D174:$CN174)</f>
        <v>0</v>
      </c>
      <c r="Q170" s="5" cm="1">
        <f t="array" ref="Q170">SUMPRODUCT(--(Q$9=Model2!$D$9:$CN$9),Model2!$D174:$CN174)</f>
        <v>0</v>
      </c>
      <c r="R170" s="5" cm="1">
        <f t="array" ref="R170">SUMPRODUCT(--(R$9=Model2!$D$9:$CN$9),Model2!$D174:$CN174)</f>
        <v>0</v>
      </c>
      <c r="S170" s="5" cm="1">
        <f t="array" ref="S170">SUMPRODUCT(--(S$9=Model2!$D$9:$CN$9),Model2!$D174:$CN174)</f>
        <v>0</v>
      </c>
      <c r="T170" s="5" cm="1">
        <f t="array" ref="T170">SUMPRODUCT(--(T$9=Model2!$D$9:$CN$9),Model2!$D174:$CN174)</f>
        <v>0</v>
      </c>
      <c r="U170" s="5" cm="1">
        <f t="array" ref="U170">SUMPRODUCT(--(U$9=Model2!$D$9:$CN$9),Model2!$D174:$CN174)</f>
        <v>0</v>
      </c>
      <c r="V170" s="5" cm="1">
        <f t="array" ref="V170">SUMPRODUCT(--(V$9=Model2!$D$9:$CN$9),Model2!$D174:$CN174)</f>
        <v>0</v>
      </c>
      <c r="W170" s="5" cm="1">
        <f t="array" ref="W170">SUMPRODUCT(--(W$9=Model2!$D$9:$CN$9),Model2!$D174:$CN174)</f>
        <v>0</v>
      </c>
      <c r="X170" s="5" cm="1">
        <f t="array" ref="X170">SUMPRODUCT(--(X$9=Model2!$D$9:$CN$9),Model2!$D174:$CN174)</f>
        <v>0</v>
      </c>
      <c r="Y170" s="5" cm="1">
        <f t="array" ref="Y170">SUMPRODUCT(--(Y$9=Model2!$D$9:$CN$9),Model2!$D174:$CN174)</f>
        <v>0</v>
      </c>
      <c r="Z170" s="5" cm="1">
        <f t="array" ref="Z170">SUMPRODUCT(--(Z$9=Model2!$D$9:$CN$9),Model2!$D174:$CN174)</f>
        <v>0</v>
      </c>
      <c r="AA170" s="5"/>
    </row>
    <row r="171" spans="1:27" ht="12.75" customHeight="1">
      <c r="A171" s="112"/>
      <c r="B171" s="112" t="s">
        <v>246</v>
      </c>
      <c r="C171" s="112"/>
      <c r="D171" s="116">
        <f>Model2!D175</f>
        <v>0</v>
      </c>
      <c r="E171" s="112" cm="1">
        <f t="array" ref="E171">SUMPRODUCT(--(E$9=Model2!$D$9:$CN$9),Model2!$D175:$CN175)</f>
        <v>-14559.6675</v>
      </c>
      <c r="F171" s="112" cm="1">
        <f t="array" ref="F171">SUMPRODUCT(--(F$9=Model2!$D$9:$CN$9),Model2!$D175:$CN175)</f>
        <v>31545.946249999997</v>
      </c>
      <c r="G171" s="112" cm="1">
        <f t="array" ref="G171">SUMPRODUCT(--(G$9=Model2!$D$9:$CN$9),Model2!$D175:$CN175)</f>
        <v>186118.55515494794</v>
      </c>
      <c r="H171" s="112" cm="1">
        <f t="array" ref="H171">SUMPRODUCT(--(H$9=Model2!$D$9:$CN$9),Model2!$D175:$CN175)</f>
        <v>555637.35532083339</v>
      </c>
      <c r="I171" s="112" cm="1">
        <f t="array" ref="I171">SUMPRODUCT(--(I$9=Model2!$D$9:$CN$9),Model2!$D175:$CN175)</f>
        <v>597609.2596614823</v>
      </c>
      <c r="J171" s="112" cm="1">
        <f t="array" ref="J171">SUMPRODUCT(--(J$9=Model2!$D$9:$CN$9),Model2!$D175:$CN175)</f>
        <v>581849.59216148232</v>
      </c>
      <c r="K171" s="112" cm="1">
        <f t="array" ref="K171">SUMPRODUCT(--(K$9=Model2!$D$9:$CN$9),Model2!$D175:$CN175)</f>
        <v>566089.92466148234</v>
      </c>
      <c r="L171" s="112" cm="1">
        <f t="array" ref="L171">SUMPRODUCT(--(L$9=Model2!$D$9:$CN$9),Model2!$D175:$CN175)</f>
        <v>550330.25716148235</v>
      </c>
      <c r="M171" s="112" cm="1">
        <f t="array" ref="M171">SUMPRODUCT(--(M$9=Model2!$D$9:$CN$9),Model2!$D175:$CN175)</f>
        <v>534570.58966148237</v>
      </c>
      <c r="N171" s="112" cm="1">
        <f t="array" ref="N171">SUMPRODUCT(--(N$9=Model2!$D$9:$CN$9),Model2!$D175:$CN175)</f>
        <v>518810.92216148239</v>
      </c>
      <c r="O171" s="112" cm="1">
        <f t="array" ref="O171">SUMPRODUCT(--(O$9=Model2!$D$9:$CN$9),Model2!$D175:$CN175)</f>
        <v>503051.25466148241</v>
      </c>
      <c r="P171" s="112" cm="1">
        <f t="array" ref="P171">SUMPRODUCT(--(P$9=Model2!$D$9:$CN$9),Model2!$D175:$CN175)</f>
        <v>487291.58716148243</v>
      </c>
      <c r="Q171" s="112" cm="1">
        <f t="array" ref="Q171">SUMPRODUCT(--(Q$9=Model2!$D$9:$CN$9),Model2!$D175:$CN175)</f>
        <v>471531.91966148245</v>
      </c>
      <c r="R171" s="112" cm="1">
        <f t="array" ref="R171">SUMPRODUCT(--(R$9=Model2!$D$9:$CN$9),Model2!$D175:$CN175)</f>
        <v>455772.25216148247</v>
      </c>
      <c r="S171" s="112" cm="1">
        <f t="array" ref="S171">SUMPRODUCT(--(S$9=Model2!$D$9:$CN$9),Model2!$D175:$CN175)</f>
        <v>440012.58466148248</v>
      </c>
      <c r="T171" s="112" cm="1">
        <f t="array" ref="T171">SUMPRODUCT(--(T$9=Model2!$D$9:$CN$9),Model2!$D175:$CN175)</f>
        <v>424252.9171614825</v>
      </c>
      <c r="U171" s="112" cm="1">
        <f t="array" ref="U171">SUMPRODUCT(--(U$9=Model2!$D$9:$CN$9),Model2!$D175:$CN175)</f>
        <v>408493.24966148252</v>
      </c>
      <c r="V171" s="112" cm="1">
        <f t="array" ref="V171">SUMPRODUCT(--(V$9=Model2!$D$9:$CN$9),Model2!$D175:$CN175)</f>
        <v>392733.58216148254</v>
      </c>
      <c r="W171" s="112" cm="1">
        <f t="array" ref="W171">SUMPRODUCT(--(W$9=Model2!$D$9:$CN$9),Model2!$D175:$CN175)</f>
        <v>376973.91466148256</v>
      </c>
      <c r="X171" s="112" cm="1">
        <f t="array" ref="X171">SUMPRODUCT(--(X$9=Model2!$D$9:$CN$9),Model2!$D175:$CN175)</f>
        <v>361214.24716148258</v>
      </c>
      <c r="Y171" s="112" cm="1">
        <f t="array" ref="Y171">SUMPRODUCT(--(Y$9=Model2!$D$9:$CN$9),Model2!$D175:$CN175)</f>
        <v>345454.5796614826</v>
      </c>
      <c r="Z171" s="112" cm="1">
        <f t="array" ref="Z171">SUMPRODUCT(--(Z$9=Model2!$D$9:$CN$9),Model2!$D175:$CN175)</f>
        <v>329694.91216148261</v>
      </c>
      <c r="AA171" s="112"/>
    </row>
    <row r="172" spans="1:27" ht="12.75" customHeight="1">
      <c r="A172" s="117"/>
      <c r="B172" s="26" t="s">
        <v>247</v>
      </c>
      <c r="C172" s="117"/>
      <c r="D172" s="118">
        <f>Model2!D176</f>
        <v>0</v>
      </c>
      <c r="E172" s="5" cm="1">
        <f t="array" ref="E172">SUMPRODUCT(--(E$9=Model2!$D$9:$CN$9),Model2!$D176:$CN176)</f>
        <v>-14559.6675</v>
      </c>
      <c r="F172" s="5" cm="1">
        <f t="array" ref="F172">SUMPRODUCT(--(F$9=Model2!$D$9:$CN$9),Model2!$D176:$CN176)</f>
        <v>31545.946249999997</v>
      </c>
      <c r="G172" s="5" cm="1">
        <f t="array" ref="G172">SUMPRODUCT(--(G$9=Model2!$D$9:$CN$9),Model2!$D176:$CN176)</f>
        <v>186118.55515494794</v>
      </c>
      <c r="H172" s="5" cm="1">
        <f t="array" ref="H172">SUMPRODUCT(--(H$9=Model2!$D$9:$CN$9),Model2!$D176:$CN176)</f>
        <v>555637.35532083339</v>
      </c>
      <c r="I172" s="5" cm="1">
        <f t="array" ref="I172">SUMPRODUCT(--(I$9=Model2!$D$9:$CN$9),Model2!$D176:$CN176)</f>
        <v>597609.2596614823</v>
      </c>
      <c r="J172" s="5" cm="1">
        <f t="array" ref="J172">SUMPRODUCT(--(J$9=Model2!$D$9:$CN$9),Model2!$D176:$CN176)</f>
        <v>581849.59216148232</v>
      </c>
      <c r="K172" s="5" cm="1">
        <f t="array" ref="K172">SUMPRODUCT(--(K$9=Model2!$D$9:$CN$9),Model2!$D176:$CN176)</f>
        <v>566089.92466148234</v>
      </c>
      <c r="L172" s="5" cm="1">
        <f t="array" ref="L172">SUMPRODUCT(--(L$9=Model2!$D$9:$CN$9),Model2!$D176:$CN176)</f>
        <v>550330.25716148235</v>
      </c>
      <c r="M172" s="5" cm="1">
        <f t="array" ref="M172">SUMPRODUCT(--(M$9=Model2!$D$9:$CN$9),Model2!$D176:$CN176)</f>
        <v>534570.58966148237</v>
      </c>
      <c r="N172" s="5" cm="1">
        <f t="array" ref="N172">SUMPRODUCT(--(N$9=Model2!$D$9:$CN$9),Model2!$D176:$CN176)</f>
        <v>518810.92216148239</v>
      </c>
      <c r="O172" s="5" cm="1">
        <f t="array" ref="O172">SUMPRODUCT(--(O$9=Model2!$D$9:$CN$9),Model2!$D176:$CN176)</f>
        <v>503051.25466148241</v>
      </c>
      <c r="P172" s="5" cm="1">
        <f t="array" ref="P172">SUMPRODUCT(--(P$9=Model2!$D$9:$CN$9),Model2!$D176:$CN176)</f>
        <v>487291.58716148243</v>
      </c>
      <c r="Q172" s="5" cm="1">
        <f t="array" ref="Q172">SUMPRODUCT(--(Q$9=Model2!$D$9:$CN$9),Model2!$D176:$CN176)</f>
        <v>471531.91966148245</v>
      </c>
      <c r="R172" s="5" cm="1">
        <f t="array" ref="R172">SUMPRODUCT(--(R$9=Model2!$D$9:$CN$9),Model2!$D176:$CN176)</f>
        <v>455772.25216148247</v>
      </c>
      <c r="S172" s="5" cm="1">
        <f t="array" ref="S172">SUMPRODUCT(--(S$9=Model2!$D$9:$CN$9),Model2!$D176:$CN176)</f>
        <v>440012.58466148248</v>
      </c>
      <c r="T172" s="5" cm="1">
        <f t="array" ref="T172">SUMPRODUCT(--(T$9=Model2!$D$9:$CN$9),Model2!$D176:$CN176)</f>
        <v>424252.9171614825</v>
      </c>
      <c r="U172" s="5" cm="1">
        <f t="array" ref="U172">SUMPRODUCT(--(U$9=Model2!$D$9:$CN$9),Model2!$D176:$CN176)</f>
        <v>408493.24966148252</v>
      </c>
      <c r="V172" s="5" cm="1">
        <f t="array" ref="V172">SUMPRODUCT(--(V$9=Model2!$D$9:$CN$9),Model2!$D176:$CN176)</f>
        <v>392733.58216148254</v>
      </c>
      <c r="W172" s="5" cm="1">
        <f t="array" ref="W172">SUMPRODUCT(--(W$9=Model2!$D$9:$CN$9),Model2!$D176:$CN176)</f>
        <v>376973.91466148256</v>
      </c>
      <c r="X172" s="5" cm="1">
        <f t="array" ref="X172">SUMPRODUCT(--(X$9=Model2!$D$9:$CN$9),Model2!$D176:$CN176)</f>
        <v>361214.24716148258</v>
      </c>
      <c r="Y172" s="5" cm="1">
        <f t="array" ref="Y172">SUMPRODUCT(--(Y$9=Model2!$D$9:$CN$9),Model2!$D176:$CN176)</f>
        <v>345454.5796614826</v>
      </c>
      <c r="Z172" s="5" cm="1">
        <f t="array" ref="Z172">SUMPRODUCT(--(Z$9=Model2!$D$9:$CN$9),Model2!$D176:$CN176)</f>
        <v>329694.91216148261</v>
      </c>
      <c r="AA172" s="5"/>
    </row>
    <row r="173" spans="1:27" ht="12.75" customHeight="1">
      <c r="A173" s="112"/>
      <c r="B173" s="119" t="s">
        <v>248</v>
      </c>
      <c r="C173" s="120"/>
      <c r="D173" s="121">
        <f>Model2!D177</f>
        <v>145596.67499999999</v>
      </c>
      <c r="E173" s="120" cm="1">
        <f t="array" ref="E173">SUMPRODUCT(--(E$9=Model2!$D$9:$CN$9),Model2!$D177:$CN177)</f>
        <v>129837.00749999999</v>
      </c>
      <c r="F173" s="120" cm="1">
        <f t="array" ref="F173">SUMPRODUCT(--(F$9=Model2!$D$9:$CN$9),Model2!$D177:$CN177)</f>
        <v>114077.33999999998</v>
      </c>
      <c r="G173" s="120" cm="1">
        <f t="array" ref="G173">SUMPRODUCT(--(G$9=Model2!$D$9:$CN$9),Model2!$D177:$CN177)</f>
        <v>226321.41593750007</v>
      </c>
      <c r="H173" s="120" cm="1">
        <f t="array" ref="H173">SUMPRODUCT(--(H$9=Model2!$D$9:$CN$9),Model2!$D177:$CN177)</f>
        <v>648322.41793750017</v>
      </c>
      <c r="I173" s="120" cm="1">
        <f t="array" ref="I173">SUMPRODUCT(--(I$9=Model2!$D$9:$CN$9),Model2!$D177:$CN177)</f>
        <v>685383.95223293663</v>
      </c>
      <c r="J173" s="120" cm="1">
        <f t="array" ref="J173">SUMPRODUCT(--(J$9=Model2!$D$9:$CN$9),Model2!$D177:$CN177)</f>
        <v>666891.69762442249</v>
      </c>
      <c r="K173" s="120" cm="1">
        <f t="array" ref="K173">SUMPRODUCT(--(K$9=Model2!$D$9:$CN$9),Model2!$D177:$CN177)</f>
        <v>608116.43909523112</v>
      </c>
      <c r="L173" s="120" cm="1">
        <f t="array" ref="L173">SUMPRODUCT(--(L$9=Model2!$D$9:$CN$9),Model2!$D177:$CN177)</f>
        <v>611990.62734717014</v>
      </c>
      <c r="M173" s="120" cm="1">
        <f t="array" ref="M173">SUMPRODUCT(--(M$9=Model2!$D$9:$CN$9),Model2!$D177:$CN177)</f>
        <v>622366.93218574277</v>
      </c>
      <c r="N173" s="120" cm="1">
        <f t="array" ref="N173">SUMPRODUCT(--(N$9=Model2!$D$9:$CN$9),Model2!$D177:$CN177)</f>
        <v>633899.26368455519</v>
      </c>
      <c r="O173" s="120" cm="1">
        <f t="array" ref="O173">SUMPRODUCT(--(O$9=Model2!$D$9:$CN$9),Model2!$D177:$CN177)</f>
        <v>667686.55712619354</v>
      </c>
      <c r="P173" s="120" cm="1">
        <f t="array" ref="P173">SUMPRODUCT(--(P$9=Model2!$D$9:$CN$9),Model2!$D177:$CN177)</f>
        <v>653458.09059709485</v>
      </c>
      <c r="Q173" s="120" cm="1">
        <f t="array" ref="Q173">SUMPRODUCT(--(Q$9=Model2!$D$9:$CN$9),Model2!$D177:$CN177)</f>
        <v>639455.39337302814</v>
      </c>
      <c r="R173" s="120" cm="1">
        <f t="array" ref="R173">SUMPRODUCT(--(R$9=Model2!$D$9:$CN$9),Model2!$D177:$CN177)</f>
        <v>625260.87494344672</v>
      </c>
      <c r="S173" s="120" cm="1">
        <f t="array" ref="S173">SUMPRODUCT(--(S$9=Model2!$D$9:$CN$9),Model2!$D177:$CN177)</f>
        <v>611084.61396738631</v>
      </c>
      <c r="T173" s="120" cm="1">
        <f t="array" ref="T173">SUMPRODUCT(--(T$9=Model2!$D$9:$CN$9),Model2!$D177:$CN177)</f>
        <v>596927.52331752283</v>
      </c>
      <c r="U173" s="120" cm="1">
        <f t="array" ref="U173">SUMPRODUCT(--(U$9=Model2!$D$9:$CN$9),Model2!$D177:$CN177)</f>
        <v>583044.85666898394</v>
      </c>
      <c r="V173" s="120" cm="1">
        <f t="array" ref="V173">SUMPRODUCT(--(V$9=Model2!$D$9:$CN$9),Model2!$D177:$CN177)</f>
        <v>568929.03014625958</v>
      </c>
      <c r="W173" s="120" cm="1">
        <f t="array" ref="W173">SUMPRODUCT(--(W$9=Model2!$D$9:$CN$9),Model2!$D177:$CN177)</f>
        <v>554835.39567239897</v>
      </c>
      <c r="X173" s="120" cm="1">
        <f t="array" ref="X173">SUMPRODUCT(--(X$9=Model2!$D$9:$CN$9),Model2!$D177:$CN177)</f>
        <v>540765.06284984527</v>
      </c>
      <c r="Y173" s="120" cm="1">
        <f t="array" ref="Y173">SUMPRODUCT(--(Y$9=Model2!$D$9:$CN$9),Model2!$D177:$CN177)</f>
        <v>527028.29411605163</v>
      </c>
      <c r="Z173" s="120" cm="1">
        <f t="array" ref="Z173">SUMPRODUCT(--(Z$9=Model2!$D$9:$CN$9),Model2!$D177:$CN177)</f>
        <v>513008.11809793615</v>
      </c>
      <c r="AA173" s="120"/>
    </row>
    <row r="174" spans="1:27" ht="12.75" customHeight="1">
      <c r="A174" s="112"/>
      <c r="B174" s="122" t="s">
        <v>249</v>
      </c>
      <c r="C174" s="112"/>
      <c r="D174" s="118">
        <f>Model2!D178</f>
        <v>0</v>
      </c>
      <c r="E174" s="123" cm="1">
        <f t="array" ref="E174">SUMPRODUCT(--(E$9=Model2!$D$9:$CN$9),Model2!$D178:$CN178)</f>
        <v>0</v>
      </c>
      <c r="F174" s="123" cm="1">
        <f t="array" ref="F174">SUMPRODUCT(--(F$9=Model2!$D$9:$CN$9),Model2!$D178:$CN178)</f>
        <v>0</v>
      </c>
      <c r="G174" s="123" cm="1">
        <f t="array" ref="G174">SUMPRODUCT(--(G$9=Model2!$D$9:$CN$9),Model2!$D178:$CN178)</f>
        <v>0</v>
      </c>
      <c r="H174" s="123" cm="1">
        <f t="array" ref="H174">SUMPRODUCT(--(H$9=Model2!$D$9:$CN$9),Model2!$D178:$CN178)</f>
        <v>0</v>
      </c>
      <c r="I174" s="123" cm="1">
        <f t="array" ref="I174">SUMPRODUCT(--(I$9=Model2!$D$9:$CN$9),Model2!$D178:$CN178)</f>
        <v>0</v>
      </c>
      <c r="J174" s="123" cm="1">
        <f t="array" ref="J174">SUMPRODUCT(--(J$9=Model2!$D$9:$CN$9),Model2!$D178:$CN178)</f>
        <v>0</v>
      </c>
      <c r="K174" s="123" cm="1">
        <f t="array" ref="K174">SUMPRODUCT(--(K$9=Model2!$D$9:$CN$9),Model2!$D178:$CN178)</f>
        <v>0</v>
      </c>
      <c r="L174" s="123" cm="1">
        <f t="array" ref="L174">SUMPRODUCT(--(L$9=Model2!$D$9:$CN$9),Model2!$D178:$CN178)</f>
        <v>0</v>
      </c>
      <c r="M174" s="123" cm="1">
        <f t="array" ref="M174">SUMPRODUCT(--(M$9=Model2!$D$9:$CN$9),Model2!$D178:$CN178)</f>
        <v>0</v>
      </c>
      <c r="N174" s="123" cm="1">
        <f t="array" ref="N174">SUMPRODUCT(--(N$9=Model2!$D$9:$CN$9),Model2!$D178:$CN178)</f>
        <v>0</v>
      </c>
      <c r="O174" s="123" cm="1">
        <f t="array" ref="O174">SUMPRODUCT(--(O$9=Model2!$D$9:$CN$9),Model2!$D178:$CN178)</f>
        <v>0</v>
      </c>
      <c r="P174" s="123" cm="1">
        <f t="array" ref="P174">SUMPRODUCT(--(P$9=Model2!$D$9:$CN$9),Model2!$D178:$CN178)</f>
        <v>0</v>
      </c>
      <c r="Q174" s="123" cm="1">
        <f t="array" ref="Q174">SUMPRODUCT(--(Q$9=Model2!$D$9:$CN$9),Model2!$D178:$CN178)</f>
        <v>0</v>
      </c>
      <c r="R174" s="123" cm="1">
        <f t="array" ref="R174">SUMPRODUCT(--(R$9=Model2!$D$9:$CN$9),Model2!$D178:$CN178)</f>
        <v>0</v>
      </c>
      <c r="S174" s="123" cm="1">
        <f t="array" ref="S174">SUMPRODUCT(--(S$9=Model2!$D$9:$CN$9),Model2!$D178:$CN178)</f>
        <v>0</v>
      </c>
      <c r="T174" s="123" cm="1">
        <f t="array" ref="T174">SUMPRODUCT(--(T$9=Model2!$D$9:$CN$9),Model2!$D178:$CN178)</f>
        <v>0</v>
      </c>
      <c r="U174" s="123" cm="1">
        <f t="array" ref="U174">SUMPRODUCT(--(U$9=Model2!$D$9:$CN$9),Model2!$D178:$CN178)</f>
        <v>0</v>
      </c>
      <c r="V174" s="123" cm="1">
        <f t="array" ref="V174">SUMPRODUCT(--(V$9=Model2!$D$9:$CN$9),Model2!$D178:$CN178)</f>
        <v>0</v>
      </c>
      <c r="W174" s="123" cm="1">
        <f t="array" ref="W174">SUMPRODUCT(--(W$9=Model2!$D$9:$CN$9),Model2!$D178:$CN178)</f>
        <v>0</v>
      </c>
      <c r="X174" s="123" cm="1">
        <f t="array" ref="X174">SUMPRODUCT(--(X$9=Model2!$D$9:$CN$9),Model2!$D178:$CN178)</f>
        <v>0</v>
      </c>
      <c r="Y174" s="123" cm="1">
        <f t="array" ref="Y174">SUMPRODUCT(--(Y$9=Model2!$D$9:$CN$9),Model2!$D178:$CN178)</f>
        <v>0</v>
      </c>
      <c r="Z174" s="123" cm="1">
        <f t="array" ref="Z174">SUMPRODUCT(--(Z$9=Model2!$D$9:$CN$9),Model2!$D178:$CN178)</f>
        <v>0</v>
      </c>
      <c r="AA174" s="123"/>
    </row>
    <row r="175" spans="1:27" ht="12.75" customHeight="1">
      <c r="A175" s="112"/>
      <c r="B175" s="112" t="s">
        <v>250</v>
      </c>
      <c r="C175" s="112"/>
      <c r="D175" s="116">
        <f>Model2!D179</f>
        <v>0</v>
      </c>
      <c r="E175" s="112" cm="1">
        <f t="array" ref="E175">SUMPRODUCT(--(E$9=Model2!$D$9:$CN$9),Model2!$D179:$CN179)</f>
        <v>-2911.9335000000001</v>
      </c>
      <c r="F175" s="112" cm="1">
        <f t="array" ref="F175">SUMPRODUCT(--(F$9=Model2!$D$9:$CN$9),Model2!$D179:$CN179)</f>
        <v>-5823.8669999999993</v>
      </c>
      <c r="G175" s="112" cm="1">
        <f t="array" ref="G175">SUMPRODUCT(--(G$9=Model2!$D$9:$CN$9),Model2!$D179:$CN179)</f>
        <v>-8376.3587085937488</v>
      </c>
      <c r="H175" s="112" cm="1">
        <f t="array" ref="H175">SUMPRODUCT(--(H$9=Model2!$D$9:$CN$9),Model2!$D179:$CN179)</f>
        <v>-7432.7102587499976</v>
      </c>
      <c r="I175" s="112" cm="1">
        <f t="array" ref="I175">SUMPRODUCT(--(I$9=Model2!$D$9:$CN$9),Model2!$D179:$CN179)</f>
        <v>9542.2886278186543</v>
      </c>
      <c r="J175" s="112" cm="1">
        <f t="array" ref="J175">SUMPRODUCT(--(J$9=Model2!$D$9:$CN$9),Model2!$D179:$CN179)</f>
        <v>7063.4503312424886</v>
      </c>
      <c r="K175" s="112" cm="1">
        <f t="array" ref="K175">SUMPRODUCT(--(K$9=Model2!$D$9:$CN$9),Model2!$D179:$CN179)</f>
        <v>4375.6193285195213</v>
      </c>
      <c r="L175" s="112" cm="1">
        <f t="array" ref="L175">SUMPRODUCT(--(L$9=Model2!$D$9:$CN$9),Model2!$D179:$CN179)</f>
        <v>1736.1656869334638</v>
      </c>
      <c r="M175" s="112" cm="1">
        <f t="array" ref="M175">SUMPRODUCT(--(M$9=Model2!$D$9:$CN$9),Model2!$D179:$CN179)</f>
        <v>-717.54698867073967</v>
      </c>
      <c r="N175" s="112" cm="1">
        <f t="array" ref="N175">SUMPRODUCT(--(N$9=Model2!$D$9:$CN$9),Model2!$D179:$CN179)</f>
        <v>-3329.0714447693645</v>
      </c>
      <c r="O175" s="112" cm="1">
        <f t="array" ref="O175">SUMPRODUCT(--(O$9=Model2!$D$9:$CN$9),Model2!$D179:$CN179)</f>
        <v>-5925.5754486729202</v>
      </c>
      <c r="P175" s="112" cm="1">
        <f t="array" ref="P175">SUMPRODUCT(--(P$9=Model2!$D$9:$CN$9),Model2!$D179:$CN179)</f>
        <v>-8506.3079777716521</v>
      </c>
      <c r="Q175" s="112" cm="1">
        <f t="array" ref="Q175">SUMPRODUCT(--(Q$9=Model2!$D$9:$CN$9),Model2!$D179:$CN179)</f>
        <v>-10861.271201838412</v>
      </c>
      <c r="R175" s="112" cm="1">
        <f t="array" ref="R175">SUMPRODUCT(--(R$9=Model2!$D$9:$CN$9),Model2!$D179:$CN179)</f>
        <v>-13408.05563141976</v>
      </c>
      <c r="S175" s="112" cm="1">
        <f t="array" ref="S175">SUMPRODUCT(--(S$9=Model2!$D$9:$CN$9),Model2!$D179:$CN179)</f>
        <v>-15936.582607480181</v>
      </c>
      <c r="T175" s="112" cm="1">
        <f t="array" ref="T175">SUMPRODUCT(--(T$9=Model2!$D$9:$CN$9),Model2!$D179:$CN179)</f>
        <v>-18445.939257343623</v>
      </c>
      <c r="U175" s="112" cm="1">
        <f t="array" ref="U175">SUMPRODUCT(--(U$9=Model2!$D$9:$CN$9),Model2!$D179:$CN179)</f>
        <v>-20680.871905882563</v>
      </c>
      <c r="V175" s="112" cm="1">
        <f t="array" ref="V175">SUMPRODUCT(--(V$9=Model2!$D$9:$CN$9),Model2!$D179:$CN179)</f>
        <v>-23148.964428607018</v>
      </c>
      <c r="W175" s="112" cm="1">
        <f t="array" ref="W175">SUMPRODUCT(--(W$9=Model2!$D$9:$CN$9),Model2!$D179:$CN179)</f>
        <v>-25594.864902467692</v>
      </c>
      <c r="X175" s="112" cm="1">
        <f t="array" ref="X175">SUMPRODUCT(--(X$9=Model2!$D$9:$CN$9),Model2!$D179:$CN179)</f>
        <v>-28017.463725021404</v>
      </c>
      <c r="Y175" s="112" cm="1">
        <f t="array" ref="Y175">SUMPRODUCT(--(Y$9=Model2!$D$9:$CN$9),Model2!$D179:$CN179)</f>
        <v>-30106.498458815156</v>
      </c>
      <c r="Z175" s="112" cm="1">
        <f t="array" ref="Z175">SUMPRODUCT(--(Z$9=Model2!$D$9:$CN$9),Model2!$D179:$CN179)</f>
        <v>-32478.940476930624</v>
      </c>
      <c r="AA175" s="112"/>
    </row>
    <row r="176" spans="1:27" ht="12.75" customHeight="1">
      <c r="A176" s="117"/>
      <c r="B176" s="26" t="s">
        <v>251</v>
      </c>
      <c r="C176" s="117"/>
      <c r="D176" s="118">
        <f>Model2!D180</f>
        <v>0</v>
      </c>
      <c r="E176" s="5" cm="1">
        <f t="array" ref="E176">SUMPRODUCT(--(E$9=Model2!$D$9:$CN$9),Model2!$D180:$CN180)</f>
        <v>0</v>
      </c>
      <c r="F176" s="5" cm="1">
        <f t="array" ref="F176">SUMPRODUCT(--(F$9=Model2!$D$9:$CN$9),Model2!$D180:$CN180)</f>
        <v>0</v>
      </c>
      <c r="G176" s="5" cm="1">
        <f t="array" ref="G176">SUMPRODUCT(--(G$9=Model2!$D$9:$CN$9),Model2!$D180:$CN180)</f>
        <v>0</v>
      </c>
      <c r="H176" s="5" cm="1">
        <f t="array" ref="H176">SUMPRODUCT(--(H$9=Model2!$D$9:$CN$9),Model2!$D180:$CN180)</f>
        <v>0</v>
      </c>
      <c r="I176" s="5" cm="1">
        <f t="array" ref="I176">SUMPRODUCT(--(I$9=Model2!$D$9:$CN$9),Model2!$D180:$CN180)</f>
        <v>11230.999195522209</v>
      </c>
      <c r="J176" s="5" cm="1">
        <f t="array" ref="J176">SUMPRODUCT(--(J$9=Model2!$D$9:$CN$9),Model2!$D180:$CN180)</f>
        <v>11664.094398946043</v>
      </c>
      <c r="K176" s="5" cm="1">
        <f t="array" ref="K176">SUMPRODUCT(--(K$9=Model2!$D$9:$CN$9),Model2!$D180:$CN180)</f>
        <v>11888.196896223075</v>
      </c>
      <c r="L176" s="5" cm="1">
        <f t="array" ref="L176">SUMPRODUCT(--(L$9=Model2!$D$9:$CN$9),Model2!$D180:$CN180)</f>
        <v>12160.676754637017</v>
      </c>
      <c r="M176" s="5" cm="1">
        <f t="array" ref="M176">SUMPRODUCT(--(M$9=Model2!$D$9:$CN$9),Model2!$D180:$CN180)</f>
        <v>12618.897579032813</v>
      </c>
      <c r="N176" s="5" cm="1">
        <f t="array" ref="N176">SUMPRODUCT(--(N$9=Model2!$D$9:$CN$9),Model2!$D180:$CN180)</f>
        <v>12919.306622934188</v>
      </c>
      <c r="O176" s="5" cm="1">
        <f t="array" ref="O176">SUMPRODUCT(--(O$9=Model2!$D$9:$CN$9),Model2!$D180:$CN180)</f>
        <v>13234.736119030633</v>
      </c>
      <c r="P176" s="5" cm="1">
        <f t="array" ref="P176">SUMPRODUCT(--(P$9=Model2!$D$9:$CN$9),Model2!$D180:$CN180)</f>
        <v>13565.9370899319</v>
      </c>
      <c r="Q176" s="5" cm="1">
        <f t="array" ref="Q176">SUMPRODUCT(--(Q$9=Model2!$D$9:$CN$9),Model2!$D180:$CN180)</f>
        <v>14122.90736586514</v>
      </c>
      <c r="R176" s="5" cm="1">
        <f t="array" ref="R176">SUMPRODUCT(--(R$9=Model2!$D$9:$CN$9),Model2!$D180:$CN180)</f>
        <v>14488.05643628379</v>
      </c>
      <c r="S176" s="5" cm="1">
        <f t="array" ref="S176">SUMPRODUCT(--(S$9=Model2!$D$9:$CN$9),Model2!$D180:$CN180)</f>
        <v>14871.462960223369</v>
      </c>
      <c r="T176" s="5" cm="1">
        <f t="array" ref="T176">SUMPRODUCT(--(T$9=Model2!$D$9:$CN$9),Model2!$D180:$CN180)</f>
        <v>15274.039810359933</v>
      </c>
      <c r="U176" s="5" cm="1">
        <f t="array" ref="U176">SUMPRODUCT(--(U$9=Model2!$D$9:$CN$9),Model2!$D180:$CN180)</f>
        <v>15951.040661821007</v>
      </c>
      <c r="V176" s="5" cm="1">
        <f t="array" ref="V176">SUMPRODUCT(--(V$9=Model2!$D$9:$CN$9),Model2!$D180:$CN180)</f>
        <v>16394.881639096566</v>
      </c>
      <c r="W176" s="5" cm="1">
        <f t="array" ref="W176">SUMPRODUCT(--(W$9=Model2!$D$9:$CN$9),Model2!$D180:$CN180)</f>
        <v>16860.914665235905</v>
      </c>
      <c r="X176" s="5" cm="1">
        <f t="array" ref="X176">SUMPRODUCT(--(X$9=Model2!$D$9:$CN$9),Model2!$D180:$CN180)</f>
        <v>17350.249342682207</v>
      </c>
      <c r="Y176" s="5" cm="1">
        <f t="array" ref="Y176">SUMPRODUCT(--(Y$9=Model2!$D$9:$CN$9),Model2!$D180:$CN180)</f>
        <v>18173.148108888468</v>
      </c>
      <c r="Z176" s="5" cm="1">
        <f t="array" ref="Z176">SUMPRODUCT(--(Z$9=Model2!$D$9:$CN$9),Model2!$D180:$CN180)</f>
        <v>18712.639590773015</v>
      </c>
      <c r="AA176" s="5"/>
    </row>
    <row r="177" spans="1:27" ht="12.75" customHeight="1">
      <c r="A177" s="117"/>
      <c r="B177" s="26" t="s">
        <v>631</v>
      </c>
      <c r="C177" s="117"/>
      <c r="D177" s="118">
        <f>Model2!D181</f>
        <v>0</v>
      </c>
      <c r="E177" s="5" cm="1">
        <f t="array" ref="E177">SUMPRODUCT(--(E$9=Model2!$D$9:$CN$9),Model2!$D181:$CN181)</f>
        <v>-2911.9335000000001</v>
      </c>
      <c r="F177" s="5" cm="1">
        <f t="array" ref="F177">SUMPRODUCT(--(F$9=Model2!$D$9:$CN$9),Model2!$D181:$CN181)</f>
        <v>-5823.8669999999993</v>
      </c>
      <c r="G177" s="5" cm="1">
        <f t="array" ref="G177">SUMPRODUCT(--(G$9=Model2!$D$9:$CN$9),Model2!$D181:$CN181)</f>
        <v>-8376.3587085937488</v>
      </c>
      <c r="H177" s="5" cm="1">
        <f t="array" ref="H177">SUMPRODUCT(--(H$9=Model2!$D$9:$CN$9),Model2!$D181:$CN181)</f>
        <v>-7432.7102587499976</v>
      </c>
      <c r="I177" s="5" cm="1">
        <f t="array" ref="I177">SUMPRODUCT(--(I$9=Model2!$D$9:$CN$9),Model2!$D181:$CN181)</f>
        <v>-1688.7105677035549</v>
      </c>
      <c r="J177" s="5" cm="1">
        <f t="array" ref="J177">SUMPRODUCT(--(J$9=Model2!$D$9:$CN$9),Model2!$D181:$CN181)</f>
        <v>-4600.6440677035544</v>
      </c>
      <c r="K177" s="5" cm="1">
        <f t="array" ref="K177">SUMPRODUCT(--(K$9=Model2!$D$9:$CN$9),Model2!$D181:$CN181)</f>
        <v>-7512.5775677035535</v>
      </c>
      <c r="L177" s="5" cm="1">
        <f t="array" ref="L177">SUMPRODUCT(--(L$9=Model2!$D$9:$CN$9),Model2!$D181:$CN181)</f>
        <v>-10424.511067703554</v>
      </c>
      <c r="M177" s="5" cm="1">
        <f t="array" ref="M177">SUMPRODUCT(--(M$9=Model2!$D$9:$CN$9),Model2!$D181:$CN181)</f>
        <v>-13336.444567703553</v>
      </c>
      <c r="N177" s="5" cm="1">
        <f t="array" ref="N177">SUMPRODUCT(--(N$9=Model2!$D$9:$CN$9),Model2!$D181:$CN181)</f>
        <v>-16248.378067703552</v>
      </c>
      <c r="O177" s="5" cm="1">
        <f t="array" ref="O177">SUMPRODUCT(--(O$9=Model2!$D$9:$CN$9),Model2!$D181:$CN181)</f>
        <v>-19160.311567703553</v>
      </c>
      <c r="P177" s="5" cm="1">
        <f t="array" ref="P177">SUMPRODUCT(--(P$9=Model2!$D$9:$CN$9),Model2!$D181:$CN181)</f>
        <v>-22072.245067703552</v>
      </c>
      <c r="Q177" s="5" cm="1">
        <f t="array" ref="Q177">SUMPRODUCT(--(Q$9=Model2!$D$9:$CN$9),Model2!$D181:$CN181)</f>
        <v>-24984.178567703551</v>
      </c>
      <c r="R177" s="5" cm="1">
        <f t="array" ref="R177">SUMPRODUCT(--(R$9=Model2!$D$9:$CN$9),Model2!$D181:$CN181)</f>
        <v>-27896.112067703551</v>
      </c>
      <c r="S177" s="5" cm="1">
        <f t="array" ref="S177">SUMPRODUCT(--(S$9=Model2!$D$9:$CN$9),Model2!$D181:$CN181)</f>
        <v>-30808.04556770355</v>
      </c>
      <c r="T177" s="5" cm="1">
        <f t="array" ref="T177">SUMPRODUCT(--(T$9=Model2!$D$9:$CN$9),Model2!$D181:$CN181)</f>
        <v>-33719.979067703556</v>
      </c>
      <c r="U177" s="5" cm="1">
        <f t="array" ref="U177">SUMPRODUCT(--(U$9=Model2!$D$9:$CN$9),Model2!$D181:$CN181)</f>
        <v>-36631.91256770357</v>
      </c>
      <c r="V177" s="5" cm="1">
        <f t="array" ref="V177">SUMPRODUCT(--(V$9=Model2!$D$9:$CN$9),Model2!$D181:$CN181)</f>
        <v>-39543.846067703584</v>
      </c>
      <c r="W177" s="5" cm="1">
        <f t="array" ref="W177">SUMPRODUCT(--(W$9=Model2!$D$9:$CN$9),Model2!$D181:$CN181)</f>
        <v>-42455.779567703597</v>
      </c>
      <c r="X177" s="5" cm="1">
        <f t="array" ref="X177">SUMPRODUCT(--(X$9=Model2!$D$9:$CN$9),Model2!$D181:$CN181)</f>
        <v>-45367.713067703611</v>
      </c>
      <c r="Y177" s="5" cm="1">
        <f t="array" ref="Y177">SUMPRODUCT(--(Y$9=Model2!$D$9:$CN$9),Model2!$D181:$CN181)</f>
        <v>-48279.646567703625</v>
      </c>
      <c r="Z177" s="5" cm="1">
        <f t="array" ref="Z177">SUMPRODUCT(--(Z$9=Model2!$D$9:$CN$9),Model2!$D181:$CN181)</f>
        <v>-51191.580067703639</v>
      </c>
      <c r="AA177" s="5"/>
    </row>
    <row r="178" spans="1:27" ht="12.75" customHeight="1">
      <c r="A178" s="112"/>
      <c r="B178" s="112" t="s">
        <v>252</v>
      </c>
      <c r="C178" s="112"/>
      <c r="D178" s="116">
        <f>Model2!D182</f>
        <v>0</v>
      </c>
      <c r="E178" s="112" cm="1">
        <f t="array" ref="E178">SUMPRODUCT(--(E$9=Model2!$D$9:$CN$9),Model2!$D182:$CN182)</f>
        <v>0</v>
      </c>
      <c r="F178" s="112" cm="1">
        <f t="array" ref="F178">SUMPRODUCT(--(F$9=Model2!$D$9:$CN$9),Model2!$D182:$CN182)</f>
        <v>0</v>
      </c>
      <c r="G178" s="112" cm="1">
        <f t="array" ref="G178">SUMPRODUCT(--(G$9=Model2!$D$9:$CN$9),Model2!$D182:$CN182)</f>
        <v>128003.74343750003</v>
      </c>
      <c r="H178" s="112" cm="1">
        <f t="array" ref="H178">SUMPRODUCT(--(H$9=Model2!$D$9:$CN$9),Model2!$D182:$CN182)</f>
        <v>565764.41293750005</v>
      </c>
      <c r="I178" s="112" cm="1">
        <f t="array" ref="I178">SUMPRODUCT(--(I$9=Model2!$D$9:$CN$9),Model2!$D182:$CN182)</f>
        <v>566069.05759806663</v>
      </c>
      <c r="J178" s="112" cm="1">
        <f t="array" ref="J178">SUMPRODUCT(--(J$9=Model2!$D$9:$CN$9),Model2!$D182:$CN182)</f>
        <v>483761.05244654353</v>
      </c>
      <c r="K178" s="112" cm="1">
        <f t="array" ref="K178">SUMPRODUCT(--(K$9=Model2!$D$9:$CN$9),Model2!$D182:$CN182)</f>
        <v>394765.78830815322</v>
      </c>
      <c r="L178" s="112" cm="1">
        <f t="array" ref="L178">SUMPRODUCT(--(L$9=Model2!$D$9:$CN$9),Model2!$D182:$CN182)</f>
        <v>295470.50912407064</v>
      </c>
      <c r="M178" s="112" cm="1">
        <f t="array" ref="M178">SUMPRODUCT(--(M$9=Model2!$D$9:$CN$9),Model2!$D182:$CN182)</f>
        <v>184294.72410902078</v>
      </c>
      <c r="N178" s="112" cm="1">
        <f t="array" ref="N178">SUMPRODUCT(--(N$9=Model2!$D$9:$CN$9),Model2!$D182:$CN182)</f>
        <v>58621.49598729932</v>
      </c>
      <c r="O178" s="112" cm="1">
        <f t="array" ref="O178">SUMPRODUCT(--(O$9=Model2!$D$9:$CN$9),Model2!$D182:$CN182)</f>
        <v>0</v>
      </c>
      <c r="P178" s="112" cm="1">
        <f t="array" ref="P178">SUMPRODUCT(--(P$9=Model2!$D$9:$CN$9),Model2!$D182:$CN182)</f>
        <v>0</v>
      </c>
      <c r="Q178" s="112" cm="1">
        <f t="array" ref="Q178">SUMPRODUCT(--(Q$9=Model2!$D$9:$CN$9),Model2!$D182:$CN182)</f>
        <v>0</v>
      </c>
      <c r="R178" s="112" cm="1">
        <f t="array" ref="R178">SUMPRODUCT(--(R$9=Model2!$D$9:$CN$9),Model2!$D182:$CN182)</f>
        <v>0</v>
      </c>
      <c r="S178" s="112" cm="1">
        <f t="array" ref="S178">SUMPRODUCT(--(S$9=Model2!$D$9:$CN$9),Model2!$D182:$CN182)</f>
        <v>0</v>
      </c>
      <c r="T178" s="112" cm="1">
        <f t="array" ref="T178">SUMPRODUCT(--(T$9=Model2!$D$9:$CN$9),Model2!$D182:$CN182)</f>
        <v>0</v>
      </c>
      <c r="U178" s="112" cm="1">
        <f t="array" ref="U178">SUMPRODUCT(--(U$9=Model2!$D$9:$CN$9),Model2!$D182:$CN182)</f>
        <v>0</v>
      </c>
      <c r="V178" s="112" cm="1">
        <f t="array" ref="V178">SUMPRODUCT(--(V$9=Model2!$D$9:$CN$9),Model2!$D182:$CN182)</f>
        <v>0</v>
      </c>
      <c r="W178" s="112" cm="1">
        <f t="array" ref="W178">SUMPRODUCT(--(W$9=Model2!$D$9:$CN$9),Model2!$D182:$CN182)</f>
        <v>0</v>
      </c>
      <c r="X178" s="112" cm="1">
        <f t="array" ref="X178">SUMPRODUCT(--(X$9=Model2!$D$9:$CN$9),Model2!$D182:$CN182)</f>
        <v>0</v>
      </c>
      <c r="Y178" s="112" cm="1">
        <f t="array" ref="Y178">SUMPRODUCT(--(Y$9=Model2!$D$9:$CN$9),Model2!$D182:$CN182)</f>
        <v>0</v>
      </c>
      <c r="Z178" s="112" cm="1">
        <f t="array" ref="Z178">SUMPRODUCT(--(Z$9=Model2!$D$9:$CN$9),Model2!$D182:$CN182)</f>
        <v>0</v>
      </c>
      <c r="AA178" s="112"/>
    </row>
    <row r="179" spans="1:27" ht="12.75" customHeight="1">
      <c r="A179" s="117"/>
      <c r="B179" s="26" t="s">
        <v>253</v>
      </c>
      <c r="C179" s="117"/>
      <c r="D179" s="118">
        <f>Model2!D183</f>
        <v>0</v>
      </c>
      <c r="E179" s="5" cm="1">
        <f t="array" ref="E179">SUMPRODUCT(--(E$9=Model2!$D$9:$CN$9),Model2!$D183:$CN183)</f>
        <v>0</v>
      </c>
      <c r="F179" s="5" cm="1">
        <f t="array" ref="F179">SUMPRODUCT(--(F$9=Model2!$D$9:$CN$9),Model2!$D183:$CN183)</f>
        <v>0</v>
      </c>
      <c r="G179" s="5" cm="1">
        <f t="array" ref="G179">SUMPRODUCT(--(G$9=Model2!$D$9:$CN$9),Model2!$D183:$CN183)</f>
        <v>128003.74343750003</v>
      </c>
      <c r="H179" s="5" cm="1">
        <f t="array" ref="H179">SUMPRODUCT(--(H$9=Model2!$D$9:$CN$9),Model2!$D183:$CN183)</f>
        <v>565764.41293750005</v>
      </c>
      <c r="I179" s="5" cm="1">
        <f t="array" ref="I179">SUMPRODUCT(--(I$9=Model2!$D$9:$CN$9),Model2!$D183:$CN183)</f>
        <v>566069.05759806663</v>
      </c>
      <c r="J179" s="5" cm="1">
        <f t="array" ref="J179">SUMPRODUCT(--(J$9=Model2!$D$9:$CN$9),Model2!$D183:$CN183)</f>
        <v>483761.05244654353</v>
      </c>
      <c r="K179" s="5" cm="1">
        <f t="array" ref="K179">SUMPRODUCT(--(K$9=Model2!$D$9:$CN$9),Model2!$D183:$CN183)</f>
        <v>394765.78830815322</v>
      </c>
      <c r="L179" s="5" cm="1">
        <f t="array" ref="L179">SUMPRODUCT(--(L$9=Model2!$D$9:$CN$9),Model2!$D183:$CN183)</f>
        <v>295470.50912407064</v>
      </c>
      <c r="M179" s="5" cm="1">
        <f t="array" ref="M179">SUMPRODUCT(--(M$9=Model2!$D$9:$CN$9),Model2!$D183:$CN183)</f>
        <v>184294.72410902078</v>
      </c>
      <c r="N179" s="5" cm="1">
        <f t="array" ref="N179">SUMPRODUCT(--(N$9=Model2!$D$9:$CN$9),Model2!$D183:$CN183)</f>
        <v>58621.49598729932</v>
      </c>
      <c r="O179" s="5" cm="1">
        <f t="array" ref="O179">SUMPRODUCT(--(O$9=Model2!$D$9:$CN$9),Model2!$D183:$CN183)</f>
        <v>0</v>
      </c>
      <c r="P179" s="5" cm="1">
        <f t="array" ref="P179">SUMPRODUCT(--(P$9=Model2!$D$9:$CN$9),Model2!$D183:$CN183)</f>
        <v>0</v>
      </c>
      <c r="Q179" s="5" cm="1">
        <f t="array" ref="Q179">SUMPRODUCT(--(Q$9=Model2!$D$9:$CN$9),Model2!$D183:$CN183)</f>
        <v>0</v>
      </c>
      <c r="R179" s="5" cm="1">
        <f t="array" ref="R179">SUMPRODUCT(--(R$9=Model2!$D$9:$CN$9),Model2!$D183:$CN183)</f>
        <v>0</v>
      </c>
      <c r="S179" s="5" cm="1">
        <f t="array" ref="S179">SUMPRODUCT(--(S$9=Model2!$D$9:$CN$9),Model2!$D183:$CN183)</f>
        <v>0</v>
      </c>
      <c r="T179" s="5" cm="1">
        <f t="array" ref="T179">SUMPRODUCT(--(T$9=Model2!$D$9:$CN$9),Model2!$D183:$CN183)</f>
        <v>0</v>
      </c>
      <c r="U179" s="5" cm="1">
        <f t="array" ref="U179">SUMPRODUCT(--(U$9=Model2!$D$9:$CN$9),Model2!$D183:$CN183)</f>
        <v>0</v>
      </c>
      <c r="V179" s="5" cm="1">
        <f t="array" ref="V179">SUMPRODUCT(--(V$9=Model2!$D$9:$CN$9),Model2!$D183:$CN183)</f>
        <v>0</v>
      </c>
      <c r="W179" s="5" cm="1">
        <f t="array" ref="W179">SUMPRODUCT(--(W$9=Model2!$D$9:$CN$9),Model2!$D183:$CN183)</f>
        <v>0</v>
      </c>
      <c r="X179" s="5" cm="1">
        <f t="array" ref="X179">SUMPRODUCT(--(X$9=Model2!$D$9:$CN$9),Model2!$D183:$CN183)</f>
        <v>0</v>
      </c>
      <c r="Y179" s="5" cm="1">
        <f t="array" ref="Y179">SUMPRODUCT(--(Y$9=Model2!$D$9:$CN$9),Model2!$D183:$CN183)</f>
        <v>0</v>
      </c>
      <c r="Z179" s="5" cm="1">
        <f t="array" ref="Z179">SUMPRODUCT(--(Z$9=Model2!$D$9:$CN$9),Model2!$D183:$CN183)</f>
        <v>0</v>
      </c>
      <c r="AA179" s="5"/>
    </row>
    <row r="180" spans="1:27" ht="12.75" customHeight="1">
      <c r="A180" s="112"/>
      <c r="B180" s="112" t="s">
        <v>254</v>
      </c>
      <c r="C180" s="112"/>
      <c r="D180" s="116">
        <f>Model2!D184</f>
        <v>145596.67499999999</v>
      </c>
      <c r="E180" s="112" cm="1">
        <f t="array" ref="E180">SUMPRODUCT(--(E$9=Model2!$D$9:$CN$9),Model2!$D184:$CN184)</f>
        <v>132748.94099999999</v>
      </c>
      <c r="F180" s="112" cm="1">
        <f t="array" ref="F180">SUMPRODUCT(--(F$9=Model2!$D$9:$CN$9),Model2!$D184:$CN184)</f>
        <v>119901.20699999999</v>
      </c>
      <c r="G180" s="112" cm="1">
        <f t="array" ref="G180">SUMPRODUCT(--(G$9=Model2!$D$9:$CN$9),Model2!$D184:$CN184)</f>
        <v>106694.03120859375</v>
      </c>
      <c r="H180" s="112" cm="1">
        <f t="array" ref="H180">SUMPRODUCT(--(H$9=Model2!$D$9:$CN$9),Model2!$D184:$CN184)</f>
        <v>89990.715258750002</v>
      </c>
      <c r="I180" s="112" cm="1">
        <f t="array" ref="I180">SUMPRODUCT(--(I$9=Model2!$D$9:$CN$9),Model2!$D184:$CN184)</f>
        <v>109772.60600705119</v>
      </c>
      <c r="J180" s="112" cm="1">
        <f t="array" ref="J180">SUMPRODUCT(--(J$9=Model2!$D$9:$CN$9),Model2!$D184:$CN184)</f>
        <v>176067.19484663632</v>
      </c>
      <c r="K180" s="112" cm="1">
        <f t="array" ref="K180">SUMPRODUCT(--(K$9=Model2!$D$9:$CN$9),Model2!$D184:$CN184)</f>
        <v>208975.03145855822</v>
      </c>
      <c r="L180" s="112" cm="1">
        <f t="array" ref="L180">SUMPRODUCT(--(L$9=Model2!$D$9:$CN$9),Model2!$D184:$CN184)</f>
        <v>314783.95253616577</v>
      </c>
      <c r="M180" s="112" cm="1">
        <f t="array" ref="M180">SUMPRODUCT(--(M$9=Model2!$D$9:$CN$9),Model2!$D184:$CN184)</f>
        <v>438789.75506539247</v>
      </c>
      <c r="N180" s="112" cm="1">
        <f t="array" ref="N180">SUMPRODUCT(--(N$9=Model2!$D$9:$CN$9),Model2!$D184:$CN184)</f>
        <v>578606.83914202498</v>
      </c>
      <c r="O180" s="112" cm="1">
        <f t="array" ref="O180">SUMPRODUCT(--(O$9=Model2!$D$9:$CN$9),Model2!$D184:$CN184)</f>
        <v>673612.13257486606</v>
      </c>
      <c r="P180" s="112" cm="1">
        <f t="array" ref="P180">SUMPRODUCT(--(P$9=Model2!$D$9:$CN$9),Model2!$D184:$CN184)</f>
        <v>661964.39857486612</v>
      </c>
      <c r="Q180" s="112" cm="1">
        <f t="array" ref="Q180">SUMPRODUCT(--(Q$9=Model2!$D$9:$CN$9),Model2!$D184:$CN184)</f>
        <v>650316.66457486618</v>
      </c>
      <c r="R180" s="112" cm="1">
        <f t="array" ref="R180">SUMPRODUCT(--(R$9=Model2!$D$9:$CN$9),Model2!$D184:$CN184)</f>
        <v>638668.93057486624</v>
      </c>
      <c r="S180" s="112" cm="1">
        <f t="array" ref="S180">SUMPRODUCT(--(S$9=Model2!$D$9:$CN$9),Model2!$D184:$CN184)</f>
        <v>627021.19657486631</v>
      </c>
      <c r="T180" s="112" cm="1">
        <f t="array" ref="T180">SUMPRODUCT(--(T$9=Model2!$D$9:$CN$9),Model2!$D184:$CN184)</f>
        <v>615373.46257486637</v>
      </c>
      <c r="U180" s="112" cm="1">
        <f t="array" ref="U180">SUMPRODUCT(--(U$9=Model2!$D$9:$CN$9),Model2!$D184:$CN184)</f>
        <v>603725.72857486643</v>
      </c>
      <c r="V180" s="112" cm="1">
        <f t="array" ref="V180">SUMPRODUCT(--(V$9=Model2!$D$9:$CN$9),Model2!$D184:$CN184)</f>
        <v>592077.99457486649</v>
      </c>
      <c r="W180" s="112" cm="1">
        <f t="array" ref="W180">SUMPRODUCT(--(W$9=Model2!$D$9:$CN$9),Model2!$D184:$CN184)</f>
        <v>580430.26057486655</v>
      </c>
      <c r="X180" s="112" cm="1">
        <f t="array" ref="X180">SUMPRODUCT(--(X$9=Model2!$D$9:$CN$9),Model2!$D184:$CN184)</f>
        <v>568782.52657486661</v>
      </c>
      <c r="Y180" s="112" cm="1">
        <f t="array" ref="Y180">SUMPRODUCT(--(Y$9=Model2!$D$9:$CN$9),Model2!$D184:$CN184)</f>
        <v>557134.79257486679</v>
      </c>
      <c r="Z180" s="112" cm="1">
        <f t="array" ref="Z180">SUMPRODUCT(--(Z$9=Model2!$D$9:$CN$9),Model2!$D184:$CN184)</f>
        <v>545487.05857486674</v>
      </c>
      <c r="AA180" s="112"/>
    </row>
    <row r="181" spans="1:27" ht="12.75" customHeight="1">
      <c r="A181" s="117"/>
      <c r="B181" s="26" t="s">
        <v>255</v>
      </c>
      <c r="C181" s="117"/>
      <c r="D181" s="118">
        <f>Model2!D185</f>
        <v>0</v>
      </c>
      <c r="E181" s="5" cm="1">
        <f t="array" ref="E181">SUMPRODUCT(--(E$9=Model2!$D$9:$CN$9),Model2!$D185:$CN185)</f>
        <v>-12847.734</v>
      </c>
      <c r="F181" s="5" cm="1">
        <f t="array" ref="F181">SUMPRODUCT(--(F$9=Model2!$D$9:$CN$9),Model2!$D185:$CN185)</f>
        <v>-25695.467999999997</v>
      </c>
      <c r="G181" s="5" cm="1">
        <f t="array" ref="G181">SUMPRODUCT(--(G$9=Model2!$D$9:$CN$9),Model2!$D185:$CN185)</f>
        <v>-38902.643791406241</v>
      </c>
      <c r="H181" s="5" cm="1">
        <f t="array" ref="H181">SUMPRODUCT(--(H$9=Model2!$D$9:$CN$9),Model2!$D185:$CN185)</f>
        <v>-55605.959741249986</v>
      </c>
      <c r="I181" s="5" cm="1">
        <f t="array" ref="I181">SUMPRODUCT(--(I$9=Model2!$D$9:$CN$9),Model2!$D185:$CN185)</f>
        <v>-35824.0689929488</v>
      </c>
      <c r="J181" s="5" cm="1">
        <f t="array" ref="J181">SUMPRODUCT(--(J$9=Model2!$D$9:$CN$9),Model2!$D185:$CN185)</f>
        <v>30470.519846636351</v>
      </c>
      <c r="K181" s="5" cm="1">
        <f t="array" ref="K181">SUMPRODUCT(--(K$9=Model2!$D$9:$CN$9),Model2!$D185:$CN185)</f>
        <v>63378.35645855825</v>
      </c>
      <c r="L181" s="5" cm="1">
        <f t="array" ref="L181">SUMPRODUCT(--(L$9=Model2!$D$9:$CN$9),Model2!$D185:$CN185)</f>
        <v>169187.27753616578</v>
      </c>
      <c r="M181" s="5" cm="1">
        <f t="array" ref="M181">SUMPRODUCT(--(M$9=Model2!$D$9:$CN$9),Model2!$D185:$CN185)</f>
        <v>293193.08006539248</v>
      </c>
      <c r="N181" s="5" cm="1">
        <f t="array" ref="N181">SUMPRODUCT(--(N$9=Model2!$D$9:$CN$9),Model2!$D185:$CN185)</f>
        <v>433010.16414202499</v>
      </c>
      <c r="O181" s="5" cm="1">
        <f t="array" ref="O181">SUMPRODUCT(--(O$9=Model2!$D$9:$CN$9),Model2!$D185:$CN185)</f>
        <v>528015.45757486601</v>
      </c>
      <c r="P181" s="5" cm="1">
        <f t="array" ref="P181">SUMPRODUCT(--(P$9=Model2!$D$9:$CN$9),Model2!$D185:$CN185)</f>
        <v>516367.72357486608</v>
      </c>
      <c r="Q181" s="5" cm="1">
        <f t="array" ref="Q181">SUMPRODUCT(--(Q$9=Model2!$D$9:$CN$9),Model2!$D185:$CN185)</f>
        <v>504719.98957486614</v>
      </c>
      <c r="R181" s="5" cm="1">
        <f t="array" ref="R181">SUMPRODUCT(--(R$9=Model2!$D$9:$CN$9),Model2!$D185:$CN185)</f>
        <v>493072.25557486626</v>
      </c>
      <c r="S181" s="5" cm="1">
        <f t="array" ref="S181">SUMPRODUCT(--(S$9=Model2!$D$9:$CN$9),Model2!$D185:$CN185)</f>
        <v>481424.52157486632</v>
      </c>
      <c r="T181" s="5" cm="1">
        <f t="array" ref="T181">SUMPRODUCT(--(T$9=Model2!$D$9:$CN$9),Model2!$D185:$CN185)</f>
        <v>469776.78757486644</v>
      </c>
      <c r="U181" s="5" cm="1">
        <f t="array" ref="U181">SUMPRODUCT(--(U$9=Model2!$D$9:$CN$9),Model2!$D185:$CN185)</f>
        <v>458129.05357486644</v>
      </c>
      <c r="V181" s="5" cm="1">
        <f t="array" ref="V181">SUMPRODUCT(--(V$9=Model2!$D$9:$CN$9),Model2!$D185:$CN185)</f>
        <v>446481.3195748665</v>
      </c>
      <c r="W181" s="5" cm="1">
        <f t="array" ref="W181">SUMPRODUCT(--(W$9=Model2!$D$9:$CN$9),Model2!$D185:$CN185)</f>
        <v>434833.58557486656</v>
      </c>
      <c r="X181" s="5" cm="1">
        <f t="array" ref="X181">SUMPRODUCT(--(X$9=Model2!$D$9:$CN$9),Model2!$D185:$CN185)</f>
        <v>423185.85157486668</v>
      </c>
      <c r="Y181" s="5" cm="1">
        <f t="array" ref="Y181">SUMPRODUCT(--(Y$9=Model2!$D$9:$CN$9),Model2!$D185:$CN185)</f>
        <v>411538.1175748668</v>
      </c>
      <c r="Z181" s="5" cm="1">
        <f t="array" ref="Z181">SUMPRODUCT(--(Z$9=Model2!$D$9:$CN$9),Model2!$D185:$CN185)</f>
        <v>399890.38357486681</v>
      </c>
      <c r="AA181" s="5"/>
    </row>
    <row r="182" spans="1:27" ht="12.75" customHeight="1">
      <c r="A182" s="117"/>
      <c r="B182" s="26" t="s">
        <v>256</v>
      </c>
      <c r="C182" s="117"/>
      <c r="D182" s="118">
        <f>Model2!D186</f>
        <v>145596.67499999999</v>
      </c>
      <c r="E182" s="5" cm="1">
        <f t="array" ref="E182">SUMPRODUCT(--(E$9=Model2!$D$9:$CN$9),Model2!$D186:$CN186)</f>
        <v>145596.67499999999</v>
      </c>
      <c r="F182" s="5" cm="1">
        <f t="array" ref="F182">SUMPRODUCT(--(F$9=Model2!$D$9:$CN$9),Model2!$D186:$CN186)</f>
        <v>145596.67499999999</v>
      </c>
      <c r="G182" s="5" cm="1">
        <f t="array" ref="G182">SUMPRODUCT(--(G$9=Model2!$D$9:$CN$9),Model2!$D186:$CN186)</f>
        <v>145596.67499999999</v>
      </c>
      <c r="H182" s="5" cm="1">
        <f t="array" ref="H182">SUMPRODUCT(--(H$9=Model2!$D$9:$CN$9),Model2!$D186:$CN186)</f>
        <v>145596.67499999999</v>
      </c>
      <c r="I182" s="5" cm="1">
        <f t="array" ref="I182">SUMPRODUCT(--(I$9=Model2!$D$9:$CN$9),Model2!$D186:$CN186)</f>
        <v>145596.67499999999</v>
      </c>
      <c r="J182" s="5" cm="1">
        <f t="array" ref="J182">SUMPRODUCT(--(J$9=Model2!$D$9:$CN$9),Model2!$D186:$CN186)</f>
        <v>145596.67499999999</v>
      </c>
      <c r="K182" s="5" cm="1">
        <f t="array" ref="K182">SUMPRODUCT(--(K$9=Model2!$D$9:$CN$9),Model2!$D186:$CN186)</f>
        <v>145596.67499999999</v>
      </c>
      <c r="L182" s="5" cm="1">
        <f t="array" ref="L182">SUMPRODUCT(--(L$9=Model2!$D$9:$CN$9),Model2!$D186:$CN186)</f>
        <v>145596.67499999999</v>
      </c>
      <c r="M182" s="5" cm="1">
        <f t="array" ref="M182">SUMPRODUCT(--(M$9=Model2!$D$9:$CN$9),Model2!$D186:$CN186)</f>
        <v>145596.67499999999</v>
      </c>
      <c r="N182" s="5" cm="1">
        <f t="array" ref="N182">SUMPRODUCT(--(N$9=Model2!$D$9:$CN$9),Model2!$D186:$CN186)</f>
        <v>145596.67499999999</v>
      </c>
      <c r="O182" s="5" cm="1">
        <f t="array" ref="O182">SUMPRODUCT(--(O$9=Model2!$D$9:$CN$9),Model2!$D186:$CN186)</f>
        <v>145596.67499999999</v>
      </c>
      <c r="P182" s="5" cm="1">
        <f t="array" ref="P182">SUMPRODUCT(--(P$9=Model2!$D$9:$CN$9),Model2!$D186:$CN186)</f>
        <v>145596.67499999999</v>
      </c>
      <c r="Q182" s="5" cm="1">
        <f t="array" ref="Q182">SUMPRODUCT(--(Q$9=Model2!$D$9:$CN$9),Model2!$D186:$CN186)</f>
        <v>145596.67499999999</v>
      </c>
      <c r="R182" s="5" cm="1">
        <f t="array" ref="R182">SUMPRODUCT(--(R$9=Model2!$D$9:$CN$9),Model2!$D186:$CN186)</f>
        <v>145596.67499999999</v>
      </c>
      <c r="S182" s="5" cm="1">
        <f t="array" ref="S182">SUMPRODUCT(--(S$9=Model2!$D$9:$CN$9),Model2!$D186:$CN186)</f>
        <v>145596.67499999999</v>
      </c>
      <c r="T182" s="5" cm="1">
        <f t="array" ref="T182">SUMPRODUCT(--(T$9=Model2!$D$9:$CN$9),Model2!$D186:$CN186)</f>
        <v>145596.67499999999</v>
      </c>
      <c r="U182" s="5" cm="1">
        <f t="array" ref="U182">SUMPRODUCT(--(U$9=Model2!$D$9:$CN$9),Model2!$D186:$CN186)</f>
        <v>145596.67499999999</v>
      </c>
      <c r="V182" s="5" cm="1">
        <f t="array" ref="V182">SUMPRODUCT(--(V$9=Model2!$D$9:$CN$9),Model2!$D186:$CN186)</f>
        <v>145596.67499999999</v>
      </c>
      <c r="W182" s="5" cm="1">
        <f t="array" ref="W182">SUMPRODUCT(--(W$9=Model2!$D$9:$CN$9),Model2!$D186:$CN186)</f>
        <v>145596.67499999999</v>
      </c>
      <c r="X182" s="5" cm="1">
        <f t="array" ref="X182">SUMPRODUCT(--(X$9=Model2!$D$9:$CN$9),Model2!$D186:$CN186)</f>
        <v>145596.67499999999</v>
      </c>
      <c r="Y182" s="5" cm="1">
        <f t="array" ref="Y182">SUMPRODUCT(--(Y$9=Model2!$D$9:$CN$9),Model2!$D186:$CN186)</f>
        <v>145596.67499999999</v>
      </c>
      <c r="Z182" s="5" cm="1">
        <f t="array" ref="Z182">SUMPRODUCT(--(Z$9=Model2!$D$9:$CN$9),Model2!$D186:$CN186)</f>
        <v>145596.67499999999</v>
      </c>
      <c r="AA182" s="5"/>
    </row>
    <row r="183" spans="1:27" ht="12.75" customHeight="1">
      <c r="A183" s="112"/>
      <c r="B183" s="119" t="s">
        <v>248</v>
      </c>
      <c r="C183" s="120"/>
      <c r="D183" s="121">
        <f>Model2!D187</f>
        <v>145596.67499999999</v>
      </c>
      <c r="E183" s="120" cm="1">
        <f t="array" ref="E183">SUMPRODUCT(--(E$9=Model2!$D$9:$CN$9),Model2!$D187:$CN187)</f>
        <v>129837.00749999999</v>
      </c>
      <c r="F183" s="120" cm="1">
        <f t="array" ref="F183">SUMPRODUCT(--(F$9=Model2!$D$9:$CN$9),Model2!$D187:$CN187)</f>
        <v>114077.34</v>
      </c>
      <c r="G183" s="120" cm="1">
        <f t="array" ref="G183">SUMPRODUCT(--(G$9=Model2!$D$9:$CN$9),Model2!$D187:$CN187)</f>
        <v>226321.41593750002</v>
      </c>
      <c r="H183" s="120" cm="1">
        <f t="array" ref="H183">SUMPRODUCT(--(H$9=Model2!$D$9:$CN$9),Model2!$D187:$CN187)</f>
        <v>648322.41793750005</v>
      </c>
      <c r="I183" s="120" cm="1">
        <f t="array" ref="I183">SUMPRODUCT(--(I$9=Model2!$D$9:$CN$9),Model2!$D187:$CN187)</f>
        <v>685383.95223293651</v>
      </c>
      <c r="J183" s="120" cm="1">
        <f t="array" ref="J183">SUMPRODUCT(--(J$9=Model2!$D$9:$CN$9),Model2!$D187:$CN187)</f>
        <v>666891.69762442238</v>
      </c>
      <c r="K183" s="120" cm="1">
        <f t="array" ref="K183">SUMPRODUCT(--(K$9=Model2!$D$9:$CN$9),Model2!$D187:$CN187)</f>
        <v>608116.43909523101</v>
      </c>
      <c r="L183" s="120" cm="1">
        <f t="array" ref="L183">SUMPRODUCT(--(L$9=Model2!$D$9:$CN$9),Model2!$D187:$CN187)</f>
        <v>611990.62734716991</v>
      </c>
      <c r="M183" s="120" cm="1">
        <f t="array" ref="M183">SUMPRODUCT(--(M$9=Model2!$D$9:$CN$9),Model2!$D187:$CN187)</f>
        <v>622366.93218574254</v>
      </c>
      <c r="N183" s="120" cm="1">
        <f t="array" ref="N183">SUMPRODUCT(--(N$9=Model2!$D$9:$CN$9),Model2!$D187:$CN187)</f>
        <v>633899.26368455496</v>
      </c>
      <c r="O183" s="120" cm="1">
        <f t="array" ref="O183">SUMPRODUCT(--(O$9=Model2!$D$9:$CN$9),Model2!$D187:$CN187)</f>
        <v>667686.55712619319</v>
      </c>
      <c r="P183" s="120" cm="1">
        <f t="array" ref="P183">SUMPRODUCT(--(P$9=Model2!$D$9:$CN$9),Model2!$D187:$CN187)</f>
        <v>653458.0905970945</v>
      </c>
      <c r="Q183" s="120" cm="1">
        <f t="array" ref="Q183">SUMPRODUCT(--(Q$9=Model2!$D$9:$CN$9),Model2!$D187:$CN187)</f>
        <v>639455.39337302779</v>
      </c>
      <c r="R183" s="120" cm="1">
        <f t="array" ref="R183">SUMPRODUCT(--(R$9=Model2!$D$9:$CN$9),Model2!$D187:$CN187)</f>
        <v>625260.87494344648</v>
      </c>
      <c r="S183" s="120" cm="1">
        <f t="array" ref="S183">SUMPRODUCT(--(S$9=Model2!$D$9:$CN$9),Model2!$D187:$CN187)</f>
        <v>611084.61396738607</v>
      </c>
      <c r="T183" s="120" cm="1">
        <f t="array" ref="T183">SUMPRODUCT(--(T$9=Model2!$D$9:$CN$9),Model2!$D187:$CN187)</f>
        <v>596927.52331752272</v>
      </c>
      <c r="U183" s="120" cm="1">
        <f t="array" ref="U183">SUMPRODUCT(--(U$9=Model2!$D$9:$CN$9),Model2!$D187:$CN187)</f>
        <v>583044.85666898382</v>
      </c>
      <c r="V183" s="120" cm="1">
        <f t="array" ref="V183">SUMPRODUCT(--(V$9=Model2!$D$9:$CN$9),Model2!$D187:$CN187)</f>
        <v>568929.03014625947</v>
      </c>
      <c r="W183" s="120" cm="1">
        <f t="array" ref="W183">SUMPRODUCT(--(W$9=Model2!$D$9:$CN$9),Model2!$D187:$CN187)</f>
        <v>554835.39567239885</v>
      </c>
      <c r="X183" s="120" cm="1">
        <f t="array" ref="X183">SUMPRODUCT(--(X$9=Model2!$D$9:$CN$9),Model2!$D187:$CN187)</f>
        <v>540765.06284984516</v>
      </c>
      <c r="Y183" s="120" cm="1">
        <f t="array" ref="Y183">SUMPRODUCT(--(Y$9=Model2!$D$9:$CN$9),Model2!$D187:$CN187)</f>
        <v>527028.29411605163</v>
      </c>
      <c r="Z183" s="120" cm="1">
        <f t="array" ref="Z183">SUMPRODUCT(--(Z$9=Model2!$D$9:$CN$9),Model2!$D187:$CN187)</f>
        <v>513008.11809793609</v>
      </c>
      <c r="AA183" s="120"/>
    </row>
    <row r="184" spans="1:27" ht="12.75" customHeight="1">
      <c r="A184" s="117"/>
      <c r="B184" s="117"/>
      <c r="C184" s="117"/>
      <c r="D184" s="116">
        <f>Model2!D188</f>
        <v>0</v>
      </c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</row>
    <row r="185" spans="1:27" ht="12.75" customHeight="1">
      <c r="A185" s="117"/>
      <c r="B185" s="117"/>
      <c r="C185" s="124" t="s">
        <v>257</v>
      </c>
      <c r="D185" s="125" t="str">
        <f>Model2!D189</f>
        <v>Да</v>
      </c>
      <c r="E185" s="126" t="str">
        <f t="shared" ref="E185:Z185" si="24">IF(ROUND(E173,0)=ROUND(E183,0),"Да","Нет")</f>
        <v>Да</v>
      </c>
      <c r="F185" s="126" t="str">
        <f t="shared" si="24"/>
        <v>Да</v>
      </c>
      <c r="G185" s="126" t="str">
        <f t="shared" si="24"/>
        <v>Да</v>
      </c>
      <c r="H185" s="126" t="str">
        <f t="shared" si="24"/>
        <v>Да</v>
      </c>
      <c r="I185" s="126" t="str">
        <f t="shared" si="24"/>
        <v>Да</v>
      </c>
      <c r="J185" s="126" t="str">
        <f t="shared" si="24"/>
        <v>Да</v>
      </c>
      <c r="K185" s="126" t="str">
        <f t="shared" si="24"/>
        <v>Да</v>
      </c>
      <c r="L185" s="126" t="str">
        <f t="shared" si="24"/>
        <v>Да</v>
      </c>
      <c r="M185" s="126" t="str">
        <f t="shared" si="24"/>
        <v>Да</v>
      </c>
      <c r="N185" s="126" t="str">
        <f t="shared" si="24"/>
        <v>Да</v>
      </c>
      <c r="O185" s="126" t="str">
        <f t="shared" si="24"/>
        <v>Да</v>
      </c>
      <c r="P185" s="126" t="str">
        <f t="shared" si="24"/>
        <v>Да</v>
      </c>
      <c r="Q185" s="126" t="str">
        <f t="shared" si="24"/>
        <v>Да</v>
      </c>
      <c r="R185" s="126" t="str">
        <f t="shared" si="24"/>
        <v>Да</v>
      </c>
      <c r="S185" s="126" t="str">
        <f t="shared" si="24"/>
        <v>Да</v>
      </c>
      <c r="T185" s="126" t="str">
        <f t="shared" si="24"/>
        <v>Да</v>
      </c>
      <c r="U185" s="126" t="str">
        <f t="shared" si="24"/>
        <v>Да</v>
      </c>
      <c r="V185" s="126" t="str">
        <f t="shared" si="24"/>
        <v>Да</v>
      </c>
      <c r="W185" s="126" t="str">
        <f t="shared" si="24"/>
        <v>Да</v>
      </c>
      <c r="X185" s="126" t="str">
        <f t="shared" si="24"/>
        <v>Да</v>
      </c>
      <c r="Y185" s="126" t="str">
        <f t="shared" si="24"/>
        <v>Да</v>
      </c>
      <c r="Z185" s="126" t="str">
        <f t="shared" si="24"/>
        <v>Да</v>
      </c>
      <c r="AA185" s="126"/>
    </row>
    <row r="186" spans="1:27" ht="12.75" customHeight="1">
      <c r="A186" s="117"/>
      <c r="B186" s="117"/>
      <c r="C186" s="124" t="s">
        <v>258</v>
      </c>
      <c r="D186" s="125">
        <f>Model2!D190</f>
        <v>0</v>
      </c>
      <c r="E186" s="126">
        <f t="shared" ref="E186:Z186" si="25">ROUND(E173,0)-ROUND(E183,0)</f>
        <v>0</v>
      </c>
      <c r="F186" s="126">
        <f t="shared" si="25"/>
        <v>0</v>
      </c>
      <c r="G186" s="126">
        <f t="shared" si="25"/>
        <v>0</v>
      </c>
      <c r="H186" s="126">
        <f t="shared" si="25"/>
        <v>0</v>
      </c>
      <c r="I186" s="126">
        <f t="shared" si="25"/>
        <v>0</v>
      </c>
      <c r="J186" s="126">
        <f t="shared" si="25"/>
        <v>0</v>
      </c>
      <c r="K186" s="126">
        <f t="shared" si="25"/>
        <v>0</v>
      </c>
      <c r="L186" s="126">
        <f t="shared" si="25"/>
        <v>0</v>
      </c>
      <c r="M186" s="126">
        <f t="shared" si="25"/>
        <v>0</v>
      </c>
      <c r="N186" s="126">
        <f t="shared" si="25"/>
        <v>0</v>
      </c>
      <c r="O186" s="126">
        <f t="shared" si="25"/>
        <v>0</v>
      </c>
      <c r="P186" s="126">
        <f t="shared" si="25"/>
        <v>0</v>
      </c>
      <c r="Q186" s="126">
        <f t="shared" si="25"/>
        <v>0</v>
      </c>
      <c r="R186" s="126">
        <f t="shared" si="25"/>
        <v>0</v>
      </c>
      <c r="S186" s="126">
        <f t="shared" si="25"/>
        <v>0</v>
      </c>
      <c r="T186" s="126">
        <f t="shared" si="25"/>
        <v>0</v>
      </c>
      <c r="U186" s="126">
        <f t="shared" si="25"/>
        <v>0</v>
      </c>
      <c r="V186" s="126">
        <f t="shared" si="25"/>
        <v>0</v>
      </c>
      <c r="W186" s="126">
        <f t="shared" si="25"/>
        <v>0</v>
      </c>
      <c r="X186" s="126">
        <f t="shared" si="25"/>
        <v>0</v>
      </c>
      <c r="Y186" s="126">
        <f t="shared" si="25"/>
        <v>0</v>
      </c>
      <c r="Z186" s="126">
        <f t="shared" si="25"/>
        <v>0</v>
      </c>
      <c r="AA186" s="126"/>
    </row>
  </sheetData>
  <pageMargins left="0.70866141732283472" right="0.70866141732283472" top="0.74803149606299213" bottom="0.74803149606299213" header="0" footer="0"/>
  <pageSetup paperSize="9" orientation="landscape"/>
  <headerFooter>
    <oddFooter>&amp;C&amp;P</oddFooter>
  </headerFooter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5</vt:i4>
      </vt:variant>
    </vt:vector>
  </HeadingPairs>
  <TitlesOfParts>
    <vt:vector size="36" baseType="lpstr">
      <vt:lpstr>Содержание </vt:lpstr>
      <vt:lpstr>Инструкция</vt:lpstr>
      <vt:lpstr>Assump</vt:lpstr>
      <vt:lpstr>Model</vt:lpstr>
      <vt:lpstr>Model (years)</vt:lpstr>
      <vt:lpstr>Model2</vt:lpstr>
      <vt:lpstr>sensitivity</vt:lpstr>
      <vt:lpstr>sensitivity (years)</vt:lpstr>
      <vt:lpstr>Model (years)2</vt:lpstr>
      <vt:lpstr>DiscRate</vt:lpstr>
      <vt:lpstr>Укрупненная модель</vt:lpstr>
      <vt:lpstr>Инфраструктура</vt:lpstr>
      <vt:lpstr>Финансирование</vt:lpstr>
      <vt:lpstr>график квартальный</vt:lpstr>
      <vt:lpstr>График годовой</vt:lpstr>
      <vt:lpstr>P&amp;L 1 и 2 этапы</vt:lpstr>
      <vt:lpstr>Итого выручка 1 этапа</vt:lpstr>
      <vt:lpstr>Итого выручка 2 этапа </vt:lpstr>
      <vt:lpstr>операционные  расходы 1 этап</vt:lpstr>
      <vt:lpstr>операционные расходы 2 этап</vt:lpstr>
      <vt:lpstr>Открытые тарифы </vt:lpstr>
      <vt:lpstr>скидки для типов гостей</vt:lpstr>
      <vt:lpstr>ADR</vt:lpstr>
      <vt:lpstr>выручка номеров</vt:lpstr>
      <vt:lpstr>"Шведский стол" </vt:lpstr>
      <vt:lpstr>СПА и развлечения в пакете</vt:lpstr>
      <vt:lpstr>выручка от общепита</vt:lpstr>
      <vt:lpstr>Выручка от прочих услуг</vt:lpstr>
      <vt:lpstr>ФОТ 1 этап</vt:lpstr>
      <vt:lpstr>ФОТ 2 этап</vt:lpstr>
      <vt:lpstr>2035 баз.</vt:lpstr>
      <vt:lpstr>'2035 баз.'!Z_F555932C_CC75_42D3_B754_FE5E25B3BD19_.wvu.Cols</vt:lpstr>
      <vt:lpstr>'2035 баз.'!Z_F555932C_CC75_42D3_B754_FE5E25B3BD19_.wvu.PrintArea</vt:lpstr>
      <vt:lpstr>'2035 баз.'!Z_F555932C_CC75_42D3_B754_FE5E25B3BD19_.wvu.PrintTitles</vt:lpstr>
      <vt:lpstr>Model!Заголовки_для_печати</vt:lpstr>
      <vt:lpstr>Model2!Заголовки_для_печати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А. Мусакин Cronwell</dc:creator>
  <cp:lastModifiedBy>Алексей Мусакин</cp:lastModifiedBy>
  <cp:lastPrinted>2022-03-31T19:14:02Z</cp:lastPrinted>
  <dcterms:created xsi:type="dcterms:W3CDTF">2009-06-24T10:08:41Z</dcterms:created>
  <dcterms:modified xsi:type="dcterms:W3CDTF">2023-12-17T19:56:53Z</dcterms:modified>
</cp:coreProperties>
</file>